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24226"/>
  <bookViews>
    <workbookView xWindow="240" yWindow="110" windowWidth="14810" windowHeight="8010" firstSheet="8" activeTab="8"/>
  </bookViews>
  <sheets>
    <sheet name="كامل" sheetId="4" state="veryHidden" r:id="rId1"/>
    <sheet name="Sheet7" sheetId="15" state="veryHidden" r:id="rId2"/>
    <sheet name="Sheet5" sheetId="14" state="veryHidden" r:id="rId3"/>
    <sheet name="MAIN" sheetId="1" state="veryHidden" r:id="rId4"/>
    <sheet name="RE" sheetId="12" state="veryHidden" r:id="rId5"/>
    <sheet name="Sheet6" sheetId="13" state="veryHidden" r:id="rId6"/>
    <sheet name="Sheet1" sheetId="8" state="veryHidden" r:id="rId7"/>
    <sheet name=" الشركه 2018" sheetId="10" state="veryHidden" r:id="rId8"/>
    <sheet name="Sheet3 (2)" sheetId="11" r:id="rId9"/>
  </sheets>
  <externalReferences>
    <externalReference r:id="rId10"/>
    <externalReference r:id="rId11"/>
    <externalReference r:id="rId12"/>
    <externalReference r:id="rId13"/>
  </externalReferences>
  <definedNames>
    <definedName name="_xlnm._FilterDatabase" localSheetId="7" hidden="1">' الشركه 2018'!$A$2:$CP$355</definedName>
    <definedName name="_xlnm.Print_Titles" localSheetId="7">' الشركه 2018'!$1:$1</definedName>
    <definedName name="_xlnm.Print_Titles" localSheetId="3">MAIN!$1:$1</definedName>
    <definedName name="_xlnm.Print_Titles" localSheetId="2">Sheet5!$3:$3</definedName>
    <definedName name="_xlnm.Print_Titles" localSheetId="0">كامل!$4:$4</definedName>
  </definedNames>
  <calcPr calcId="152511"/>
  <pivotCaches>
    <pivotCache cacheId="0" r:id="rId14"/>
    <pivotCache cacheId="1" r:id="rId15"/>
  </pivotCaches>
</workbook>
</file>

<file path=xl/calcChain.xml><?xml version="1.0" encoding="utf-8"?>
<calcChain xmlns="http://schemas.openxmlformats.org/spreadsheetml/2006/main">
  <c r="E5" i="13" l="1"/>
  <c r="E9" i="13"/>
  <c r="E13" i="13"/>
  <c r="E17" i="13"/>
  <c r="E21" i="13"/>
  <c r="E25" i="13"/>
  <c r="D2" i="13"/>
  <c r="E2" i="13" s="1"/>
  <c r="D3" i="13"/>
  <c r="E3" i="13" s="1"/>
  <c r="D4" i="13"/>
  <c r="E4" i="13" s="1"/>
  <c r="D5" i="13"/>
  <c r="D6" i="13"/>
  <c r="E6" i="13" s="1"/>
  <c r="D7" i="13"/>
  <c r="E7" i="13" s="1"/>
  <c r="D8" i="13"/>
  <c r="E8" i="13" s="1"/>
  <c r="D9" i="13"/>
  <c r="D10" i="13"/>
  <c r="E10" i="13" s="1"/>
  <c r="D11" i="13"/>
  <c r="E11" i="13" s="1"/>
  <c r="D12" i="13"/>
  <c r="E12" i="13" s="1"/>
  <c r="D13" i="13"/>
  <c r="D14" i="13"/>
  <c r="E14" i="13" s="1"/>
  <c r="D15" i="13"/>
  <c r="E15" i="13" s="1"/>
  <c r="D16" i="13"/>
  <c r="E16" i="13" s="1"/>
  <c r="D17" i="13"/>
  <c r="D18" i="13"/>
  <c r="E18" i="13" s="1"/>
  <c r="D19" i="13"/>
  <c r="E19" i="13" s="1"/>
  <c r="D20" i="13"/>
  <c r="E20" i="13" s="1"/>
  <c r="D21" i="13"/>
  <c r="D22" i="13"/>
  <c r="E22" i="13" s="1"/>
  <c r="D23" i="13"/>
  <c r="E23" i="13" s="1"/>
  <c r="D24" i="13"/>
  <c r="E24" i="13" s="1"/>
  <c r="D25" i="13"/>
  <c r="D26" i="13"/>
  <c r="E26" i="13" s="1"/>
  <c r="D27" i="13"/>
  <c r="E27" i="13" s="1"/>
  <c r="AX4" i="1" l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M3" i="1"/>
  <c r="D12" i="11" l="1"/>
  <c r="B12" i="11"/>
  <c r="CQ355" i="10"/>
  <c r="CF355" i="10"/>
  <c r="CE355" i="10"/>
  <c r="CD355" i="10"/>
  <c r="CC355" i="10"/>
  <c r="CB355" i="10"/>
  <c r="AN355" i="10"/>
  <c r="AK355" i="10"/>
  <c r="AJ355" i="10"/>
  <c r="AI355" i="10"/>
  <c r="AH355" i="10"/>
  <c r="AG355" i="10"/>
  <c r="AE355" i="10"/>
  <c r="AB355" i="10"/>
  <c r="U355" i="10"/>
  <c r="Q355" i="10"/>
  <c r="P355" i="10"/>
  <c r="O355" i="10"/>
  <c r="N355" i="10"/>
  <c r="M355" i="10"/>
  <c r="I355" i="10"/>
  <c r="CQ354" i="10"/>
  <c r="CF354" i="10"/>
  <c r="CE354" i="10"/>
  <c r="CD354" i="10"/>
  <c r="CC354" i="10"/>
  <c r="CB354" i="10"/>
  <c r="AN354" i="10"/>
  <c r="AK354" i="10"/>
  <c r="AJ354" i="10"/>
  <c r="AI354" i="10"/>
  <c r="AH354" i="10"/>
  <c r="AG354" i="10"/>
  <c r="AE354" i="10"/>
  <c r="AB354" i="10"/>
  <c r="U354" i="10"/>
  <c r="Q354" i="10"/>
  <c r="P354" i="10"/>
  <c r="O354" i="10"/>
  <c r="N354" i="10"/>
  <c r="M354" i="10"/>
  <c r="I354" i="10"/>
  <c r="CQ353" i="10"/>
  <c r="CF353" i="10"/>
  <c r="CE353" i="10"/>
  <c r="CD353" i="10"/>
  <c r="CC353" i="10"/>
  <c r="CB353" i="10"/>
  <c r="AN353" i="10"/>
  <c r="AK353" i="10"/>
  <c r="AJ353" i="10"/>
  <c r="AI353" i="10"/>
  <c r="AH353" i="10"/>
  <c r="AG353" i="10"/>
  <c r="AE353" i="10"/>
  <c r="AB353" i="10"/>
  <c r="U353" i="10"/>
  <c r="Q353" i="10"/>
  <c r="P353" i="10"/>
  <c r="O353" i="10"/>
  <c r="N353" i="10"/>
  <c r="M353" i="10"/>
  <c r="I353" i="10"/>
  <c r="CQ352" i="10"/>
  <c r="CF352" i="10"/>
  <c r="CE352" i="10"/>
  <c r="CD352" i="10"/>
  <c r="CC352" i="10"/>
  <c r="CB352" i="10"/>
  <c r="AN352" i="10"/>
  <c r="AK352" i="10"/>
  <c r="AJ352" i="10"/>
  <c r="AI352" i="10"/>
  <c r="AH352" i="10"/>
  <c r="AG352" i="10"/>
  <c r="AE352" i="10"/>
  <c r="AB352" i="10"/>
  <c r="U352" i="10"/>
  <c r="Q352" i="10"/>
  <c r="P352" i="10"/>
  <c r="O352" i="10"/>
  <c r="N352" i="10"/>
  <c r="M352" i="10"/>
  <c r="I352" i="10"/>
  <c r="CQ351" i="10"/>
  <c r="CF351" i="10"/>
  <c r="CE351" i="10"/>
  <c r="CD351" i="10"/>
  <c r="CC351" i="10"/>
  <c r="CB351" i="10"/>
  <c r="AN351" i="10"/>
  <c r="AK351" i="10"/>
  <c r="AJ351" i="10"/>
  <c r="AI351" i="10"/>
  <c r="AH351" i="10"/>
  <c r="AG351" i="10"/>
  <c r="AE351" i="10"/>
  <c r="AB351" i="10"/>
  <c r="U351" i="10"/>
  <c r="Q351" i="10"/>
  <c r="P351" i="10"/>
  <c r="O351" i="10"/>
  <c r="N351" i="10"/>
  <c r="M351" i="10"/>
  <c r="I351" i="10"/>
  <c r="CQ350" i="10"/>
  <c r="CF350" i="10"/>
  <c r="CE350" i="10"/>
  <c r="CD350" i="10"/>
  <c r="CC350" i="10"/>
  <c r="CB350" i="10"/>
  <c r="AN350" i="10"/>
  <c r="AK350" i="10"/>
  <c r="AJ350" i="10"/>
  <c r="AI350" i="10"/>
  <c r="AH350" i="10"/>
  <c r="AG350" i="10"/>
  <c r="AE350" i="10"/>
  <c r="AB350" i="10"/>
  <c r="U350" i="10"/>
  <c r="Q350" i="10"/>
  <c r="P350" i="10"/>
  <c r="O350" i="10"/>
  <c r="N350" i="10"/>
  <c r="M350" i="10"/>
  <c r="I350" i="10"/>
  <c r="CQ349" i="10"/>
  <c r="CF349" i="10"/>
  <c r="CE349" i="10"/>
  <c r="CD349" i="10"/>
  <c r="CC349" i="10"/>
  <c r="CB349" i="10"/>
  <c r="AN349" i="10"/>
  <c r="AK349" i="10"/>
  <c r="AJ349" i="10"/>
  <c r="AI349" i="10"/>
  <c r="AH349" i="10"/>
  <c r="AG349" i="10"/>
  <c r="AE349" i="10"/>
  <c r="AB349" i="10"/>
  <c r="U349" i="10"/>
  <c r="Q349" i="10"/>
  <c r="P349" i="10"/>
  <c r="O349" i="10"/>
  <c r="N349" i="10"/>
  <c r="M349" i="10"/>
  <c r="I349" i="10"/>
  <c r="CQ348" i="10"/>
  <c r="CF348" i="10"/>
  <c r="CE348" i="10"/>
  <c r="CD348" i="10"/>
  <c r="CC348" i="10"/>
  <c r="CB348" i="10"/>
  <c r="AN348" i="10"/>
  <c r="AK348" i="10"/>
  <c r="AJ348" i="10"/>
  <c r="AI348" i="10"/>
  <c r="AH348" i="10"/>
  <c r="AG348" i="10"/>
  <c r="AE348" i="10"/>
  <c r="AB348" i="10"/>
  <c r="U348" i="10"/>
  <c r="Q348" i="10"/>
  <c r="P348" i="10"/>
  <c r="O348" i="10"/>
  <c r="N348" i="10"/>
  <c r="M348" i="10"/>
  <c r="I348" i="10"/>
  <c r="CQ347" i="10"/>
  <c r="CF347" i="10"/>
  <c r="CE347" i="10"/>
  <c r="CD347" i="10"/>
  <c r="CC347" i="10"/>
  <c r="CB347" i="10"/>
  <c r="AN347" i="10"/>
  <c r="AK347" i="10"/>
  <c r="AJ347" i="10"/>
  <c r="AI347" i="10"/>
  <c r="AH347" i="10"/>
  <c r="AG347" i="10"/>
  <c r="AE347" i="10"/>
  <c r="AB347" i="10"/>
  <c r="U347" i="10"/>
  <c r="Q347" i="10"/>
  <c r="P347" i="10"/>
  <c r="O347" i="10"/>
  <c r="N347" i="10"/>
  <c r="M347" i="10"/>
  <c r="I347" i="10"/>
  <c r="CQ346" i="10"/>
  <c r="CF346" i="10"/>
  <c r="CE346" i="10"/>
  <c r="CD346" i="10"/>
  <c r="CC346" i="10"/>
  <c r="CB346" i="10"/>
  <c r="AN346" i="10"/>
  <c r="AK346" i="10"/>
  <c r="AJ346" i="10"/>
  <c r="AI346" i="10"/>
  <c r="AH346" i="10"/>
  <c r="AG346" i="10"/>
  <c r="AE346" i="10"/>
  <c r="AB346" i="10"/>
  <c r="U346" i="10"/>
  <c r="Q346" i="10"/>
  <c r="P346" i="10"/>
  <c r="O346" i="10"/>
  <c r="N346" i="10"/>
  <c r="M346" i="10"/>
  <c r="I346" i="10"/>
  <c r="CQ345" i="10"/>
  <c r="CF345" i="10"/>
  <c r="CE345" i="10"/>
  <c r="CD345" i="10"/>
  <c r="CC345" i="10"/>
  <c r="CB345" i="10"/>
  <c r="AN345" i="10"/>
  <c r="AK345" i="10"/>
  <c r="AJ345" i="10"/>
  <c r="AI345" i="10"/>
  <c r="AH345" i="10"/>
  <c r="AG345" i="10"/>
  <c r="AE345" i="10"/>
  <c r="AB345" i="10"/>
  <c r="U345" i="10"/>
  <c r="Q345" i="10"/>
  <c r="P345" i="10"/>
  <c r="O345" i="10"/>
  <c r="N345" i="10"/>
  <c r="M345" i="10"/>
  <c r="I345" i="10"/>
  <c r="CQ344" i="10"/>
  <c r="CF344" i="10"/>
  <c r="CE344" i="10"/>
  <c r="CD344" i="10"/>
  <c r="CC344" i="10"/>
  <c r="CB344" i="10"/>
  <c r="AN344" i="10"/>
  <c r="AK344" i="10"/>
  <c r="AJ344" i="10"/>
  <c r="AI344" i="10"/>
  <c r="AH344" i="10"/>
  <c r="AG344" i="10"/>
  <c r="AE344" i="10"/>
  <c r="AB344" i="10"/>
  <c r="U344" i="10"/>
  <c r="Q344" i="10"/>
  <c r="P344" i="10"/>
  <c r="O344" i="10"/>
  <c r="N344" i="10"/>
  <c r="M344" i="10"/>
  <c r="I344" i="10"/>
  <c r="CQ343" i="10"/>
  <c r="CF343" i="10"/>
  <c r="CE343" i="10"/>
  <c r="CD343" i="10"/>
  <c r="CC343" i="10"/>
  <c r="CB343" i="10"/>
  <c r="AN343" i="10"/>
  <c r="AK343" i="10"/>
  <c r="AJ343" i="10"/>
  <c r="AI343" i="10"/>
  <c r="AH343" i="10"/>
  <c r="AG343" i="10"/>
  <c r="AE343" i="10"/>
  <c r="AB343" i="10"/>
  <c r="U343" i="10"/>
  <c r="Q343" i="10"/>
  <c r="P343" i="10"/>
  <c r="O343" i="10"/>
  <c r="N343" i="10"/>
  <c r="M343" i="10"/>
  <c r="I343" i="10"/>
  <c r="CQ342" i="10"/>
  <c r="CF342" i="10"/>
  <c r="CE342" i="10"/>
  <c r="CD342" i="10"/>
  <c r="CC342" i="10"/>
  <c r="CB342" i="10"/>
  <c r="AN342" i="10"/>
  <c r="AK342" i="10"/>
  <c r="AJ342" i="10"/>
  <c r="AI342" i="10"/>
  <c r="AH342" i="10"/>
  <c r="AG342" i="10"/>
  <c r="AE342" i="10"/>
  <c r="AB342" i="10"/>
  <c r="U342" i="10"/>
  <c r="Q342" i="10"/>
  <c r="P342" i="10"/>
  <c r="O342" i="10"/>
  <c r="N342" i="10"/>
  <c r="M342" i="10"/>
  <c r="I342" i="10"/>
  <c r="CQ341" i="10"/>
  <c r="CF341" i="10"/>
  <c r="CE341" i="10"/>
  <c r="CD341" i="10"/>
  <c r="CC341" i="10"/>
  <c r="CB341" i="10"/>
  <c r="AN341" i="10"/>
  <c r="AK341" i="10"/>
  <c r="AJ341" i="10"/>
  <c r="AI341" i="10"/>
  <c r="AH341" i="10"/>
  <c r="AG341" i="10"/>
  <c r="AE341" i="10"/>
  <c r="AB341" i="10"/>
  <c r="U341" i="10"/>
  <c r="Q341" i="10"/>
  <c r="P341" i="10"/>
  <c r="O341" i="10"/>
  <c r="N341" i="10"/>
  <c r="M341" i="10"/>
  <c r="I341" i="10"/>
  <c r="CQ340" i="10"/>
  <c r="CF340" i="10"/>
  <c r="CE340" i="10"/>
  <c r="CD340" i="10"/>
  <c r="CC340" i="10"/>
  <c r="CB340" i="10"/>
  <c r="AN340" i="10"/>
  <c r="AK340" i="10"/>
  <c r="AJ340" i="10"/>
  <c r="AI340" i="10"/>
  <c r="AH340" i="10"/>
  <c r="AG340" i="10"/>
  <c r="AE340" i="10"/>
  <c r="AB340" i="10"/>
  <c r="U340" i="10"/>
  <c r="Q340" i="10"/>
  <c r="P340" i="10"/>
  <c r="O340" i="10"/>
  <c r="N340" i="10"/>
  <c r="M340" i="10"/>
  <c r="I340" i="10"/>
  <c r="CQ339" i="10"/>
  <c r="CF339" i="10"/>
  <c r="CE339" i="10"/>
  <c r="CD339" i="10"/>
  <c r="CC339" i="10"/>
  <c r="CB339" i="10"/>
  <c r="AN339" i="10"/>
  <c r="AK339" i="10"/>
  <c r="AJ339" i="10"/>
  <c r="AI339" i="10"/>
  <c r="AH339" i="10"/>
  <c r="AG339" i="10"/>
  <c r="AE339" i="10"/>
  <c r="AB339" i="10"/>
  <c r="U339" i="10"/>
  <c r="Q339" i="10"/>
  <c r="P339" i="10"/>
  <c r="O339" i="10"/>
  <c r="N339" i="10"/>
  <c r="M339" i="10"/>
  <c r="I339" i="10"/>
  <c r="CQ338" i="10"/>
  <c r="CF338" i="10"/>
  <c r="CE338" i="10"/>
  <c r="CD338" i="10"/>
  <c r="CC338" i="10"/>
  <c r="CB338" i="10"/>
  <c r="AN338" i="10"/>
  <c r="AK338" i="10"/>
  <c r="AJ338" i="10"/>
  <c r="AI338" i="10"/>
  <c r="AH338" i="10"/>
  <c r="AG338" i="10"/>
  <c r="AE338" i="10"/>
  <c r="AB338" i="10"/>
  <c r="W338" i="10"/>
  <c r="U338" i="10"/>
  <c r="T338" i="10"/>
  <c r="S338" i="10"/>
  <c r="R338" i="10"/>
  <c r="Q338" i="10"/>
  <c r="P338" i="10"/>
  <c r="O338" i="10"/>
  <c r="N338" i="10"/>
  <c r="M338" i="10"/>
  <c r="K338" i="10"/>
  <c r="I338" i="10"/>
  <c r="CQ337" i="10"/>
  <c r="CF337" i="10"/>
  <c r="CE337" i="10"/>
  <c r="CD337" i="10"/>
  <c r="CC337" i="10"/>
  <c r="CB337" i="10"/>
  <c r="AN337" i="10"/>
  <c r="AK337" i="10"/>
  <c r="AJ337" i="10"/>
  <c r="AI337" i="10"/>
  <c r="AH337" i="10"/>
  <c r="AG337" i="10"/>
  <c r="AE337" i="10"/>
  <c r="AB337" i="10"/>
  <c r="W337" i="10"/>
  <c r="U337" i="10"/>
  <c r="T337" i="10"/>
  <c r="S337" i="10"/>
  <c r="R337" i="10"/>
  <c r="Q337" i="10"/>
  <c r="P337" i="10"/>
  <c r="O337" i="10"/>
  <c r="N337" i="10"/>
  <c r="M337" i="10"/>
  <c r="K337" i="10"/>
  <c r="I337" i="10"/>
  <c r="CQ336" i="10"/>
  <c r="CF336" i="10"/>
  <c r="CE336" i="10"/>
  <c r="CD336" i="10"/>
  <c r="CC336" i="10"/>
  <c r="CB336" i="10"/>
  <c r="AN336" i="10"/>
  <c r="AK336" i="10"/>
  <c r="AJ336" i="10"/>
  <c r="AI336" i="10"/>
  <c r="AH336" i="10"/>
  <c r="AG336" i="10"/>
  <c r="AE336" i="10"/>
  <c r="AB336" i="10"/>
  <c r="W336" i="10"/>
  <c r="U336" i="10"/>
  <c r="T336" i="10"/>
  <c r="S336" i="10"/>
  <c r="R336" i="10"/>
  <c r="Q336" i="10"/>
  <c r="P336" i="10"/>
  <c r="O336" i="10"/>
  <c r="N336" i="10"/>
  <c r="M336" i="10"/>
  <c r="K336" i="10"/>
  <c r="I336" i="10"/>
  <c r="CQ335" i="10"/>
  <c r="CF335" i="10"/>
  <c r="CE335" i="10"/>
  <c r="CD335" i="10"/>
  <c r="CC335" i="10"/>
  <c r="CB335" i="10"/>
  <c r="AN335" i="10"/>
  <c r="AK335" i="10"/>
  <c r="AJ335" i="10"/>
  <c r="AI335" i="10"/>
  <c r="AH335" i="10"/>
  <c r="AG335" i="10"/>
  <c r="AE335" i="10"/>
  <c r="AB335" i="10"/>
  <c r="W335" i="10"/>
  <c r="U335" i="10"/>
  <c r="T335" i="10"/>
  <c r="S335" i="10"/>
  <c r="R335" i="10"/>
  <c r="Q335" i="10"/>
  <c r="P335" i="10"/>
  <c r="O335" i="10"/>
  <c r="N335" i="10"/>
  <c r="M335" i="10"/>
  <c r="K335" i="10"/>
  <c r="I335" i="10"/>
  <c r="CQ334" i="10"/>
  <c r="CF334" i="10"/>
  <c r="CE334" i="10"/>
  <c r="CD334" i="10"/>
  <c r="CC334" i="10"/>
  <c r="CB334" i="10"/>
  <c r="AN334" i="10"/>
  <c r="AK334" i="10"/>
  <c r="AJ334" i="10"/>
  <c r="AI334" i="10"/>
  <c r="AH334" i="10"/>
  <c r="AG334" i="10"/>
  <c r="AE334" i="10"/>
  <c r="AB334" i="10"/>
  <c r="W334" i="10"/>
  <c r="U334" i="10"/>
  <c r="T334" i="10"/>
  <c r="S334" i="10"/>
  <c r="R334" i="10"/>
  <c r="Q334" i="10"/>
  <c r="P334" i="10"/>
  <c r="O334" i="10"/>
  <c r="N334" i="10"/>
  <c r="M334" i="10"/>
  <c r="K334" i="10"/>
  <c r="I334" i="10"/>
  <c r="CQ333" i="10"/>
  <c r="CF333" i="10"/>
  <c r="CE333" i="10"/>
  <c r="CD333" i="10"/>
  <c r="CC333" i="10"/>
  <c r="CB333" i="10"/>
  <c r="AN333" i="10"/>
  <c r="AK333" i="10"/>
  <c r="AJ333" i="10"/>
  <c r="AI333" i="10"/>
  <c r="AH333" i="10"/>
  <c r="AG333" i="10"/>
  <c r="AE333" i="10"/>
  <c r="AB333" i="10"/>
  <c r="W333" i="10"/>
  <c r="U333" i="10"/>
  <c r="T333" i="10"/>
  <c r="S333" i="10"/>
  <c r="R333" i="10"/>
  <c r="Q333" i="10"/>
  <c r="P333" i="10"/>
  <c r="O333" i="10"/>
  <c r="N333" i="10"/>
  <c r="M333" i="10"/>
  <c r="K333" i="10"/>
  <c r="I333" i="10"/>
  <c r="CQ332" i="10"/>
  <c r="CF332" i="10"/>
  <c r="CE332" i="10"/>
  <c r="CD332" i="10"/>
  <c r="CC332" i="10"/>
  <c r="CB332" i="10"/>
  <c r="AN332" i="10"/>
  <c r="AK332" i="10"/>
  <c r="AJ332" i="10"/>
  <c r="AI332" i="10"/>
  <c r="AH332" i="10"/>
  <c r="AG332" i="10"/>
  <c r="AE332" i="10"/>
  <c r="AB332" i="10"/>
  <c r="AA332" i="10"/>
  <c r="W332" i="10"/>
  <c r="U332" i="10"/>
  <c r="T332" i="10"/>
  <c r="S332" i="10"/>
  <c r="R332" i="10"/>
  <c r="Q332" i="10"/>
  <c r="P332" i="10"/>
  <c r="O332" i="10"/>
  <c r="N332" i="10"/>
  <c r="M332" i="10"/>
  <c r="K332" i="10"/>
  <c r="I332" i="10"/>
  <c r="CQ331" i="10"/>
  <c r="CF331" i="10"/>
  <c r="CE331" i="10"/>
  <c r="CD331" i="10"/>
  <c r="CC331" i="10"/>
  <c r="CB331" i="10"/>
  <c r="AN331" i="10"/>
  <c r="AK331" i="10"/>
  <c r="AJ331" i="10"/>
  <c r="AI331" i="10"/>
  <c r="AH331" i="10"/>
  <c r="AG331" i="10"/>
  <c r="AE331" i="10"/>
  <c r="AB331" i="10"/>
  <c r="AA331" i="10"/>
  <c r="W331" i="10"/>
  <c r="U331" i="10"/>
  <c r="T331" i="10"/>
  <c r="S331" i="10"/>
  <c r="R331" i="10"/>
  <c r="Q331" i="10"/>
  <c r="P331" i="10"/>
  <c r="O331" i="10"/>
  <c r="N331" i="10"/>
  <c r="M331" i="10"/>
  <c r="K331" i="10"/>
  <c r="I331" i="10"/>
  <c r="CQ330" i="10"/>
  <c r="CF330" i="10"/>
  <c r="CE330" i="10"/>
  <c r="CD330" i="10"/>
  <c r="CC330" i="10"/>
  <c r="CB330" i="10"/>
  <c r="AN330" i="10"/>
  <c r="AK330" i="10"/>
  <c r="AJ330" i="10"/>
  <c r="AI330" i="10"/>
  <c r="AH330" i="10"/>
  <c r="AG330" i="10"/>
  <c r="AE330" i="10"/>
  <c r="AB330" i="10"/>
  <c r="W330" i="10"/>
  <c r="U330" i="10"/>
  <c r="T330" i="10"/>
  <c r="S330" i="10"/>
  <c r="R330" i="10"/>
  <c r="Q330" i="10"/>
  <c r="P330" i="10"/>
  <c r="O330" i="10"/>
  <c r="N330" i="10"/>
  <c r="M330" i="10"/>
  <c r="K330" i="10"/>
  <c r="I330" i="10"/>
  <c r="CQ329" i="10"/>
  <c r="CF329" i="10"/>
  <c r="CE329" i="10"/>
  <c r="CD329" i="10"/>
  <c r="CC329" i="10"/>
  <c r="CB329" i="10"/>
  <c r="AN329" i="10"/>
  <c r="AK329" i="10"/>
  <c r="AJ329" i="10"/>
  <c r="AI329" i="10"/>
  <c r="AH329" i="10"/>
  <c r="AG329" i="10"/>
  <c r="AE329" i="10"/>
  <c r="AB329" i="10"/>
  <c r="AA329" i="10"/>
  <c r="W329" i="10"/>
  <c r="U329" i="10"/>
  <c r="T329" i="10"/>
  <c r="S329" i="10"/>
  <c r="R329" i="10"/>
  <c r="Q329" i="10"/>
  <c r="P329" i="10"/>
  <c r="O329" i="10"/>
  <c r="N329" i="10"/>
  <c r="M329" i="10"/>
  <c r="K329" i="10"/>
  <c r="I329" i="10"/>
  <c r="CQ328" i="10"/>
  <c r="CF328" i="10"/>
  <c r="CE328" i="10"/>
  <c r="CD328" i="10"/>
  <c r="CC328" i="10"/>
  <c r="CB328" i="10"/>
  <c r="AN328" i="10"/>
  <c r="AK328" i="10"/>
  <c r="AJ328" i="10"/>
  <c r="AI328" i="10"/>
  <c r="AH328" i="10"/>
  <c r="AG328" i="10"/>
  <c r="AE328" i="10"/>
  <c r="AB328" i="10"/>
  <c r="AA328" i="10"/>
  <c r="W328" i="10"/>
  <c r="U328" i="10"/>
  <c r="T328" i="10"/>
  <c r="S328" i="10"/>
  <c r="R328" i="10"/>
  <c r="Q328" i="10"/>
  <c r="P328" i="10"/>
  <c r="O328" i="10"/>
  <c r="N328" i="10"/>
  <c r="M328" i="10"/>
  <c r="K328" i="10"/>
  <c r="I328" i="10"/>
  <c r="CQ327" i="10"/>
  <c r="CF327" i="10"/>
  <c r="CE327" i="10"/>
  <c r="CD327" i="10"/>
  <c r="CC327" i="10"/>
  <c r="CB327" i="10"/>
  <c r="AN327" i="10"/>
  <c r="AK327" i="10"/>
  <c r="AJ327" i="10"/>
  <c r="AI327" i="10"/>
  <c r="AH327" i="10"/>
  <c r="AG327" i="10"/>
  <c r="AE327" i="10"/>
  <c r="AB327" i="10"/>
  <c r="AA327" i="10"/>
  <c r="W327" i="10"/>
  <c r="U327" i="10"/>
  <c r="T327" i="10"/>
  <c r="S327" i="10"/>
  <c r="R327" i="10"/>
  <c r="Q327" i="10"/>
  <c r="P327" i="10"/>
  <c r="O327" i="10"/>
  <c r="N327" i="10"/>
  <c r="M327" i="10"/>
  <c r="K327" i="10"/>
  <c r="I327" i="10"/>
  <c r="CQ326" i="10"/>
  <c r="CF326" i="10"/>
  <c r="CE326" i="10"/>
  <c r="CD326" i="10"/>
  <c r="CC326" i="10"/>
  <c r="CB326" i="10"/>
  <c r="AN326" i="10"/>
  <c r="AK326" i="10"/>
  <c r="AJ326" i="10"/>
  <c r="AI326" i="10"/>
  <c r="AH326" i="10"/>
  <c r="AG326" i="10"/>
  <c r="AE326" i="10"/>
  <c r="AB326" i="10"/>
  <c r="AA326" i="10"/>
  <c r="W326" i="10"/>
  <c r="U326" i="10"/>
  <c r="T326" i="10"/>
  <c r="S326" i="10"/>
  <c r="R326" i="10"/>
  <c r="Q326" i="10"/>
  <c r="P326" i="10"/>
  <c r="O326" i="10"/>
  <c r="N326" i="10"/>
  <c r="M326" i="10"/>
  <c r="K326" i="10"/>
  <c r="I326" i="10"/>
  <c r="CQ325" i="10"/>
  <c r="CF325" i="10"/>
  <c r="CE325" i="10"/>
  <c r="CD325" i="10"/>
  <c r="CC325" i="10"/>
  <c r="CB325" i="10"/>
  <c r="AN325" i="10"/>
  <c r="AK325" i="10"/>
  <c r="AJ325" i="10"/>
  <c r="AI325" i="10"/>
  <c r="AH325" i="10"/>
  <c r="AG325" i="10"/>
  <c r="AE325" i="10"/>
  <c r="AB325" i="10"/>
  <c r="Z325" i="10"/>
  <c r="W325" i="10"/>
  <c r="U325" i="10"/>
  <c r="T325" i="10"/>
  <c r="S325" i="10"/>
  <c r="R325" i="10"/>
  <c r="Q325" i="10"/>
  <c r="P325" i="10"/>
  <c r="O325" i="10"/>
  <c r="N325" i="10"/>
  <c r="M325" i="10"/>
  <c r="K325" i="10"/>
  <c r="I325" i="10"/>
  <c r="CQ324" i="10"/>
  <c r="CF324" i="10"/>
  <c r="CE324" i="10"/>
  <c r="CD324" i="10"/>
  <c r="CC324" i="10"/>
  <c r="CB324" i="10"/>
  <c r="AN324" i="10"/>
  <c r="AK324" i="10"/>
  <c r="AJ324" i="10"/>
  <c r="AI324" i="10"/>
  <c r="AH324" i="10"/>
  <c r="AG324" i="10"/>
  <c r="AE324" i="10"/>
  <c r="AB324" i="10"/>
  <c r="Z324" i="10"/>
  <c r="W324" i="10"/>
  <c r="U324" i="10"/>
  <c r="T324" i="10"/>
  <c r="S324" i="10"/>
  <c r="R324" i="10"/>
  <c r="Q324" i="10"/>
  <c r="P324" i="10"/>
  <c r="O324" i="10"/>
  <c r="N324" i="10"/>
  <c r="M324" i="10"/>
  <c r="K324" i="10"/>
  <c r="I324" i="10"/>
  <c r="CQ323" i="10"/>
  <c r="CF323" i="10"/>
  <c r="CE323" i="10"/>
  <c r="CD323" i="10"/>
  <c r="CC323" i="10"/>
  <c r="CB323" i="10"/>
  <c r="AN323" i="10"/>
  <c r="AK323" i="10"/>
  <c r="AJ323" i="10"/>
  <c r="AI323" i="10"/>
  <c r="AH323" i="10"/>
  <c r="AG323" i="10"/>
  <c r="AE323" i="10"/>
  <c r="AB323" i="10"/>
  <c r="Z323" i="10"/>
  <c r="W323" i="10"/>
  <c r="U323" i="10"/>
  <c r="T323" i="10"/>
  <c r="S323" i="10"/>
  <c r="R323" i="10"/>
  <c r="Q323" i="10"/>
  <c r="P323" i="10"/>
  <c r="O323" i="10"/>
  <c r="N323" i="10"/>
  <c r="M323" i="10"/>
  <c r="K323" i="10"/>
  <c r="I323" i="10"/>
  <c r="CQ322" i="10"/>
  <c r="CF322" i="10"/>
  <c r="CE322" i="10"/>
  <c r="CD322" i="10"/>
  <c r="CC322" i="10"/>
  <c r="CB322" i="10"/>
  <c r="AN322" i="10"/>
  <c r="AK322" i="10"/>
  <c r="AJ322" i="10"/>
  <c r="AI322" i="10"/>
  <c r="AH322" i="10"/>
  <c r="AG322" i="10"/>
  <c r="AE322" i="10"/>
  <c r="AB322" i="10"/>
  <c r="Z322" i="10"/>
  <c r="W322" i="10"/>
  <c r="U322" i="10"/>
  <c r="T322" i="10"/>
  <c r="S322" i="10"/>
  <c r="R322" i="10"/>
  <c r="Q322" i="10"/>
  <c r="P322" i="10"/>
  <c r="O322" i="10"/>
  <c r="N322" i="10"/>
  <c r="M322" i="10"/>
  <c r="K322" i="10"/>
  <c r="I322" i="10"/>
  <c r="CQ321" i="10"/>
  <c r="CF321" i="10"/>
  <c r="CE321" i="10"/>
  <c r="CD321" i="10"/>
  <c r="CC321" i="10"/>
  <c r="CB321" i="10"/>
  <c r="AN321" i="10"/>
  <c r="AK321" i="10"/>
  <c r="AJ321" i="10"/>
  <c r="AI321" i="10"/>
  <c r="AH321" i="10"/>
  <c r="AG321" i="10"/>
  <c r="AE321" i="10"/>
  <c r="AB321" i="10"/>
  <c r="Z321" i="10"/>
  <c r="W321" i="10"/>
  <c r="U321" i="10"/>
  <c r="T321" i="10"/>
  <c r="S321" i="10"/>
  <c r="R321" i="10"/>
  <c r="Q321" i="10"/>
  <c r="P321" i="10"/>
  <c r="O321" i="10"/>
  <c r="N321" i="10"/>
  <c r="M321" i="10"/>
  <c r="K321" i="10"/>
  <c r="I321" i="10"/>
  <c r="CQ320" i="10"/>
  <c r="CF320" i="10"/>
  <c r="CE320" i="10"/>
  <c r="CD320" i="10"/>
  <c r="CC320" i="10"/>
  <c r="CB320" i="10"/>
  <c r="AN320" i="10"/>
  <c r="AK320" i="10"/>
  <c r="AJ320" i="10"/>
  <c r="AI320" i="10"/>
  <c r="AH320" i="10"/>
  <c r="AG320" i="10"/>
  <c r="AE320" i="10"/>
  <c r="AB320" i="10"/>
  <c r="Z320" i="10"/>
  <c r="W320" i="10"/>
  <c r="U320" i="10"/>
  <c r="T320" i="10"/>
  <c r="S320" i="10"/>
  <c r="R320" i="10"/>
  <c r="Q320" i="10"/>
  <c r="P320" i="10"/>
  <c r="O320" i="10"/>
  <c r="N320" i="10"/>
  <c r="M320" i="10"/>
  <c r="K320" i="10"/>
  <c r="I320" i="10"/>
  <c r="CQ319" i="10"/>
  <c r="CF319" i="10"/>
  <c r="CE319" i="10"/>
  <c r="CD319" i="10"/>
  <c r="CC319" i="10"/>
  <c r="CB319" i="10"/>
  <c r="AN319" i="10"/>
  <c r="AK319" i="10"/>
  <c r="AJ319" i="10"/>
  <c r="AI319" i="10"/>
  <c r="AH319" i="10"/>
  <c r="AG319" i="10"/>
  <c r="AE319" i="10"/>
  <c r="AB319" i="10"/>
  <c r="Z319" i="10"/>
  <c r="W319" i="10"/>
  <c r="U319" i="10"/>
  <c r="T319" i="10"/>
  <c r="S319" i="10"/>
  <c r="R319" i="10"/>
  <c r="Q319" i="10"/>
  <c r="P319" i="10"/>
  <c r="O319" i="10"/>
  <c r="N319" i="10"/>
  <c r="M319" i="10"/>
  <c r="K319" i="10"/>
  <c r="I319" i="10"/>
  <c r="CQ318" i="10"/>
  <c r="CF318" i="10"/>
  <c r="CE318" i="10"/>
  <c r="CD318" i="10"/>
  <c r="CC318" i="10"/>
  <c r="CB318" i="10"/>
  <c r="AN318" i="10"/>
  <c r="AK318" i="10"/>
  <c r="AJ318" i="10"/>
  <c r="AI318" i="10"/>
  <c r="AH318" i="10"/>
  <c r="AG318" i="10"/>
  <c r="AE318" i="10"/>
  <c r="AB318" i="10"/>
  <c r="Z318" i="10"/>
  <c r="W318" i="10"/>
  <c r="U318" i="10"/>
  <c r="T318" i="10"/>
  <c r="S318" i="10"/>
  <c r="R318" i="10"/>
  <c r="Q318" i="10"/>
  <c r="P318" i="10"/>
  <c r="O318" i="10"/>
  <c r="N318" i="10"/>
  <c r="M318" i="10"/>
  <c r="K318" i="10"/>
  <c r="I318" i="10"/>
  <c r="CR317" i="10"/>
  <c r="CQ317" i="10"/>
  <c r="CF317" i="10"/>
  <c r="CE317" i="10"/>
  <c r="CD317" i="10"/>
  <c r="CC317" i="10"/>
  <c r="CB317" i="10"/>
  <c r="AN317" i="10"/>
  <c r="AK317" i="10"/>
  <c r="AJ317" i="10"/>
  <c r="AI317" i="10"/>
  <c r="AH317" i="10"/>
  <c r="AG317" i="10"/>
  <c r="AE317" i="10"/>
  <c r="AB317" i="10"/>
  <c r="Z317" i="10"/>
  <c r="W317" i="10"/>
  <c r="U317" i="10"/>
  <c r="T317" i="10"/>
  <c r="S317" i="10"/>
  <c r="R317" i="10"/>
  <c r="Q317" i="10"/>
  <c r="P317" i="10"/>
  <c r="O317" i="10"/>
  <c r="N317" i="10"/>
  <c r="M317" i="10"/>
  <c r="K317" i="10"/>
  <c r="I317" i="10"/>
  <c r="CQ316" i="10"/>
  <c r="CF316" i="10"/>
  <c r="CE316" i="10"/>
  <c r="CD316" i="10"/>
  <c r="CC316" i="10"/>
  <c r="CB316" i="10"/>
  <c r="AN316" i="10"/>
  <c r="AK316" i="10"/>
  <c r="AJ316" i="10"/>
  <c r="AI316" i="10"/>
  <c r="AH316" i="10"/>
  <c r="AG316" i="10"/>
  <c r="AE316" i="10"/>
  <c r="AB316" i="10"/>
  <c r="Z316" i="10"/>
  <c r="W316" i="10"/>
  <c r="U316" i="10"/>
  <c r="T316" i="10"/>
  <c r="S316" i="10"/>
  <c r="R316" i="10"/>
  <c r="Q316" i="10"/>
  <c r="P316" i="10"/>
  <c r="O316" i="10"/>
  <c r="N316" i="10"/>
  <c r="M316" i="10"/>
  <c r="K316" i="10"/>
  <c r="I316" i="10"/>
  <c r="CQ315" i="10"/>
  <c r="CF315" i="10"/>
  <c r="CE315" i="10"/>
  <c r="CD315" i="10"/>
  <c r="CC315" i="10"/>
  <c r="CB315" i="10"/>
  <c r="AN315" i="10"/>
  <c r="AK315" i="10"/>
  <c r="AJ315" i="10"/>
  <c r="AI315" i="10"/>
  <c r="AH315" i="10"/>
  <c r="AG315" i="10"/>
  <c r="AE315" i="10"/>
  <c r="AB315" i="10"/>
  <c r="AA315" i="10"/>
  <c r="W315" i="10"/>
  <c r="U315" i="10"/>
  <c r="T315" i="10"/>
  <c r="S315" i="10"/>
  <c r="R315" i="10"/>
  <c r="Q315" i="10"/>
  <c r="P315" i="10"/>
  <c r="O315" i="10"/>
  <c r="N315" i="10"/>
  <c r="M315" i="10"/>
  <c r="K315" i="10"/>
  <c r="I315" i="10"/>
  <c r="CQ314" i="10"/>
  <c r="CF314" i="10"/>
  <c r="CE314" i="10"/>
  <c r="CD314" i="10"/>
  <c r="CC314" i="10"/>
  <c r="CB314" i="10"/>
  <c r="AN314" i="10"/>
  <c r="AK314" i="10"/>
  <c r="AJ314" i="10"/>
  <c r="AI314" i="10"/>
  <c r="AH314" i="10"/>
  <c r="AG314" i="10"/>
  <c r="AE314" i="10"/>
  <c r="AB314" i="10"/>
  <c r="AA314" i="10"/>
  <c r="Z314" i="10"/>
  <c r="W314" i="10"/>
  <c r="U314" i="10"/>
  <c r="T314" i="10"/>
  <c r="S314" i="10"/>
  <c r="R314" i="10"/>
  <c r="Q314" i="10"/>
  <c r="P314" i="10"/>
  <c r="O314" i="10"/>
  <c r="N314" i="10"/>
  <c r="M314" i="10"/>
  <c r="K314" i="10"/>
  <c r="I314" i="10"/>
  <c r="CQ313" i="10"/>
  <c r="CF313" i="10"/>
  <c r="CE313" i="10"/>
  <c r="CD313" i="10"/>
  <c r="CC313" i="10"/>
  <c r="CB313" i="10"/>
  <c r="AN313" i="10"/>
  <c r="AK313" i="10"/>
  <c r="AJ313" i="10"/>
  <c r="AI313" i="10"/>
  <c r="AH313" i="10"/>
  <c r="AG313" i="10"/>
  <c r="AE313" i="10"/>
  <c r="AB313" i="10"/>
  <c r="AA313" i="10"/>
  <c r="Z313" i="10"/>
  <c r="W313" i="10"/>
  <c r="U313" i="10"/>
  <c r="T313" i="10"/>
  <c r="S313" i="10"/>
  <c r="R313" i="10"/>
  <c r="Q313" i="10"/>
  <c r="P313" i="10"/>
  <c r="O313" i="10"/>
  <c r="N313" i="10"/>
  <c r="M313" i="10"/>
  <c r="K313" i="10"/>
  <c r="I313" i="10"/>
  <c r="CQ312" i="10"/>
  <c r="CF312" i="10"/>
  <c r="CE312" i="10"/>
  <c r="CD312" i="10"/>
  <c r="CC312" i="10"/>
  <c r="CB312" i="10"/>
  <c r="AN312" i="10"/>
  <c r="AK312" i="10"/>
  <c r="AJ312" i="10"/>
  <c r="AI312" i="10"/>
  <c r="AH312" i="10"/>
  <c r="AG312" i="10"/>
  <c r="AE312" i="10"/>
  <c r="AB312" i="10"/>
  <c r="AA312" i="10"/>
  <c r="Z312" i="10"/>
  <c r="W312" i="10"/>
  <c r="U312" i="10"/>
  <c r="T312" i="10"/>
  <c r="S312" i="10"/>
  <c r="R312" i="10"/>
  <c r="Q312" i="10"/>
  <c r="P312" i="10"/>
  <c r="O312" i="10"/>
  <c r="N312" i="10"/>
  <c r="M312" i="10"/>
  <c r="K312" i="10"/>
  <c r="I312" i="10"/>
  <c r="CQ311" i="10"/>
  <c r="CF311" i="10"/>
  <c r="CE311" i="10"/>
  <c r="CD311" i="10"/>
  <c r="CC311" i="10"/>
  <c r="CB311" i="10"/>
  <c r="AN311" i="10"/>
  <c r="AK311" i="10"/>
  <c r="AJ311" i="10"/>
  <c r="AI311" i="10"/>
  <c r="AH311" i="10"/>
  <c r="AG311" i="10"/>
  <c r="AE311" i="10"/>
  <c r="AB311" i="10"/>
  <c r="AA311" i="10"/>
  <c r="Z311" i="10"/>
  <c r="W311" i="10"/>
  <c r="U311" i="10"/>
  <c r="T311" i="10"/>
  <c r="S311" i="10"/>
  <c r="R311" i="10"/>
  <c r="Q311" i="10"/>
  <c r="P311" i="10"/>
  <c r="O311" i="10"/>
  <c r="N311" i="10"/>
  <c r="M311" i="10"/>
  <c r="K311" i="10"/>
  <c r="I311" i="10"/>
  <c r="CQ310" i="10"/>
  <c r="CM310" i="10"/>
  <c r="CL310" i="10"/>
  <c r="CK310" i="10"/>
  <c r="CJ310" i="10"/>
  <c r="CH310" i="10"/>
  <c r="CF310" i="10"/>
  <c r="CE310" i="10"/>
  <c r="CD310" i="10"/>
  <c r="CC310" i="10"/>
  <c r="CB310" i="10"/>
  <c r="AN310" i="10"/>
  <c r="AK310" i="10"/>
  <c r="AJ310" i="10"/>
  <c r="AI310" i="10"/>
  <c r="AH310" i="10"/>
  <c r="AG310" i="10"/>
  <c r="AE310" i="10"/>
  <c r="AB310" i="10"/>
  <c r="AA310" i="10"/>
  <c r="Z310" i="10"/>
  <c r="W310" i="10"/>
  <c r="U310" i="10"/>
  <c r="T310" i="10"/>
  <c r="S310" i="10"/>
  <c r="R310" i="10"/>
  <c r="Q310" i="10"/>
  <c r="P310" i="10"/>
  <c r="O310" i="10"/>
  <c r="N310" i="10"/>
  <c r="M310" i="10"/>
  <c r="K310" i="10"/>
  <c r="I310" i="10"/>
  <c r="CQ309" i="10"/>
  <c r="CM309" i="10"/>
  <c r="CL309" i="10"/>
  <c r="CK309" i="10"/>
  <c r="CJ309" i="10"/>
  <c r="CH309" i="10"/>
  <c r="CF309" i="10"/>
  <c r="CE309" i="10"/>
  <c r="CD309" i="10"/>
  <c r="CC309" i="10"/>
  <c r="CB309" i="10"/>
  <c r="AN309" i="10"/>
  <c r="AK309" i="10"/>
  <c r="AJ309" i="10"/>
  <c r="AI309" i="10"/>
  <c r="AH309" i="10"/>
  <c r="AG309" i="10"/>
  <c r="AE309" i="10"/>
  <c r="AB309" i="10"/>
  <c r="Z309" i="10"/>
  <c r="W309" i="10"/>
  <c r="U309" i="10"/>
  <c r="T309" i="10"/>
  <c r="S309" i="10"/>
  <c r="R309" i="10"/>
  <c r="Q309" i="10"/>
  <c r="P309" i="10"/>
  <c r="O309" i="10"/>
  <c r="N309" i="10"/>
  <c r="M309" i="10"/>
  <c r="K309" i="10"/>
  <c r="I309" i="10"/>
  <c r="CQ308" i="10"/>
  <c r="CM308" i="10"/>
  <c r="CL308" i="10"/>
  <c r="CK308" i="10"/>
  <c r="CJ308" i="10"/>
  <c r="CH308" i="10"/>
  <c r="CF308" i="10"/>
  <c r="CE308" i="10"/>
  <c r="CD308" i="10"/>
  <c r="CC308" i="10"/>
  <c r="CB308" i="10"/>
  <c r="AN308" i="10"/>
  <c r="AK308" i="10"/>
  <c r="AJ308" i="10"/>
  <c r="AI308" i="10"/>
  <c r="AH308" i="10"/>
  <c r="AG308" i="10"/>
  <c r="AE308" i="10"/>
  <c r="AB308" i="10"/>
  <c r="Z308" i="10"/>
  <c r="W308" i="10"/>
  <c r="U308" i="10"/>
  <c r="T308" i="10"/>
  <c r="S308" i="10"/>
  <c r="R308" i="10"/>
  <c r="Q308" i="10"/>
  <c r="P308" i="10"/>
  <c r="O308" i="10"/>
  <c r="N308" i="10"/>
  <c r="M308" i="10"/>
  <c r="K308" i="10"/>
  <c r="I308" i="10"/>
  <c r="CQ307" i="10"/>
  <c r="CM307" i="10"/>
  <c r="CL307" i="10"/>
  <c r="CK307" i="10"/>
  <c r="CJ307" i="10"/>
  <c r="CH307" i="10"/>
  <c r="CF307" i="10"/>
  <c r="CE307" i="10"/>
  <c r="CD307" i="10"/>
  <c r="CC307" i="10"/>
  <c r="CB307" i="10"/>
  <c r="AN307" i="10"/>
  <c r="AK307" i="10"/>
  <c r="AJ307" i="10"/>
  <c r="AI307" i="10"/>
  <c r="AH307" i="10"/>
  <c r="AG307" i="10"/>
  <c r="AE307" i="10"/>
  <c r="AB307" i="10"/>
  <c r="Z307" i="10"/>
  <c r="W307" i="10"/>
  <c r="U307" i="10"/>
  <c r="T307" i="10"/>
  <c r="S307" i="10"/>
  <c r="R307" i="10"/>
  <c r="Q307" i="10"/>
  <c r="P307" i="10"/>
  <c r="O307" i="10"/>
  <c r="N307" i="10"/>
  <c r="M307" i="10"/>
  <c r="K307" i="10"/>
  <c r="I307" i="10"/>
  <c r="CQ306" i="10"/>
  <c r="CM306" i="10"/>
  <c r="CL306" i="10"/>
  <c r="CK306" i="10"/>
  <c r="CJ306" i="10"/>
  <c r="CH306" i="10"/>
  <c r="CF306" i="10"/>
  <c r="CE306" i="10"/>
  <c r="CD306" i="10"/>
  <c r="CC306" i="10"/>
  <c r="CB306" i="10"/>
  <c r="AN306" i="10"/>
  <c r="AK306" i="10"/>
  <c r="AJ306" i="10"/>
  <c r="AI306" i="10"/>
  <c r="AH306" i="10"/>
  <c r="AG306" i="10"/>
  <c r="AE306" i="10"/>
  <c r="AB306" i="10"/>
  <c r="Z306" i="10"/>
  <c r="W306" i="10"/>
  <c r="U306" i="10"/>
  <c r="T306" i="10"/>
  <c r="S306" i="10"/>
  <c r="R306" i="10"/>
  <c r="Q306" i="10"/>
  <c r="P306" i="10"/>
  <c r="O306" i="10"/>
  <c r="N306" i="10"/>
  <c r="M306" i="10"/>
  <c r="K306" i="10"/>
  <c r="I306" i="10"/>
  <c r="CQ305" i="10"/>
  <c r="CM305" i="10"/>
  <c r="CL305" i="10"/>
  <c r="CK305" i="10"/>
  <c r="CJ305" i="10"/>
  <c r="CH305" i="10"/>
  <c r="CF305" i="10"/>
  <c r="CE305" i="10"/>
  <c r="CD305" i="10"/>
  <c r="CC305" i="10"/>
  <c r="CB305" i="10"/>
  <c r="AN305" i="10"/>
  <c r="AK305" i="10"/>
  <c r="AJ305" i="10"/>
  <c r="AI305" i="10"/>
  <c r="AH305" i="10"/>
  <c r="AG305" i="10"/>
  <c r="AE305" i="10"/>
  <c r="AB305" i="10"/>
  <c r="Z305" i="10"/>
  <c r="W305" i="10"/>
  <c r="U305" i="10"/>
  <c r="T305" i="10"/>
  <c r="S305" i="10"/>
  <c r="R305" i="10"/>
  <c r="Q305" i="10"/>
  <c r="P305" i="10"/>
  <c r="O305" i="10"/>
  <c r="N305" i="10"/>
  <c r="M305" i="10"/>
  <c r="K305" i="10"/>
  <c r="I305" i="10"/>
  <c r="CQ304" i="10"/>
  <c r="CM304" i="10"/>
  <c r="CL304" i="10"/>
  <c r="CK304" i="10"/>
  <c r="CJ304" i="10"/>
  <c r="CH304" i="10"/>
  <c r="CF304" i="10"/>
  <c r="CE304" i="10"/>
  <c r="CD304" i="10"/>
  <c r="CC304" i="10"/>
  <c r="CB304" i="10"/>
  <c r="AN304" i="10"/>
  <c r="AK304" i="10"/>
  <c r="AJ304" i="10"/>
  <c r="AI304" i="10"/>
  <c r="AH304" i="10"/>
  <c r="AG304" i="10"/>
  <c r="AE304" i="10"/>
  <c r="AB304" i="10"/>
  <c r="Z304" i="10"/>
  <c r="W304" i="10"/>
  <c r="U304" i="10"/>
  <c r="T304" i="10"/>
  <c r="S304" i="10"/>
  <c r="R304" i="10"/>
  <c r="Q304" i="10"/>
  <c r="P304" i="10"/>
  <c r="O304" i="10"/>
  <c r="N304" i="10"/>
  <c r="M304" i="10"/>
  <c r="K304" i="10"/>
  <c r="I304" i="10"/>
  <c r="CQ303" i="10"/>
  <c r="CM303" i="10"/>
  <c r="CL303" i="10"/>
  <c r="CK303" i="10"/>
  <c r="CJ303" i="10"/>
  <c r="CH303" i="10"/>
  <c r="CF303" i="10"/>
  <c r="CE303" i="10"/>
  <c r="CD303" i="10"/>
  <c r="CC303" i="10"/>
  <c r="CB303" i="10"/>
  <c r="AN303" i="10"/>
  <c r="AK303" i="10"/>
  <c r="AJ303" i="10"/>
  <c r="AI303" i="10"/>
  <c r="AH303" i="10"/>
  <c r="AG303" i="10"/>
  <c r="AE303" i="10"/>
  <c r="AB303" i="10"/>
  <c r="Z303" i="10"/>
  <c r="W303" i="10"/>
  <c r="U303" i="10"/>
  <c r="T303" i="10"/>
  <c r="S303" i="10"/>
  <c r="R303" i="10"/>
  <c r="Q303" i="10"/>
  <c r="P303" i="10"/>
  <c r="O303" i="10"/>
  <c r="N303" i="10"/>
  <c r="M303" i="10"/>
  <c r="K303" i="10"/>
  <c r="I303" i="10"/>
  <c r="CQ302" i="10"/>
  <c r="CM302" i="10"/>
  <c r="CL302" i="10"/>
  <c r="CK302" i="10"/>
  <c r="CJ302" i="10"/>
  <c r="CH302" i="10"/>
  <c r="CF302" i="10"/>
  <c r="CE302" i="10"/>
  <c r="CD302" i="10"/>
  <c r="CC302" i="10"/>
  <c r="CB302" i="10"/>
  <c r="AN302" i="10"/>
  <c r="AK302" i="10"/>
  <c r="AJ302" i="10"/>
  <c r="AI302" i="10"/>
  <c r="AH302" i="10"/>
  <c r="AG302" i="10"/>
  <c r="AE302" i="10"/>
  <c r="AB302" i="10"/>
  <c r="Z302" i="10"/>
  <c r="W302" i="10"/>
  <c r="U302" i="10"/>
  <c r="T302" i="10"/>
  <c r="S302" i="10"/>
  <c r="R302" i="10"/>
  <c r="Q302" i="10"/>
  <c r="P302" i="10"/>
  <c r="O302" i="10"/>
  <c r="N302" i="10"/>
  <c r="M302" i="10"/>
  <c r="K302" i="10"/>
  <c r="I302" i="10"/>
  <c r="CQ301" i="10"/>
  <c r="CM301" i="10"/>
  <c r="CL301" i="10"/>
  <c r="CK301" i="10"/>
  <c r="CJ301" i="10"/>
  <c r="CH301" i="10"/>
  <c r="CF301" i="10"/>
  <c r="CE301" i="10"/>
  <c r="CD301" i="10"/>
  <c r="CC301" i="10"/>
  <c r="CB301" i="10"/>
  <c r="AN301" i="10"/>
  <c r="AK301" i="10"/>
  <c r="AJ301" i="10"/>
  <c r="AI301" i="10"/>
  <c r="AH301" i="10"/>
  <c r="AG301" i="10"/>
  <c r="AE301" i="10"/>
  <c r="AB301" i="10"/>
  <c r="Z301" i="10"/>
  <c r="W301" i="10"/>
  <c r="U301" i="10"/>
  <c r="T301" i="10"/>
  <c r="S301" i="10"/>
  <c r="R301" i="10"/>
  <c r="Q301" i="10"/>
  <c r="P301" i="10"/>
  <c r="O301" i="10"/>
  <c r="N301" i="10"/>
  <c r="M301" i="10"/>
  <c r="K301" i="10"/>
  <c r="I301" i="10"/>
  <c r="CQ300" i="10"/>
  <c r="CM300" i="10"/>
  <c r="CL300" i="10"/>
  <c r="CK300" i="10"/>
  <c r="CJ300" i="10"/>
  <c r="CH300" i="10"/>
  <c r="CF300" i="10"/>
  <c r="CE300" i="10"/>
  <c r="CD300" i="10"/>
  <c r="CC300" i="10"/>
  <c r="CB300" i="10"/>
  <c r="AN300" i="10"/>
  <c r="AK300" i="10"/>
  <c r="AJ300" i="10"/>
  <c r="AI300" i="10"/>
  <c r="AH300" i="10"/>
  <c r="AG300" i="10"/>
  <c r="AE300" i="10"/>
  <c r="AB300" i="10"/>
  <c r="Z300" i="10"/>
  <c r="W300" i="10"/>
  <c r="U300" i="10"/>
  <c r="T300" i="10"/>
  <c r="S300" i="10"/>
  <c r="R300" i="10"/>
  <c r="Q300" i="10"/>
  <c r="P300" i="10"/>
  <c r="O300" i="10"/>
  <c r="N300" i="10"/>
  <c r="M300" i="10"/>
  <c r="K300" i="10"/>
  <c r="I300" i="10"/>
  <c r="CQ299" i="10"/>
  <c r="CM299" i="10"/>
  <c r="CL299" i="10"/>
  <c r="CK299" i="10"/>
  <c r="CJ299" i="10"/>
  <c r="CH299" i="10"/>
  <c r="CF299" i="10"/>
  <c r="CE299" i="10"/>
  <c r="CD299" i="10"/>
  <c r="CC299" i="10"/>
  <c r="CB299" i="10"/>
  <c r="AN299" i="10"/>
  <c r="AK299" i="10"/>
  <c r="AJ299" i="10"/>
  <c r="AI299" i="10"/>
  <c r="AH299" i="10"/>
  <c r="AG299" i="10"/>
  <c r="AE299" i="10"/>
  <c r="AB299" i="10"/>
  <c r="Z299" i="10"/>
  <c r="W299" i="10"/>
  <c r="U299" i="10"/>
  <c r="T299" i="10"/>
  <c r="S299" i="10"/>
  <c r="R299" i="10"/>
  <c r="Q299" i="10"/>
  <c r="P299" i="10"/>
  <c r="O299" i="10"/>
  <c r="N299" i="10"/>
  <c r="M299" i="10"/>
  <c r="K299" i="10"/>
  <c r="I299" i="10"/>
  <c r="CQ298" i="10"/>
  <c r="CM298" i="10"/>
  <c r="CL298" i="10"/>
  <c r="CK298" i="10"/>
  <c r="CJ298" i="10"/>
  <c r="CH298" i="10"/>
  <c r="CF298" i="10"/>
  <c r="CE298" i="10"/>
  <c r="CD298" i="10"/>
  <c r="CC298" i="10"/>
  <c r="CB298" i="10"/>
  <c r="AN298" i="10"/>
  <c r="AK298" i="10"/>
  <c r="AJ298" i="10"/>
  <c r="AI298" i="10"/>
  <c r="AH298" i="10"/>
  <c r="AG298" i="10"/>
  <c r="AE298" i="10"/>
  <c r="AB298" i="10"/>
  <c r="Z298" i="10"/>
  <c r="W298" i="10"/>
  <c r="U298" i="10"/>
  <c r="T298" i="10"/>
  <c r="S298" i="10"/>
  <c r="R298" i="10"/>
  <c r="Q298" i="10"/>
  <c r="P298" i="10"/>
  <c r="O298" i="10"/>
  <c r="N298" i="10"/>
  <c r="M298" i="10"/>
  <c r="K298" i="10"/>
  <c r="I298" i="10"/>
  <c r="CQ297" i="10"/>
  <c r="CM297" i="10"/>
  <c r="CL297" i="10"/>
  <c r="CK297" i="10"/>
  <c r="CJ297" i="10"/>
  <c r="CH297" i="10"/>
  <c r="CF297" i="10"/>
  <c r="CE297" i="10"/>
  <c r="CD297" i="10"/>
  <c r="CC297" i="10"/>
  <c r="CB297" i="10"/>
  <c r="AN297" i="10"/>
  <c r="AK297" i="10"/>
  <c r="AJ297" i="10"/>
  <c r="AI297" i="10"/>
  <c r="AH297" i="10"/>
  <c r="AG297" i="10"/>
  <c r="AE297" i="10"/>
  <c r="AB297" i="10"/>
  <c r="Z297" i="10"/>
  <c r="W297" i="10"/>
  <c r="U297" i="10"/>
  <c r="T297" i="10"/>
  <c r="S297" i="10"/>
  <c r="R297" i="10"/>
  <c r="Q297" i="10"/>
  <c r="P297" i="10"/>
  <c r="O297" i="10"/>
  <c r="N297" i="10"/>
  <c r="M297" i="10"/>
  <c r="K297" i="10"/>
  <c r="I297" i="10"/>
  <c r="CQ296" i="10"/>
  <c r="CM296" i="10"/>
  <c r="CL296" i="10"/>
  <c r="CK296" i="10"/>
  <c r="CJ296" i="10"/>
  <c r="CH296" i="10"/>
  <c r="CF296" i="10"/>
  <c r="CE296" i="10"/>
  <c r="CD296" i="10"/>
  <c r="CC296" i="10"/>
  <c r="CB296" i="10"/>
  <c r="AN296" i="10"/>
  <c r="AK296" i="10"/>
  <c r="AJ296" i="10"/>
  <c r="AI296" i="10"/>
  <c r="AH296" i="10"/>
  <c r="AG296" i="10"/>
  <c r="AE296" i="10"/>
  <c r="AB296" i="10"/>
  <c r="Z296" i="10"/>
  <c r="W296" i="10"/>
  <c r="U296" i="10"/>
  <c r="T296" i="10"/>
  <c r="S296" i="10"/>
  <c r="R296" i="10"/>
  <c r="Q296" i="10"/>
  <c r="P296" i="10"/>
  <c r="O296" i="10"/>
  <c r="N296" i="10"/>
  <c r="M296" i="10"/>
  <c r="K296" i="10"/>
  <c r="I296" i="10"/>
  <c r="CQ295" i="10"/>
  <c r="CM295" i="10"/>
  <c r="CL295" i="10"/>
  <c r="CK295" i="10"/>
  <c r="CJ295" i="10"/>
  <c r="CH295" i="10"/>
  <c r="CF295" i="10"/>
  <c r="CE295" i="10"/>
  <c r="CD295" i="10"/>
  <c r="CC295" i="10"/>
  <c r="CB295" i="10"/>
  <c r="AN295" i="10"/>
  <c r="AK295" i="10"/>
  <c r="AJ295" i="10"/>
  <c r="AI295" i="10"/>
  <c r="AH295" i="10"/>
  <c r="AG295" i="10"/>
  <c r="AE295" i="10"/>
  <c r="AB295" i="10"/>
  <c r="Z295" i="10"/>
  <c r="W295" i="10"/>
  <c r="U295" i="10"/>
  <c r="T295" i="10"/>
  <c r="S295" i="10"/>
  <c r="R295" i="10"/>
  <c r="Q295" i="10"/>
  <c r="P295" i="10"/>
  <c r="O295" i="10"/>
  <c r="N295" i="10"/>
  <c r="M295" i="10"/>
  <c r="K295" i="10"/>
  <c r="I295" i="10"/>
  <c r="CQ294" i="10"/>
  <c r="CM294" i="10"/>
  <c r="CL294" i="10"/>
  <c r="CK294" i="10"/>
  <c r="CJ294" i="10"/>
  <c r="CH294" i="10"/>
  <c r="CF294" i="10"/>
  <c r="CE294" i="10"/>
  <c r="CD294" i="10"/>
  <c r="CC294" i="10"/>
  <c r="CB294" i="10"/>
  <c r="AN294" i="10"/>
  <c r="AK294" i="10"/>
  <c r="AJ294" i="10"/>
  <c r="AI294" i="10"/>
  <c r="AH294" i="10"/>
  <c r="AG294" i="10"/>
  <c r="AE294" i="10"/>
  <c r="AB294" i="10"/>
  <c r="Z294" i="10"/>
  <c r="W294" i="10"/>
  <c r="U294" i="10"/>
  <c r="T294" i="10"/>
  <c r="S294" i="10"/>
  <c r="R294" i="10"/>
  <c r="Q294" i="10"/>
  <c r="P294" i="10"/>
  <c r="O294" i="10"/>
  <c r="N294" i="10"/>
  <c r="M294" i="10"/>
  <c r="K294" i="10"/>
  <c r="I294" i="10"/>
  <c r="CQ293" i="10"/>
  <c r="CM293" i="10"/>
  <c r="CL293" i="10"/>
  <c r="CK293" i="10"/>
  <c r="CJ293" i="10"/>
  <c r="CH293" i="10"/>
  <c r="CF293" i="10"/>
  <c r="CE293" i="10"/>
  <c r="CD293" i="10"/>
  <c r="CC293" i="10"/>
  <c r="CB293" i="10"/>
  <c r="AN293" i="10"/>
  <c r="AK293" i="10"/>
  <c r="AJ293" i="10"/>
  <c r="AI293" i="10"/>
  <c r="AH293" i="10"/>
  <c r="AG293" i="10"/>
  <c r="AE293" i="10"/>
  <c r="AB293" i="10"/>
  <c r="Z293" i="10"/>
  <c r="W293" i="10"/>
  <c r="U293" i="10"/>
  <c r="T293" i="10"/>
  <c r="S293" i="10"/>
  <c r="R293" i="10"/>
  <c r="Q293" i="10"/>
  <c r="P293" i="10"/>
  <c r="O293" i="10"/>
  <c r="N293" i="10"/>
  <c r="M293" i="10"/>
  <c r="K293" i="10"/>
  <c r="I293" i="10"/>
  <c r="CQ292" i="10"/>
  <c r="CM292" i="10"/>
  <c r="CL292" i="10"/>
  <c r="CK292" i="10"/>
  <c r="CJ292" i="10"/>
  <c r="CH292" i="10"/>
  <c r="CF292" i="10"/>
  <c r="CE292" i="10"/>
  <c r="CD292" i="10"/>
  <c r="CC292" i="10"/>
  <c r="CB292" i="10"/>
  <c r="AN292" i="10"/>
  <c r="AK292" i="10"/>
  <c r="AJ292" i="10"/>
  <c r="AI292" i="10"/>
  <c r="AH292" i="10"/>
  <c r="AG292" i="10"/>
  <c r="AE292" i="10"/>
  <c r="AB292" i="10"/>
  <c r="Z292" i="10"/>
  <c r="W292" i="10"/>
  <c r="U292" i="10"/>
  <c r="T292" i="10"/>
  <c r="S292" i="10"/>
  <c r="R292" i="10"/>
  <c r="Q292" i="10"/>
  <c r="P292" i="10"/>
  <c r="O292" i="10"/>
  <c r="N292" i="10"/>
  <c r="M292" i="10"/>
  <c r="K292" i="10"/>
  <c r="I292" i="10"/>
  <c r="CQ291" i="10"/>
  <c r="CM291" i="10"/>
  <c r="CL291" i="10"/>
  <c r="CK291" i="10"/>
  <c r="CJ291" i="10"/>
  <c r="CH291" i="10"/>
  <c r="CF291" i="10"/>
  <c r="CE291" i="10"/>
  <c r="CD291" i="10"/>
  <c r="CC291" i="10"/>
  <c r="CB291" i="10"/>
  <c r="AN291" i="10"/>
  <c r="AK291" i="10"/>
  <c r="AJ291" i="10"/>
  <c r="AI291" i="10"/>
  <c r="AH291" i="10"/>
  <c r="AG291" i="10"/>
  <c r="AE291" i="10"/>
  <c r="AB291" i="10"/>
  <c r="Z291" i="10"/>
  <c r="W291" i="10"/>
  <c r="U291" i="10"/>
  <c r="T291" i="10"/>
  <c r="S291" i="10"/>
  <c r="R291" i="10"/>
  <c r="Q291" i="10"/>
  <c r="P291" i="10"/>
  <c r="O291" i="10"/>
  <c r="N291" i="10"/>
  <c r="M291" i="10"/>
  <c r="K291" i="10"/>
  <c r="I291" i="10"/>
  <c r="CQ290" i="10"/>
  <c r="CH290" i="10"/>
  <c r="CF290" i="10"/>
  <c r="CE290" i="10"/>
  <c r="CD290" i="10"/>
  <c r="CC290" i="10"/>
  <c r="CB290" i="10"/>
  <c r="AN290" i="10"/>
  <c r="AK290" i="10"/>
  <c r="AJ290" i="10"/>
  <c r="AI290" i="10"/>
  <c r="AH290" i="10"/>
  <c r="AG290" i="10"/>
  <c r="AE290" i="10"/>
  <c r="AB290" i="10"/>
  <c r="W290" i="10"/>
  <c r="U290" i="10"/>
  <c r="T290" i="10"/>
  <c r="S290" i="10"/>
  <c r="R290" i="10"/>
  <c r="Q290" i="10"/>
  <c r="P290" i="10"/>
  <c r="O290" i="10"/>
  <c r="N290" i="10"/>
  <c r="M290" i="10"/>
  <c r="K290" i="10"/>
  <c r="I290" i="10"/>
  <c r="CQ289" i="10"/>
  <c r="CH289" i="10"/>
  <c r="CF289" i="10"/>
  <c r="CE289" i="10"/>
  <c r="CD289" i="10"/>
  <c r="CC289" i="10"/>
  <c r="CB289" i="10"/>
  <c r="AN289" i="10"/>
  <c r="AK289" i="10"/>
  <c r="AJ289" i="10"/>
  <c r="AI289" i="10"/>
  <c r="AH289" i="10"/>
  <c r="AG289" i="10"/>
  <c r="AE289" i="10"/>
  <c r="AB289" i="10"/>
  <c r="Z289" i="10"/>
  <c r="W289" i="10"/>
  <c r="U289" i="10"/>
  <c r="T289" i="10"/>
  <c r="S289" i="10"/>
  <c r="R289" i="10"/>
  <c r="Q289" i="10"/>
  <c r="P289" i="10"/>
  <c r="O289" i="10"/>
  <c r="N289" i="10"/>
  <c r="M289" i="10"/>
  <c r="K289" i="10"/>
  <c r="I289" i="10"/>
  <c r="CQ288" i="10"/>
  <c r="CM288" i="10"/>
  <c r="CL288" i="10"/>
  <c r="CK288" i="10"/>
  <c r="CJ288" i="10"/>
  <c r="CH288" i="10"/>
  <c r="CF288" i="10"/>
  <c r="CE288" i="10"/>
  <c r="CD288" i="10"/>
  <c r="CC288" i="10"/>
  <c r="CB288" i="10"/>
  <c r="AN288" i="10"/>
  <c r="AK288" i="10"/>
  <c r="AJ288" i="10"/>
  <c r="AI288" i="10"/>
  <c r="AH288" i="10"/>
  <c r="AG288" i="10"/>
  <c r="AE288" i="10"/>
  <c r="AB288" i="10"/>
  <c r="Z288" i="10"/>
  <c r="W288" i="10"/>
  <c r="U288" i="10"/>
  <c r="T288" i="10"/>
  <c r="S288" i="10"/>
  <c r="R288" i="10"/>
  <c r="Q288" i="10"/>
  <c r="P288" i="10"/>
  <c r="O288" i="10"/>
  <c r="N288" i="10"/>
  <c r="M288" i="10"/>
  <c r="K288" i="10"/>
  <c r="I288" i="10"/>
  <c r="CQ287" i="10"/>
  <c r="CM287" i="10"/>
  <c r="CL287" i="10"/>
  <c r="CK287" i="10"/>
  <c r="CJ287" i="10"/>
  <c r="CH287" i="10"/>
  <c r="CF287" i="10"/>
  <c r="CE287" i="10"/>
  <c r="CD287" i="10"/>
  <c r="CC287" i="10"/>
  <c r="CB287" i="10"/>
  <c r="AN287" i="10"/>
  <c r="AK287" i="10"/>
  <c r="AJ287" i="10"/>
  <c r="AI287" i="10"/>
  <c r="AH287" i="10"/>
  <c r="AG287" i="10"/>
  <c r="AE287" i="10"/>
  <c r="AB287" i="10"/>
  <c r="Z287" i="10"/>
  <c r="W287" i="10"/>
  <c r="U287" i="10"/>
  <c r="T287" i="10"/>
  <c r="S287" i="10"/>
  <c r="R287" i="10"/>
  <c r="Q287" i="10"/>
  <c r="P287" i="10"/>
  <c r="O287" i="10"/>
  <c r="N287" i="10"/>
  <c r="M287" i="10"/>
  <c r="K287" i="10"/>
  <c r="I287" i="10"/>
  <c r="CQ286" i="10"/>
  <c r="CM286" i="10"/>
  <c r="CL286" i="10"/>
  <c r="CK286" i="10"/>
  <c r="CJ286" i="10"/>
  <c r="CH286" i="10"/>
  <c r="CF286" i="10"/>
  <c r="CE286" i="10"/>
  <c r="CD286" i="10"/>
  <c r="CC286" i="10"/>
  <c r="CB286" i="10"/>
  <c r="AN286" i="10"/>
  <c r="AK286" i="10"/>
  <c r="AJ286" i="10"/>
  <c r="AI286" i="10"/>
  <c r="AH286" i="10"/>
  <c r="AG286" i="10"/>
  <c r="AE286" i="10"/>
  <c r="AB286" i="10"/>
  <c r="Z286" i="10"/>
  <c r="W286" i="10"/>
  <c r="U286" i="10"/>
  <c r="T286" i="10"/>
  <c r="S286" i="10"/>
  <c r="R286" i="10"/>
  <c r="Q286" i="10"/>
  <c r="P286" i="10"/>
  <c r="O286" i="10"/>
  <c r="N286" i="10"/>
  <c r="M286" i="10"/>
  <c r="K286" i="10"/>
  <c r="I286" i="10"/>
  <c r="CQ285" i="10"/>
  <c r="CM285" i="10"/>
  <c r="CL285" i="10"/>
  <c r="CK285" i="10"/>
  <c r="CJ285" i="10"/>
  <c r="CH285" i="10"/>
  <c r="CF285" i="10"/>
  <c r="CE285" i="10"/>
  <c r="CD285" i="10"/>
  <c r="CC285" i="10"/>
  <c r="CB285" i="10"/>
  <c r="AN285" i="10"/>
  <c r="AK285" i="10"/>
  <c r="AJ285" i="10"/>
  <c r="AI285" i="10"/>
  <c r="AH285" i="10"/>
  <c r="AG285" i="10"/>
  <c r="AE285" i="10"/>
  <c r="AB285" i="10"/>
  <c r="Z285" i="10"/>
  <c r="W285" i="10"/>
  <c r="U285" i="10"/>
  <c r="T285" i="10"/>
  <c r="S285" i="10"/>
  <c r="R285" i="10"/>
  <c r="Q285" i="10"/>
  <c r="P285" i="10"/>
  <c r="O285" i="10"/>
  <c r="N285" i="10"/>
  <c r="M285" i="10"/>
  <c r="K285" i="10"/>
  <c r="I285" i="10"/>
  <c r="CQ284" i="10"/>
  <c r="CM284" i="10"/>
  <c r="CL284" i="10"/>
  <c r="CK284" i="10"/>
  <c r="CJ284" i="10"/>
  <c r="CH284" i="10"/>
  <c r="CF284" i="10"/>
  <c r="CE284" i="10"/>
  <c r="CD284" i="10"/>
  <c r="CC284" i="10"/>
  <c r="CB284" i="10"/>
  <c r="AN284" i="10"/>
  <c r="AK284" i="10"/>
  <c r="AJ284" i="10"/>
  <c r="AI284" i="10"/>
  <c r="AH284" i="10"/>
  <c r="AG284" i="10"/>
  <c r="AE284" i="10"/>
  <c r="AB284" i="10"/>
  <c r="Z284" i="10"/>
  <c r="W284" i="10"/>
  <c r="U284" i="10"/>
  <c r="T284" i="10"/>
  <c r="S284" i="10"/>
  <c r="R284" i="10"/>
  <c r="Q284" i="10"/>
  <c r="P284" i="10"/>
  <c r="O284" i="10"/>
  <c r="N284" i="10"/>
  <c r="M284" i="10"/>
  <c r="K284" i="10"/>
  <c r="I284" i="10"/>
  <c r="CQ283" i="10"/>
  <c r="CF283" i="10"/>
  <c r="CE283" i="10"/>
  <c r="CD283" i="10"/>
  <c r="CC283" i="10"/>
  <c r="CB283" i="10"/>
  <c r="AN283" i="10"/>
  <c r="AK283" i="10"/>
  <c r="AJ283" i="10"/>
  <c r="AI283" i="10"/>
  <c r="AH283" i="10"/>
  <c r="AG283" i="10"/>
  <c r="AE283" i="10"/>
  <c r="AB283" i="10"/>
  <c r="AA283" i="10"/>
  <c r="Z283" i="10"/>
  <c r="W283" i="10"/>
  <c r="U283" i="10"/>
  <c r="T283" i="10"/>
  <c r="S283" i="10"/>
  <c r="R283" i="10"/>
  <c r="Q283" i="10"/>
  <c r="P283" i="10"/>
  <c r="O283" i="10"/>
  <c r="N283" i="10"/>
  <c r="M283" i="10"/>
  <c r="K283" i="10"/>
  <c r="I283" i="10"/>
  <c r="CQ282" i="10"/>
  <c r="CF282" i="10"/>
  <c r="CE282" i="10"/>
  <c r="CD282" i="10"/>
  <c r="CC282" i="10"/>
  <c r="CB282" i="10"/>
  <c r="AN282" i="10"/>
  <c r="AK282" i="10"/>
  <c r="AJ282" i="10"/>
  <c r="AI282" i="10"/>
  <c r="AH282" i="10"/>
  <c r="AG282" i="10"/>
  <c r="AE282" i="10"/>
  <c r="AB282" i="10"/>
  <c r="AA282" i="10"/>
  <c r="Z282" i="10"/>
  <c r="W282" i="10"/>
  <c r="U282" i="10"/>
  <c r="T282" i="10"/>
  <c r="S282" i="10"/>
  <c r="R282" i="10"/>
  <c r="Q282" i="10"/>
  <c r="P282" i="10"/>
  <c r="O282" i="10"/>
  <c r="N282" i="10"/>
  <c r="M282" i="10"/>
  <c r="K282" i="10"/>
  <c r="I282" i="10"/>
  <c r="CQ281" i="10"/>
  <c r="CF281" i="10"/>
  <c r="CE281" i="10"/>
  <c r="CD281" i="10"/>
  <c r="CC281" i="10"/>
  <c r="CB281" i="10"/>
  <c r="AN281" i="10"/>
  <c r="AK281" i="10"/>
  <c r="AJ281" i="10"/>
  <c r="AI281" i="10"/>
  <c r="AH281" i="10"/>
  <c r="AG281" i="10"/>
  <c r="AE281" i="10"/>
  <c r="AB281" i="10"/>
  <c r="AA281" i="10"/>
  <c r="Z281" i="10"/>
  <c r="W281" i="10"/>
  <c r="U281" i="10"/>
  <c r="T281" i="10"/>
  <c r="S281" i="10"/>
  <c r="R281" i="10"/>
  <c r="Q281" i="10"/>
  <c r="P281" i="10"/>
  <c r="O281" i="10"/>
  <c r="N281" i="10"/>
  <c r="M281" i="10"/>
  <c r="K281" i="10"/>
  <c r="I281" i="10"/>
  <c r="CQ280" i="10"/>
  <c r="CF280" i="10"/>
  <c r="CE280" i="10"/>
  <c r="CD280" i="10"/>
  <c r="CC280" i="10"/>
  <c r="CB280" i="10"/>
  <c r="AN280" i="10"/>
  <c r="AK280" i="10"/>
  <c r="AJ280" i="10"/>
  <c r="AI280" i="10"/>
  <c r="AH280" i="10"/>
  <c r="AG280" i="10"/>
  <c r="AE280" i="10"/>
  <c r="AB280" i="10"/>
  <c r="AA280" i="10"/>
  <c r="Z280" i="10"/>
  <c r="W280" i="10"/>
  <c r="U280" i="10"/>
  <c r="T280" i="10"/>
  <c r="S280" i="10"/>
  <c r="R280" i="10"/>
  <c r="Q280" i="10"/>
  <c r="P280" i="10"/>
  <c r="O280" i="10"/>
  <c r="N280" i="10"/>
  <c r="M280" i="10"/>
  <c r="K280" i="10"/>
  <c r="I280" i="10"/>
  <c r="CQ279" i="10"/>
  <c r="CF279" i="10"/>
  <c r="CE279" i="10"/>
  <c r="CD279" i="10"/>
  <c r="CC279" i="10"/>
  <c r="CB279" i="10"/>
  <c r="AN279" i="10"/>
  <c r="AK279" i="10"/>
  <c r="AJ279" i="10"/>
  <c r="AI279" i="10"/>
  <c r="AH279" i="10"/>
  <c r="AG279" i="10"/>
  <c r="AE279" i="10"/>
  <c r="AB279" i="10"/>
  <c r="AA279" i="10"/>
  <c r="Z279" i="10"/>
  <c r="W279" i="10"/>
  <c r="U279" i="10"/>
  <c r="T279" i="10"/>
  <c r="S279" i="10"/>
  <c r="R279" i="10"/>
  <c r="Q279" i="10"/>
  <c r="P279" i="10"/>
  <c r="O279" i="10"/>
  <c r="N279" i="10"/>
  <c r="M279" i="10"/>
  <c r="K279" i="10"/>
  <c r="I279" i="10"/>
  <c r="CQ278" i="10"/>
  <c r="CM278" i="10"/>
  <c r="CL278" i="10"/>
  <c r="CK278" i="10"/>
  <c r="CJ278" i="10"/>
  <c r="CH278" i="10"/>
  <c r="CF278" i="10"/>
  <c r="CE278" i="10"/>
  <c r="CD278" i="10"/>
  <c r="CC278" i="10"/>
  <c r="CB278" i="10"/>
  <c r="AN278" i="10"/>
  <c r="AK278" i="10"/>
  <c r="AJ278" i="10"/>
  <c r="AI278" i="10"/>
  <c r="AH278" i="10"/>
  <c r="AG278" i="10"/>
  <c r="AE278" i="10"/>
  <c r="AB278" i="10"/>
  <c r="AA278" i="10"/>
  <c r="Z278" i="10"/>
  <c r="W278" i="10"/>
  <c r="U278" i="10"/>
  <c r="T278" i="10"/>
  <c r="S278" i="10"/>
  <c r="R278" i="10"/>
  <c r="Q278" i="10"/>
  <c r="P278" i="10"/>
  <c r="O278" i="10"/>
  <c r="N278" i="10"/>
  <c r="M278" i="10"/>
  <c r="K278" i="10"/>
  <c r="I278" i="10"/>
  <c r="CQ277" i="10"/>
  <c r="CM277" i="10"/>
  <c r="CL277" i="10"/>
  <c r="CK277" i="10"/>
  <c r="CJ277" i="10"/>
  <c r="CH277" i="10"/>
  <c r="CF277" i="10"/>
  <c r="CE277" i="10"/>
  <c r="CD277" i="10"/>
  <c r="CC277" i="10"/>
  <c r="CB277" i="10"/>
  <c r="AN277" i="10"/>
  <c r="AK277" i="10"/>
  <c r="AJ277" i="10"/>
  <c r="AI277" i="10"/>
  <c r="AH277" i="10"/>
  <c r="AG277" i="10"/>
  <c r="AE277" i="10"/>
  <c r="AB277" i="10"/>
  <c r="AA277" i="10"/>
  <c r="Z277" i="10"/>
  <c r="W277" i="10"/>
  <c r="U277" i="10"/>
  <c r="T277" i="10"/>
  <c r="S277" i="10"/>
  <c r="R277" i="10"/>
  <c r="Q277" i="10"/>
  <c r="P277" i="10"/>
  <c r="O277" i="10"/>
  <c r="N277" i="10"/>
  <c r="M277" i="10"/>
  <c r="K277" i="10"/>
  <c r="I277" i="10"/>
  <c r="CQ276" i="10"/>
  <c r="CM276" i="10"/>
  <c r="CL276" i="10"/>
  <c r="CK276" i="10"/>
  <c r="CJ276" i="10"/>
  <c r="CH276" i="10"/>
  <c r="CF276" i="10"/>
  <c r="CE276" i="10"/>
  <c r="CD276" i="10"/>
  <c r="CC276" i="10"/>
  <c r="CB276" i="10"/>
  <c r="AN276" i="10"/>
  <c r="AK276" i="10"/>
  <c r="AJ276" i="10"/>
  <c r="AI276" i="10"/>
  <c r="AH276" i="10"/>
  <c r="AG276" i="10"/>
  <c r="AE276" i="10"/>
  <c r="AB276" i="10"/>
  <c r="AA276" i="10"/>
  <c r="Z276" i="10"/>
  <c r="W276" i="10"/>
  <c r="U276" i="10"/>
  <c r="T276" i="10"/>
  <c r="S276" i="10"/>
  <c r="R276" i="10"/>
  <c r="Q276" i="10"/>
  <c r="P276" i="10"/>
  <c r="O276" i="10"/>
  <c r="N276" i="10"/>
  <c r="M276" i="10"/>
  <c r="K276" i="10"/>
  <c r="I276" i="10"/>
  <c r="CQ275" i="10"/>
  <c r="CM275" i="10"/>
  <c r="CL275" i="10"/>
  <c r="CK275" i="10"/>
  <c r="CJ275" i="10"/>
  <c r="CH275" i="10"/>
  <c r="CF275" i="10"/>
  <c r="CE275" i="10"/>
  <c r="CD275" i="10"/>
  <c r="CC275" i="10"/>
  <c r="CB275" i="10"/>
  <c r="AN275" i="10"/>
  <c r="AK275" i="10"/>
  <c r="AJ275" i="10"/>
  <c r="AI275" i="10"/>
  <c r="AH275" i="10"/>
  <c r="AG275" i="10"/>
  <c r="AE275" i="10"/>
  <c r="AB275" i="10"/>
  <c r="AA275" i="10"/>
  <c r="Z275" i="10"/>
  <c r="W275" i="10"/>
  <c r="U275" i="10"/>
  <c r="T275" i="10"/>
  <c r="S275" i="10"/>
  <c r="R275" i="10"/>
  <c r="Q275" i="10"/>
  <c r="P275" i="10"/>
  <c r="O275" i="10"/>
  <c r="N275" i="10"/>
  <c r="M275" i="10"/>
  <c r="K275" i="10"/>
  <c r="I275" i="10"/>
  <c r="CQ274" i="10"/>
  <c r="CM274" i="10"/>
  <c r="CL274" i="10"/>
  <c r="CK274" i="10"/>
  <c r="CJ274" i="10"/>
  <c r="CH274" i="10"/>
  <c r="CF274" i="10"/>
  <c r="CE274" i="10"/>
  <c r="CD274" i="10"/>
  <c r="CC274" i="10"/>
  <c r="CB274" i="10"/>
  <c r="AN274" i="10"/>
  <c r="AK274" i="10"/>
  <c r="AJ274" i="10"/>
  <c r="AI274" i="10"/>
  <c r="AH274" i="10"/>
  <c r="AG274" i="10"/>
  <c r="AE274" i="10"/>
  <c r="AB274" i="10"/>
  <c r="AA274" i="10"/>
  <c r="Z274" i="10"/>
  <c r="W274" i="10"/>
  <c r="U274" i="10"/>
  <c r="T274" i="10"/>
  <c r="S274" i="10"/>
  <c r="R274" i="10"/>
  <c r="Q274" i="10"/>
  <c r="P274" i="10"/>
  <c r="O274" i="10"/>
  <c r="N274" i="10"/>
  <c r="M274" i="10"/>
  <c r="K274" i="10"/>
  <c r="I274" i="10"/>
  <c r="CQ273" i="10"/>
  <c r="CM273" i="10"/>
  <c r="CL273" i="10"/>
  <c r="CK273" i="10"/>
  <c r="CJ273" i="10"/>
  <c r="CH273" i="10"/>
  <c r="CF273" i="10"/>
  <c r="CE273" i="10"/>
  <c r="CD273" i="10"/>
  <c r="CC273" i="10"/>
  <c r="CB273" i="10"/>
  <c r="AN273" i="10"/>
  <c r="AK273" i="10"/>
  <c r="AJ273" i="10"/>
  <c r="AI273" i="10"/>
  <c r="AH273" i="10"/>
  <c r="AG273" i="10"/>
  <c r="AE273" i="10"/>
  <c r="AB273" i="10"/>
  <c r="AA273" i="10"/>
  <c r="Z273" i="10"/>
  <c r="W273" i="10"/>
  <c r="U273" i="10"/>
  <c r="T273" i="10"/>
  <c r="S273" i="10"/>
  <c r="R273" i="10"/>
  <c r="Q273" i="10"/>
  <c r="P273" i="10"/>
  <c r="O273" i="10"/>
  <c r="N273" i="10"/>
  <c r="M273" i="10"/>
  <c r="K273" i="10"/>
  <c r="I273" i="10"/>
  <c r="CQ272" i="10"/>
  <c r="CF272" i="10"/>
  <c r="CE272" i="10"/>
  <c r="CD272" i="10"/>
  <c r="CC272" i="10"/>
  <c r="CB272" i="10"/>
  <c r="AN272" i="10"/>
  <c r="AK272" i="10"/>
  <c r="AJ272" i="10"/>
  <c r="AI272" i="10"/>
  <c r="AH272" i="10"/>
  <c r="AG272" i="10"/>
  <c r="AE272" i="10"/>
  <c r="AB272" i="10"/>
  <c r="AA272" i="10"/>
  <c r="Z272" i="10"/>
  <c r="W272" i="10"/>
  <c r="U272" i="10"/>
  <c r="T272" i="10"/>
  <c r="S272" i="10"/>
  <c r="R272" i="10"/>
  <c r="Q272" i="10"/>
  <c r="P272" i="10"/>
  <c r="O272" i="10"/>
  <c r="N272" i="10"/>
  <c r="M272" i="10"/>
  <c r="K272" i="10"/>
  <c r="I272" i="10"/>
  <c r="CQ271" i="10"/>
  <c r="CF271" i="10"/>
  <c r="CE271" i="10"/>
  <c r="CD271" i="10"/>
  <c r="CC271" i="10"/>
  <c r="CB271" i="10"/>
  <c r="AN271" i="10"/>
  <c r="AK271" i="10"/>
  <c r="AJ271" i="10"/>
  <c r="AI271" i="10"/>
  <c r="AH271" i="10"/>
  <c r="AG271" i="10"/>
  <c r="AE271" i="10"/>
  <c r="AB271" i="10"/>
  <c r="AA271" i="10"/>
  <c r="Z271" i="10"/>
  <c r="W271" i="10"/>
  <c r="U271" i="10"/>
  <c r="T271" i="10"/>
  <c r="S271" i="10"/>
  <c r="R271" i="10"/>
  <c r="Q271" i="10"/>
  <c r="P271" i="10"/>
  <c r="O271" i="10"/>
  <c r="N271" i="10"/>
  <c r="M271" i="10"/>
  <c r="K271" i="10"/>
  <c r="I271" i="10"/>
  <c r="CQ270" i="10"/>
  <c r="CF270" i="10"/>
  <c r="CE270" i="10"/>
  <c r="CD270" i="10"/>
  <c r="CC270" i="10"/>
  <c r="CB270" i="10"/>
  <c r="AN270" i="10"/>
  <c r="AK270" i="10"/>
  <c r="AJ270" i="10"/>
  <c r="AI270" i="10"/>
  <c r="AH270" i="10"/>
  <c r="AG270" i="10"/>
  <c r="AE270" i="10"/>
  <c r="AB270" i="10"/>
  <c r="AA270" i="10"/>
  <c r="Z270" i="10"/>
  <c r="W270" i="10"/>
  <c r="U270" i="10"/>
  <c r="T270" i="10"/>
  <c r="S270" i="10"/>
  <c r="R270" i="10"/>
  <c r="Q270" i="10"/>
  <c r="P270" i="10"/>
  <c r="O270" i="10"/>
  <c r="N270" i="10"/>
  <c r="M270" i="10"/>
  <c r="K270" i="10"/>
  <c r="I270" i="10"/>
  <c r="CQ269" i="10"/>
  <c r="CF269" i="10"/>
  <c r="CE269" i="10"/>
  <c r="CD269" i="10"/>
  <c r="CC269" i="10"/>
  <c r="CB269" i="10"/>
  <c r="AN269" i="10"/>
  <c r="AK269" i="10"/>
  <c r="AJ269" i="10"/>
  <c r="AI269" i="10"/>
  <c r="AH269" i="10"/>
  <c r="AG269" i="10"/>
  <c r="AE269" i="10"/>
  <c r="AB269" i="10"/>
  <c r="AA269" i="10"/>
  <c r="Z269" i="10"/>
  <c r="W269" i="10"/>
  <c r="U269" i="10"/>
  <c r="T269" i="10"/>
  <c r="S269" i="10"/>
  <c r="R269" i="10"/>
  <c r="Q269" i="10"/>
  <c r="P269" i="10"/>
  <c r="O269" i="10"/>
  <c r="N269" i="10"/>
  <c r="M269" i="10"/>
  <c r="K269" i="10"/>
  <c r="I269" i="10"/>
  <c r="CQ268" i="10"/>
  <c r="CF268" i="10"/>
  <c r="CE268" i="10"/>
  <c r="CD268" i="10"/>
  <c r="CC268" i="10"/>
  <c r="CB268" i="10"/>
  <c r="AN268" i="10"/>
  <c r="AK268" i="10"/>
  <c r="AJ268" i="10"/>
  <c r="AI268" i="10"/>
  <c r="AH268" i="10"/>
  <c r="AG268" i="10"/>
  <c r="AE268" i="10"/>
  <c r="AB268" i="10"/>
  <c r="AA268" i="10"/>
  <c r="Z268" i="10"/>
  <c r="W268" i="10"/>
  <c r="U268" i="10"/>
  <c r="T268" i="10"/>
  <c r="S268" i="10"/>
  <c r="R268" i="10"/>
  <c r="Q268" i="10"/>
  <c r="P268" i="10"/>
  <c r="O268" i="10"/>
  <c r="N268" i="10"/>
  <c r="M268" i="10"/>
  <c r="K268" i="10"/>
  <c r="I268" i="10"/>
  <c r="CQ267" i="10"/>
  <c r="CF267" i="10"/>
  <c r="CE267" i="10"/>
  <c r="CD267" i="10"/>
  <c r="CC267" i="10"/>
  <c r="CB267" i="10"/>
  <c r="AN267" i="10"/>
  <c r="AK267" i="10"/>
  <c r="AJ267" i="10"/>
  <c r="AI267" i="10"/>
  <c r="AH267" i="10"/>
  <c r="AG267" i="10"/>
  <c r="AE267" i="10"/>
  <c r="AB267" i="10"/>
  <c r="AA267" i="10"/>
  <c r="Z267" i="10"/>
  <c r="W267" i="10"/>
  <c r="U267" i="10"/>
  <c r="T267" i="10"/>
  <c r="S267" i="10"/>
  <c r="R267" i="10"/>
  <c r="Q267" i="10"/>
  <c r="P267" i="10"/>
  <c r="O267" i="10"/>
  <c r="N267" i="10"/>
  <c r="M267" i="10"/>
  <c r="K267" i="10"/>
  <c r="I267" i="10"/>
  <c r="CQ266" i="10"/>
  <c r="CF266" i="10"/>
  <c r="CE266" i="10"/>
  <c r="CD266" i="10"/>
  <c r="CC266" i="10"/>
  <c r="CB266" i="10"/>
  <c r="AN266" i="10"/>
  <c r="AK266" i="10"/>
  <c r="AJ266" i="10"/>
  <c r="AI266" i="10"/>
  <c r="AH266" i="10"/>
  <c r="AG266" i="10"/>
  <c r="AE266" i="10"/>
  <c r="AB266" i="10"/>
  <c r="AA266" i="10"/>
  <c r="Z266" i="10"/>
  <c r="W266" i="10"/>
  <c r="U266" i="10"/>
  <c r="T266" i="10"/>
  <c r="S266" i="10"/>
  <c r="R266" i="10"/>
  <c r="Q266" i="10"/>
  <c r="P266" i="10"/>
  <c r="O266" i="10"/>
  <c r="N266" i="10"/>
  <c r="M266" i="10"/>
  <c r="K266" i="10"/>
  <c r="I266" i="10"/>
  <c r="CQ265" i="10"/>
  <c r="CF265" i="10"/>
  <c r="CE265" i="10"/>
  <c r="CD265" i="10"/>
  <c r="CC265" i="10"/>
  <c r="CB265" i="10"/>
  <c r="AN265" i="10"/>
  <c r="AK265" i="10"/>
  <c r="AJ265" i="10"/>
  <c r="AI265" i="10"/>
  <c r="AH265" i="10"/>
  <c r="AG265" i="10"/>
  <c r="AE265" i="10"/>
  <c r="AB265" i="10"/>
  <c r="AA265" i="10"/>
  <c r="Z265" i="10"/>
  <c r="W265" i="10"/>
  <c r="U265" i="10"/>
  <c r="T265" i="10"/>
  <c r="S265" i="10"/>
  <c r="R265" i="10"/>
  <c r="Q265" i="10"/>
  <c r="P265" i="10"/>
  <c r="O265" i="10"/>
  <c r="N265" i="10"/>
  <c r="M265" i="10"/>
  <c r="K265" i="10"/>
  <c r="I265" i="10"/>
  <c r="CQ264" i="10"/>
  <c r="CF264" i="10"/>
  <c r="CE264" i="10"/>
  <c r="CD264" i="10"/>
  <c r="CC264" i="10"/>
  <c r="CB264" i="10"/>
  <c r="AN264" i="10"/>
  <c r="AK264" i="10"/>
  <c r="AJ264" i="10"/>
  <c r="AI264" i="10"/>
  <c r="AH264" i="10"/>
  <c r="AG264" i="10"/>
  <c r="AE264" i="10"/>
  <c r="AB264" i="10"/>
  <c r="AA264" i="10"/>
  <c r="Z264" i="10"/>
  <c r="W264" i="10"/>
  <c r="U264" i="10"/>
  <c r="T264" i="10"/>
  <c r="S264" i="10"/>
  <c r="R264" i="10"/>
  <c r="Q264" i="10"/>
  <c r="P264" i="10"/>
  <c r="O264" i="10"/>
  <c r="N264" i="10"/>
  <c r="M264" i="10"/>
  <c r="K264" i="10"/>
  <c r="I264" i="10"/>
  <c r="CQ263" i="10"/>
  <c r="CF263" i="10"/>
  <c r="CE263" i="10"/>
  <c r="CD263" i="10"/>
  <c r="CC263" i="10"/>
  <c r="CB263" i="10"/>
  <c r="AN263" i="10"/>
  <c r="AK263" i="10"/>
  <c r="AJ263" i="10"/>
  <c r="AI263" i="10"/>
  <c r="AH263" i="10"/>
  <c r="AG263" i="10"/>
  <c r="AE263" i="10"/>
  <c r="AB263" i="10"/>
  <c r="AA263" i="10"/>
  <c r="Z263" i="10"/>
  <c r="W263" i="10"/>
  <c r="U263" i="10"/>
  <c r="T263" i="10"/>
  <c r="S263" i="10"/>
  <c r="R263" i="10"/>
  <c r="Q263" i="10"/>
  <c r="P263" i="10"/>
  <c r="O263" i="10"/>
  <c r="N263" i="10"/>
  <c r="M263" i="10"/>
  <c r="K263" i="10"/>
  <c r="I263" i="10"/>
  <c r="CQ262" i="10"/>
  <c r="CF262" i="10"/>
  <c r="CE262" i="10"/>
  <c r="CD262" i="10"/>
  <c r="CC262" i="10"/>
  <c r="CB262" i="10"/>
  <c r="AN262" i="10"/>
  <c r="AK262" i="10"/>
  <c r="AJ262" i="10"/>
  <c r="AI262" i="10"/>
  <c r="AH262" i="10"/>
  <c r="AG262" i="10"/>
  <c r="AE262" i="10"/>
  <c r="AB262" i="10"/>
  <c r="Z262" i="10"/>
  <c r="W262" i="10"/>
  <c r="U262" i="10"/>
  <c r="T262" i="10"/>
  <c r="S262" i="10"/>
  <c r="R262" i="10"/>
  <c r="Q262" i="10"/>
  <c r="P262" i="10"/>
  <c r="O262" i="10"/>
  <c r="N262" i="10"/>
  <c r="M262" i="10"/>
  <c r="K262" i="10"/>
  <c r="I262" i="10"/>
  <c r="CQ261" i="10"/>
  <c r="CF261" i="10"/>
  <c r="CE261" i="10"/>
  <c r="CD261" i="10"/>
  <c r="CC261" i="10"/>
  <c r="CB261" i="10"/>
  <c r="AN261" i="10"/>
  <c r="AK261" i="10"/>
  <c r="AJ261" i="10"/>
  <c r="AI261" i="10"/>
  <c r="AH261" i="10"/>
  <c r="AG261" i="10"/>
  <c r="AE261" i="10"/>
  <c r="AB261" i="10"/>
  <c r="Z261" i="10"/>
  <c r="W261" i="10"/>
  <c r="U261" i="10"/>
  <c r="T261" i="10"/>
  <c r="S261" i="10"/>
  <c r="R261" i="10"/>
  <c r="Q261" i="10"/>
  <c r="P261" i="10"/>
  <c r="O261" i="10"/>
  <c r="N261" i="10"/>
  <c r="M261" i="10"/>
  <c r="K261" i="10"/>
  <c r="I261" i="10"/>
  <c r="CQ260" i="10"/>
  <c r="CF260" i="10"/>
  <c r="CE260" i="10"/>
  <c r="CD260" i="10"/>
  <c r="CC260" i="10"/>
  <c r="CB260" i="10"/>
  <c r="AN260" i="10"/>
  <c r="AK260" i="10"/>
  <c r="AJ260" i="10"/>
  <c r="AI260" i="10"/>
  <c r="AH260" i="10"/>
  <c r="AG260" i="10"/>
  <c r="AE260" i="10"/>
  <c r="AB260" i="10"/>
  <c r="AA260" i="10"/>
  <c r="Z260" i="10"/>
  <c r="W260" i="10"/>
  <c r="U260" i="10"/>
  <c r="T260" i="10"/>
  <c r="S260" i="10"/>
  <c r="R260" i="10"/>
  <c r="Q260" i="10"/>
  <c r="P260" i="10"/>
  <c r="O260" i="10"/>
  <c r="N260" i="10"/>
  <c r="M260" i="10"/>
  <c r="K260" i="10"/>
  <c r="I260" i="10"/>
  <c r="CQ259" i="10"/>
  <c r="CF259" i="10"/>
  <c r="CE259" i="10"/>
  <c r="CD259" i="10"/>
  <c r="CC259" i="10"/>
  <c r="CB259" i="10"/>
  <c r="AN259" i="10"/>
  <c r="AK259" i="10"/>
  <c r="AJ259" i="10"/>
  <c r="AI259" i="10"/>
  <c r="AH259" i="10"/>
  <c r="AG259" i="10"/>
  <c r="AE259" i="10"/>
  <c r="AB259" i="10"/>
  <c r="AA259" i="10"/>
  <c r="Z259" i="10"/>
  <c r="W259" i="10"/>
  <c r="U259" i="10"/>
  <c r="T259" i="10"/>
  <c r="S259" i="10"/>
  <c r="R259" i="10"/>
  <c r="Q259" i="10"/>
  <c r="P259" i="10"/>
  <c r="O259" i="10"/>
  <c r="N259" i="10"/>
  <c r="M259" i="10"/>
  <c r="K259" i="10"/>
  <c r="I259" i="10"/>
  <c r="CQ258" i="10"/>
  <c r="CF258" i="10"/>
  <c r="CE258" i="10"/>
  <c r="CD258" i="10"/>
  <c r="CC258" i="10"/>
  <c r="CB258" i="10"/>
  <c r="AN258" i="10"/>
  <c r="AK258" i="10"/>
  <c r="AJ258" i="10"/>
  <c r="AI258" i="10"/>
  <c r="AH258" i="10"/>
  <c r="AG258" i="10"/>
  <c r="AE258" i="10"/>
  <c r="AB258" i="10"/>
  <c r="Z258" i="10"/>
  <c r="W258" i="10"/>
  <c r="U258" i="10"/>
  <c r="T258" i="10"/>
  <c r="S258" i="10"/>
  <c r="R258" i="10"/>
  <c r="Q258" i="10"/>
  <c r="P258" i="10"/>
  <c r="O258" i="10"/>
  <c r="N258" i="10"/>
  <c r="M258" i="10"/>
  <c r="K258" i="10"/>
  <c r="I258" i="10"/>
  <c r="CQ257" i="10"/>
  <c r="CF257" i="10"/>
  <c r="CE257" i="10"/>
  <c r="CD257" i="10"/>
  <c r="CC257" i="10"/>
  <c r="CB257" i="10"/>
  <c r="AN257" i="10"/>
  <c r="AK257" i="10"/>
  <c r="AJ257" i="10"/>
  <c r="AI257" i="10"/>
  <c r="AH257" i="10"/>
  <c r="AG257" i="10"/>
  <c r="AE257" i="10"/>
  <c r="AB257" i="10"/>
  <c r="AA257" i="10"/>
  <c r="Z257" i="10"/>
  <c r="W257" i="10"/>
  <c r="U257" i="10"/>
  <c r="T257" i="10"/>
  <c r="S257" i="10"/>
  <c r="R257" i="10"/>
  <c r="Q257" i="10"/>
  <c r="P257" i="10"/>
  <c r="O257" i="10"/>
  <c r="N257" i="10"/>
  <c r="M257" i="10"/>
  <c r="K257" i="10"/>
  <c r="I257" i="10"/>
  <c r="CQ256" i="10"/>
  <c r="CF256" i="10"/>
  <c r="CE256" i="10"/>
  <c r="CD256" i="10"/>
  <c r="CC256" i="10"/>
  <c r="CB256" i="10"/>
  <c r="AN256" i="10"/>
  <c r="AK256" i="10"/>
  <c r="AJ256" i="10"/>
  <c r="AI256" i="10"/>
  <c r="AH256" i="10"/>
  <c r="AG256" i="10"/>
  <c r="AE256" i="10"/>
  <c r="AB256" i="10"/>
  <c r="AA256" i="10"/>
  <c r="Z256" i="10"/>
  <c r="W256" i="10"/>
  <c r="U256" i="10"/>
  <c r="T256" i="10"/>
  <c r="S256" i="10"/>
  <c r="R256" i="10"/>
  <c r="Q256" i="10"/>
  <c r="P256" i="10"/>
  <c r="O256" i="10"/>
  <c r="N256" i="10"/>
  <c r="M256" i="10"/>
  <c r="K256" i="10"/>
  <c r="I256" i="10"/>
  <c r="CQ255" i="10"/>
  <c r="CF255" i="10"/>
  <c r="CE255" i="10"/>
  <c r="CD255" i="10"/>
  <c r="CC255" i="10"/>
  <c r="CB255" i="10"/>
  <c r="AN255" i="10"/>
  <c r="AK255" i="10"/>
  <c r="AJ255" i="10"/>
  <c r="AI255" i="10"/>
  <c r="AH255" i="10"/>
  <c r="AG255" i="10"/>
  <c r="AE255" i="10"/>
  <c r="AB255" i="10"/>
  <c r="AA255" i="10"/>
  <c r="Z255" i="10"/>
  <c r="W255" i="10"/>
  <c r="U255" i="10"/>
  <c r="T255" i="10"/>
  <c r="S255" i="10"/>
  <c r="R255" i="10"/>
  <c r="Q255" i="10"/>
  <c r="P255" i="10"/>
  <c r="O255" i="10"/>
  <c r="N255" i="10"/>
  <c r="M255" i="10"/>
  <c r="K255" i="10"/>
  <c r="I255" i="10"/>
  <c r="CQ254" i="10"/>
  <c r="CF254" i="10"/>
  <c r="CE254" i="10"/>
  <c r="CD254" i="10"/>
  <c r="CC254" i="10"/>
  <c r="CB254" i="10"/>
  <c r="AN254" i="10"/>
  <c r="AK254" i="10"/>
  <c r="AJ254" i="10"/>
  <c r="AI254" i="10"/>
  <c r="AH254" i="10"/>
  <c r="AG254" i="10"/>
  <c r="AE254" i="10"/>
  <c r="AB254" i="10"/>
  <c r="AA254" i="10"/>
  <c r="Z254" i="10"/>
  <c r="W254" i="10"/>
  <c r="U254" i="10"/>
  <c r="T254" i="10"/>
  <c r="S254" i="10"/>
  <c r="R254" i="10"/>
  <c r="Q254" i="10"/>
  <c r="P254" i="10"/>
  <c r="O254" i="10"/>
  <c r="N254" i="10"/>
  <c r="M254" i="10"/>
  <c r="K254" i="10"/>
  <c r="I254" i="10"/>
  <c r="CQ253" i="10"/>
  <c r="CF253" i="10"/>
  <c r="CE253" i="10"/>
  <c r="CD253" i="10"/>
  <c r="CC253" i="10"/>
  <c r="CB253" i="10"/>
  <c r="AN253" i="10"/>
  <c r="AK253" i="10"/>
  <c r="AJ253" i="10"/>
  <c r="AI253" i="10"/>
  <c r="AH253" i="10"/>
  <c r="AG253" i="10"/>
  <c r="AE253" i="10"/>
  <c r="AB253" i="10"/>
  <c r="AA253" i="10"/>
  <c r="Z253" i="10"/>
  <c r="W253" i="10"/>
  <c r="U253" i="10"/>
  <c r="T253" i="10"/>
  <c r="S253" i="10"/>
  <c r="R253" i="10"/>
  <c r="Q253" i="10"/>
  <c r="P253" i="10"/>
  <c r="O253" i="10"/>
  <c r="N253" i="10"/>
  <c r="M253" i="10"/>
  <c r="K253" i="10"/>
  <c r="I253" i="10"/>
  <c r="CQ252" i="10"/>
  <c r="CF252" i="10"/>
  <c r="CE252" i="10"/>
  <c r="CD252" i="10"/>
  <c r="CC252" i="10"/>
  <c r="CB252" i="10"/>
  <c r="AN252" i="10"/>
  <c r="AK252" i="10"/>
  <c r="AJ252" i="10"/>
  <c r="AI252" i="10"/>
  <c r="AH252" i="10"/>
  <c r="AG252" i="10"/>
  <c r="AE252" i="10"/>
  <c r="AB252" i="10"/>
  <c r="AA252" i="10"/>
  <c r="Z252" i="10"/>
  <c r="W252" i="10"/>
  <c r="U252" i="10"/>
  <c r="T252" i="10"/>
  <c r="S252" i="10"/>
  <c r="R252" i="10"/>
  <c r="Q252" i="10"/>
  <c r="P252" i="10"/>
  <c r="O252" i="10"/>
  <c r="N252" i="10"/>
  <c r="M252" i="10"/>
  <c r="K252" i="10"/>
  <c r="I252" i="10"/>
  <c r="CQ251" i="10"/>
  <c r="CF251" i="10"/>
  <c r="CE251" i="10"/>
  <c r="CD251" i="10"/>
  <c r="CC251" i="10"/>
  <c r="CB251" i="10"/>
  <c r="AN251" i="10"/>
  <c r="AK251" i="10"/>
  <c r="AJ251" i="10"/>
  <c r="AI251" i="10"/>
  <c r="AH251" i="10"/>
  <c r="AG251" i="10"/>
  <c r="AE251" i="10"/>
  <c r="AB251" i="10"/>
  <c r="AA251" i="10"/>
  <c r="Z251" i="10"/>
  <c r="W251" i="10"/>
  <c r="U251" i="10"/>
  <c r="T251" i="10"/>
  <c r="S251" i="10"/>
  <c r="R251" i="10"/>
  <c r="Q251" i="10"/>
  <c r="P251" i="10"/>
  <c r="O251" i="10"/>
  <c r="N251" i="10"/>
  <c r="M251" i="10"/>
  <c r="K251" i="10"/>
  <c r="I251" i="10"/>
  <c r="CQ250" i="10"/>
  <c r="CF250" i="10"/>
  <c r="CE250" i="10"/>
  <c r="CD250" i="10"/>
  <c r="CC250" i="10"/>
  <c r="CB250" i="10"/>
  <c r="AN250" i="10"/>
  <c r="AK250" i="10"/>
  <c r="AJ250" i="10"/>
  <c r="AI250" i="10"/>
  <c r="AH250" i="10"/>
  <c r="AG250" i="10"/>
  <c r="AE250" i="10"/>
  <c r="AB250" i="10"/>
  <c r="AA250" i="10"/>
  <c r="Z250" i="10"/>
  <c r="W250" i="10"/>
  <c r="U250" i="10"/>
  <c r="T250" i="10"/>
  <c r="S250" i="10"/>
  <c r="R250" i="10"/>
  <c r="Q250" i="10"/>
  <c r="P250" i="10"/>
  <c r="O250" i="10"/>
  <c r="N250" i="10"/>
  <c r="M250" i="10"/>
  <c r="K250" i="10"/>
  <c r="I250" i="10"/>
  <c r="CQ249" i="10"/>
  <c r="CF249" i="10"/>
  <c r="CE249" i="10"/>
  <c r="CD249" i="10"/>
  <c r="CC249" i="10"/>
  <c r="CB249" i="10"/>
  <c r="AN249" i="10"/>
  <c r="AK249" i="10"/>
  <c r="AJ249" i="10"/>
  <c r="AI249" i="10"/>
  <c r="AH249" i="10"/>
  <c r="AG249" i="10"/>
  <c r="AE249" i="10"/>
  <c r="AB249" i="10"/>
  <c r="AA249" i="10"/>
  <c r="Z249" i="10"/>
  <c r="W249" i="10"/>
  <c r="U249" i="10"/>
  <c r="T249" i="10"/>
  <c r="S249" i="10"/>
  <c r="R249" i="10"/>
  <c r="Q249" i="10"/>
  <c r="P249" i="10"/>
  <c r="O249" i="10"/>
  <c r="N249" i="10"/>
  <c r="M249" i="10"/>
  <c r="K249" i="10"/>
  <c r="I249" i="10"/>
  <c r="CQ248" i="10"/>
  <c r="CF248" i="10"/>
  <c r="CE248" i="10"/>
  <c r="CD248" i="10"/>
  <c r="CC248" i="10"/>
  <c r="CB248" i="10"/>
  <c r="AN248" i="10"/>
  <c r="AK248" i="10"/>
  <c r="AJ248" i="10"/>
  <c r="AI248" i="10"/>
  <c r="AH248" i="10"/>
  <c r="AG248" i="10"/>
  <c r="AE248" i="10"/>
  <c r="AB248" i="10"/>
  <c r="AA248" i="10"/>
  <c r="Z248" i="10"/>
  <c r="W248" i="10"/>
  <c r="U248" i="10"/>
  <c r="T248" i="10"/>
  <c r="S248" i="10"/>
  <c r="R248" i="10"/>
  <c r="Q248" i="10"/>
  <c r="P248" i="10"/>
  <c r="O248" i="10"/>
  <c r="N248" i="10"/>
  <c r="M248" i="10"/>
  <c r="K248" i="10"/>
  <c r="I248" i="10"/>
  <c r="CQ247" i="10"/>
  <c r="CF247" i="10"/>
  <c r="CE247" i="10"/>
  <c r="CD247" i="10"/>
  <c r="CC247" i="10"/>
  <c r="CB247" i="10"/>
  <c r="AN247" i="10"/>
  <c r="AK247" i="10"/>
  <c r="AJ247" i="10"/>
  <c r="AI247" i="10"/>
  <c r="AH247" i="10"/>
  <c r="AG247" i="10"/>
  <c r="AE247" i="10"/>
  <c r="AB247" i="10"/>
  <c r="AA247" i="10"/>
  <c r="Z247" i="10"/>
  <c r="W247" i="10"/>
  <c r="U247" i="10"/>
  <c r="T247" i="10"/>
  <c r="S247" i="10"/>
  <c r="R247" i="10"/>
  <c r="Q247" i="10"/>
  <c r="P247" i="10"/>
  <c r="O247" i="10"/>
  <c r="N247" i="10"/>
  <c r="M247" i="10"/>
  <c r="K247" i="10"/>
  <c r="I247" i="10"/>
  <c r="CQ246" i="10"/>
  <c r="CF246" i="10"/>
  <c r="CE246" i="10"/>
  <c r="CD246" i="10"/>
  <c r="CC246" i="10"/>
  <c r="CB246" i="10"/>
  <c r="AN246" i="10"/>
  <c r="AK246" i="10"/>
  <c r="AJ246" i="10"/>
  <c r="AI246" i="10"/>
  <c r="AH246" i="10"/>
  <c r="AG246" i="10"/>
  <c r="AE246" i="10"/>
  <c r="AB246" i="10"/>
  <c r="AA246" i="10"/>
  <c r="Z246" i="10"/>
  <c r="W246" i="10"/>
  <c r="U246" i="10"/>
  <c r="T246" i="10"/>
  <c r="S246" i="10"/>
  <c r="R246" i="10"/>
  <c r="Q246" i="10"/>
  <c r="P246" i="10"/>
  <c r="O246" i="10"/>
  <c r="N246" i="10"/>
  <c r="M246" i="10"/>
  <c r="K246" i="10"/>
  <c r="I246" i="10"/>
  <c r="CQ245" i="10"/>
  <c r="CF245" i="10"/>
  <c r="CE245" i="10"/>
  <c r="CD245" i="10"/>
  <c r="CC245" i="10"/>
  <c r="CB245" i="10"/>
  <c r="AN245" i="10"/>
  <c r="AK245" i="10"/>
  <c r="AJ245" i="10"/>
  <c r="AI245" i="10"/>
  <c r="AH245" i="10"/>
  <c r="AG245" i="10"/>
  <c r="AE245" i="10"/>
  <c r="AB245" i="10"/>
  <c r="AA245" i="10"/>
  <c r="Z245" i="10"/>
  <c r="W245" i="10"/>
  <c r="U245" i="10"/>
  <c r="T245" i="10"/>
  <c r="S245" i="10"/>
  <c r="R245" i="10"/>
  <c r="Q245" i="10"/>
  <c r="P245" i="10"/>
  <c r="O245" i="10"/>
  <c r="N245" i="10"/>
  <c r="M245" i="10"/>
  <c r="K245" i="10"/>
  <c r="I245" i="10"/>
  <c r="CQ244" i="10"/>
  <c r="CF244" i="10"/>
  <c r="CE244" i="10"/>
  <c r="CD244" i="10"/>
  <c r="CC244" i="10"/>
  <c r="CB244" i="10"/>
  <c r="AN244" i="10"/>
  <c r="AK244" i="10"/>
  <c r="AJ244" i="10"/>
  <c r="AI244" i="10"/>
  <c r="AH244" i="10"/>
  <c r="AG244" i="10"/>
  <c r="AE244" i="10"/>
  <c r="AB244" i="10"/>
  <c r="AA244" i="10"/>
  <c r="Z244" i="10"/>
  <c r="W244" i="10"/>
  <c r="U244" i="10"/>
  <c r="T244" i="10"/>
  <c r="S244" i="10"/>
  <c r="R244" i="10"/>
  <c r="Q244" i="10"/>
  <c r="P244" i="10"/>
  <c r="O244" i="10"/>
  <c r="N244" i="10"/>
  <c r="M244" i="10"/>
  <c r="K244" i="10"/>
  <c r="I244" i="10"/>
  <c r="CQ243" i="10"/>
  <c r="CF243" i="10"/>
  <c r="CE243" i="10"/>
  <c r="CD243" i="10"/>
  <c r="CC243" i="10"/>
  <c r="CB243" i="10"/>
  <c r="AN243" i="10"/>
  <c r="AK243" i="10"/>
  <c r="AJ243" i="10"/>
  <c r="AI243" i="10"/>
  <c r="AH243" i="10"/>
  <c r="AG243" i="10"/>
  <c r="AE243" i="10"/>
  <c r="AB243" i="10"/>
  <c r="AA243" i="10"/>
  <c r="Z243" i="10"/>
  <c r="W243" i="10"/>
  <c r="U243" i="10"/>
  <c r="T243" i="10"/>
  <c r="S243" i="10"/>
  <c r="R243" i="10"/>
  <c r="Q243" i="10"/>
  <c r="P243" i="10"/>
  <c r="O243" i="10"/>
  <c r="N243" i="10"/>
  <c r="M243" i="10"/>
  <c r="K243" i="10"/>
  <c r="I243" i="10"/>
  <c r="CQ242" i="10"/>
  <c r="CF242" i="10"/>
  <c r="CE242" i="10"/>
  <c r="CD242" i="10"/>
  <c r="CC242" i="10"/>
  <c r="CB242" i="10"/>
  <c r="AN242" i="10"/>
  <c r="AK242" i="10"/>
  <c r="AJ242" i="10"/>
  <c r="AI242" i="10"/>
  <c r="AH242" i="10"/>
  <c r="AG242" i="10"/>
  <c r="AE242" i="10"/>
  <c r="AB242" i="10"/>
  <c r="AA242" i="10"/>
  <c r="Z242" i="10"/>
  <c r="W242" i="10"/>
  <c r="U242" i="10"/>
  <c r="T242" i="10"/>
  <c r="S242" i="10"/>
  <c r="R242" i="10"/>
  <c r="Q242" i="10"/>
  <c r="P242" i="10"/>
  <c r="O242" i="10"/>
  <c r="N242" i="10"/>
  <c r="M242" i="10"/>
  <c r="K242" i="10"/>
  <c r="I242" i="10"/>
  <c r="CQ241" i="10"/>
  <c r="CF241" i="10"/>
  <c r="CE241" i="10"/>
  <c r="CD241" i="10"/>
  <c r="CC241" i="10"/>
  <c r="CB241" i="10"/>
  <c r="AN241" i="10"/>
  <c r="AK241" i="10"/>
  <c r="AJ241" i="10"/>
  <c r="AI241" i="10"/>
  <c r="AH241" i="10"/>
  <c r="AG241" i="10"/>
  <c r="AE241" i="10"/>
  <c r="AB241" i="10"/>
  <c r="AA241" i="10"/>
  <c r="Z241" i="10"/>
  <c r="W241" i="10"/>
  <c r="U241" i="10"/>
  <c r="T241" i="10"/>
  <c r="S241" i="10"/>
  <c r="R241" i="10"/>
  <c r="Q241" i="10"/>
  <c r="P241" i="10"/>
  <c r="O241" i="10"/>
  <c r="N241" i="10"/>
  <c r="M241" i="10"/>
  <c r="K241" i="10"/>
  <c r="I241" i="10"/>
  <c r="CQ240" i="10"/>
  <c r="CL240" i="10"/>
  <c r="CK240" i="10"/>
  <c r="CJ240" i="10"/>
  <c r="CF240" i="10"/>
  <c r="CE240" i="10"/>
  <c r="CD240" i="10"/>
  <c r="CC240" i="10"/>
  <c r="CB240" i="10"/>
  <c r="AN240" i="10"/>
  <c r="AK240" i="10"/>
  <c r="AJ240" i="10"/>
  <c r="AI240" i="10"/>
  <c r="AH240" i="10"/>
  <c r="AG240" i="10"/>
  <c r="AE240" i="10"/>
  <c r="AB240" i="10"/>
  <c r="Z240" i="10"/>
  <c r="W240" i="10"/>
  <c r="U240" i="10"/>
  <c r="T240" i="10"/>
  <c r="S240" i="10"/>
  <c r="R240" i="10"/>
  <c r="Q240" i="10"/>
  <c r="P240" i="10"/>
  <c r="O240" i="10"/>
  <c r="N240" i="10"/>
  <c r="M240" i="10"/>
  <c r="K240" i="10"/>
  <c r="I240" i="10"/>
  <c r="CQ239" i="10"/>
  <c r="CM239" i="10"/>
  <c r="CL239" i="10"/>
  <c r="CK239" i="10"/>
  <c r="CJ239" i="10"/>
  <c r="CH239" i="10"/>
  <c r="CF239" i="10"/>
  <c r="CE239" i="10"/>
  <c r="CD239" i="10"/>
  <c r="CC239" i="10"/>
  <c r="CB239" i="10"/>
  <c r="AN239" i="10"/>
  <c r="AK239" i="10"/>
  <c r="AJ239" i="10"/>
  <c r="AI239" i="10"/>
  <c r="AH239" i="10"/>
  <c r="AG239" i="10"/>
  <c r="AE239" i="10"/>
  <c r="AB239" i="10"/>
  <c r="Z239" i="10"/>
  <c r="W239" i="10"/>
  <c r="U239" i="10"/>
  <c r="T239" i="10"/>
  <c r="S239" i="10"/>
  <c r="R239" i="10"/>
  <c r="Q239" i="10"/>
  <c r="P239" i="10"/>
  <c r="O239" i="10"/>
  <c r="N239" i="10"/>
  <c r="M239" i="10"/>
  <c r="K239" i="10"/>
  <c r="I239" i="10"/>
  <c r="CQ238" i="10"/>
  <c r="CM238" i="10"/>
  <c r="CL238" i="10"/>
  <c r="CK238" i="10"/>
  <c r="CJ238" i="10"/>
  <c r="CH238" i="10"/>
  <c r="CF238" i="10"/>
  <c r="CE238" i="10"/>
  <c r="CD238" i="10"/>
  <c r="CC238" i="10"/>
  <c r="CB238" i="10"/>
  <c r="AN238" i="10"/>
  <c r="AK238" i="10"/>
  <c r="AJ238" i="10"/>
  <c r="AI238" i="10"/>
  <c r="AH238" i="10"/>
  <c r="AG238" i="10"/>
  <c r="AE238" i="10"/>
  <c r="AB238" i="10"/>
  <c r="Z238" i="10"/>
  <c r="W238" i="10"/>
  <c r="U238" i="10"/>
  <c r="T238" i="10"/>
  <c r="S238" i="10"/>
  <c r="R238" i="10"/>
  <c r="Q238" i="10"/>
  <c r="P238" i="10"/>
  <c r="O238" i="10"/>
  <c r="N238" i="10"/>
  <c r="M238" i="10"/>
  <c r="K238" i="10"/>
  <c r="I238" i="10"/>
  <c r="CQ237" i="10"/>
  <c r="CM237" i="10"/>
  <c r="CL237" i="10"/>
  <c r="CK237" i="10"/>
  <c r="CJ237" i="10"/>
  <c r="CH237" i="10"/>
  <c r="CF237" i="10"/>
  <c r="CE237" i="10"/>
  <c r="CD237" i="10"/>
  <c r="CC237" i="10"/>
  <c r="CB237" i="10"/>
  <c r="AN237" i="10"/>
  <c r="AK237" i="10"/>
  <c r="AJ237" i="10"/>
  <c r="AI237" i="10"/>
  <c r="AH237" i="10"/>
  <c r="AG237" i="10"/>
  <c r="AE237" i="10"/>
  <c r="AB237" i="10"/>
  <c r="Z237" i="10"/>
  <c r="W237" i="10"/>
  <c r="U237" i="10"/>
  <c r="T237" i="10"/>
  <c r="S237" i="10"/>
  <c r="R237" i="10"/>
  <c r="Q237" i="10"/>
  <c r="P237" i="10"/>
  <c r="O237" i="10"/>
  <c r="N237" i="10"/>
  <c r="M237" i="10"/>
  <c r="K237" i="10"/>
  <c r="I237" i="10"/>
  <c r="CQ236" i="10"/>
  <c r="CF236" i="10"/>
  <c r="CE236" i="10"/>
  <c r="CD236" i="10"/>
  <c r="CC236" i="10"/>
  <c r="CB236" i="10"/>
  <c r="AN236" i="10"/>
  <c r="AK236" i="10"/>
  <c r="AJ236" i="10"/>
  <c r="AI236" i="10"/>
  <c r="AH236" i="10"/>
  <c r="AG236" i="10"/>
  <c r="AE236" i="10"/>
  <c r="AB236" i="10"/>
  <c r="AA236" i="10"/>
  <c r="Z236" i="10"/>
  <c r="W236" i="10"/>
  <c r="U236" i="10"/>
  <c r="T236" i="10"/>
  <c r="S236" i="10"/>
  <c r="R236" i="10"/>
  <c r="Q236" i="10"/>
  <c r="P236" i="10"/>
  <c r="O236" i="10"/>
  <c r="N236" i="10"/>
  <c r="M236" i="10"/>
  <c r="K236" i="10"/>
  <c r="I236" i="10"/>
  <c r="CQ235" i="10"/>
  <c r="CF235" i="10"/>
  <c r="CE235" i="10"/>
  <c r="CD235" i="10"/>
  <c r="CC235" i="10"/>
  <c r="CB235" i="10"/>
  <c r="AN235" i="10"/>
  <c r="AK235" i="10"/>
  <c r="AJ235" i="10"/>
  <c r="AI235" i="10"/>
  <c r="AH235" i="10"/>
  <c r="AG235" i="10"/>
  <c r="AE235" i="10"/>
  <c r="AB235" i="10"/>
  <c r="AA235" i="10"/>
  <c r="Z235" i="10"/>
  <c r="W235" i="10"/>
  <c r="U235" i="10"/>
  <c r="T235" i="10"/>
  <c r="S235" i="10"/>
  <c r="R235" i="10"/>
  <c r="Q235" i="10"/>
  <c r="P235" i="10"/>
  <c r="O235" i="10"/>
  <c r="N235" i="10"/>
  <c r="M235" i="10"/>
  <c r="K235" i="10"/>
  <c r="I235" i="10"/>
  <c r="CQ234" i="10"/>
  <c r="CF234" i="10"/>
  <c r="CE234" i="10"/>
  <c r="CD234" i="10"/>
  <c r="CC234" i="10"/>
  <c r="CB234" i="10"/>
  <c r="AN234" i="10"/>
  <c r="AK234" i="10"/>
  <c r="AJ234" i="10"/>
  <c r="AI234" i="10"/>
  <c r="AH234" i="10"/>
  <c r="AG234" i="10"/>
  <c r="AE234" i="10"/>
  <c r="AB234" i="10"/>
  <c r="AA234" i="10"/>
  <c r="Z234" i="10"/>
  <c r="W234" i="10"/>
  <c r="U234" i="10"/>
  <c r="T234" i="10"/>
  <c r="S234" i="10"/>
  <c r="R234" i="10"/>
  <c r="Q234" i="10"/>
  <c r="P234" i="10"/>
  <c r="O234" i="10"/>
  <c r="N234" i="10"/>
  <c r="M234" i="10"/>
  <c r="K234" i="10"/>
  <c r="I234" i="10"/>
  <c r="CQ233" i="10"/>
  <c r="CF233" i="10"/>
  <c r="CE233" i="10"/>
  <c r="CD233" i="10"/>
  <c r="CC233" i="10"/>
  <c r="CB233" i="10"/>
  <c r="AN233" i="10"/>
  <c r="AK233" i="10"/>
  <c r="AJ233" i="10"/>
  <c r="AI233" i="10"/>
  <c r="AH233" i="10"/>
  <c r="AG233" i="10"/>
  <c r="AE233" i="10"/>
  <c r="AB233" i="10"/>
  <c r="AA233" i="10"/>
  <c r="Z233" i="10"/>
  <c r="W233" i="10"/>
  <c r="U233" i="10"/>
  <c r="T233" i="10"/>
  <c r="S233" i="10"/>
  <c r="R233" i="10"/>
  <c r="Q233" i="10"/>
  <c r="P233" i="10"/>
  <c r="O233" i="10"/>
  <c r="N233" i="10"/>
  <c r="M233" i="10"/>
  <c r="K233" i="10"/>
  <c r="I233" i="10"/>
  <c r="CQ232" i="10"/>
  <c r="CF232" i="10"/>
  <c r="CE232" i="10"/>
  <c r="CD232" i="10"/>
  <c r="CC232" i="10"/>
  <c r="CB232" i="10"/>
  <c r="AN232" i="10"/>
  <c r="AK232" i="10"/>
  <c r="AJ232" i="10"/>
  <c r="AI232" i="10"/>
  <c r="AH232" i="10"/>
  <c r="AG232" i="10"/>
  <c r="AE232" i="10"/>
  <c r="AB232" i="10"/>
  <c r="AA232" i="10"/>
  <c r="Z232" i="10"/>
  <c r="W232" i="10"/>
  <c r="U232" i="10"/>
  <c r="T232" i="10"/>
  <c r="S232" i="10"/>
  <c r="R232" i="10"/>
  <c r="Q232" i="10"/>
  <c r="P232" i="10"/>
  <c r="O232" i="10"/>
  <c r="N232" i="10"/>
  <c r="M232" i="10"/>
  <c r="K232" i="10"/>
  <c r="I232" i="10"/>
  <c r="CQ231" i="10"/>
  <c r="CF231" i="10"/>
  <c r="CE231" i="10"/>
  <c r="CD231" i="10"/>
  <c r="CC231" i="10"/>
  <c r="CB231" i="10"/>
  <c r="AN231" i="10"/>
  <c r="AK231" i="10"/>
  <c r="AJ231" i="10"/>
  <c r="AI231" i="10"/>
  <c r="AH231" i="10"/>
  <c r="AG231" i="10"/>
  <c r="AE231" i="10"/>
  <c r="AB231" i="10"/>
  <c r="AA231" i="10"/>
  <c r="Z231" i="10"/>
  <c r="W231" i="10"/>
  <c r="U231" i="10"/>
  <c r="T231" i="10"/>
  <c r="S231" i="10"/>
  <c r="R231" i="10"/>
  <c r="Q231" i="10"/>
  <c r="P231" i="10"/>
  <c r="O231" i="10"/>
  <c r="N231" i="10"/>
  <c r="M231" i="10"/>
  <c r="K231" i="10"/>
  <c r="I231" i="10"/>
  <c r="CQ230" i="10"/>
  <c r="CF230" i="10"/>
  <c r="CE230" i="10"/>
  <c r="CD230" i="10"/>
  <c r="CC230" i="10"/>
  <c r="CB230" i="10"/>
  <c r="AN230" i="10"/>
  <c r="AK230" i="10"/>
  <c r="AJ230" i="10"/>
  <c r="AI230" i="10"/>
  <c r="AH230" i="10"/>
  <c r="AG230" i="10"/>
  <c r="AE230" i="10"/>
  <c r="AB230" i="10"/>
  <c r="AA230" i="10"/>
  <c r="Z230" i="10"/>
  <c r="W230" i="10"/>
  <c r="U230" i="10"/>
  <c r="T230" i="10"/>
  <c r="S230" i="10"/>
  <c r="R230" i="10"/>
  <c r="Q230" i="10"/>
  <c r="P230" i="10"/>
  <c r="O230" i="10"/>
  <c r="N230" i="10"/>
  <c r="M230" i="10"/>
  <c r="K230" i="10"/>
  <c r="I230" i="10"/>
  <c r="CQ229" i="10"/>
  <c r="CF229" i="10"/>
  <c r="CE229" i="10"/>
  <c r="CD229" i="10"/>
  <c r="CC229" i="10"/>
  <c r="CB229" i="10"/>
  <c r="AN229" i="10"/>
  <c r="AK229" i="10"/>
  <c r="AJ229" i="10"/>
  <c r="AI229" i="10"/>
  <c r="AH229" i="10"/>
  <c r="AG229" i="10"/>
  <c r="AE229" i="10"/>
  <c r="AB229" i="10"/>
  <c r="AA229" i="10"/>
  <c r="Z229" i="10"/>
  <c r="W229" i="10"/>
  <c r="U229" i="10"/>
  <c r="T229" i="10"/>
  <c r="S229" i="10"/>
  <c r="R229" i="10"/>
  <c r="Q229" i="10"/>
  <c r="P229" i="10"/>
  <c r="O229" i="10"/>
  <c r="N229" i="10"/>
  <c r="M229" i="10"/>
  <c r="K229" i="10"/>
  <c r="I229" i="10"/>
  <c r="CQ228" i="10"/>
  <c r="CF228" i="10"/>
  <c r="CE228" i="10"/>
  <c r="CD228" i="10"/>
  <c r="CC228" i="10"/>
  <c r="CB228" i="10"/>
  <c r="AN228" i="10"/>
  <c r="AK228" i="10"/>
  <c r="AJ228" i="10"/>
  <c r="AI228" i="10"/>
  <c r="AH228" i="10"/>
  <c r="AG228" i="10"/>
  <c r="AE228" i="10"/>
  <c r="AB228" i="10"/>
  <c r="AA228" i="10"/>
  <c r="Z228" i="10"/>
  <c r="W228" i="10"/>
  <c r="U228" i="10"/>
  <c r="T228" i="10"/>
  <c r="S228" i="10"/>
  <c r="R228" i="10"/>
  <c r="Q228" i="10"/>
  <c r="P228" i="10"/>
  <c r="O228" i="10"/>
  <c r="N228" i="10"/>
  <c r="M228" i="10"/>
  <c r="K228" i="10"/>
  <c r="I228" i="10"/>
  <c r="CQ227" i="10"/>
  <c r="CF227" i="10"/>
  <c r="CE227" i="10"/>
  <c r="CD227" i="10"/>
  <c r="CC227" i="10"/>
  <c r="CB227" i="10"/>
  <c r="AN227" i="10"/>
  <c r="AK227" i="10"/>
  <c r="AJ227" i="10"/>
  <c r="AI227" i="10"/>
  <c r="AH227" i="10"/>
  <c r="AG227" i="10"/>
  <c r="AE227" i="10"/>
  <c r="AB227" i="10"/>
  <c r="AA227" i="10"/>
  <c r="Z227" i="10"/>
  <c r="W227" i="10"/>
  <c r="U227" i="10"/>
  <c r="T227" i="10"/>
  <c r="S227" i="10"/>
  <c r="R227" i="10"/>
  <c r="Q227" i="10"/>
  <c r="P227" i="10"/>
  <c r="O227" i="10"/>
  <c r="N227" i="10"/>
  <c r="M227" i="10"/>
  <c r="K227" i="10"/>
  <c r="I227" i="10"/>
  <c r="CQ226" i="10"/>
  <c r="CF226" i="10"/>
  <c r="CE226" i="10"/>
  <c r="CD226" i="10"/>
  <c r="CC226" i="10"/>
  <c r="CB226" i="10"/>
  <c r="AN226" i="10"/>
  <c r="AK226" i="10"/>
  <c r="AJ226" i="10"/>
  <c r="AI226" i="10"/>
  <c r="AH226" i="10"/>
  <c r="AG226" i="10"/>
  <c r="AE226" i="10"/>
  <c r="AB226" i="10"/>
  <c r="AA226" i="10"/>
  <c r="Z226" i="10"/>
  <c r="W226" i="10"/>
  <c r="U226" i="10"/>
  <c r="T226" i="10"/>
  <c r="S226" i="10"/>
  <c r="R226" i="10"/>
  <c r="Q226" i="10"/>
  <c r="P226" i="10"/>
  <c r="O226" i="10"/>
  <c r="N226" i="10"/>
  <c r="M226" i="10"/>
  <c r="K226" i="10"/>
  <c r="I226" i="10"/>
  <c r="CQ225" i="10"/>
  <c r="CF225" i="10"/>
  <c r="CE225" i="10"/>
  <c r="CD225" i="10"/>
  <c r="CC225" i="10"/>
  <c r="CB225" i="10"/>
  <c r="AN225" i="10"/>
  <c r="AK225" i="10"/>
  <c r="AJ225" i="10"/>
  <c r="AI225" i="10"/>
  <c r="AH225" i="10"/>
  <c r="AG225" i="10"/>
  <c r="AE225" i="10"/>
  <c r="AB225" i="10"/>
  <c r="AA225" i="10"/>
  <c r="Z225" i="10"/>
  <c r="W225" i="10"/>
  <c r="U225" i="10"/>
  <c r="T225" i="10"/>
  <c r="S225" i="10"/>
  <c r="R225" i="10"/>
  <c r="Q225" i="10"/>
  <c r="P225" i="10"/>
  <c r="O225" i="10"/>
  <c r="N225" i="10"/>
  <c r="M225" i="10"/>
  <c r="K225" i="10"/>
  <c r="I225" i="10"/>
  <c r="CQ224" i="10"/>
  <c r="CF224" i="10"/>
  <c r="CE224" i="10"/>
  <c r="CD224" i="10"/>
  <c r="CC224" i="10"/>
  <c r="CB224" i="10"/>
  <c r="AN224" i="10"/>
  <c r="AK224" i="10"/>
  <c r="AJ224" i="10"/>
  <c r="AI224" i="10"/>
  <c r="AH224" i="10"/>
  <c r="AG224" i="10"/>
  <c r="AE224" i="10"/>
  <c r="AB224" i="10"/>
  <c r="AA224" i="10"/>
  <c r="Z224" i="10"/>
  <c r="W224" i="10"/>
  <c r="U224" i="10"/>
  <c r="T224" i="10"/>
  <c r="S224" i="10"/>
  <c r="R224" i="10"/>
  <c r="Q224" i="10"/>
  <c r="P224" i="10"/>
  <c r="O224" i="10"/>
  <c r="N224" i="10"/>
  <c r="M224" i="10"/>
  <c r="K224" i="10"/>
  <c r="I224" i="10"/>
  <c r="CQ223" i="10"/>
  <c r="CF223" i="10"/>
  <c r="CE223" i="10"/>
  <c r="CD223" i="10"/>
  <c r="CC223" i="10"/>
  <c r="CB223" i="10"/>
  <c r="AN223" i="10"/>
  <c r="AK223" i="10"/>
  <c r="AJ223" i="10"/>
  <c r="AI223" i="10"/>
  <c r="AH223" i="10"/>
  <c r="AG223" i="10"/>
  <c r="AE223" i="10"/>
  <c r="AB223" i="10"/>
  <c r="AA223" i="10"/>
  <c r="Z223" i="10"/>
  <c r="W223" i="10"/>
  <c r="U223" i="10"/>
  <c r="T223" i="10"/>
  <c r="S223" i="10"/>
  <c r="R223" i="10"/>
  <c r="Q223" i="10"/>
  <c r="P223" i="10"/>
  <c r="O223" i="10"/>
  <c r="N223" i="10"/>
  <c r="M223" i="10"/>
  <c r="K223" i="10"/>
  <c r="I223" i="10"/>
  <c r="CQ222" i="10"/>
  <c r="CF222" i="10"/>
  <c r="CE222" i="10"/>
  <c r="CD222" i="10"/>
  <c r="CC222" i="10"/>
  <c r="CB222" i="10"/>
  <c r="AN222" i="10"/>
  <c r="AK222" i="10"/>
  <c r="AJ222" i="10"/>
  <c r="AI222" i="10"/>
  <c r="AH222" i="10"/>
  <c r="AG222" i="10"/>
  <c r="AE222" i="10"/>
  <c r="AB222" i="10"/>
  <c r="AA222" i="10"/>
  <c r="Z222" i="10"/>
  <c r="W222" i="10"/>
  <c r="U222" i="10"/>
  <c r="T222" i="10"/>
  <c r="S222" i="10"/>
  <c r="R222" i="10"/>
  <c r="Q222" i="10"/>
  <c r="P222" i="10"/>
  <c r="O222" i="10"/>
  <c r="N222" i="10"/>
  <c r="M222" i="10"/>
  <c r="K222" i="10"/>
  <c r="I222" i="10"/>
  <c r="CQ221" i="10"/>
  <c r="CF221" i="10"/>
  <c r="CE221" i="10"/>
  <c r="CD221" i="10"/>
  <c r="CC221" i="10"/>
  <c r="CB221" i="10"/>
  <c r="AN221" i="10"/>
  <c r="AK221" i="10"/>
  <c r="AJ221" i="10"/>
  <c r="AI221" i="10"/>
  <c r="AH221" i="10"/>
  <c r="AG221" i="10"/>
  <c r="AE221" i="10"/>
  <c r="AB221" i="10"/>
  <c r="AA221" i="10"/>
  <c r="Z221" i="10"/>
  <c r="W221" i="10"/>
  <c r="U221" i="10"/>
  <c r="T221" i="10"/>
  <c r="S221" i="10"/>
  <c r="R221" i="10"/>
  <c r="Q221" i="10"/>
  <c r="P221" i="10"/>
  <c r="O221" i="10"/>
  <c r="N221" i="10"/>
  <c r="M221" i="10"/>
  <c r="K221" i="10"/>
  <c r="I221" i="10"/>
  <c r="CQ220" i="10"/>
  <c r="CL220" i="10"/>
  <c r="CK220" i="10"/>
  <c r="CF220" i="10"/>
  <c r="CE220" i="10"/>
  <c r="CD220" i="10"/>
  <c r="CC220" i="10"/>
  <c r="CB220" i="10"/>
  <c r="AN220" i="10"/>
  <c r="AK220" i="10"/>
  <c r="AJ220" i="10"/>
  <c r="AI220" i="10"/>
  <c r="AH220" i="10"/>
  <c r="AG220" i="10"/>
  <c r="AE220" i="10"/>
  <c r="AB220" i="10"/>
  <c r="AA220" i="10"/>
  <c r="Z220" i="10"/>
  <c r="W220" i="10"/>
  <c r="U220" i="10"/>
  <c r="T220" i="10"/>
  <c r="S220" i="10"/>
  <c r="R220" i="10"/>
  <c r="Q220" i="10"/>
  <c r="P220" i="10"/>
  <c r="O220" i="10"/>
  <c r="N220" i="10"/>
  <c r="M220" i="10"/>
  <c r="K220" i="10"/>
  <c r="I220" i="10"/>
  <c r="CQ219" i="10"/>
  <c r="CL219" i="10"/>
  <c r="CK219" i="10"/>
  <c r="CF219" i="10"/>
  <c r="CE219" i="10"/>
  <c r="CD219" i="10"/>
  <c r="CC219" i="10"/>
  <c r="CB219" i="10"/>
  <c r="AN219" i="10"/>
  <c r="AK219" i="10"/>
  <c r="AJ219" i="10"/>
  <c r="AI219" i="10"/>
  <c r="AH219" i="10"/>
  <c r="AG219" i="10"/>
  <c r="AE219" i="10"/>
  <c r="AB219" i="10"/>
  <c r="AA219" i="10"/>
  <c r="Z219" i="10"/>
  <c r="W219" i="10"/>
  <c r="U219" i="10"/>
  <c r="T219" i="10"/>
  <c r="S219" i="10"/>
  <c r="R219" i="10"/>
  <c r="Q219" i="10"/>
  <c r="P219" i="10"/>
  <c r="O219" i="10"/>
  <c r="N219" i="10"/>
  <c r="M219" i="10"/>
  <c r="K219" i="10"/>
  <c r="I219" i="10"/>
  <c r="CQ218" i="10"/>
  <c r="CF218" i="10"/>
  <c r="CE218" i="10"/>
  <c r="CD218" i="10"/>
  <c r="CC218" i="10"/>
  <c r="CB218" i="10"/>
  <c r="AN218" i="10"/>
  <c r="AK218" i="10"/>
  <c r="AJ218" i="10"/>
  <c r="AI218" i="10"/>
  <c r="AH218" i="10"/>
  <c r="AG218" i="10"/>
  <c r="AE218" i="10"/>
  <c r="AB218" i="10"/>
  <c r="AA218" i="10"/>
  <c r="Z218" i="10"/>
  <c r="W218" i="10"/>
  <c r="U218" i="10"/>
  <c r="T218" i="10"/>
  <c r="S218" i="10"/>
  <c r="R218" i="10"/>
  <c r="Q218" i="10"/>
  <c r="P218" i="10"/>
  <c r="O218" i="10"/>
  <c r="N218" i="10"/>
  <c r="M218" i="10"/>
  <c r="K218" i="10"/>
  <c r="I218" i="10"/>
  <c r="CQ217" i="10"/>
  <c r="CF217" i="10"/>
  <c r="CE217" i="10"/>
  <c r="CD217" i="10"/>
  <c r="CC217" i="10"/>
  <c r="CB217" i="10"/>
  <c r="AN217" i="10"/>
  <c r="AK217" i="10"/>
  <c r="AJ217" i="10"/>
  <c r="AI217" i="10"/>
  <c r="AH217" i="10"/>
  <c r="AG217" i="10"/>
  <c r="AE217" i="10"/>
  <c r="AB217" i="10"/>
  <c r="AA217" i="10"/>
  <c r="Z217" i="10"/>
  <c r="W217" i="10"/>
  <c r="U217" i="10"/>
  <c r="T217" i="10"/>
  <c r="S217" i="10"/>
  <c r="R217" i="10"/>
  <c r="Q217" i="10"/>
  <c r="P217" i="10"/>
  <c r="O217" i="10"/>
  <c r="N217" i="10"/>
  <c r="M217" i="10"/>
  <c r="K217" i="10"/>
  <c r="I217" i="10"/>
  <c r="CQ216" i="10"/>
  <c r="CF216" i="10"/>
  <c r="CE216" i="10"/>
  <c r="CD216" i="10"/>
  <c r="CC216" i="10"/>
  <c r="CB216" i="10"/>
  <c r="AN216" i="10"/>
  <c r="AK216" i="10"/>
  <c r="AJ216" i="10"/>
  <c r="AI216" i="10"/>
  <c r="AH216" i="10"/>
  <c r="AG216" i="10"/>
  <c r="AE216" i="10"/>
  <c r="AB216" i="10"/>
  <c r="AA216" i="10"/>
  <c r="Z216" i="10"/>
  <c r="W216" i="10"/>
  <c r="U216" i="10"/>
  <c r="T216" i="10"/>
  <c r="S216" i="10"/>
  <c r="R216" i="10"/>
  <c r="Q216" i="10"/>
  <c r="P216" i="10"/>
  <c r="O216" i="10"/>
  <c r="N216" i="10"/>
  <c r="M216" i="10"/>
  <c r="K216" i="10"/>
  <c r="I216" i="10"/>
  <c r="CQ215" i="10"/>
  <c r="CF215" i="10"/>
  <c r="CE215" i="10"/>
  <c r="CD215" i="10"/>
  <c r="CC215" i="10"/>
  <c r="CB215" i="10"/>
  <c r="AN215" i="10"/>
  <c r="AK215" i="10"/>
  <c r="AJ215" i="10"/>
  <c r="AI215" i="10"/>
  <c r="AH215" i="10"/>
  <c r="AG215" i="10"/>
  <c r="AE215" i="10"/>
  <c r="AB215" i="10"/>
  <c r="AA215" i="10"/>
  <c r="Z215" i="10"/>
  <c r="W215" i="10"/>
  <c r="U215" i="10"/>
  <c r="T215" i="10"/>
  <c r="S215" i="10"/>
  <c r="R215" i="10"/>
  <c r="Q215" i="10"/>
  <c r="P215" i="10"/>
  <c r="O215" i="10"/>
  <c r="N215" i="10"/>
  <c r="M215" i="10"/>
  <c r="K215" i="10"/>
  <c r="I215" i="10"/>
  <c r="CQ214" i="10"/>
  <c r="CF214" i="10"/>
  <c r="CE214" i="10"/>
  <c r="CD214" i="10"/>
  <c r="CC214" i="10"/>
  <c r="CB214" i="10"/>
  <c r="AN214" i="10"/>
  <c r="AK214" i="10"/>
  <c r="AJ214" i="10"/>
  <c r="AI214" i="10"/>
  <c r="AH214" i="10"/>
  <c r="AG214" i="10"/>
  <c r="AE214" i="10"/>
  <c r="AB214" i="10"/>
  <c r="AA214" i="10"/>
  <c r="Z214" i="10"/>
  <c r="W214" i="10"/>
  <c r="U214" i="10"/>
  <c r="T214" i="10"/>
  <c r="S214" i="10"/>
  <c r="R214" i="10"/>
  <c r="Q214" i="10"/>
  <c r="P214" i="10"/>
  <c r="O214" i="10"/>
  <c r="N214" i="10"/>
  <c r="M214" i="10"/>
  <c r="K214" i="10"/>
  <c r="I214" i="10"/>
  <c r="CQ213" i="10"/>
  <c r="CF213" i="10"/>
  <c r="CE213" i="10"/>
  <c r="CD213" i="10"/>
  <c r="CC213" i="10"/>
  <c r="CB213" i="10"/>
  <c r="AN213" i="10"/>
  <c r="AK213" i="10"/>
  <c r="AJ213" i="10"/>
  <c r="AI213" i="10"/>
  <c r="AH213" i="10"/>
  <c r="AG213" i="10"/>
  <c r="AE213" i="10"/>
  <c r="AB213" i="10"/>
  <c r="AA213" i="10"/>
  <c r="Z213" i="10"/>
  <c r="W213" i="10"/>
  <c r="U213" i="10"/>
  <c r="T213" i="10"/>
  <c r="S213" i="10"/>
  <c r="R213" i="10"/>
  <c r="Q213" i="10"/>
  <c r="P213" i="10"/>
  <c r="O213" i="10"/>
  <c r="N213" i="10"/>
  <c r="M213" i="10"/>
  <c r="K213" i="10"/>
  <c r="I213" i="10"/>
  <c r="CQ212" i="10"/>
  <c r="CF212" i="10"/>
  <c r="CE212" i="10"/>
  <c r="CD212" i="10"/>
  <c r="CC212" i="10"/>
  <c r="CB212" i="10"/>
  <c r="AN212" i="10"/>
  <c r="AK212" i="10"/>
  <c r="AJ212" i="10"/>
  <c r="AI212" i="10"/>
  <c r="AH212" i="10"/>
  <c r="AG212" i="10"/>
  <c r="AE212" i="10"/>
  <c r="AB212" i="10"/>
  <c r="AA212" i="10"/>
  <c r="Z212" i="10"/>
  <c r="W212" i="10"/>
  <c r="U212" i="10"/>
  <c r="T212" i="10"/>
  <c r="S212" i="10"/>
  <c r="R212" i="10"/>
  <c r="Q212" i="10"/>
  <c r="P212" i="10"/>
  <c r="O212" i="10"/>
  <c r="N212" i="10"/>
  <c r="M212" i="10"/>
  <c r="K212" i="10"/>
  <c r="I212" i="10"/>
  <c r="CQ211" i="10"/>
  <c r="CF211" i="10"/>
  <c r="CE211" i="10"/>
  <c r="CD211" i="10"/>
  <c r="CC211" i="10"/>
  <c r="CB211" i="10"/>
  <c r="AN211" i="10"/>
  <c r="AK211" i="10"/>
  <c r="AJ211" i="10"/>
  <c r="AI211" i="10"/>
  <c r="AH211" i="10"/>
  <c r="AG211" i="10"/>
  <c r="AE211" i="10"/>
  <c r="AB211" i="10"/>
  <c r="AA211" i="10"/>
  <c r="Z211" i="10"/>
  <c r="W211" i="10"/>
  <c r="U211" i="10"/>
  <c r="T211" i="10"/>
  <c r="S211" i="10"/>
  <c r="R211" i="10"/>
  <c r="Q211" i="10"/>
  <c r="P211" i="10"/>
  <c r="O211" i="10"/>
  <c r="N211" i="10"/>
  <c r="M211" i="10"/>
  <c r="K211" i="10"/>
  <c r="I211" i="10"/>
  <c r="CQ210" i="10"/>
  <c r="CF210" i="10"/>
  <c r="CE210" i="10"/>
  <c r="CD210" i="10"/>
  <c r="CC210" i="10"/>
  <c r="CB210" i="10"/>
  <c r="AN210" i="10"/>
  <c r="AK210" i="10"/>
  <c r="AJ210" i="10"/>
  <c r="AI210" i="10"/>
  <c r="AH210" i="10"/>
  <c r="AG210" i="10"/>
  <c r="AE210" i="10"/>
  <c r="AB210" i="10"/>
  <c r="AA210" i="10"/>
  <c r="Z210" i="10"/>
  <c r="W210" i="10"/>
  <c r="U210" i="10"/>
  <c r="T210" i="10"/>
  <c r="S210" i="10"/>
  <c r="R210" i="10"/>
  <c r="Q210" i="10"/>
  <c r="P210" i="10"/>
  <c r="O210" i="10"/>
  <c r="N210" i="10"/>
  <c r="M210" i="10"/>
  <c r="K210" i="10"/>
  <c r="I210" i="10"/>
  <c r="CQ209" i="10"/>
  <c r="CM209" i="10"/>
  <c r="CL209" i="10"/>
  <c r="CK209" i="10"/>
  <c r="CJ209" i="10"/>
  <c r="CH209" i="10"/>
  <c r="CF209" i="10"/>
  <c r="CE209" i="10"/>
  <c r="CD209" i="10"/>
  <c r="CC209" i="10"/>
  <c r="CB209" i="10"/>
  <c r="AN209" i="10"/>
  <c r="AK209" i="10"/>
  <c r="AJ209" i="10"/>
  <c r="AI209" i="10"/>
  <c r="AH209" i="10"/>
  <c r="AG209" i="10"/>
  <c r="AE209" i="10"/>
  <c r="AB209" i="10"/>
  <c r="AA209" i="10"/>
  <c r="Z209" i="10"/>
  <c r="W209" i="10"/>
  <c r="U209" i="10"/>
  <c r="T209" i="10"/>
  <c r="S209" i="10"/>
  <c r="R209" i="10"/>
  <c r="Q209" i="10"/>
  <c r="P209" i="10"/>
  <c r="O209" i="10"/>
  <c r="N209" i="10"/>
  <c r="M209" i="10"/>
  <c r="K209" i="10"/>
  <c r="I209" i="10"/>
  <c r="CQ208" i="10"/>
  <c r="CM208" i="10"/>
  <c r="CL208" i="10"/>
  <c r="CK208" i="10"/>
  <c r="CJ208" i="10"/>
  <c r="CH208" i="10"/>
  <c r="CF208" i="10"/>
  <c r="CE208" i="10"/>
  <c r="CD208" i="10"/>
  <c r="CC208" i="10"/>
  <c r="CB208" i="10"/>
  <c r="AN208" i="10"/>
  <c r="AK208" i="10"/>
  <c r="AJ208" i="10"/>
  <c r="AI208" i="10"/>
  <c r="AH208" i="10"/>
  <c r="AG208" i="10"/>
  <c r="AE208" i="10"/>
  <c r="AB208" i="10"/>
  <c r="AA208" i="10"/>
  <c r="Z208" i="10"/>
  <c r="W208" i="10"/>
  <c r="U208" i="10"/>
  <c r="T208" i="10"/>
  <c r="S208" i="10"/>
  <c r="R208" i="10"/>
  <c r="Q208" i="10"/>
  <c r="P208" i="10"/>
  <c r="O208" i="10"/>
  <c r="N208" i="10"/>
  <c r="M208" i="10"/>
  <c r="K208" i="10"/>
  <c r="I208" i="10"/>
  <c r="CQ207" i="10"/>
  <c r="CM207" i="10"/>
  <c r="CL207" i="10"/>
  <c r="CK207" i="10"/>
  <c r="CJ207" i="10"/>
  <c r="CH207" i="10"/>
  <c r="CF207" i="10"/>
  <c r="CE207" i="10"/>
  <c r="CD207" i="10"/>
  <c r="CC207" i="10"/>
  <c r="CB207" i="10"/>
  <c r="AN207" i="10"/>
  <c r="AK207" i="10"/>
  <c r="AJ207" i="10"/>
  <c r="AI207" i="10"/>
  <c r="AH207" i="10"/>
  <c r="AG207" i="10"/>
  <c r="AE207" i="10"/>
  <c r="AB207" i="10"/>
  <c r="AA207" i="10"/>
  <c r="Z207" i="10"/>
  <c r="W207" i="10"/>
  <c r="U207" i="10"/>
  <c r="T207" i="10"/>
  <c r="S207" i="10"/>
  <c r="R207" i="10"/>
  <c r="Q207" i="10"/>
  <c r="P207" i="10"/>
  <c r="O207" i="10"/>
  <c r="N207" i="10"/>
  <c r="M207" i="10"/>
  <c r="K207" i="10"/>
  <c r="I207" i="10"/>
  <c r="CQ206" i="10"/>
  <c r="CM206" i="10"/>
  <c r="CL206" i="10"/>
  <c r="CK206" i="10"/>
  <c r="CJ206" i="10"/>
  <c r="CH206" i="10"/>
  <c r="CF206" i="10"/>
  <c r="CE206" i="10"/>
  <c r="CD206" i="10"/>
  <c r="CC206" i="10"/>
  <c r="CB206" i="10"/>
  <c r="AN206" i="10"/>
  <c r="AK206" i="10"/>
  <c r="AJ206" i="10"/>
  <c r="AI206" i="10"/>
  <c r="AH206" i="10"/>
  <c r="AG206" i="10"/>
  <c r="AE206" i="10"/>
  <c r="AB206" i="10"/>
  <c r="AA206" i="10"/>
  <c r="Z206" i="10"/>
  <c r="W206" i="10"/>
  <c r="U206" i="10"/>
  <c r="T206" i="10"/>
  <c r="S206" i="10"/>
  <c r="R206" i="10"/>
  <c r="Q206" i="10"/>
  <c r="P206" i="10"/>
  <c r="O206" i="10"/>
  <c r="N206" i="10"/>
  <c r="M206" i="10"/>
  <c r="K206" i="10"/>
  <c r="I206" i="10"/>
  <c r="CQ205" i="10"/>
  <c r="CM205" i="10"/>
  <c r="CL205" i="10"/>
  <c r="CK205" i="10"/>
  <c r="CJ205" i="10"/>
  <c r="CH205" i="10"/>
  <c r="CF205" i="10"/>
  <c r="CE205" i="10"/>
  <c r="CD205" i="10"/>
  <c r="CC205" i="10"/>
  <c r="CB205" i="10"/>
  <c r="AN205" i="10"/>
  <c r="AK205" i="10"/>
  <c r="AJ205" i="10"/>
  <c r="AI205" i="10"/>
  <c r="AH205" i="10"/>
  <c r="AG205" i="10"/>
  <c r="AE205" i="10"/>
  <c r="AB205" i="10"/>
  <c r="AA205" i="10"/>
  <c r="Z205" i="10"/>
  <c r="W205" i="10"/>
  <c r="U205" i="10"/>
  <c r="T205" i="10"/>
  <c r="S205" i="10"/>
  <c r="R205" i="10"/>
  <c r="Q205" i="10"/>
  <c r="P205" i="10"/>
  <c r="O205" i="10"/>
  <c r="N205" i="10"/>
  <c r="M205" i="10"/>
  <c r="K205" i="10"/>
  <c r="I205" i="10"/>
  <c r="CQ204" i="10"/>
  <c r="CM204" i="10"/>
  <c r="CL204" i="10"/>
  <c r="CK204" i="10"/>
  <c r="CJ204" i="10"/>
  <c r="CH204" i="10"/>
  <c r="CF204" i="10"/>
  <c r="CE204" i="10"/>
  <c r="CD204" i="10"/>
  <c r="CC204" i="10"/>
  <c r="CB204" i="10"/>
  <c r="AN204" i="10"/>
  <c r="AK204" i="10"/>
  <c r="AJ204" i="10"/>
  <c r="AI204" i="10"/>
  <c r="AH204" i="10"/>
  <c r="AG204" i="10"/>
  <c r="AE204" i="10"/>
  <c r="AB204" i="10"/>
  <c r="AA204" i="10"/>
  <c r="Z204" i="10"/>
  <c r="W204" i="10"/>
  <c r="U204" i="10"/>
  <c r="T204" i="10"/>
  <c r="S204" i="10"/>
  <c r="R204" i="10"/>
  <c r="Q204" i="10"/>
  <c r="P204" i="10"/>
  <c r="O204" i="10"/>
  <c r="N204" i="10"/>
  <c r="M204" i="10"/>
  <c r="K204" i="10"/>
  <c r="I204" i="10"/>
  <c r="CQ203" i="10"/>
  <c r="CM203" i="10"/>
  <c r="CL203" i="10"/>
  <c r="CK203" i="10"/>
  <c r="CJ203" i="10"/>
  <c r="CH203" i="10"/>
  <c r="CF203" i="10"/>
  <c r="CE203" i="10"/>
  <c r="CD203" i="10"/>
  <c r="CC203" i="10"/>
  <c r="CB203" i="10"/>
  <c r="AN203" i="10"/>
  <c r="AK203" i="10"/>
  <c r="AJ203" i="10"/>
  <c r="AI203" i="10"/>
  <c r="AH203" i="10"/>
  <c r="AG203" i="10"/>
  <c r="AE203" i="10"/>
  <c r="AB203" i="10"/>
  <c r="AA203" i="10"/>
  <c r="Z203" i="10"/>
  <c r="W203" i="10"/>
  <c r="U203" i="10"/>
  <c r="T203" i="10"/>
  <c r="S203" i="10"/>
  <c r="R203" i="10"/>
  <c r="Q203" i="10"/>
  <c r="P203" i="10"/>
  <c r="O203" i="10"/>
  <c r="N203" i="10"/>
  <c r="M203" i="10"/>
  <c r="K203" i="10"/>
  <c r="I203" i="10"/>
  <c r="CQ202" i="10"/>
  <c r="CM202" i="10"/>
  <c r="CL202" i="10"/>
  <c r="CK202" i="10"/>
  <c r="CJ202" i="10"/>
  <c r="CF202" i="10"/>
  <c r="CE202" i="10"/>
  <c r="CD202" i="10"/>
  <c r="CC202" i="10"/>
  <c r="CB202" i="10"/>
  <c r="AN202" i="10"/>
  <c r="AK202" i="10"/>
  <c r="AJ202" i="10"/>
  <c r="AI202" i="10"/>
  <c r="AH202" i="10"/>
  <c r="AG202" i="10"/>
  <c r="AE202" i="10"/>
  <c r="AB202" i="10"/>
  <c r="AA202" i="10"/>
  <c r="Z202" i="10"/>
  <c r="W202" i="10"/>
  <c r="U202" i="10"/>
  <c r="T202" i="10"/>
  <c r="S202" i="10"/>
  <c r="R202" i="10"/>
  <c r="Q202" i="10"/>
  <c r="P202" i="10"/>
  <c r="O202" i="10"/>
  <c r="N202" i="10"/>
  <c r="M202" i="10"/>
  <c r="K202" i="10"/>
  <c r="I202" i="10"/>
  <c r="CQ201" i="10"/>
  <c r="CM201" i="10"/>
  <c r="CL201" i="10"/>
  <c r="CK201" i="10"/>
  <c r="CJ201" i="10"/>
  <c r="CH201" i="10"/>
  <c r="CF201" i="10"/>
  <c r="CE201" i="10"/>
  <c r="CD201" i="10"/>
  <c r="CC201" i="10"/>
  <c r="CB201" i="10"/>
  <c r="AN201" i="10"/>
  <c r="AK201" i="10"/>
  <c r="AJ201" i="10"/>
  <c r="AI201" i="10"/>
  <c r="AH201" i="10"/>
  <c r="AG201" i="10"/>
  <c r="AE201" i="10"/>
  <c r="AB201" i="10"/>
  <c r="AA201" i="10"/>
  <c r="Z201" i="10"/>
  <c r="W201" i="10"/>
  <c r="U201" i="10"/>
  <c r="T201" i="10"/>
  <c r="S201" i="10"/>
  <c r="R201" i="10"/>
  <c r="Q201" i="10"/>
  <c r="P201" i="10"/>
  <c r="O201" i="10"/>
  <c r="N201" i="10"/>
  <c r="M201" i="10"/>
  <c r="K201" i="10"/>
  <c r="I201" i="10"/>
  <c r="CQ200" i="10"/>
  <c r="CM200" i="10"/>
  <c r="CL200" i="10"/>
  <c r="CK200" i="10"/>
  <c r="CJ200" i="10"/>
  <c r="CH200" i="10"/>
  <c r="CF200" i="10"/>
  <c r="CE200" i="10"/>
  <c r="CD200" i="10"/>
  <c r="CC200" i="10"/>
  <c r="CB200" i="10"/>
  <c r="AN200" i="10"/>
  <c r="AK200" i="10"/>
  <c r="AJ200" i="10"/>
  <c r="AI200" i="10"/>
  <c r="AH200" i="10"/>
  <c r="AG200" i="10"/>
  <c r="AE200" i="10"/>
  <c r="AB200" i="10"/>
  <c r="AA200" i="10"/>
  <c r="Z200" i="10"/>
  <c r="W200" i="10"/>
  <c r="U200" i="10"/>
  <c r="T200" i="10"/>
  <c r="S200" i="10"/>
  <c r="R200" i="10"/>
  <c r="Q200" i="10"/>
  <c r="P200" i="10"/>
  <c r="O200" i="10"/>
  <c r="N200" i="10"/>
  <c r="M200" i="10"/>
  <c r="K200" i="10"/>
  <c r="I200" i="10"/>
  <c r="CQ199" i="10"/>
  <c r="CM199" i="10"/>
  <c r="CL199" i="10"/>
  <c r="CK199" i="10"/>
  <c r="CJ199" i="10"/>
  <c r="CH199" i="10"/>
  <c r="CF199" i="10"/>
  <c r="CE199" i="10"/>
  <c r="CD199" i="10"/>
  <c r="CC199" i="10"/>
  <c r="CB199" i="10"/>
  <c r="AN199" i="10"/>
  <c r="AK199" i="10"/>
  <c r="AJ199" i="10"/>
  <c r="AI199" i="10"/>
  <c r="AH199" i="10"/>
  <c r="AG199" i="10"/>
  <c r="AE199" i="10"/>
  <c r="AB199" i="10"/>
  <c r="AA199" i="10"/>
  <c r="Z199" i="10"/>
  <c r="W199" i="10"/>
  <c r="U199" i="10"/>
  <c r="T199" i="10"/>
  <c r="S199" i="10"/>
  <c r="R199" i="10"/>
  <c r="Q199" i="10"/>
  <c r="P199" i="10"/>
  <c r="O199" i="10"/>
  <c r="N199" i="10"/>
  <c r="M199" i="10"/>
  <c r="K199" i="10"/>
  <c r="I199" i="10"/>
  <c r="CQ198" i="10"/>
  <c r="CM198" i="10"/>
  <c r="CL198" i="10"/>
  <c r="CK198" i="10"/>
  <c r="CJ198" i="10"/>
  <c r="CH198" i="10"/>
  <c r="CF198" i="10"/>
  <c r="CE198" i="10"/>
  <c r="CD198" i="10"/>
  <c r="CC198" i="10"/>
  <c r="CB198" i="10"/>
  <c r="AN198" i="10"/>
  <c r="AK198" i="10"/>
  <c r="AJ198" i="10"/>
  <c r="AI198" i="10"/>
  <c r="AH198" i="10"/>
  <c r="AG198" i="10"/>
  <c r="AE198" i="10"/>
  <c r="AB198" i="10"/>
  <c r="AA198" i="10"/>
  <c r="Z198" i="10"/>
  <c r="W198" i="10"/>
  <c r="U198" i="10"/>
  <c r="T198" i="10"/>
  <c r="S198" i="10"/>
  <c r="R198" i="10"/>
  <c r="Q198" i="10"/>
  <c r="P198" i="10"/>
  <c r="O198" i="10"/>
  <c r="N198" i="10"/>
  <c r="M198" i="10"/>
  <c r="K198" i="10"/>
  <c r="I198" i="10"/>
  <c r="CQ197" i="10"/>
  <c r="CM197" i="10"/>
  <c r="CL197" i="10"/>
  <c r="CK197" i="10"/>
  <c r="CJ197" i="10"/>
  <c r="CH197" i="10"/>
  <c r="CF197" i="10"/>
  <c r="CE197" i="10"/>
  <c r="CD197" i="10"/>
  <c r="CC197" i="10"/>
  <c r="CB197" i="10"/>
  <c r="AN197" i="10"/>
  <c r="AK197" i="10"/>
  <c r="AJ197" i="10"/>
  <c r="AI197" i="10"/>
  <c r="AH197" i="10"/>
  <c r="AG197" i="10"/>
  <c r="AE197" i="10"/>
  <c r="AB197" i="10"/>
  <c r="AA197" i="10"/>
  <c r="Z197" i="10"/>
  <c r="W197" i="10"/>
  <c r="U197" i="10"/>
  <c r="T197" i="10"/>
  <c r="S197" i="10"/>
  <c r="R197" i="10"/>
  <c r="Q197" i="10"/>
  <c r="P197" i="10"/>
  <c r="O197" i="10"/>
  <c r="N197" i="10"/>
  <c r="M197" i="10"/>
  <c r="K197" i="10"/>
  <c r="I197" i="10"/>
  <c r="CQ196" i="10"/>
  <c r="CM196" i="10"/>
  <c r="CL196" i="10"/>
  <c r="CK196" i="10"/>
  <c r="CJ196" i="10"/>
  <c r="CH196" i="10"/>
  <c r="CF196" i="10"/>
  <c r="CE196" i="10"/>
  <c r="CD196" i="10"/>
  <c r="CC196" i="10"/>
  <c r="CB196" i="10"/>
  <c r="AN196" i="10"/>
  <c r="AK196" i="10"/>
  <c r="AJ196" i="10"/>
  <c r="AI196" i="10"/>
  <c r="AH196" i="10"/>
  <c r="AG196" i="10"/>
  <c r="AE196" i="10"/>
  <c r="AB196" i="10"/>
  <c r="AA196" i="10"/>
  <c r="Z196" i="10"/>
  <c r="W196" i="10"/>
  <c r="U196" i="10"/>
  <c r="T196" i="10"/>
  <c r="S196" i="10"/>
  <c r="R196" i="10"/>
  <c r="Q196" i="10"/>
  <c r="P196" i="10"/>
  <c r="O196" i="10"/>
  <c r="N196" i="10"/>
  <c r="M196" i="10"/>
  <c r="K196" i="10"/>
  <c r="I196" i="10"/>
  <c r="CQ195" i="10"/>
  <c r="CM195" i="10"/>
  <c r="CL195" i="10"/>
  <c r="CK195" i="10"/>
  <c r="CJ195" i="10"/>
  <c r="CH195" i="10"/>
  <c r="CF195" i="10"/>
  <c r="CE195" i="10"/>
  <c r="CD195" i="10"/>
  <c r="CC195" i="10"/>
  <c r="CB195" i="10"/>
  <c r="AN195" i="10"/>
  <c r="AK195" i="10"/>
  <c r="AJ195" i="10"/>
  <c r="AI195" i="10"/>
  <c r="AH195" i="10"/>
  <c r="AG195" i="10"/>
  <c r="AE195" i="10"/>
  <c r="AB195" i="10"/>
  <c r="AA195" i="10"/>
  <c r="Z195" i="10"/>
  <c r="W195" i="10"/>
  <c r="U195" i="10"/>
  <c r="T195" i="10"/>
  <c r="S195" i="10"/>
  <c r="R195" i="10"/>
  <c r="Q195" i="10"/>
  <c r="P195" i="10"/>
  <c r="O195" i="10"/>
  <c r="N195" i="10"/>
  <c r="M195" i="10"/>
  <c r="K195" i="10"/>
  <c r="I195" i="10"/>
  <c r="CQ194" i="10"/>
  <c r="CM194" i="10"/>
  <c r="CL194" i="10"/>
  <c r="CK194" i="10"/>
  <c r="CJ194" i="10"/>
  <c r="CH194" i="10"/>
  <c r="CF194" i="10"/>
  <c r="CE194" i="10"/>
  <c r="CD194" i="10"/>
  <c r="CC194" i="10"/>
  <c r="CB194" i="10"/>
  <c r="AN194" i="10"/>
  <c r="AK194" i="10"/>
  <c r="AJ194" i="10"/>
  <c r="AI194" i="10"/>
  <c r="AH194" i="10"/>
  <c r="AG194" i="10"/>
  <c r="AE194" i="10"/>
  <c r="AB194" i="10"/>
  <c r="AA194" i="10"/>
  <c r="Z194" i="10"/>
  <c r="W194" i="10"/>
  <c r="U194" i="10"/>
  <c r="T194" i="10"/>
  <c r="S194" i="10"/>
  <c r="R194" i="10"/>
  <c r="Q194" i="10"/>
  <c r="P194" i="10"/>
  <c r="O194" i="10"/>
  <c r="N194" i="10"/>
  <c r="M194" i="10"/>
  <c r="K194" i="10"/>
  <c r="I194" i="10"/>
  <c r="CQ193" i="10"/>
  <c r="CM193" i="10"/>
  <c r="CL193" i="10"/>
  <c r="CK193" i="10"/>
  <c r="CJ193" i="10"/>
  <c r="CH193" i="10"/>
  <c r="CF193" i="10"/>
  <c r="CE193" i="10"/>
  <c r="CD193" i="10"/>
  <c r="CC193" i="10"/>
  <c r="CB193" i="10"/>
  <c r="AN193" i="10"/>
  <c r="AK193" i="10"/>
  <c r="AJ193" i="10"/>
  <c r="AI193" i="10"/>
  <c r="AH193" i="10"/>
  <c r="AG193" i="10"/>
  <c r="AE193" i="10"/>
  <c r="AB193" i="10"/>
  <c r="AA193" i="10"/>
  <c r="Z193" i="10"/>
  <c r="W193" i="10"/>
  <c r="U193" i="10"/>
  <c r="T193" i="10"/>
  <c r="S193" i="10"/>
  <c r="R193" i="10"/>
  <c r="Q193" i="10"/>
  <c r="P193" i="10"/>
  <c r="O193" i="10"/>
  <c r="N193" i="10"/>
  <c r="M193" i="10"/>
  <c r="K193" i="10"/>
  <c r="I193" i="10"/>
  <c r="CQ192" i="10"/>
  <c r="CM192" i="10"/>
  <c r="CL192" i="10"/>
  <c r="CK192" i="10"/>
  <c r="CJ192" i="10"/>
  <c r="CH192" i="10"/>
  <c r="CF192" i="10"/>
  <c r="CE192" i="10"/>
  <c r="CD192" i="10"/>
  <c r="CC192" i="10"/>
  <c r="CB192" i="10"/>
  <c r="AN192" i="10"/>
  <c r="AK192" i="10"/>
  <c r="AJ192" i="10"/>
  <c r="AI192" i="10"/>
  <c r="AH192" i="10"/>
  <c r="AG192" i="10"/>
  <c r="AE192" i="10"/>
  <c r="AB192" i="10"/>
  <c r="AA192" i="10"/>
  <c r="Z192" i="10"/>
  <c r="W192" i="10"/>
  <c r="U192" i="10"/>
  <c r="T192" i="10"/>
  <c r="S192" i="10"/>
  <c r="R192" i="10"/>
  <c r="Q192" i="10"/>
  <c r="P192" i="10"/>
  <c r="O192" i="10"/>
  <c r="N192" i="10"/>
  <c r="M192" i="10"/>
  <c r="K192" i="10"/>
  <c r="I192" i="10"/>
  <c r="CQ191" i="10"/>
  <c r="CM191" i="10"/>
  <c r="CL191" i="10"/>
  <c r="CK191" i="10"/>
  <c r="CJ191" i="10"/>
  <c r="CH191" i="10"/>
  <c r="CF191" i="10"/>
  <c r="CE191" i="10"/>
  <c r="CD191" i="10"/>
  <c r="CC191" i="10"/>
  <c r="CB191" i="10"/>
  <c r="AN191" i="10"/>
  <c r="AK191" i="10"/>
  <c r="AJ191" i="10"/>
  <c r="AI191" i="10"/>
  <c r="AH191" i="10"/>
  <c r="AG191" i="10"/>
  <c r="AE191" i="10"/>
  <c r="AB191" i="10"/>
  <c r="AA191" i="10"/>
  <c r="Z191" i="10"/>
  <c r="W191" i="10"/>
  <c r="U191" i="10"/>
  <c r="T191" i="10"/>
  <c r="S191" i="10"/>
  <c r="R191" i="10"/>
  <c r="Q191" i="10"/>
  <c r="P191" i="10"/>
  <c r="O191" i="10"/>
  <c r="N191" i="10"/>
  <c r="M191" i="10"/>
  <c r="K191" i="10"/>
  <c r="I191" i="10"/>
  <c r="CQ190" i="10"/>
  <c r="CM190" i="10"/>
  <c r="CL190" i="10"/>
  <c r="CK190" i="10"/>
  <c r="CJ190" i="10"/>
  <c r="CH190" i="10"/>
  <c r="CF190" i="10"/>
  <c r="CE190" i="10"/>
  <c r="CD190" i="10"/>
  <c r="CC190" i="10"/>
  <c r="CB190" i="10"/>
  <c r="AN190" i="10"/>
  <c r="AK190" i="10"/>
  <c r="AJ190" i="10"/>
  <c r="AI190" i="10"/>
  <c r="AH190" i="10"/>
  <c r="AG190" i="10"/>
  <c r="AE190" i="10"/>
  <c r="AB190" i="10"/>
  <c r="AA190" i="10"/>
  <c r="Z190" i="10"/>
  <c r="W190" i="10"/>
  <c r="U190" i="10"/>
  <c r="T190" i="10"/>
  <c r="S190" i="10"/>
  <c r="R190" i="10"/>
  <c r="Q190" i="10"/>
  <c r="P190" i="10"/>
  <c r="O190" i="10"/>
  <c r="N190" i="10"/>
  <c r="M190" i="10"/>
  <c r="K190" i="10"/>
  <c r="I190" i="10"/>
  <c r="CQ189" i="10"/>
  <c r="CM189" i="10"/>
  <c r="CL189" i="10"/>
  <c r="CK189" i="10"/>
  <c r="CJ189" i="10"/>
  <c r="CH189" i="10"/>
  <c r="CF189" i="10"/>
  <c r="CE189" i="10"/>
  <c r="CD189" i="10"/>
  <c r="CC189" i="10"/>
  <c r="CB189" i="10"/>
  <c r="AN189" i="10"/>
  <c r="AK189" i="10"/>
  <c r="AJ189" i="10"/>
  <c r="AI189" i="10"/>
  <c r="AH189" i="10"/>
  <c r="AG189" i="10"/>
  <c r="AE189" i="10"/>
  <c r="AB189" i="10"/>
  <c r="AA189" i="10"/>
  <c r="Z189" i="10"/>
  <c r="W189" i="10"/>
  <c r="U189" i="10"/>
  <c r="T189" i="10"/>
  <c r="S189" i="10"/>
  <c r="R189" i="10"/>
  <c r="Q189" i="10"/>
  <c r="P189" i="10"/>
  <c r="O189" i="10"/>
  <c r="N189" i="10"/>
  <c r="M189" i="10"/>
  <c r="K189" i="10"/>
  <c r="I189" i="10"/>
  <c r="CQ188" i="10"/>
  <c r="CM188" i="10"/>
  <c r="CL188" i="10"/>
  <c r="CK188" i="10"/>
  <c r="CJ188" i="10"/>
  <c r="CH188" i="10"/>
  <c r="CF188" i="10"/>
  <c r="CE188" i="10"/>
  <c r="CD188" i="10"/>
  <c r="CC188" i="10"/>
  <c r="CB188" i="10"/>
  <c r="AN188" i="10"/>
  <c r="AK188" i="10"/>
  <c r="AJ188" i="10"/>
  <c r="AI188" i="10"/>
  <c r="AH188" i="10"/>
  <c r="AG188" i="10"/>
  <c r="AE188" i="10"/>
  <c r="AB188" i="10"/>
  <c r="AA188" i="10"/>
  <c r="Z188" i="10"/>
  <c r="W188" i="10"/>
  <c r="U188" i="10"/>
  <c r="T188" i="10"/>
  <c r="S188" i="10"/>
  <c r="R188" i="10"/>
  <c r="Q188" i="10"/>
  <c r="P188" i="10"/>
  <c r="O188" i="10"/>
  <c r="N188" i="10"/>
  <c r="M188" i="10"/>
  <c r="K188" i="10"/>
  <c r="I188" i="10"/>
  <c r="CQ187" i="10"/>
  <c r="CM187" i="10"/>
  <c r="CL187" i="10"/>
  <c r="CK187" i="10"/>
  <c r="CJ187" i="10"/>
  <c r="CH187" i="10"/>
  <c r="CF187" i="10"/>
  <c r="CE187" i="10"/>
  <c r="CD187" i="10"/>
  <c r="CC187" i="10"/>
  <c r="CB187" i="10"/>
  <c r="AN187" i="10"/>
  <c r="AK187" i="10"/>
  <c r="AJ187" i="10"/>
  <c r="AI187" i="10"/>
  <c r="AH187" i="10"/>
  <c r="AG187" i="10"/>
  <c r="AE187" i="10"/>
  <c r="AB187" i="10"/>
  <c r="AA187" i="10"/>
  <c r="Z187" i="10"/>
  <c r="W187" i="10"/>
  <c r="U187" i="10"/>
  <c r="T187" i="10"/>
  <c r="S187" i="10"/>
  <c r="R187" i="10"/>
  <c r="Q187" i="10"/>
  <c r="P187" i="10"/>
  <c r="O187" i="10"/>
  <c r="N187" i="10"/>
  <c r="M187" i="10"/>
  <c r="K187" i="10"/>
  <c r="I187" i="10"/>
  <c r="CQ186" i="10"/>
  <c r="CM186" i="10"/>
  <c r="CL186" i="10"/>
  <c r="CK186" i="10"/>
  <c r="CJ186" i="10"/>
  <c r="CH186" i="10"/>
  <c r="CF186" i="10"/>
  <c r="CE186" i="10"/>
  <c r="CD186" i="10"/>
  <c r="CC186" i="10"/>
  <c r="CB186" i="10"/>
  <c r="AN186" i="10"/>
  <c r="AK186" i="10"/>
  <c r="AJ186" i="10"/>
  <c r="AI186" i="10"/>
  <c r="AH186" i="10"/>
  <c r="AG186" i="10"/>
  <c r="AE186" i="10"/>
  <c r="AB186" i="10"/>
  <c r="AA186" i="10"/>
  <c r="Z186" i="10"/>
  <c r="W186" i="10"/>
  <c r="U186" i="10"/>
  <c r="T186" i="10"/>
  <c r="S186" i="10"/>
  <c r="R186" i="10"/>
  <c r="Q186" i="10"/>
  <c r="P186" i="10"/>
  <c r="O186" i="10"/>
  <c r="N186" i="10"/>
  <c r="M186" i="10"/>
  <c r="K186" i="10"/>
  <c r="I186" i="10"/>
  <c r="CQ185" i="10"/>
  <c r="CM185" i="10"/>
  <c r="CL185" i="10"/>
  <c r="CK185" i="10"/>
  <c r="CJ185" i="10"/>
  <c r="CH185" i="10"/>
  <c r="CF185" i="10"/>
  <c r="CE185" i="10"/>
  <c r="CD185" i="10"/>
  <c r="CC185" i="10"/>
  <c r="CB185" i="10"/>
  <c r="AN185" i="10"/>
  <c r="AK185" i="10"/>
  <c r="AJ185" i="10"/>
  <c r="AI185" i="10"/>
  <c r="AH185" i="10"/>
  <c r="AG185" i="10"/>
  <c r="AE185" i="10"/>
  <c r="AB185" i="10"/>
  <c r="AA185" i="10"/>
  <c r="Z185" i="10"/>
  <c r="W185" i="10"/>
  <c r="U185" i="10"/>
  <c r="T185" i="10"/>
  <c r="S185" i="10"/>
  <c r="R185" i="10"/>
  <c r="Q185" i="10"/>
  <c r="P185" i="10"/>
  <c r="O185" i="10"/>
  <c r="N185" i="10"/>
  <c r="M185" i="10"/>
  <c r="K185" i="10"/>
  <c r="I185" i="10"/>
  <c r="CQ184" i="10"/>
  <c r="CM184" i="10"/>
  <c r="CL184" i="10"/>
  <c r="CK184" i="10"/>
  <c r="CJ184" i="10"/>
  <c r="CH184" i="10"/>
  <c r="CF184" i="10"/>
  <c r="CE184" i="10"/>
  <c r="CD184" i="10"/>
  <c r="CC184" i="10"/>
  <c r="CB184" i="10"/>
  <c r="AN184" i="10"/>
  <c r="AK184" i="10"/>
  <c r="AJ184" i="10"/>
  <c r="AI184" i="10"/>
  <c r="AH184" i="10"/>
  <c r="AG184" i="10"/>
  <c r="AE184" i="10"/>
  <c r="AB184" i="10"/>
  <c r="AA184" i="10"/>
  <c r="Z184" i="10"/>
  <c r="W184" i="10"/>
  <c r="U184" i="10"/>
  <c r="T184" i="10"/>
  <c r="S184" i="10"/>
  <c r="R184" i="10"/>
  <c r="Q184" i="10"/>
  <c r="P184" i="10"/>
  <c r="O184" i="10"/>
  <c r="N184" i="10"/>
  <c r="M184" i="10"/>
  <c r="K184" i="10"/>
  <c r="I184" i="10"/>
  <c r="CQ183" i="10"/>
  <c r="CM183" i="10"/>
  <c r="CL183" i="10"/>
  <c r="CK183" i="10"/>
  <c r="CJ183" i="10"/>
  <c r="CH183" i="10"/>
  <c r="CF183" i="10"/>
  <c r="CE183" i="10"/>
  <c r="CD183" i="10"/>
  <c r="CC183" i="10"/>
  <c r="CB183" i="10"/>
  <c r="AN183" i="10"/>
  <c r="AK183" i="10"/>
  <c r="AJ183" i="10"/>
  <c r="AI183" i="10"/>
  <c r="AH183" i="10"/>
  <c r="AG183" i="10"/>
  <c r="AE183" i="10"/>
  <c r="AB183" i="10"/>
  <c r="AA183" i="10"/>
  <c r="Z183" i="10"/>
  <c r="W183" i="10"/>
  <c r="U183" i="10"/>
  <c r="T183" i="10"/>
  <c r="S183" i="10"/>
  <c r="R183" i="10"/>
  <c r="Q183" i="10"/>
  <c r="P183" i="10"/>
  <c r="O183" i="10"/>
  <c r="N183" i="10"/>
  <c r="M183" i="10"/>
  <c r="K183" i="10"/>
  <c r="I183" i="10"/>
  <c r="CQ182" i="10"/>
  <c r="CM182" i="10"/>
  <c r="CL182" i="10"/>
  <c r="CK182" i="10"/>
  <c r="CJ182" i="10"/>
  <c r="CH182" i="10"/>
  <c r="CF182" i="10"/>
  <c r="CE182" i="10"/>
  <c r="CD182" i="10"/>
  <c r="CC182" i="10"/>
  <c r="CB182" i="10"/>
  <c r="AN182" i="10"/>
  <c r="AK182" i="10"/>
  <c r="AJ182" i="10"/>
  <c r="AI182" i="10"/>
  <c r="AH182" i="10"/>
  <c r="AG182" i="10"/>
  <c r="AE182" i="10"/>
  <c r="AB182" i="10"/>
  <c r="AA182" i="10"/>
  <c r="Z182" i="10"/>
  <c r="W182" i="10"/>
  <c r="U182" i="10"/>
  <c r="T182" i="10"/>
  <c r="S182" i="10"/>
  <c r="R182" i="10"/>
  <c r="Q182" i="10"/>
  <c r="P182" i="10"/>
  <c r="O182" i="10"/>
  <c r="N182" i="10"/>
  <c r="M182" i="10"/>
  <c r="K182" i="10"/>
  <c r="I182" i="10"/>
  <c r="CQ181" i="10"/>
  <c r="CM181" i="10"/>
  <c r="CL181" i="10"/>
  <c r="CK181" i="10"/>
  <c r="CJ181" i="10"/>
  <c r="CH181" i="10"/>
  <c r="CF181" i="10"/>
  <c r="CE181" i="10"/>
  <c r="CD181" i="10"/>
  <c r="CC181" i="10"/>
  <c r="CB181" i="10"/>
  <c r="AN181" i="10"/>
  <c r="AK181" i="10"/>
  <c r="AJ181" i="10"/>
  <c r="AI181" i="10"/>
  <c r="AH181" i="10"/>
  <c r="AG181" i="10"/>
  <c r="AE181" i="10"/>
  <c r="AB181" i="10"/>
  <c r="AA181" i="10"/>
  <c r="Z181" i="10"/>
  <c r="W181" i="10"/>
  <c r="U181" i="10"/>
  <c r="T181" i="10"/>
  <c r="S181" i="10"/>
  <c r="R181" i="10"/>
  <c r="Q181" i="10"/>
  <c r="P181" i="10"/>
  <c r="O181" i="10"/>
  <c r="N181" i="10"/>
  <c r="M181" i="10"/>
  <c r="K181" i="10"/>
  <c r="I181" i="10"/>
  <c r="CQ180" i="10"/>
  <c r="CM180" i="10"/>
  <c r="CL180" i="10"/>
  <c r="CK180" i="10"/>
  <c r="CJ180" i="10"/>
  <c r="CH180" i="10"/>
  <c r="CF180" i="10"/>
  <c r="CE180" i="10"/>
  <c r="CD180" i="10"/>
  <c r="CC180" i="10"/>
  <c r="CB180" i="10"/>
  <c r="AN180" i="10"/>
  <c r="AK180" i="10"/>
  <c r="AJ180" i="10"/>
  <c r="AI180" i="10"/>
  <c r="AH180" i="10"/>
  <c r="AG180" i="10"/>
  <c r="AE180" i="10"/>
  <c r="AB180" i="10"/>
  <c r="AA180" i="10"/>
  <c r="Z180" i="10"/>
  <c r="W180" i="10"/>
  <c r="U180" i="10"/>
  <c r="T180" i="10"/>
  <c r="S180" i="10"/>
  <c r="R180" i="10"/>
  <c r="Q180" i="10"/>
  <c r="P180" i="10"/>
  <c r="O180" i="10"/>
  <c r="N180" i="10"/>
  <c r="M180" i="10"/>
  <c r="K180" i="10"/>
  <c r="I180" i="10"/>
  <c r="CQ179" i="10"/>
  <c r="CM179" i="10"/>
  <c r="CL179" i="10"/>
  <c r="CK179" i="10"/>
  <c r="CJ179" i="10"/>
  <c r="CH179" i="10"/>
  <c r="CF179" i="10"/>
  <c r="CE179" i="10"/>
  <c r="CD179" i="10"/>
  <c r="CC179" i="10"/>
  <c r="CB179" i="10"/>
  <c r="AN179" i="10"/>
  <c r="AK179" i="10"/>
  <c r="AJ179" i="10"/>
  <c r="AI179" i="10"/>
  <c r="AH179" i="10"/>
  <c r="AG179" i="10"/>
  <c r="AE179" i="10"/>
  <c r="AB179" i="10"/>
  <c r="AA179" i="10"/>
  <c r="Z179" i="10"/>
  <c r="W179" i="10"/>
  <c r="U179" i="10"/>
  <c r="T179" i="10"/>
  <c r="S179" i="10"/>
  <c r="R179" i="10"/>
  <c r="Q179" i="10"/>
  <c r="P179" i="10"/>
  <c r="O179" i="10"/>
  <c r="N179" i="10"/>
  <c r="M179" i="10"/>
  <c r="K179" i="10"/>
  <c r="I179" i="10"/>
  <c r="CQ178" i="10"/>
  <c r="CM178" i="10"/>
  <c r="CL178" i="10"/>
  <c r="CK178" i="10"/>
  <c r="CJ178" i="10"/>
  <c r="CH178" i="10"/>
  <c r="CF178" i="10"/>
  <c r="CE178" i="10"/>
  <c r="CD178" i="10"/>
  <c r="CC178" i="10"/>
  <c r="CB178" i="10"/>
  <c r="AN178" i="10"/>
  <c r="AK178" i="10"/>
  <c r="AJ178" i="10"/>
  <c r="AI178" i="10"/>
  <c r="AH178" i="10"/>
  <c r="AG178" i="10"/>
  <c r="AE178" i="10"/>
  <c r="AB178" i="10"/>
  <c r="AA178" i="10"/>
  <c r="Z178" i="10"/>
  <c r="W178" i="10"/>
  <c r="U178" i="10"/>
  <c r="T178" i="10"/>
  <c r="S178" i="10"/>
  <c r="R178" i="10"/>
  <c r="Q178" i="10"/>
  <c r="P178" i="10"/>
  <c r="O178" i="10"/>
  <c r="N178" i="10"/>
  <c r="M178" i="10"/>
  <c r="K178" i="10"/>
  <c r="I178" i="10"/>
  <c r="CQ177" i="10"/>
  <c r="CM177" i="10"/>
  <c r="CL177" i="10"/>
  <c r="CK177" i="10"/>
  <c r="CJ177" i="10"/>
  <c r="CH177" i="10"/>
  <c r="CF177" i="10"/>
  <c r="CE177" i="10"/>
  <c r="CD177" i="10"/>
  <c r="CC177" i="10"/>
  <c r="CB177" i="10"/>
  <c r="AN177" i="10"/>
  <c r="AK177" i="10"/>
  <c r="AJ177" i="10"/>
  <c r="AI177" i="10"/>
  <c r="AH177" i="10"/>
  <c r="AG177" i="10"/>
  <c r="AE177" i="10"/>
  <c r="AB177" i="10"/>
  <c r="Z177" i="10"/>
  <c r="W177" i="10"/>
  <c r="U177" i="10"/>
  <c r="T177" i="10"/>
  <c r="S177" i="10"/>
  <c r="R177" i="10"/>
  <c r="Q177" i="10"/>
  <c r="P177" i="10"/>
  <c r="O177" i="10"/>
  <c r="N177" i="10"/>
  <c r="M177" i="10"/>
  <c r="K177" i="10"/>
  <c r="I177" i="10"/>
  <c r="CQ176" i="10"/>
  <c r="CM176" i="10"/>
  <c r="CL176" i="10"/>
  <c r="CK176" i="10"/>
  <c r="CJ176" i="10"/>
  <c r="CH176" i="10"/>
  <c r="CF176" i="10"/>
  <c r="CE176" i="10"/>
  <c r="CD176" i="10"/>
  <c r="CC176" i="10"/>
  <c r="CB176" i="10"/>
  <c r="AN176" i="10"/>
  <c r="AK176" i="10"/>
  <c r="AJ176" i="10"/>
  <c r="AI176" i="10"/>
  <c r="AH176" i="10"/>
  <c r="AG176" i="10"/>
  <c r="AE176" i="10"/>
  <c r="AB176" i="10"/>
  <c r="AA176" i="10"/>
  <c r="Z176" i="10"/>
  <c r="W176" i="10"/>
  <c r="U176" i="10"/>
  <c r="T176" i="10"/>
  <c r="S176" i="10"/>
  <c r="R176" i="10"/>
  <c r="Q176" i="10"/>
  <c r="P176" i="10"/>
  <c r="O176" i="10"/>
  <c r="N176" i="10"/>
  <c r="M176" i="10"/>
  <c r="K176" i="10"/>
  <c r="I176" i="10"/>
  <c r="CQ175" i="10"/>
  <c r="CM175" i="10"/>
  <c r="CL175" i="10"/>
  <c r="CK175" i="10"/>
  <c r="CJ175" i="10"/>
  <c r="CH175" i="10"/>
  <c r="CF175" i="10"/>
  <c r="CE175" i="10"/>
  <c r="CD175" i="10"/>
  <c r="CC175" i="10"/>
  <c r="CB175" i="10"/>
  <c r="AN175" i="10"/>
  <c r="AK175" i="10"/>
  <c r="AJ175" i="10"/>
  <c r="AI175" i="10"/>
  <c r="AH175" i="10"/>
  <c r="AG175" i="10"/>
  <c r="AE175" i="10"/>
  <c r="AB175" i="10"/>
  <c r="AA175" i="10"/>
  <c r="Z175" i="10"/>
  <c r="W175" i="10"/>
  <c r="U175" i="10"/>
  <c r="T175" i="10"/>
  <c r="S175" i="10"/>
  <c r="R175" i="10"/>
  <c r="Q175" i="10"/>
  <c r="P175" i="10"/>
  <c r="O175" i="10"/>
  <c r="N175" i="10"/>
  <c r="M175" i="10"/>
  <c r="K175" i="10"/>
  <c r="I175" i="10"/>
  <c r="CQ174" i="10"/>
  <c r="CM174" i="10"/>
  <c r="CL174" i="10"/>
  <c r="CK174" i="10"/>
  <c r="CJ174" i="10"/>
  <c r="CH174" i="10"/>
  <c r="CF174" i="10"/>
  <c r="CE174" i="10"/>
  <c r="CD174" i="10"/>
  <c r="CC174" i="10"/>
  <c r="CB174" i="10"/>
  <c r="AN174" i="10"/>
  <c r="AK174" i="10"/>
  <c r="AJ174" i="10"/>
  <c r="AI174" i="10"/>
  <c r="AH174" i="10"/>
  <c r="AG174" i="10"/>
  <c r="AE174" i="10"/>
  <c r="AB174" i="10"/>
  <c r="AA174" i="10"/>
  <c r="Z174" i="10"/>
  <c r="W174" i="10"/>
  <c r="U174" i="10"/>
  <c r="T174" i="10"/>
  <c r="S174" i="10"/>
  <c r="R174" i="10"/>
  <c r="Q174" i="10"/>
  <c r="P174" i="10"/>
  <c r="O174" i="10"/>
  <c r="N174" i="10"/>
  <c r="M174" i="10"/>
  <c r="K174" i="10"/>
  <c r="I174" i="10"/>
  <c r="CQ173" i="10"/>
  <c r="CM173" i="10"/>
  <c r="CL173" i="10"/>
  <c r="CK173" i="10"/>
  <c r="CJ173" i="10"/>
  <c r="CH173" i="10"/>
  <c r="CF173" i="10"/>
  <c r="CE173" i="10"/>
  <c r="CD173" i="10"/>
  <c r="CC173" i="10"/>
  <c r="CB173" i="10"/>
  <c r="AN173" i="10"/>
  <c r="AK173" i="10"/>
  <c r="AJ173" i="10"/>
  <c r="AI173" i="10"/>
  <c r="AH173" i="10"/>
  <c r="AG173" i="10"/>
  <c r="AE173" i="10"/>
  <c r="AB173" i="10"/>
  <c r="AA173" i="10"/>
  <c r="Z173" i="10"/>
  <c r="W173" i="10"/>
  <c r="U173" i="10"/>
  <c r="T173" i="10"/>
  <c r="S173" i="10"/>
  <c r="R173" i="10"/>
  <c r="Q173" i="10"/>
  <c r="P173" i="10"/>
  <c r="O173" i="10"/>
  <c r="N173" i="10"/>
  <c r="M173" i="10"/>
  <c r="K173" i="10"/>
  <c r="I173" i="10"/>
  <c r="CQ172" i="10"/>
  <c r="CF172" i="10"/>
  <c r="CE172" i="10"/>
  <c r="CD172" i="10"/>
  <c r="CC172" i="10"/>
  <c r="CB172" i="10"/>
  <c r="AN172" i="10"/>
  <c r="AK172" i="10"/>
  <c r="AJ172" i="10"/>
  <c r="AI172" i="10"/>
  <c r="AH172" i="10"/>
  <c r="AG172" i="10"/>
  <c r="AE172" i="10"/>
  <c r="AB172" i="10"/>
  <c r="AA172" i="10"/>
  <c r="Z172" i="10"/>
  <c r="W172" i="10"/>
  <c r="U172" i="10"/>
  <c r="T172" i="10"/>
  <c r="S172" i="10"/>
  <c r="R172" i="10"/>
  <c r="Q172" i="10"/>
  <c r="P172" i="10"/>
  <c r="O172" i="10"/>
  <c r="N172" i="10"/>
  <c r="M172" i="10"/>
  <c r="K172" i="10"/>
  <c r="I172" i="10"/>
  <c r="CQ171" i="10"/>
  <c r="CM171" i="10"/>
  <c r="CL171" i="10"/>
  <c r="CK171" i="10"/>
  <c r="CJ171" i="10"/>
  <c r="CH171" i="10"/>
  <c r="CF171" i="10"/>
  <c r="CE171" i="10"/>
  <c r="CD171" i="10"/>
  <c r="CC171" i="10"/>
  <c r="CB171" i="10"/>
  <c r="AN171" i="10"/>
  <c r="AK171" i="10"/>
  <c r="AJ171" i="10"/>
  <c r="AI171" i="10"/>
  <c r="AH171" i="10"/>
  <c r="AG171" i="10"/>
  <c r="AE171" i="10"/>
  <c r="AB171" i="10"/>
  <c r="AA171" i="10"/>
  <c r="Z171" i="10"/>
  <c r="W171" i="10"/>
  <c r="U171" i="10"/>
  <c r="T171" i="10"/>
  <c r="S171" i="10"/>
  <c r="R171" i="10"/>
  <c r="Q171" i="10"/>
  <c r="P171" i="10"/>
  <c r="O171" i="10"/>
  <c r="N171" i="10"/>
  <c r="M171" i="10"/>
  <c r="K171" i="10"/>
  <c r="I171" i="10"/>
  <c r="CQ170" i="10"/>
  <c r="CM170" i="10"/>
  <c r="CL170" i="10"/>
  <c r="CK170" i="10"/>
  <c r="CJ170" i="10"/>
  <c r="CH170" i="10"/>
  <c r="CF170" i="10"/>
  <c r="CE170" i="10"/>
  <c r="CD170" i="10"/>
  <c r="CC170" i="10"/>
  <c r="CB170" i="10"/>
  <c r="AN170" i="10"/>
  <c r="AK170" i="10"/>
  <c r="AJ170" i="10"/>
  <c r="AI170" i="10"/>
  <c r="AH170" i="10"/>
  <c r="AG170" i="10"/>
  <c r="AE170" i="10"/>
  <c r="AB170" i="10"/>
  <c r="Z170" i="10"/>
  <c r="W170" i="10"/>
  <c r="U170" i="10"/>
  <c r="T170" i="10"/>
  <c r="S170" i="10"/>
  <c r="R170" i="10"/>
  <c r="Q170" i="10"/>
  <c r="P170" i="10"/>
  <c r="O170" i="10"/>
  <c r="N170" i="10"/>
  <c r="M170" i="10"/>
  <c r="K170" i="10"/>
  <c r="I170" i="10"/>
  <c r="CQ169" i="10"/>
  <c r="CM169" i="10"/>
  <c r="CL169" i="10"/>
  <c r="CK169" i="10"/>
  <c r="CJ169" i="10"/>
  <c r="CH169" i="10"/>
  <c r="CF169" i="10"/>
  <c r="CE169" i="10"/>
  <c r="CD169" i="10"/>
  <c r="CC169" i="10"/>
  <c r="CB169" i="10"/>
  <c r="AN169" i="10"/>
  <c r="AK169" i="10"/>
  <c r="AJ169" i="10"/>
  <c r="AI169" i="10"/>
  <c r="AH169" i="10"/>
  <c r="AG169" i="10"/>
  <c r="AE169" i="10"/>
  <c r="AB169" i="10"/>
  <c r="AA169" i="10"/>
  <c r="Z169" i="10"/>
  <c r="W169" i="10"/>
  <c r="U169" i="10"/>
  <c r="T169" i="10"/>
  <c r="S169" i="10"/>
  <c r="R169" i="10"/>
  <c r="Q169" i="10"/>
  <c r="P169" i="10"/>
  <c r="O169" i="10"/>
  <c r="N169" i="10"/>
  <c r="M169" i="10"/>
  <c r="K169" i="10"/>
  <c r="I169" i="10"/>
  <c r="CQ168" i="10"/>
  <c r="CM168" i="10"/>
  <c r="CL168" i="10"/>
  <c r="CK168" i="10"/>
  <c r="CJ168" i="10"/>
  <c r="CH168" i="10"/>
  <c r="CF168" i="10"/>
  <c r="CE168" i="10"/>
  <c r="CD168" i="10"/>
  <c r="CC168" i="10"/>
  <c r="CB168" i="10"/>
  <c r="AN168" i="10"/>
  <c r="AK168" i="10"/>
  <c r="AJ168" i="10"/>
  <c r="AI168" i="10"/>
  <c r="AH168" i="10"/>
  <c r="AG168" i="10"/>
  <c r="AE168" i="10"/>
  <c r="AB168" i="10"/>
  <c r="AA168" i="10"/>
  <c r="Z168" i="10"/>
  <c r="W168" i="10"/>
  <c r="U168" i="10"/>
  <c r="T168" i="10"/>
  <c r="S168" i="10"/>
  <c r="R168" i="10"/>
  <c r="Q168" i="10"/>
  <c r="P168" i="10"/>
  <c r="O168" i="10"/>
  <c r="N168" i="10"/>
  <c r="M168" i="10"/>
  <c r="K168" i="10"/>
  <c r="I168" i="10"/>
  <c r="CQ167" i="10"/>
  <c r="CM167" i="10"/>
  <c r="CL167" i="10"/>
  <c r="CK167" i="10"/>
  <c r="CJ167" i="10"/>
  <c r="CH167" i="10"/>
  <c r="CF167" i="10"/>
  <c r="CE167" i="10"/>
  <c r="CD167" i="10"/>
  <c r="CC167" i="10"/>
  <c r="CB167" i="10"/>
  <c r="AN167" i="10"/>
  <c r="AK167" i="10"/>
  <c r="AJ167" i="10"/>
  <c r="AI167" i="10"/>
  <c r="AH167" i="10"/>
  <c r="AG167" i="10"/>
  <c r="AE167" i="10"/>
  <c r="AB167" i="10"/>
  <c r="AA167" i="10"/>
  <c r="Z167" i="10"/>
  <c r="W167" i="10"/>
  <c r="U167" i="10"/>
  <c r="T167" i="10"/>
  <c r="S167" i="10"/>
  <c r="R167" i="10"/>
  <c r="Q167" i="10"/>
  <c r="P167" i="10"/>
  <c r="O167" i="10"/>
  <c r="N167" i="10"/>
  <c r="M167" i="10"/>
  <c r="K167" i="10"/>
  <c r="I167" i="10"/>
  <c r="CQ166" i="10"/>
  <c r="CM166" i="10"/>
  <c r="CL166" i="10"/>
  <c r="CK166" i="10"/>
  <c r="CJ166" i="10"/>
  <c r="CH166" i="10"/>
  <c r="CF166" i="10"/>
  <c r="CE166" i="10"/>
  <c r="CD166" i="10"/>
  <c r="CC166" i="10"/>
  <c r="CB166" i="10"/>
  <c r="AN166" i="10"/>
  <c r="AK166" i="10"/>
  <c r="AJ166" i="10"/>
  <c r="AI166" i="10"/>
  <c r="AH166" i="10"/>
  <c r="AG166" i="10"/>
  <c r="AE166" i="10"/>
  <c r="AB166" i="10"/>
  <c r="AA166" i="10"/>
  <c r="Z166" i="10"/>
  <c r="W166" i="10"/>
  <c r="U166" i="10"/>
  <c r="T166" i="10"/>
  <c r="S166" i="10"/>
  <c r="R166" i="10"/>
  <c r="Q166" i="10"/>
  <c r="P166" i="10"/>
  <c r="O166" i="10"/>
  <c r="N166" i="10"/>
  <c r="M166" i="10"/>
  <c r="K166" i="10"/>
  <c r="I166" i="10"/>
  <c r="CQ165" i="10"/>
  <c r="CM165" i="10"/>
  <c r="CL165" i="10"/>
  <c r="CK165" i="10"/>
  <c r="CJ165" i="10"/>
  <c r="CH165" i="10"/>
  <c r="CF165" i="10"/>
  <c r="CE165" i="10"/>
  <c r="CD165" i="10"/>
  <c r="CC165" i="10"/>
  <c r="CB165" i="10"/>
  <c r="AN165" i="10"/>
  <c r="AK165" i="10"/>
  <c r="AJ165" i="10"/>
  <c r="AI165" i="10"/>
  <c r="AH165" i="10"/>
  <c r="AG165" i="10"/>
  <c r="AE165" i="10"/>
  <c r="AB165" i="10"/>
  <c r="AA165" i="10"/>
  <c r="Z165" i="10"/>
  <c r="W165" i="10"/>
  <c r="U165" i="10"/>
  <c r="T165" i="10"/>
  <c r="S165" i="10"/>
  <c r="R165" i="10"/>
  <c r="Q165" i="10"/>
  <c r="P165" i="10"/>
  <c r="O165" i="10"/>
  <c r="N165" i="10"/>
  <c r="M165" i="10"/>
  <c r="K165" i="10"/>
  <c r="I165" i="10"/>
  <c r="CQ164" i="10"/>
  <c r="CM164" i="10"/>
  <c r="CL164" i="10"/>
  <c r="CK164" i="10"/>
  <c r="CJ164" i="10"/>
  <c r="CH164" i="10"/>
  <c r="CF164" i="10"/>
  <c r="CE164" i="10"/>
  <c r="CD164" i="10"/>
  <c r="CC164" i="10"/>
  <c r="CB164" i="10"/>
  <c r="AN164" i="10"/>
  <c r="AK164" i="10"/>
  <c r="AJ164" i="10"/>
  <c r="AI164" i="10"/>
  <c r="AH164" i="10"/>
  <c r="AG164" i="10"/>
  <c r="AE164" i="10"/>
  <c r="AB164" i="10"/>
  <c r="AA164" i="10"/>
  <c r="Z164" i="10"/>
  <c r="W164" i="10"/>
  <c r="U164" i="10"/>
  <c r="T164" i="10"/>
  <c r="S164" i="10"/>
  <c r="R164" i="10"/>
  <c r="Q164" i="10"/>
  <c r="P164" i="10"/>
  <c r="O164" i="10"/>
  <c r="N164" i="10"/>
  <c r="M164" i="10"/>
  <c r="K164" i="10"/>
  <c r="I164" i="10"/>
  <c r="CQ163" i="10"/>
  <c r="CM163" i="10"/>
  <c r="CL163" i="10"/>
  <c r="CK163" i="10"/>
  <c r="CJ163" i="10"/>
  <c r="CH163" i="10"/>
  <c r="CF163" i="10"/>
  <c r="CE163" i="10"/>
  <c r="CD163" i="10"/>
  <c r="CC163" i="10"/>
  <c r="CB163" i="10"/>
  <c r="AN163" i="10"/>
  <c r="AK163" i="10"/>
  <c r="AJ163" i="10"/>
  <c r="AI163" i="10"/>
  <c r="AH163" i="10"/>
  <c r="AG163" i="10"/>
  <c r="AE163" i="10"/>
  <c r="AB163" i="10"/>
  <c r="AA163" i="10"/>
  <c r="Z163" i="10"/>
  <c r="W163" i="10"/>
  <c r="U163" i="10"/>
  <c r="T163" i="10"/>
  <c r="S163" i="10"/>
  <c r="R163" i="10"/>
  <c r="Q163" i="10"/>
  <c r="P163" i="10"/>
  <c r="O163" i="10"/>
  <c r="N163" i="10"/>
  <c r="M163" i="10"/>
  <c r="K163" i="10"/>
  <c r="I163" i="10"/>
  <c r="CQ162" i="10"/>
  <c r="CF162" i="10"/>
  <c r="CE162" i="10"/>
  <c r="CD162" i="10"/>
  <c r="CC162" i="10"/>
  <c r="CB162" i="10"/>
  <c r="AN162" i="10"/>
  <c r="AK162" i="10"/>
  <c r="AJ162" i="10"/>
  <c r="AI162" i="10"/>
  <c r="AH162" i="10"/>
  <c r="AG162" i="10"/>
  <c r="AE162" i="10"/>
  <c r="AB162" i="10"/>
  <c r="AA162" i="10"/>
  <c r="Z162" i="10"/>
  <c r="W162" i="10"/>
  <c r="U162" i="10"/>
  <c r="T162" i="10"/>
  <c r="S162" i="10"/>
  <c r="R162" i="10"/>
  <c r="Q162" i="10"/>
  <c r="P162" i="10"/>
  <c r="O162" i="10"/>
  <c r="N162" i="10"/>
  <c r="M162" i="10"/>
  <c r="K162" i="10"/>
  <c r="I162" i="10"/>
  <c r="CQ161" i="10"/>
  <c r="CM161" i="10"/>
  <c r="CL161" i="10"/>
  <c r="CK161" i="10"/>
  <c r="CJ161" i="10"/>
  <c r="CH161" i="10"/>
  <c r="CF161" i="10"/>
  <c r="CE161" i="10"/>
  <c r="CD161" i="10"/>
  <c r="CC161" i="10"/>
  <c r="CB161" i="10"/>
  <c r="AN161" i="10"/>
  <c r="AK161" i="10"/>
  <c r="AJ161" i="10"/>
  <c r="AI161" i="10"/>
  <c r="AH161" i="10"/>
  <c r="AG161" i="10"/>
  <c r="AE161" i="10"/>
  <c r="AB161" i="10"/>
  <c r="AA161" i="10"/>
  <c r="Z161" i="10"/>
  <c r="W161" i="10"/>
  <c r="U161" i="10"/>
  <c r="T161" i="10"/>
  <c r="S161" i="10"/>
  <c r="R161" i="10"/>
  <c r="Q161" i="10"/>
  <c r="P161" i="10"/>
  <c r="O161" i="10"/>
  <c r="N161" i="10"/>
  <c r="M161" i="10"/>
  <c r="K161" i="10"/>
  <c r="I161" i="10"/>
  <c r="CQ160" i="10"/>
  <c r="CM160" i="10"/>
  <c r="CL160" i="10"/>
  <c r="CK160" i="10"/>
  <c r="CJ160" i="10"/>
  <c r="CH160" i="10"/>
  <c r="CF160" i="10"/>
  <c r="CE160" i="10"/>
  <c r="CD160" i="10"/>
  <c r="CC160" i="10"/>
  <c r="CB160" i="10"/>
  <c r="AN160" i="10"/>
  <c r="AK160" i="10"/>
  <c r="AJ160" i="10"/>
  <c r="AI160" i="10"/>
  <c r="AH160" i="10"/>
  <c r="AG160" i="10"/>
  <c r="AE160" i="10"/>
  <c r="AB160" i="10"/>
  <c r="AA160" i="10"/>
  <c r="Z160" i="10"/>
  <c r="W160" i="10"/>
  <c r="U160" i="10"/>
  <c r="T160" i="10"/>
  <c r="S160" i="10"/>
  <c r="R160" i="10"/>
  <c r="Q160" i="10"/>
  <c r="P160" i="10"/>
  <c r="O160" i="10"/>
  <c r="N160" i="10"/>
  <c r="M160" i="10"/>
  <c r="K160" i="10"/>
  <c r="I160" i="10"/>
  <c r="CQ159" i="10"/>
  <c r="CM159" i="10"/>
  <c r="CL159" i="10"/>
  <c r="CK159" i="10"/>
  <c r="CJ159" i="10"/>
  <c r="CH159" i="10"/>
  <c r="CF159" i="10"/>
  <c r="CE159" i="10"/>
  <c r="CD159" i="10"/>
  <c r="CC159" i="10"/>
  <c r="CB159" i="10"/>
  <c r="AN159" i="10"/>
  <c r="AK159" i="10"/>
  <c r="AJ159" i="10"/>
  <c r="AI159" i="10"/>
  <c r="AH159" i="10"/>
  <c r="AG159" i="10"/>
  <c r="AE159" i="10"/>
  <c r="AB159" i="10"/>
  <c r="AA159" i="10"/>
  <c r="Z159" i="10"/>
  <c r="W159" i="10"/>
  <c r="U159" i="10"/>
  <c r="T159" i="10"/>
  <c r="S159" i="10"/>
  <c r="R159" i="10"/>
  <c r="Q159" i="10"/>
  <c r="P159" i="10"/>
  <c r="O159" i="10"/>
  <c r="N159" i="10"/>
  <c r="M159" i="10"/>
  <c r="K159" i="10"/>
  <c r="I159" i="10"/>
  <c r="CQ158" i="10"/>
  <c r="CM158" i="10"/>
  <c r="CL158" i="10"/>
  <c r="CK158" i="10"/>
  <c r="CJ158" i="10"/>
  <c r="CH158" i="10"/>
  <c r="CF158" i="10"/>
  <c r="CE158" i="10"/>
  <c r="CD158" i="10"/>
  <c r="CC158" i="10"/>
  <c r="CB158" i="10"/>
  <c r="AN158" i="10"/>
  <c r="AK158" i="10"/>
  <c r="AJ158" i="10"/>
  <c r="AI158" i="10"/>
  <c r="AH158" i="10"/>
  <c r="AG158" i="10"/>
  <c r="AE158" i="10"/>
  <c r="AB158" i="10"/>
  <c r="AA158" i="10"/>
  <c r="Z158" i="10"/>
  <c r="W158" i="10"/>
  <c r="U158" i="10"/>
  <c r="T158" i="10"/>
  <c r="S158" i="10"/>
  <c r="R158" i="10"/>
  <c r="Q158" i="10"/>
  <c r="P158" i="10"/>
  <c r="O158" i="10"/>
  <c r="N158" i="10"/>
  <c r="M158" i="10"/>
  <c r="K158" i="10"/>
  <c r="I158" i="10"/>
  <c r="CQ157" i="10"/>
  <c r="CM157" i="10"/>
  <c r="CL157" i="10"/>
  <c r="CK157" i="10"/>
  <c r="CJ157" i="10"/>
  <c r="CH157" i="10"/>
  <c r="CF157" i="10"/>
  <c r="CE157" i="10"/>
  <c r="CD157" i="10"/>
  <c r="CC157" i="10"/>
  <c r="CB157" i="10"/>
  <c r="AN157" i="10"/>
  <c r="AK157" i="10"/>
  <c r="AJ157" i="10"/>
  <c r="AI157" i="10"/>
  <c r="AH157" i="10"/>
  <c r="AG157" i="10"/>
  <c r="AE157" i="10"/>
  <c r="AB157" i="10"/>
  <c r="AA157" i="10"/>
  <c r="Z157" i="10"/>
  <c r="W157" i="10"/>
  <c r="U157" i="10"/>
  <c r="T157" i="10"/>
  <c r="S157" i="10"/>
  <c r="R157" i="10"/>
  <c r="Q157" i="10"/>
  <c r="P157" i="10"/>
  <c r="O157" i="10"/>
  <c r="N157" i="10"/>
  <c r="M157" i="10"/>
  <c r="K157" i="10"/>
  <c r="I157" i="10"/>
  <c r="CQ156" i="10"/>
  <c r="CM156" i="10"/>
  <c r="CL156" i="10"/>
  <c r="CK156" i="10"/>
  <c r="CJ156" i="10"/>
  <c r="CH156" i="10"/>
  <c r="CF156" i="10"/>
  <c r="CE156" i="10"/>
  <c r="CD156" i="10"/>
  <c r="CC156" i="10"/>
  <c r="CB156" i="10"/>
  <c r="AN156" i="10"/>
  <c r="AK156" i="10"/>
  <c r="AJ156" i="10"/>
  <c r="AI156" i="10"/>
  <c r="AH156" i="10"/>
  <c r="AG156" i="10"/>
  <c r="AE156" i="10"/>
  <c r="AB156" i="10"/>
  <c r="AA156" i="10"/>
  <c r="Z156" i="10"/>
  <c r="W156" i="10"/>
  <c r="U156" i="10"/>
  <c r="T156" i="10"/>
  <c r="S156" i="10"/>
  <c r="R156" i="10"/>
  <c r="Q156" i="10"/>
  <c r="P156" i="10"/>
  <c r="O156" i="10"/>
  <c r="N156" i="10"/>
  <c r="M156" i="10"/>
  <c r="K156" i="10"/>
  <c r="I156" i="10"/>
  <c r="CQ155" i="10"/>
  <c r="CM155" i="10"/>
  <c r="CL155" i="10"/>
  <c r="CK155" i="10"/>
  <c r="CJ155" i="10"/>
  <c r="CH155" i="10"/>
  <c r="CF155" i="10"/>
  <c r="CE155" i="10"/>
  <c r="CD155" i="10"/>
  <c r="CC155" i="10"/>
  <c r="CB155" i="10"/>
  <c r="AN155" i="10"/>
  <c r="AK155" i="10"/>
  <c r="AJ155" i="10"/>
  <c r="AI155" i="10"/>
  <c r="AH155" i="10"/>
  <c r="AG155" i="10"/>
  <c r="AE155" i="10"/>
  <c r="AB155" i="10"/>
  <c r="AA155" i="10"/>
  <c r="Z155" i="10"/>
  <c r="W155" i="10"/>
  <c r="U155" i="10"/>
  <c r="T155" i="10"/>
  <c r="S155" i="10"/>
  <c r="R155" i="10"/>
  <c r="Q155" i="10"/>
  <c r="P155" i="10"/>
  <c r="O155" i="10"/>
  <c r="N155" i="10"/>
  <c r="M155" i="10"/>
  <c r="K155" i="10"/>
  <c r="I155" i="10"/>
  <c r="CQ154" i="10"/>
  <c r="CM154" i="10"/>
  <c r="CL154" i="10"/>
  <c r="CK154" i="10"/>
  <c r="CJ154" i="10"/>
  <c r="CH154" i="10"/>
  <c r="CF154" i="10"/>
  <c r="CE154" i="10"/>
  <c r="CD154" i="10"/>
  <c r="CC154" i="10"/>
  <c r="CB154" i="10"/>
  <c r="AN154" i="10"/>
  <c r="AK154" i="10"/>
  <c r="AJ154" i="10"/>
  <c r="AI154" i="10"/>
  <c r="AH154" i="10"/>
  <c r="AG154" i="10"/>
  <c r="AE154" i="10"/>
  <c r="AB154" i="10"/>
  <c r="AA154" i="10"/>
  <c r="Z154" i="10"/>
  <c r="W154" i="10"/>
  <c r="U154" i="10"/>
  <c r="T154" i="10"/>
  <c r="S154" i="10"/>
  <c r="R154" i="10"/>
  <c r="Q154" i="10"/>
  <c r="P154" i="10"/>
  <c r="O154" i="10"/>
  <c r="N154" i="10"/>
  <c r="M154" i="10"/>
  <c r="K154" i="10"/>
  <c r="I154" i="10"/>
  <c r="CQ153" i="10"/>
  <c r="CM153" i="10"/>
  <c r="CL153" i="10"/>
  <c r="CK153" i="10"/>
  <c r="CJ153" i="10"/>
  <c r="CH153" i="10"/>
  <c r="CF153" i="10"/>
  <c r="CE153" i="10"/>
  <c r="CD153" i="10"/>
  <c r="CC153" i="10"/>
  <c r="CB153" i="10"/>
  <c r="AN153" i="10"/>
  <c r="AK153" i="10"/>
  <c r="AJ153" i="10"/>
  <c r="AI153" i="10"/>
  <c r="AH153" i="10"/>
  <c r="AG153" i="10"/>
  <c r="AE153" i="10"/>
  <c r="AB153" i="10"/>
  <c r="AA153" i="10"/>
  <c r="Z153" i="10"/>
  <c r="W153" i="10"/>
  <c r="U153" i="10"/>
  <c r="T153" i="10"/>
  <c r="S153" i="10"/>
  <c r="R153" i="10"/>
  <c r="Q153" i="10"/>
  <c r="P153" i="10"/>
  <c r="O153" i="10"/>
  <c r="N153" i="10"/>
  <c r="M153" i="10"/>
  <c r="K153" i="10"/>
  <c r="I153" i="10"/>
  <c r="CQ152" i="10"/>
  <c r="CM152" i="10"/>
  <c r="CL152" i="10"/>
  <c r="CK152" i="10"/>
  <c r="CJ152" i="10"/>
  <c r="CH152" i="10"/>
  <c r="CF152" i="10"/>
  <c r="CE152" i="10"/>
  <c r="CD152" i="10"/>
  <c r="CC152" i="10"/>
  <c r="CB152" i="10"/>
  <c r="AN152" i="10"/>
  <c r="AK152" i="10"/>
  <c r="AJ152" i="10"/>
  <c r="AI152" i="10"/>
  <c r="AH152" i="10"/>
  <c r="AG152" i="10"/>
  <c r="AE152" i="10"/>
  <c r="AB152" i="10"/>
  <c r="AA152" i="10"/>
  <c r="Z152" i="10"/>
  <c r="W152" i="10"/>
  <c r="U152" i="10"/>
  <c r="T152" i="10"/>
  <c r="S152" i="10"/>
  <c r="R152" i="10"/>
  <c r="Q152" i="10"/>
  <c r="P152" i="10"/>
  <c r="O152" i="10"/>
  <c r="N152" i="10"/>
  <c r="M152" i="10"/>
  <c r="K152" i="10"/>
  <c r="I152" i="10"/>
  <c r="CQ151" i="10"/>
  <c r="CM151" i="10"/>
  <c r="CL151" i="10"/>
  <c r="CK151" i="10"/>
  <c r="CJ151" i="10"/>
  <c r="CH151" i="10"/>
  <c r="CF151" i="10"/>
  <c r="CE151" i="10"/>
  <c r="CD151" i="10"/>
  <c r="CC151" i="10"/>
  <c r="CB151" i="10"/>
  <c r="AN151" i="10"/>
  <c r="AK151" i="10"/>
  <c r="AJ151" i="10"/>
  <c r="AI151" i="10"/>
  <c r="AH151" i="10"/>
  <c r="AG151" i="10"/>
  <c r="AE151" i="10"/>
  <c r="AB151" i="10"/>
  <c r="AA151" i="10"/>
  <c r="Z151" i="10"/>
  <c r="W151" i="10"/>
  <c r="U151" i="10"/>
  <c r="T151" i="10"/>
  <c r="S151" i="10"/>
  <c r="R151" i="10"/>
  <c r="Q151" i="10"/>
  <c r="P151" i="10"/>
  <c r="O151" i="10"/>
  <c r="N151" i="10"/>
  <c r="M151" i="10"/>
  <c r="K151" i="10"/>
  <c r="I151" i="10"/>
  <c r="CQ150" i="10"/>
  <c r="CM150" i="10"/>
  <c r="CL150" i="10"/>
  <c r="CK150" i="10"/>
  <c r="CJ150" i="10"/>
  <c r="CH150" i="10"/>
  <c r="CF150" i="10"/>
  <c r="CE150" i="10"/>
  <c r="CD150" i="10"/>
  <c r="CC150" i="10"/>
  <c r="CB150" i="10"/>
  <c r="AN150" i="10"/>
  <c r="AK150" i="10"/>
  <c r="AJ150" i="10"/>
  <c r="AI150" i="10"/>
  <c r="AH150" i="10"/>
  <c r="AG150" i="10"/>
  <c r="AE150" i="10"/>
  <c r="AB150" i="10"/>
  <c r="AA150" i="10"/>
  <c r="Z150" i="10"/>
  <c r="W150" i="10"/>
  <c r="U150" i="10"/>
  <c r="T150" i="10"/>
  <c r="S150" i="10"/>
  <c r="R150" i="10"/>
  <c r="Q150" i="10"/>
  <c r="P150" i="10"/>
  <c r="O150" i="10"/>
  <c r="N150" i="10"/>
  <c r="M150" i="10"/>
  <c r="K150" i="10"/>
  <c r="I150" i="10"/>
  <c r="CQ149" i="10"/>
  <c r="CF149" i="10"/>
  <c r="CE149" i="10"/>
  <c r="CD149" i="10"/>
  <c r="CC149" i="10"/>
  <c r="CB149" i="10"/>
  <c r="AN149" i="10"/>
  <c r="AK149" i="10"/>
  <c r="AJ149" i="10"/>
  <c r="AI149" i="10"/>
  <c r="AH149" i="10"/>
  <c r="AG149" i="10"/>
  <c r="AE149" i="10"/>
  <c r="AB149" i="10"/>
  <c r="AA149" i="10"/>
  <c r="Z149" i="10"/>
  <c r="W149" i="10"/>
  <c r="U149" i="10"/>
  <c r="T149" i="10"/>
  <c r="S149" i="10"/>
  <c r="R149" i="10"/>
  <c r="Q149" i="10"/>
  <c r="P149" i="10"/>
  <c r="O149" i="10"/>
  <c r="N149" i="10"/>
  <c r="M149" i="10"/>
  <c r="K149" i="10"/>
  <c r="I149" i="10"/>
  <c r="CQ148" i="10"/>
  <c r="CM148" i="10"/>
  <c r="CL148" i="10"/>
  <c r="CK148" i="10"/>
  <c r="CJ148" i="10"/>
  <c r="CH148" i="10"/>
  <c r="CF148" i="10"/>
  <c r="CE148" i="10"/>
  <c r="CD148" i="10"/>
  <c r="CC148" i="10"/>
  <c r="CB148" i="10"/>
  <c r="AN148" i="10"/>
  <c r="AK148" i="10"/>
  <c r="AJ148" i="10"/>
  <c r="AI148" i="10"/>
  <c r="AH148" i="10"/>
  <c r="AG148" i="10"/>
  <c r="AE148" i="10"/>
  <c r="AB148" i="10"/>
  <c r="AA148" i="10"/>
  <c r="Z148" i="10"/>
  <c r="W148" i="10"/>
  <c r="U148" i="10"/>
  <c r="T148" i="10"/>
  <c r="S148" i="10"/>
  <c r="R148" i="10"/>
  <c r="Q148" i="10"/>
  <c r="P148" i="10"/>
  <c r="O148" i="10"/>
  <c r="N148" i="10"/>
  <c r="M148" i="10"/>
  <c r="K148" i="10"/>
  <c r="I148" i="10"/>
  <c r="CQ147" i="10"/>
  <c r="CM147" i="10"/>
  <c r="CL147" i="10"/>
  <c r="CK147" i="10"/>
  <c r="CJ147" i="10"/>
  <c r="CH147" i="10"/>
  <c r="CF147" i="10"/>
  <c r="CE147" i="10"/>
  <c r="CD147" i="10"/>
  <c r="CC147" i="10"/>
  <c r="CB147" i="10"/>
  <c r="AN147" i="10"/>
  <c r="AK147" i="10"/>
  <c r="AJ147" i="10"/>
  <c r="AI147" i="10"/>
  <c r="AH147" i="10"/>
  <c r="AG147" i="10"/>
  <c r="AE147" i="10"/>
  <c r="AB147" i="10"/>
  <c r="AA147" i="10"/>
  <c r="Z147" i="10"/>
  <c r="W147" i="10"/>
  <c r="U147" i="10"/>
  <c r="T147" i="10"/>
  <c r="S147" i="10"/>
  <c r="R147" i="10"/>
  <c r="Q147" i="10"/>
  <c r="P147" i="10"/>
  <c r="O147" i="10"/>
  <c r="N147" i="10"/>
  <c r="M147" i="10"/>
  <c r="K147" i="10"/>
  <c r="I147" i="10"/>
  <c r="CQ146" i="10"/>
  <c r="CM146" i="10"/>
  <c r="CL146" i="10"/>
  <c r="CK146" i="10"/>
  <c r="CJ146" i="10"/>
  <c r="CH146" i="10"/>
  <c r="CF146" i="10"/>
  <c r="CE146" i="10"/>
  <c r="CD146" i="10"/>
  <c r="CC146" i="10"/>
  <c r="CB146" i="10"/>
  <c r="AN146" i="10"/>
  <c r="AK146" i="10"/>
  <c r="AJ146" i="10"/>
  <c r="AI146" i="10"/>
  <c r="AH146" i="10"/>
  <c r="AG146" i="10"/>
  <c r="AE146" i="10"/>
  <c r="AB146" i="10"/>
  <c r="AA146" i="10"/>
  <c r="Z146" i="10"/>
  <c r="W146" i="10"/>
  <c r="U146" i="10"/>
  <c r="T146" i="10"/>
  <c r="S146" i="10"/>
  <c r="R146" i="10"/>
  <c r="Q146" i="10"/>
  <c r="P146" i="10"/>
  <c r="O146" i="10"/>
  <c r="N146" i="10"/>
  <c r="M146" i="10"/>
  <c r="K146" i="10"/>
  <c r="I146" i="10"/>
  <c r="CQ145" i="10"/>
  <c r="CM145" i="10"/>
  <c r="CL145" i="10"/>
  <c r="CK145" i="10"/>
  <c r="CJ145" i="10"/>
  <c r="CH145" i="10"/>
  <c r="CF145" i="10"/>
  <c r="CE145" i="10"/>
  <c r="CD145" i="10"/>
  <c r="CC145" i="10"/>
  <c r="CB145" i="10"/>
  <c r="AN145" i="10"/>
  <c r="AK145" i="10"/>
  <c r="AJ145" i="10"/>
  <c r="AI145" i="10"/>
  <c r="AH145" i="10"/>
  <c r="AG145" i="10"/>
  <c r="AE145" i="10"/>
  <c r="AB145" i="10"/>
  <c r="AA145" i="10"/>
  <c r="Z145" i="10"/>
  <c r="W145" i="10"/>
  <c r="U145" i="10"/>
  <c r="T145" i="10"/>
  <c r="S145" i="10"/>
  <c r="R145" i="10"/>
  <c r="Q145" i="10"/>
  <c r="P145" i="10"/>
  <c r="O145" i="10"/>
  <c r="N145" i="10"/>
  <c r="M145" i="10"/>
  <c r="K145" i="10"/>
  <c r="I145" i="10"/>
  <c r="CQ144" i="10"/>
  <c r="CM144" i="10"/>
  <c r="CL144" i="10"/>
  <c r="CK144" i="10"/>
  <c r="CJ144" i="10"/>
  <c r="CH144" i="10"/>
  <c r="CF144" i="10"/>
  <c r="CE144" i="10"/>
  <c r="CD144" i="10"/>
  <c r="CC144" i="10"/>
  <c r="CB144" i="10"/>
  <c r="AN144" i="10"/>
  <c r="AK144" i="10"/>
  <c r="AJ144" i="10"/>
  <c r="AI144" i="10"/>
  <c r="AH144" i="10"/>
  <c r="AG144" i="10"/>
  <c r="AE144" i="10"/>
  <c r="AB144" i="10"/>
  <c r="AA144" i="10"/>
  <c r="Z144" i="10"/>
  <c r="W144" i="10"/>
  <c r="U144" i="10"/>
  <c r="T144" i="10"/>
  <c r="S144" i="10"/>
  <c r="R144" i="10"/>
  <c r="Q144" i="10"/>
  <c r="P144" i="10"/>
  <c r="O144" i="10"/>
  <c r="N144" i="10"/>
  <c r="M144" i="10"/>
  <c r="K144" i="10"/>
  <c r="I144" i="10"/>
  <c r="CQ143" i="10"/>
  <c r="CM143" i="10"/>
  <c r="CL143" i="10"/>
  <c r="CK143" i="10"/>
  <c r="CJ143" i="10"/>
  <c r="CH143" i="10"/>
  <c r="CF143" i="10"/>
  <c r="CE143" i="10"/>
  <c r="CD143" i="10"/>
  <c r="CC143" i="10"/>
  <c r="CB143" i="10"/>
  <c r="AN143" i="10"/>
  <c r="AK143" i="10"/>
  <c r="AJ143" i="10"/>
  <c r="AI143" i="10"/>
  <c r="AH143" i="10"/>
  <c r="AG143" i="10"/>
  <c r="AE143" i="10"/>
  <c r="AB143" i="10"/>
  <c r="AA143" i="10"/>
  <c r="Z143" i="10"/>
  <c r="W143" i="10"/>
  <c r="U143" i="10"/>
  <c r="T143" i="10"/>
  <c r="S143" i="10"/>
  <c r="R143" i="10"/>
  <c r="Q143" i="10"/>
  <c r="P143" i="10"/>
  <c r="O143" i="10"/>
  <c r="N143" i="10"/>
  <c r="M143" i="10"/>
  <c r="K143" i="10"/>
  <c r="I143" i="10"/>
  <c r="CQ142" i="10"/>
  <c r="CM142" i="10"/>
  <c r="CL142" i="10"/>
  <c r="CK142" i="10"/>
  <c r="CJ142" i="10"/>
  <c r="CH142" i="10"/>
  <c r="CF142" i="10"/>
  <c r="CE142" i="10"/>
  <c r="CD142" i="10"/>
  <c r="CC142" i="10"/>
  <c r="CB142" i="10"/>
  <c r="AN142" i="10"/>
  <c r="AK142" i="10"/>
  <c r="AJ142" i="10"/>
  <c r="AI142" i="10"/>
  <c r="AH142" i="10"/>
  <c r="AG142" i="10"/>
  <c r="AE142" i="10"/>
  <c r="AB142" i="10"/>
  <c r="AA142" i="10"/>
  <c r="Z142" i="10"/>
  <c r="W142" i="10"/>
  <c r="U142" i="10"/>
  <c r="T142" i="10"/>
  <c r="S142" i="10"/>
  <c r="R142" i="10"/>
  <c r="Q142" i="10"/>
  <c r="P142" i="10"/>
  <c r="O142" i="10"/>
  <c r="N142" i="10"/>
  <c r="M142" i="10"/>
  <c r="K142" i="10"/>
  <c r="I142" i="10"/>
  <c r="CQ141" i="10"/>
  <c r="CM141" i="10"/>
  <c r="CL141" i="10"/>
  <c r="CK141" i="10"/>
  <c r="CJ141" i="10"/>
  <c r="CH141" i="10"/>
  <c r="CF141" i="10"/>
  <c r="CE141" i="10"/>
  <c r="CD141" i="10"/>
  <c r="CC141" i="10"/>
  <c r="CB141" i="10"/>
  <c r="AN141" i="10"/>
  <c r="AK141" i="10"/>
  <c r="AJ141" i="10"/>
  <c r="AI141" i="10"/>
  <c r="AH141" i="10"/>
  <c r="AG141" i="10"/>
  <c r="AE141" i="10"/>
  <c r="AB141" i="10"/>
  <c r="AA141" i="10"/>
  <c r="Z141" i="10"/>
  <c r="W141" i="10"/>
  <c r="U141" i="10"/>
  <c r="T141" i="10"/>
  <c r="S141" i="10"/>
  <c r="R141" i="10"/>
  <c r="Q141" i="10"/>
  <c r="P141" i="10"/>
  <c r="O141" i="10"/>
  <c r="N141" i="10"/>
  <c r="M141" i="10"/>
  <c r="K141" i="10"/>
  <c r="I141" i="10"/>
  <c r="CQ140" i="10"/>
  <c r="CM140" i="10"/>
  <c r="CL140" i="10"/>
  <c r="CK140" i="10"/>
  <c r="CJ140" i="10"/>
  <c r="CH140" i="10"/>
  <c r="CF140" i="10"/>
  <c r="CE140" i="10"/>
  <c r="CD140" i="10"/>
  <c r="CC140" i="10"/>
  <c r="CB140" i="10"/>
  <c r="AN140" i="10"/>
  <c r="AK140" i="10"/>
  <c r="AJ140" i="10"/>
  <c r="AI140" i="10"/>
  <c r="AH140" i="10"/>
  <c r="AG140" i="10"/>
  <c r="AE140" i="10"/>
  <c r="AB140" i="10"/>
  <c r="AA140" i="10"/>
  <c r="Z140" i="10"/>
  <c r="W140" i="10"/>
  <c r="U140" i="10"/>
  <c r="T140" i="10"/>
  <c r="S140" i="10"/>
  <c r="R140" i="10"/>
  <c r="Q140" i="10"/>
  <c r="P140" i="10"/>
  <c r="O140" i="10"/>
  <c r="N140" i="10"/>
  <c r="M140" i="10"/>
  <c r="K140" i="10"/>
  <c r="I140" i="10"/>
  <c r="CQ139" i="10"/>
  <c r="CM139" i="10"/>
  <c r="CL139" i="10"/>
  <c r="CK139" i="10"/>
  <c r="CJ139" i="10"/>
  <c r="CH139" i="10"/>
  <c r="CF139" i="10"/>
  <c r="CE139" i="10"/>
  <c r="CD139" i="10"/>
  <c r="CC139" i="10"/>
  <c r="CB139" i="10"/>
  <c r="AN139" i="10"/>
  <c r="AK139" i="10"/>
  <c r="AJ139" i="10"/>
  <c r="AI139" i="10"/>
  <c r="AH139" i="10"/>
  <c r="AG139" i="10"/>
  <c r="AE139" i="10"/>
  <c r="AB139" i="10"/>
  <c r="AA139" i="10"/>
  <c r="Z139" i="10"/>
  <c r="W139" i="10"/>
  <c r="U139" i="10"/>
  <c r="T139" i="10"/>
  <c r="S139" i="10"/>
  <c r="R139" i="10"/>
  <c r="Q139" i="10"/>
  <c r="P139" i="10"/>
  <c r="O139" i="10"/>
  <c r="N139" i="10"/>
  <c r="M139" i="10"/>
  <c r="K139" i="10"/>
  <c r="I139" i="10"/>
  <c r="CQ138" i="10"/>
  <c r="CM138" i="10"/>
  <c r="CL138" i="10"/>
  <c r="CK138" i="10"/>
  <c r="CJ138" i="10"/>
  <c r="CH138" i="10"/>
  <c r="CF138" i="10"/>
  <c r="CE138" i="10"/>
  <c r="CD138" i="10"/>
  <c r="CC138" i="10"/>
  <c r="CB138" i="10"/>
  <c r="AN138" i="10"/>
  <c r="AK138" i="10"/>
  <c r="AJ138" i="10"/>
  <c r="AI138" i="10"/>
  <c r="AH138" i="10"/>
  <c r="AG138" i="10"/>
  <c r="AE138" i="10"/>
  <c r="AB138" i="10"/>
  <c r="AA138" i="10"/>
  <c r="Z138" i="10"/>
  <c r="W138" i="10"/>
  <c r="U138" i="10"/>
  <c r="T138" i="10"/>
  <c r="S138" i="10"/>
  <c r="R138" i="10"/>
  <c r="Q138" i="10"/>
  <c r="P138" i="10"/>
  <c r="O138" i="10"/>
  <c r="N138" i="10"/>
  <c r="M138" i="10"/>
  <c r="K138" i="10"/>
  <c r="I138" i="10"/>
  <c r="CQ137" i="10"/>
  <c r="CM137" i="10"/>
  <c r="CL137" i="10"/>
  <c r="CK137" i="10"/>
  <c r="CJ137" i="10"/>
  <c r="CH137" i="10"/>
  <c r="CF137" i="10"/>
  <c r="CE137" i="10"/>
  <c r="CD137" i="10"/>
  <c r="CC137" i="10"/>
  <c r="CB137" i="10"/>
  <c r="AN137" i="10"/>
  <c r="AK137" i="10"/>
  <c r="AJ137" i="10"/>
  <c r="AI137" i="10"/>
  <c r="AH137" i="10"/>
  <c r="AG137" i="10"/>
  <c r="AE137" i="10"/>
  <c r="AB137" i="10"/>
  <c r="AA137" i="10"/>
  <c r="Z137" i="10"/>
  <c r="W137" i="10"/>
  <c r="U137" i="10"/>
  <c r="T137" i="10"/>
  <c r="S137" i="10"/>
  <c r="R137" i="10"/>
  <c r="Q137" i="10"/>
  <c r="P137" i="10"/>
  <c r="O137" i="10"/>
  <c r="N137" i="10"/>
  <c r="M137" i="10"/>
  <c r="K137" i="10"/>
  <c r="I137" i="10"/>
  <c r="CQ136" i="10"/>
  <c r="CM136" i="10"/>
  <c r="CL136" i="10"/>
  <c r="CK136" i="10"/>
  <c r="CJ136" i="10"/>
  <c r="CH136" i="10"/>
  <c r="CF136" i="10"/>
  <c r="CE136" i="10"/>
  <c r="CD136" i="10"/>
  <c r="CC136" i="10"/>
  <c r="CB136" i="10"/>
  <c r="AN136" i="10"/>
  <c r="AK136" i="10"/>
  <c r="AJ136" i="10"/>
  <c r="AI136" i="10"/>
  <c r="AH136" i="10"/>
  <c r="AG136" i="10"/>
  <c r="AE136" i="10"/>
  <c r="AB136" i="10"/>
  <c r="AA136" i="10"/>
  <c r="Z136" i="10"/>
  <c r="W136" i="10"/>
  <c r="U136" i="10"/>
  <c r="T136" i="10"/>
  <c r="S136" i="10"/>
  <c r="R136" i="10"/>
  <c r="Q136" i="10"/>
  <c r="P136" i="10"/>
  <c r="O136" i="10"/>
  <c r="N136" i="10"/>
  <c r="M136" i="10"/>
  <c r="K136" i="10"/>
  <c r="I136" i="10"/>
  <c r="CQ135" i="10"/>
  <c r="CM135" i="10"/>
  <c r="CL135" i="10"/>
  <c r="CK135" i="10"/>
  <c r="CJ135" i="10"/>
  <c r="CH135" i="10"/>
  <c r="CF135" i="10"/>
  <c r="CE135" i="10"/>
  <c r="CD135" i="10"/>
  <c r="CC135" i="10"/>
  <c r="CB135" i="10"/>
  <c r="AN135" i="10"/>
  <c r="AK135" i="10"/>
  <c r="AJ135" i="10"/>
  <c r="AI135" i="10"/>
  <c r="AH135" i="10"/>
  <c r="AG135" i="10"/>
  <c r="AE135" i="10"/>
  <c r="AB135" i="10"/>
  <c r="AA135" i="10"/>
  <c r="Z135" i="10"/>
  <c r="W135" i="10"/>
  <c r="U135" i="10"/>
  <c r="T135" i="10"/>
  <c r="S135" i="10"/>
  <c r="R135" i="10"/>
  <c r="Q135" i="10"/>
  <c r="P135" i="10"/>
  <c r="O135" i="10"/>
  <c r="N135" i="10"/>
  <c r="M135" i="10"/>
  <c r="K135" i="10"/>
  <c r="I135" i="10"/>
  <c r="CQ134" i="10"/>
  <c r="CM134" i="10"/>
  <c r="CL134" i="10"/>
  <c r="CK134" i="10"/>
  <c r="CJ134" i="10"/>
  <c r="CH134" i="10"/>
  <c r="CF134" i="10"/>
  <c r="CE134" i="10"/>
  <c r="CD134" i="10"/>
  <c r="CC134" i="10"/>
  <c r="CB134" i="10"/>
  <c r="AN134" i="10"/>
  <c r="AK134" i="10"/>
  <c r="AJ134" i="10"/>
  <c r="AI134" i="10"/>
  <c r="AH134" i="10"/>
  <c r="AG134" i="10"/>
  <c r="AE134" i="10"/>
  <c r="AB134" i="10"/>
  <c r="AA134" i="10"/>
  <c r="Z134" i="10"/>
  <c r="W134" i="10"/>
  <c r="U134" i="10"/>
  <c r="T134" i="10"/>
  <c r="S134" i="10"/>
  <c r="R134" i="10"/>
  <c r="Q134" i="10"/>
  <c r="P134" i="10"/>
  <c r="O134" i="10"/>
  <c r="N134" i="10"/>
  <c r="M134" i="10"/>
  <c r="K134" i="10"/>
  <c r="I134" i="10"/>
  <c r="CQ133" i="10"/>
  <c r="CM133" i="10"/>
  <c r="CL133" i="10"/>
  <c r="CK133" i="10"/>
  <c r="CJ133" i="10"/>
  <c r="CH133" i="10"/>
  <c r="CF133" i="10"/>
  <c r="CE133" i="10"/>
  <c r="CD133" i="10"/>
  <c r="CC133" i="10"/>
  <c r="CB133" i="10"/>
  <c r="AN133" i="10"/>
  <c r="AK133" i="10"/>
  <c r="AJ133" i="10"/>
  <c r="AI133" i="10"/>
  <c r="AH133" i="10"/>
  <c r="AG133" i="10"/>
  <c r="AE133" i="10"/>
  <c r="AB133" i="10"/>
  <c r="AA133" i="10"/>
  <c r="Z133" i="10"/>
  <c r="W133" i="10"/>
  <c r="U133" i="10"/>
  <c r="T133" i="10"/>
  <c r="S133" i="10"/>
  <c r="R133" i="10"/>
  <c r="Q133" i="10"/>
  <c r="P133" i="10"/>
  <c r="O133" i="10"/>
  <c r="N133" i="10"/>
  <c r="M133" i="10"/>
  <c r="K133" i="10"/>
  <c r="I133" i="10"/>
  <c r="CQ132" i="10"/>
  <c r="CM132" i="10"/>
  <c r="CL132" i="10"/>
  <c r="CK132" i="10"/>
  <c r="CJ132" i="10"/>
  <c r="CH132" i="10"/>
  <c r="CF132" i="10"/>
  <c r="CE132" i="10"/>
  <c r="CD132" i="10"/>
  <c r="CC132" i="10"/>
  <c r="CB132" i="10"/>
  <c r="AN132" i="10"/>
  <c r="AK132" i="10"/>
  <c r="AJ132" i="10"/>
  <c r="AI132" i="10"/>
  <c r="AH132" i="10"/>
  <c r="AG132" i="10"/>
  <c r="AE132" i="10"/>
  <c r="AB132" i="10"/>
  <c r="AA132" i="10"/>
  <c r="Z132" i="10"/>
  <c r="W132" i="10"/>
  <c r="U132" i="10"/>
  <c r="T132" i="10"/>
  <c r="S132" i="10"/>
  <c r="R132" i="10"/>
  <c r="Q132" i="10"/>
  <c r="P132" i="10"/>
  <c r="O132" i="10"/>
  <c r="N132" i="10"/>
  <c r="M132" i="10"/>
  <c r="K132" i="10"/>
  <c r="I132" i="10"/>
  <c r="CQ131" i="10"/>
  <c r="CM131" i="10"/>
  <c r="CL131" i="10"/>
  <c r="CK131" i="10"/>
  <c r="CJ131" i="10"/>
  <c r="CH131" i="10"/>
  <c r="CF131" i="10"/>
  <c r="CE131" i="10"/>
  <c r="CD131" i="10"/>
  <c r="CC131" i="10"/>
  <c r="CB131" i="10"/>
  <c r="AN131" i="10"/>
  <c r="AK131" i="10"/>
  <c r="AJ131" i="10"/>
  <c r="AI131" i="10"/>
  <c r="AH131" i="10"/>
  <c r="AG131" i="10"/>
  <c r="AE131" i="10"/>
  <c r="AB131" i="10"/>
  <c r="AA131" i="10"/>
  <c r="Z131" i="10"/>
  <c r="W131" i="10"/>
  <c r="U131" i="10"/>
  <c r="T131" i="10"/>
  <c r="S131" i="10"/>
  <c r="R131" i="10"/>
  <c r="Q131" i="10"/>
  <c r="P131" i="10"/>
  <c r="O131" i="10"/>
  <c r="N131" i="10"/>
  <c r="M131" i="10"/>
  <c r="K131" i="10"/>
  <c r="I131" i="10"/>
  <c r="CQ130" i="10"/>
  <c r="CM130" i="10"/>
  <c r="CL130" i="10"/>
  <c r="CK130" i="10"/>
  <c r="CJ130" i="10"/>
  <c r="CH130" i="10"/>
  <c r="CF130" i="10"/>
  <c r="CE130" i="10"/>
  <c r="CD130" i="10"/>
  <c r="CC130" i="10"/>
  <c r="CB130" i="10"/>
  <c r="AN130" i="10"/>
  <c r="AK130" i="10"/>
  <c r="AJ130" i="10"/>
  <c r="AI130" i="10"/>
  <c r="AH130" i="10"/>
  <c r="AG130" i="10"/>
  <c r="AE130" i="10"/>
  <c r="AB130" i="10"/>
  <c r="AA130" i="10"/>
  <c r="Z130" i="10"/>
  <c r="W130" i="10"/>
  <c r="U130" i="10"/>
  <c r="T130" i="10"/>
  <c r="S130" i="10"/>
  <c r="R130" i="10"/>
  <c r="Q130" i="10"/>
  <c r="P130" i="10"/>
  <c r="O130" i="10"/>
  <c r="N130" i="10"/>
  <c r="M130" i="10"/>
  <c r="K130" i="10"/>
  <c r="I130" i="10"/>
  <c r="CQ129" i="10"/>
  <c r="CM129" i="10"/>
  <c r="CL129" i="10"/>
  <c r="CK129" i="10"/>
  <c r="CJ129" i="10"/>
  <c r="CH129" i="10"/>
  <c r="CF129" i="10"/>
  <c r="CE129" i="10"/>
  <c r="CD129" i="10"/>
  <c r="CC129" i="10"/>
  <c r="CB129" i="10"/>
  <c r="AN129" i="10"/>
  <c r="AK129" i="10"/>
  <c r="AJ129" i="10"/>
  <c r="AI129" i="10"/>
  <c r="AH129" i="10"/>
  <c r="AG129" i="10"/>
  <c r="AE129" i="10"/>
  <c r="AB129" i="10"/>
  <c r="AA129" i="10"/>
  <c r="Z129" i="10"/>
  <c r="W129" i="10"/>
  <c r="U129" i="10"/>
  <c r="T129" i="10"/>
  <c r="S129" i="10"/>
  <c r="R129" i="10"/>
  <c r="Q129" i="10"/>
  <c r="P129" i="10"/>
  <c r="O129" i="10"/>
  <c r="N129" i="10"/>
  <c r="M129" i="10"/>
  <c r="K129" i="10"/>
  <c r="I129" i="10"/>
  <c r="CQ128" i="10"/>
  <c r="CM128" i="10"/>
  <c r="CL128" i="10"/>
  <c r="CK128" i="10"/>
  <c r="CJ128" i="10"/>
  <c r="CH128" i="10"/>
  <c r="CF128" i="10"/>
  <c r="CE128" i="10"/>
  <c r="CD128" i="10"/>
  <c r="CC128" i="10"/>
  <c r="CB128" i="10"/>
  <c r="AN128" i="10"/>
  <c r="AK128" i="10"/>
  <c r="AJ128" i="10"/>
  <c r="AI128" i="10"/>
  <c r="AH128" i="10"/>
  <c r="AG128" i="10"/>
  <c r="AE128" i="10"/>
  <c r="AB128" i="10"/>
  <c r="AA128" i="10"/>
  <c r="Z128" i="10"/>
  <c r="W128" i="10"/>
  <c r="U128" i="10"/>
  <c r="T128" i="10"/>
  <c r="S128" i="10"/>
  <c r="R128" i="10"/>
  <c r="Q128" i="10"/>
  <c r="P128" i="10"/>
  <c r="O128" i="10"/>
  <c r="N128" i="10"/>
  <c r="M128" i="10"/>
  <c r="K128" i="10"/>
  <c r="I128" i="10"/>
  <c r="CQ127" i="10"/>
  <c r="CM127" i="10"/>
  <c r="CL127" i="10"/>
  <c r="CK127" i="10"/>
  <c r="CJ127" i="10"/>
  <c r="CH127" i="10"/>
  <c r="CF127" i="10"/>
  <c r="CE127" i="10"/>
  <c r="CD127" i="10"/>
  <c r="CC127" i="10"/>
  <c r="CB127" i="10"/>
  <c r="AN127" i="10"/>
  <c r="AK127" i="10"/>
  <c r="AJ127" i="10"/>
  <c r="AI127" i="10"/>
  <c r="AH127" i="10"/>
  <c r="AG127" i="10"/>
  <c r="AE127" i="10"/>
  <c r="AB127" i="10"/>
  <c r="AA127" i="10"/>
  <c r="Z127" i="10"/>
  <c r="W127" i="10"/>
  <c r="U127" i="10"/>
  <c r="T127" i="10"/>
  <c r="S127" i="10"/>
  <c r="R127" i="10"/>
  <c r="Q127" i="10"/>
  <c r="P127" i="10"/>
  <c r="O127" i="10"/>
  <c r="N127" i="10"/>
  <c r="M127" i="10"/>
  <c r="K127" i="10"/>
  <c r="I127" i="10"/>
  <c r="CQ126" i="10"/>
  <c r="CM126" i="10"/>
  <c r="CL126" i="10"/>
  <c r="CK126" i="10"/>
  <c r="CJ126" i="10"/>
  <c r="CH126" i="10"/>
  <c r="CF126" i="10"/>
  <c r="CE126" i="10"/>
  <c r="CD126" i="10"/>
  <c r="CC126" i="10"/>
  <c r="CB126" i="10"/>
  <c r="AN126" i="10"/>
  <c r="AK126" i="10"/>
  <c r="AJ126" i="10"/>
  <c r="AI126" i="10"/>
  <c r="AH126" i="10"/>
  <c r="AG126" i="10"/>
  <c r="AE126" i="10"/>
  <c r="AB126" i="10"/>
  <c r="AA126" i="10"/>
  <c r="Z126" i="10"/>
  <c r="W126" i="10"/>
  <c r="U126" i="10"/>
  <c r="T126" i="10"/>
  <c r="S126" i="10"/>
  <c r="R126" i="10"/>
  <c r="Q126" i="10"/>
  <c r="P126" i="10"/>
  <c r="O126" i="10"/>
  <c r="N126" i="10"/>
  <c r="M126" i="10"/>
  <c r="K126" i="10"/>
  <c r="I126" i="10"/>
  <c r="CQ125" i="10"/>
  <c r="CM125" i="10"/>
  <c r="CL125" i="10"/>
  <c r="CK125" i="10"/>
  <c r="CJ125" i="10"/>
  <c r="CH125" i="10"/>
  <c r="CF125" i="10"/>
  <c r="CE125" i="10"/>
  <c r="CD125" i="10"/>
  <c r="CC125" i="10"/>
  <c r="CB125" i="10"/>
  <c r="AN125" i="10"/>
  <c r="AK125" i="10"/>
  <c r="AJ125" i="10"/>
  <c r="AI125" i="10"/>
  <c r="AH125" i="10"/>
  <c r="AG125" i="10"/>
  <c r="AE125" i="10"/>
  <c r="AB125" i="10"/>
  <c r="AA125" i="10"/>
  <c r="Z125" i="10"/>
  <c r="W125" i="10"/>
  <c r="U125" i="10"/>
  <c r="T125" i="10"/>
  <c r="S125" i="10"/>
  <c r="R125" i="10"/>
  <c r="Q125" i="10"/>
  <c r="P125" i="10"/>
  <c r="O125" i="10"/>
  <c r="N125" i="10"/>
  <c r="M125" i="10"/>
  <c r="K125" i="10"/>
  <c r="I125" i="10"/>
  <c r="CQ124" i="10"/>
  <c r="CF124" i="10"/>
  <c r="CE124" i="10"/>
  <c r="CD124" i="10"/>
  <c r="CC124" i="10"/>
  <c r="CB124" i="10"/>
  <c r="AN124" i="10"/>
  <c r="AK124" i="10"/>
  <c r="AJ124" i="10"/>
  <c r="AI124" i="10"/>
  <c r="AH124" i="10"/>
  <c r="AG124" i="10"/>
  <c r="AE124" i="10"/>
  <c r="AB124" i="10"/>
  <c r="AA124" i="10"/>
  <c r="Z124" i="10"/>
  <c r="W124" i="10"/>
  <c r="U124" i="10"/>
  <c r="T124" i="10"/>
  <c r="S124" i="10"/>
  <c r="R124" i="10"/>
  <c r="Q124" i="10"/>
  <c r="P124" i="10"/>
  <c r="O124" i="10"/>
  <c r="N124" i="10"/>
  <c r="M124" i="10"/>
  <c r="K124" i="10"/>
  <c r="I124" i="10"/>
  <c r="CQ123" i="10"/>
  <c r="CM123" i="10"/>
  <c r="CL123" i="10"/>
  <c r="CK123" i="10"/>
  <c r="CJ123" i="10"/>
  <c r="CH123" i="10"/>
  <c r="CF123" i="10"/>
  <c r="CE123" i="10"/>
  <c r="CD123" i="10"/>
  <c r="CC123" i="10"/>
  <c r="CB123" i="10"/>
  <c r="AN123" i="10"/>
  <c r="AK123" i="10"/>
  <c r="AJ123" i="10"/>
  <c r="AI123" i="10"/>
  <c r="AH123" i="10"/>
  <c r="AG123" i="10"/>
  <c r="AE123" i="10"/>
  <c r="AB123" i="10"/>
  <c r="AA123" i="10"/>
  <c r="Z123" i="10"/>
  <c r="W123" i="10"/>
  <c r="U123" i="10"/>
  <c r="T123" i="10"/>
  <c r="S123" i="10"/>
  <c r="R123" i="10"/>
  <c r="Q123" i="10"/>
  <c r="P123" i="10"/>
  <c r="O123" i="10"/>
  <c r="N123" i="10"/>
  <c r="M123" i="10"/>
  <c r="K123" i="10"/>
  <c r="I123" i="10"/>
  <c r="CQ122" i="10"/>
  <c r="CF122" i="10"/>
  <c r="CE122" i="10"/>
  <c r="CD122" i="10"/>
  <c r="CC122" i="10"/>
  <c r="CB122" i="10"/>
  <c r="AN122" i="10"/>
  <c r="AK122" i="10"/>
  <c r="AJ122" i="10"/>
  <c r="AI122" i="10"/>
  <c r="AH122" i="10"/>
  <c r="AG122" i="10"/>
  <c r="AE122" i="10"/>
  <c r="AB122" i="10"/>
  <c r="AA122" i="10"/>
  <c r="Z122" i="10"/>
  <c r="W122" i="10"/>
  <c r="U122" i="10"/>
  <c r="T122" i="10"/>
  <c r="S122" i="10"/>
  <c r="R122" i="10"/>
  <c r="Q122" i="10"/>
  <c r="P122" i="10"/>
  <c r="O122" i="10"/>
  <c r="N122" i="10"/>
  <c r="M122" i="10"/>
  <c r="K122" i="10"/>
  <c r="I122" i="10"/>
  <c r="CQ121" i="10"/>
  <c r="CM121" i="10"/>
  <c r="CL121" i="10"/>
  <c r="CK121" i="10"/>
  <c r="CJ121" i="10"/>
  <c r="CH121" i="10"/>
  <c r="CF121" i="10"/>
  <c r="CE121" i="10"/>
  <c r="CD121" i="10"/>
  <c r="CC121" i="10"/>
  <c r="CB121" i="10"/>
  <c r="AN121" i="10"/>
  <c r="AK121" i="10"/>
  <c r="AJ121" i="10"/>
  <c r="AI121" i="10"/>
  <c r="AH121" i="10"/>
  <c r="AG121" i="10"/>
  <c r="AE121" i="10"/>
  <c r="AB121" i="10"/>
  <c r="AA121" i="10"/>
  <c r="Z121" i="10"/>
  <c r="W121" i="10"/>
  <c r="U121" i="10"/>
  <c r="T121" i="10"/>
  <c r="S121" i="10"/>
  <c r="R121" i="10"/>
  <c r="Q121" i="10"/>
  <c r="P121" i="10"/>
  <c r="O121" i="10"/>
  <c r="N121" i="10"/>
  <c r="M121" i="10"/>
  <c r="K121" i="10"/>
  <c r="I121" i="10"/>
  <c r="CQ120" i="10"/>
  <c r="CM120" i="10"/>
  <c r="CL120" i="10"/>
  <c r="CK120" i="10"/>
  <c r="CJ120" i="10"/>
  <c r="CH120" i="10"/>
  <c r="CF120" i="10"/>
  <c r="CE120" i="10"/>
  <c r="CD120" i="10"/>
  <c r="CC120" i="10"/>
  <c r="CB120" i="10"/>
  <c r="AN120" i="10"/>
  <c r="AK120" i="10"/>
  <c r="AJ120" i="10"/>
  <c r="AI120" i="10"/>
  <c r="AH120" i="10"/>
  <c r="AG120" i="10"/>
  <c r="AE120" i="10"/>
  <c r="AB120" i="10"/>
  <c r="AA120" i="10"/>
  <c r="Z120" i="10"/>
  <c r="W120" i="10"/>
  <c r="U120" i="10"/>
  <c r="T120" i="10"/>
  <c r="S120" i="10"/>
  <c r="R120" i="10"/>
  <c r="Q120" i="10"/>
  <c r="P120" i="10"/>
  <c r="O120" i="10"/>
  <c r="N120" i="10"/>
  <c r="M120" i="10"/>
  <c r="K120" i="10"/>
  <c r="I120" i="10"/>
  <c r="CQ119" i="10"/>
  <c r="CM119" i="10"/>
  <c r="CL119" i="10"/>
  <c r="CK119" i="10"/>
  <c r="CJ119" i="10"/>
  <c r="CH119" i="10"/>
  <c r="CF119" i="10"/>
  <c r="CE119" i="10"/>
  <c r="CD119" i="10"/>
  <c r="CC119" i="10"/>
  <c r="CB119" i="10"/>
  <c r="AN119" i="10"/>
  <c r="AK119" i="10"/>
  <c r="AJ119" i="10"/>
  <c r="AI119" i="10"/>
  <c r="AH119" i="10"/>
  <c r="AG119" i="10"/>
  <c r="AE119" i="10"/>
  <c r="AB119" i="10"/>
  <c r="AA119" i="10"/>
  <c r="Z119" i="10"/>
  <c r="W119" i="10"/>
  <c r="U119" i="10"/>
  <c r="T119" i="10"/>
  <c r="S119" i="10"/>
  <c r="R119" i="10"/>
  <c r="Q119" i="10"/>
  <c r="P119" i="10"/>
  <c r="O119" i="10"/>
  <c r="N119" i="10"/>
  <c r="M119" i="10"/>
  <c r="K119" i="10"/>
  <c r="I119" i="10"/>
  <c r="CQ118" i="10"/>
  <c r="CM118" i="10"/>
  <c r="CL118" i="10"/>
  <c r="CK118" i="10"/>
  <c r="CJ118" i="10"/>
  <c r="CH118" i="10"/>
  <c r="CF118" i="10"/>
  <c r="CE118" i="10"/>
  <c r="CD118" i="10"/>
  <c r="CC118" i="10"/>
  <c r="CB118" i="10"/>
  <c r="AN118" i="10"/>
  <c r="AK118" i="10"/>
  <c r="AJ118" i="10"/>
  <c r="AI118" i="10"/>
  <c r="AH118" i="10"/>
  <c r="AG118" i="10"/>
  <c r="AE118" i="10"/>
  <c r="AB118" i="10"/>
  <c r="AA118" i="10"/>
  <c r="Z118" i="10"/>
  <c r="W118" i="10"/>
  <c r="U118" i="10"/>
  <c r="T118" i="10"/>
  <c r="S118" i="10"/>
  <c r="R118" i="10"/>
  <c r="Q118" i="10"/>
  <c r="P118" i="10"/>
  <c r="O118" i="10"/>
  <c r="N118" i="10"/>
  <c r="M118" i="10"/>
  <c r="K118" i="10"/>
  <c r="I118" i="10"/>
  <c r="CQ117" i="10"/>
  <c r="CM117" i="10"/>
  <c r="CL117" i="10"/>
  <c r="CK117" i="10"/>
  <c r="CJ117" i="10"/>
  <c r="CH117" i="10"/>
  <c r="CF117" i="10"/>
  <c r="CE117" i="10"/>
  <c r="CD117" i="10"/>
  <c r="CC117" i="10"/>
  <c r="CB117" i="10"/>
  <c r="AN117" i="10"/>
  <c r="AK117" i="10"/>
  <c r="AJ117" i="10"/>
  <c r="AI117" i="10"/>
  <c r="AH117" i="10"/>
  <c r="AG117" i="10"/>
  <c r="AE117" i="10"/>
  <c r="AB117" i="10"/>
  <c r="AA117" i="10"/>
  <c r="Z117" i="10"/>
  <c r="W117" i="10"/>
  <c r="U117" i="10"/>
  <c r="T117" i="10"/>
  <c r="S117" i="10"/>
  <c r="R117" i="10"/>
  <c r="Q117" i="10"/>
  <c r="P117" i="10"/>
  <c r="O117" i="10"/>
  <c r="N117" i="10"/>
  <c r="M117" i="10"/>
  <c r="K117" i="10"/>
  <c r="I117" i="10"/>
  <c r="CQ116" i="10"/>
  <c r="CM116" i="10"/>
  <c r="CL116" i="10"/>
  <c r="CK116" i="10"/>
  <c r="CJ116" i="10"/>
  <c r="CH116" i="10"/>
  <c r="CF116" i="10"/>
  <c r="CE116" i="10"/>
  <c r="CD116" i="10"/>
  <c r="CC116" i="10"/>
  <c r="CB116" i="10"/>
  <c r="AN116" i="10"/>
  <c r="AK116" i="10"/>
  <c r="AJ116" i="10"/>
  <c r="AI116" i="10"/>
  <c r="AH116" i="10"/>
  <c r="AG116" i="10"/>
  <c r="AE116" i="10"/>
  <c r="AB116" i="10"/>
  <c r="AA116" i="10"/>
  <c r="Z116" i="10"/>
  <c r="W116" i="10"/>
  <c r="U116" i="10"/>
  <c r="T116" i="10"/>
  <c r="S116" i="10"/>
  <c r="R116" i="10"/>
  <c r="Q116" i="10"/>
  <c r="P116" i="10"/>
  <c r="O116" i="10"/>
  <c r="N116" i="10"/>
  <c r="M116" i="10"/>
  <c r="K116" i="10"/>
  <c r="I116" i="10"/>
  <c r="CQ115" i="10"/>
  <c r="CM115" i="10"/>
  <c r="CL115" i="10"/>
  <c r="CK115" i="10"/>
  <c r="CJ115" i="10"/>
  <c r="CH115" i="10"/>
  <c r="CF115" i="10"/>
  <c r="CE115" i="10"/>
  <c r="CD115" i="10"/>
  <c r="CC115" i="10"/>
  <c r="CB115" i="10"/>
  <c r="AN115" i="10"/>
  <c r="AK115" i="10"/>
  <c r="AJ115" i="10"/>
  <c r="AI115" i="10"/>
  <c r="AH115" i="10"/>
  <c r="AG115" i="10"/>
  <c r="AE115" i="10"/>
  <c r="AB115" i="10"/>
  <c r="AA115" i="10"/>
  <c r="Z115" i="10"/>
  <c r="W115" i="10"/>
  <c r="U115" i="10"/>
  <c r="T115" i="10"/>
  <c r="S115" i="10"/>
  <c r="R115" i="10"/>
  <c r="Q115" i="10"/>
  <c r="P115" i="10"/>
  <c r="O115" i="10"/>
  <c r="N115" i="10"/>
  <c r="M115" i="10"/>
  <c r="K115" i="10"/>
  <c r="I115" i="10"/>
  <c r="CQ114" i="10"/>
  <c r="CM114" i="10"/>
  <c r="CL114" i="10"/>
  <c r="CK114" i="10"/>
  <c r="CJ114" i="10"/>
  <c r="CH114" i="10"/>
  <c r="CF114" i="10"/>
  <c r="CE114" i="10"/>
  <c r="CD114" i="10"/>
  <c r="CC114" i="10"/>
  <c r="CB114" i="10"/>
  <c r="AN114" i="10"/>
  <c r="AK114" i="10"/>
  <c r="AJ114" i="10"/>
  <c r="AI114" i="10"/>
  <c r="AH114" i="10"/>
  <c r="AG114" i="10"/>
  <c r="AE114" i="10"/>
  <c r="AB114" i="10"/>
  <c r="AA114" i="10"/>
  <c r="Z114" i="10"/>
  <c r="W114" i="10"/>
  <c r="U114" i="10"/>
  <c r="T114" i="10"/>
  <c r="S114" i="10"/>
  <c r="R114" i="10"/>
  <c r="Q114" i="10"/>
  <c r="P114" i="10"/>
  <c r="O114" i="10"/>
  <c r="N114" i="10"/>
  <c r="M114" i="10"/>
  <c r="K114" i="10"/>
  <c r="I114" i="10"/>
  <c r="CQ113" i="10"/>
  <c r="CM113" i="10"/>
  <c r="CL113" i="10"/>
  <c r="CK113" i="10"/>
  <c r="CJ113" i="10"/>
  <c r="CH113" i="10"/>
  <c r="CF113" i="10"/>
  <c r="CE113" i="10"/>
  <c r="CD113" i="10"/>
  <c r="CC113" i="10"/>
  <c r="CB113" i="10"/>
  <c r="AN113" i="10"/>
  <c r="AK113" i="10"/>
  <c r="AJ113" i="10"/>
  <c r="AI113" i="10"/>
  <c r="AH113" i="10"/>
  <c r="AG113" i="10"/>
  <c r="AE113" i="10"/>
  <c r="AB113" i="10"/>
  <c r="AA113" i="10"/>
  <c r="Z113" i="10"/>
  <c r="W113" i="10"/>
  <c r="U113" i="10"/>
  <c r="T113" i="10"/>
  <c r="S113" i="10"/>
  <c r="R113" i="10"/>
  <c r="Q113" i="10"/>
  <c r="P113" i="10"/>
  <c r="O113" i="10"/>
  <c r="N113" i="10"/>
  <c r="M113" i="10"/>
  <c r="K113" i="10"/>
  <c r="I113" i="10"/>
  <c r="CQ112" i="10"/>
  <c r="CM112" i="10"/>
  <c r="CL112" i="10"/>
  <c r="CK112" i="10"/>
  <c r="CJ112" i="10"/>
  <c r="CH112" i="10"/>
  <c r="CF112" i="10"/>
  <c r="CE112" i="10"/>
  <c r="CD112" i="10"/>
  <c r="CC112" i="10"/>
  <c r="CB112" i="10"/>
  <c r="AN112" i="10"/>
  <c r="AK112" i="10"/>
  <c r="AJ112" i="10"/>
  <c r="AI112" i="10"/>
  <c r="AH112" i="10"/>
  <c r="AG112" i="10"/>
  <c r="AE112" i="10"/>
  <c r="AB112" i="10"/>
  <c r="AA112" i="10"/>
  <c r="Z112" i="10"/>
  <c r="W112" i="10"/>
  <c r="U112" i="10"/>
  <c r="T112" i="10"/>
  <c r="S112" i="10"/>
  <c r="R112" i="10"/>
  <c r="Q112" i="10"/>
  <c r="P112" i="10"/>
  <c r="O112" i="10"/>
  <c r="N112" i="10"/>
  <c r="M112" i="10"/>
  <c r="K112" i="10"/>
  <c r="I112" i="10"/>
  <c r="CQ111" i="10"/>
  <c r="CM111" i="10"/>
  <c r="CL111" i="10"/>
  <c r="CK111" i="10"/>
  <c r="CJ111" i="10"/>
  <c r="CH111" i="10"/>
  <c r="CF111" i="10"/>
  <c r="CE111" i="10"/>
  <c r="CD111" i="10"/>
  <c r="CC111" i="10"/>
  <c r="CB111" i="10"/>
  <c r="AN111" i="10"/>
  <c r="AK111" i="10"/>
  <c r="AJ111" i="10"/>
  <c r="AI111" i="10"/>
  <c r="AH111" i="10"/>
  <c r="AG111" i="10"/>
  <c r="AE111" i="10"/>
  <c r="AB111" i="10"/>
  <c r="AA111" i="10"/>
  <c r="Z111" i="10"/>
  <c r="W111" i="10"/>
  <c r="U111" i="10"/>
  <c r="T111" i="10"/>
  <c r="S111" i="10"/>
  <c r="R111" i="10"/>
  <c r="Q111" i="10"/>
  <c r="P111" i="10"/>
  <c r="O111" i="10"/>
  <c r="N111" i="10"/>
  <c r="M111" i="10"/>
  <c r="K111" i="10"/>
  <c r="I111" i="10"/>
  <c r="CQ110" i="10"/>
  <c r="CM110" i="10"/>
  <c r="CL110" i="10"/>
  <c r="CK110" i="10"/>
  <c r="CJ110" i="10"/>
  <c r="CH110" i="10"/>
  <c r="CF110" i="10"/>
  <c r="CE110" i="10"/>
  <c r="CD110" i="10"/>
  <c r="CC110" i="10"/>
  <c r="CB110" i="10"/>
  <c r="AN110" i="10"/>
  <c r="AK110" i="10"/>
  <c r="AJ110" i="10"/>
  <c r="AI110" i="10"/>
  <c r="AH110" i="10"/>
  <c r="AG110" i="10"/>
  <c r="AE110" i="10"/>
  <c r="AB110" i="10"/>
  <c r="AA110" i="10"/>
  <c r="Z110" i="10"/>
  <c r="W110" i="10"/>
  <c r="U110" i="10"/>
  <c r="T110" i="10"/>
  <c r="S110" i="10"/>
  <c r="R110" i="10"/>
  <c r="Q110" i="10"/>
  <c r="P110" i="10"/>
  <c r="O110" i="10"/>
  <c r="N110" i="10"/>
  <c r="M110" i="10"/>
  <c r="K110" i="10"/>
  <c r="I110" i="10"/>
  <c r="CQ109" i="10"/>
  <c r="CM109" i="10"/>
  <c r="CL109" i="10"/>
  <c r="CK109" i="10"/>
  <c r="CJ109" i="10"/>
  <c r="CH109" i="10"/>
  <c r="CF109" i="10"/>
  <c r="CE109" i="10"/>
  <c r="CD109" i="10"/>
  <c r="CC109" i="10"/>
  <c r="CB109" i="10"/>
  <c r="AN109" i="10"/>
  <c r="AK109" i="10"/>
  <c r="AJ109" i="10"/>
  <c r="AI109" i="10"/>
  <c r="AH109" i="10"/>
  <c r="AG109" i="10"/>
  <c r="AE109" i="10"/>
  <c r="AB109" i="10"/>
  <c r="AA109" i="10"/>
  <c r="Z109" i="10"/>
  <c r="W109" i="10"/>
  <c r="U109" i="10"/>
  <c r="T109" i="10"/>
  <c r="S109" i="10"/>
  <c r="R109" i="10"/>
  <c r="Q109" i="10"/>
  <c r="P109" i="10"/>
  <c r="O109" i="10"/>
  <c r="N109" i="10"/>
  <c r="M109" i="10"/>
  <c r="K109" i="10"/>
  <c r="I109" i="10"/>
  <c r="CQ108" i="10"/>
  <c r="CM108" i="10"/>
  <c r="CL108" i="10"/>
  <c r="CK108" i="10"/>
  <c r="CJ108" i="10"/>
  <c r="CH108" i="10"/>
  <c r="CF108" i="10"/>
  <c r="CE108" i="10"/>
  <c r="CD108" i="10"/>
  <c r="CC108" i="10"/>
  <c r="CB108" i="10"/>
  <c r="AN108" i="10"/>
  <c r="AK108" i="10"/>
  <c r="AJ108" i="10"/>
  <c r="AI108" i="10"/>
  <c r="AH108" i="10"/>
  <c r="AG108" i="10"/>
  <c r="AE108" i="10"/>
  <c r="AB108" i="10"/>
  <c r="AA108" i="10"/>
  <c r="Z108" i="10"/>
  <c r="W108" i="10"/>
  <c r="U108" i="10"/>
  <c r="T108" i="10"/>
  <c r="S108" i="10"/>
  <c r="R108" i="10"/>
  <c r="Q108" i="10"/>
  <c r="P108" i="10"/>
  <c r="O108" i="10"/>
  <c r="N108" i="10"/>
  <c r="M108" i="10"/>
  <c r="K108" i="10"/>
  <c r="I108" i="10"/>
  <c r="CQ107" i="10"/>
  <c r="CM107" i="10"/>
  <c r="CL107" i="10"/>
  <c r="CK107" i="10"/>
  <c r="CJ107" i="10"/>
  <c r="CH107" i="10"/>
  <c r="CF107" i="10"/>
  <c r="CE107" i="10"/>
  <c r="CD107" i="10"/>
  <c r="CC107" i="10"/>
  <c r="CB107" i="10"/>
  <c r="AN107" i="10"/>
  <c r="AK107" i="10"/>
  <c r="AJ107" i="10"/>
  <c r="AI107" i="10"/>
  <c r="AH107" i="10"/>
  <c r="AG107" i="10"/>
  <c r="AE107" i="10"/>
  <c r="AB107" i="10"/>
  <c r="AA107" i="10"/>
  <c r="Z107" i="10"/>
  <c r="W107" i="10"/>
  <c r="U107" i="10"/>
  <c r="T107" i="10"/>
  <c r="S107" i="10"/>
  <c r="R107" i="10"/>
  <c r="Q107" i="10"/>
  <c r="P107" i="10"/>
  <c r="O107" i="10"/>
  <c r="N107" i="10"/>
  <c r="M107" i="10"/>
  <c r="K107" i="10"/>
  <c r="I107" i="10"/>
  <c r="CQ106" i="10"/>
  <c r="CM106" i="10"/>
  <c r="CL106" i="10"/>
  <c r="CK106" i="10"/>
  <c r="CJ106" i="10"/>
  <c r="CH106" i="10"/>
  <c r="CF106" i="10"/>
  <c r="CE106" i="10"/>
  <c r="CD106" i="10"/>
  <c r="CC106" i="10"/>
  <c r="CB106" i="10"/>
  <c r="AN106" i="10"/>
  <c r="AK106" i="10"/>
  <c r="AJ106" i="10"/>
  <c r="AI106" i="10"/>
  <c r="AH106" i="10"/>
  <c r="AG106" i="10"/>
  <c r="AE106" i="10"/>
  <c r="AB106" i="10"/>
  <c r="AA106" i="10"/>
  <c r="Z106" i="10"/>
  <c r="W106" i="10"/>
  <c r="U106" i="10"/>
  <c r="T106" i="10"/>
  <c r="S106" i="10"/>
  <c r="R106" i="10"/>
  <c r="Q106" i="10"/>
  <c r="P106" i="10"/>
  <c r="O106" i="10"/>
  <c r="N106" i="10"/>
  <c r="M106" i="10"/>
  <c r="K106" i="10"/>
  <c r="I106" i="10"/>
  <c r="CQ105" i="10"/>
  <c r="CM105" i="10"/>
  <c r="CL105" i="10"/>
  <c r="CK105" i="10"/>
  <c r="CJ105" i="10"/>
  <c r="CH105" i="10"/>
  <c r="CF105" i="10"/>
  <c r="CE105" i="10"/>
  <c r="CD105" i="10"/>
  <c r="CC105" i="10"/>
  <c r="CB105" i="10"/>
  <c r="AN105" i="10"/>
  <c r="AK105" i="10"/>
  <c r="AJ105" i="10"/>
  <c r="AI105" i="10"/>
  <c r="AH105" i="10"/>
  <c r="AG105" i="10"/>
  <c r="AE105" i="10"/>
  <c r="AB105" i="10"/>
  <c r="AA105" i="10"/>
  <c r="Z105" i="10"/>
  <c r="W105" i="10"/>
  <c r="U105" i="10"/>
  <c r="T105" i="10"/>
  <c r="S105" i="10"/>
  <c r="R105" i="10"/>
  <c r="Q105" i="10"/>
  <c r="P105" i="10"/>
  <c r="O105" i="10"/>
  <c r="N105" i="10"/>
  <c r="M105" i="10"/>
  <c r="K105" i="10"/>
  <c r="I105" i="10"/>
  <c r="CQ104" i="10"/>
  <c r="CM104" i="10"/>
  <c r="CL104" i="10"/>
  <c r="CK104" i="10"/>
  <c r="CJ104" i="10"/>
  <c r="CH104" i="10"/>
  <c r="CF104" i="10"/>
  <c r="CE104" i="10"/>
  <c r="CD104" i="10"/>
  <c r="CC104" i="10"/>
  <c r="CB104" i="10"/>
  <c r="AN104" i="10"/>
  <c r="AK104" i="10"/>
  <c r="AJ104" i="10"/>
  <c r="AI104" i="10"/>
  <c r="AH104" i="10"/>
  <c r="AG104" i="10"/>
  <c r="AE104" i="10"/>
  <c r="AB104" i="10"/>
  <c r="AA104" i="10"/>
  <c r="Z104" i="10"/>
  <c r="W104" i="10"/>
  <c r="U104" i="10"/>
  <c r="T104" i="10"/>
  <c r="S104" i="10"/>
  <c r="R104" i="10"/>
  <c r="Q104" i="10"/>
  <c r="P104" i="10"/>
  <c r="O104" i="10"/>
  <c r="N104" i="10"/>
  <c r="M104" i="10"/>
  <c r="K104" i="10"/>
  <c r="I104" i="10"/>
  <c r="CQ103" i="10"/>
  <c r="CM103" i="10"/>
  <c r="CL103" i="10"/>
  <c r="CK103" i="10"/>
  <c r="CJ103" i="10"/>
  <c r="CH103" i="10"/>
  <c r="CF103" i="10"/>
  <c r="CE103" i="10"/>
  <c r="CD103" i="10"/>
  <c r="CC103" i="10"/>
  <c r="CB103" i="10"/>
  <c r="AN103" i="10"/>
  <c r="AK103" i="10"/>
  <c r="AJ103" i="10"/>
  <c r="AI103" i="10"/>
  <c r="AH103" i="10"/>
  <c r="AG103" i="10"/>
  <c r="AE103" i="10"/>
  <c r="AB103" i="10"/>
  <c r="AA103" i="10"/>
  <c r="Z103" i="10"/>
  <c r="W103" i="10"/>
  <c r="U103" i="10"/>
  <c r="T103" i="10"/>
  <c r="S103" i="10"/>
  <c r="R103" i="10"/>
  <c r="Q103" i="10"/>
  <c r="P103" i="10"/>
  <c r="O103" i="10"/>
  <c r="N103" i="10"/>
  <c r="M103" i="10"/>
  <c r="K103" i="10"/>
  <c r="I103" i="10"/>
  <c r="CQ102" i="10"/>
  <c r="CM102" i="10"/>
  <c r="CL102" i="10"/>
  <c r="CK102" i="10"/>
  <c r="CJ102" i="10"/>
  <c r="CH102" i="10"/>
  <c r="CF102" i="10"/>
  <c r="CE102" i="10"/>
  <c r="CD102" i="10"/>
  <c r="CC102" i="10"/>
  <c r="CB102" i="10"/>
  <c r="AN102" i="10"/>
  <c r="AK102" i="10"/>
  <c r="AJ102" i="10"/>
  <c r="AI102" i="10"/>
  <c r="AH102" i="10"/>
  <c r="AG102" i="10"/>
  <c r="AE102" i="10"/>
  <c r="AB102" i="10"/>
  <c r="AA102" i="10"/>
  <c r="Z102" i="10"/>
  <c r="W102" i="10"/>
  <c r="U102" i="10"/>
  <c r="T102" i="10"/>
  <c r="S102" i="10"/>
  <c r="R102" i="10"/>
  <c r="Q102" i="10"/>
  <c r="P102" i="10"/>
  <c r="O102" i="10"/>
  <c r="N102" i="10"/>
  <c r="M102" i="10"/>
  <c r="K102" i="10"/>
  <c r="I102" i="10"/>
  <c r="CQ101" i="10"/>
  <c r="CM101" i="10"/>
  <c r="CL101" i="10"/>
  <c r="CK101" i="10"/>
  <c r="CJ101" i="10"/>
  <c r="CH101" i="10"/>
  <c r="CF101" i="10"/>
  <c r="CE101" i="10"/>
  <c r="CD101" i="10"/>
  <c r="CC101" i="10"/>
  <c r="CB101" i="10"/>
  <c r="AN101" i="10"/>
  <c r="AK101" i="10"/>
  <c r="AJ101" i="10"/>
  <c r="AI101" i="10"/>
  <c r="AH101" i="10"/>
  <c r="AG101" i="10"/>
  <c r="AE101" i="10"/>
  <c r="AB101" i="10"/>
  <c r="AA101" i="10"/>
  <c r="Z101" i="10"/>
  <c r="W101" i="10"/>
  <c r="U101" i="10"/>
  <c r="T101" i="10"/>
  <c r="S101" i="10"/>
  <c r="R101" i="10"/>
  <c r="Q101" i="10"/>
  <c r="P101" i="10"/>
  <c r="O101" i="10"/>
  <c r="N101" i="10"/>
  <c r="M101" i="10"/>
  <c r="K101" i="10"/>
  <c r="I101" i="10"/>
  <c r="CQ100" i="10"/>
  <c r="CM100" i="10"/>
  <c r="CL100" i="10"/>
  <c r="CK100" i="10"/>
  <c r="CJ100" i="10"/>
  <c r="CH100" i="10"/>
  <c r="CF100" i="10"/>
  <c r="CE100" i="10"/>
  <c r="CD100" i="10"/>
  <c r="CC100" i="10"/>
  <c r="CB100" i="10"/>
  <c r="AN100" i="10"/>
  <c r="AK100" i="10"/>
  <c r="AJ100" i="10"/>
  <c r="AI100" i="10"/>
  <c r="AH100" i="10"/>
  <c r="AG100" i="10"/>
  <c r="AE100" i="10"/>
  <c r="AB100" i="10"/>
  <c r="AA100" i="10"/>
  <c r="Z100" i="10"/>
  <c r="W100" i="10"/>
  <c r="U100" i="10"/>
  <c r="T100" i="10"/>
  <c r="S100" i="10"/>
  <c r="R100" i="10"/>
  <c r="Q100" i="10"/>
  <c r="P100" i="10"/>
  <c r="O100" i="10"/>
  <c r="N100" i="10"/>
  <c r="M100" i="10"/>
  <c r="K100" i="10"/>
  <c r="I100" i="10"/>
  <c r="CQ99" i="10"/>
  <c r="CM99" i="10"/>
  <c r="CL99" i="10"/>
  <c r="CK99" i="10"/>
  <c r="CJ99" i="10"/>
  <c r="CH99" i="10"/>
  <c r="CF99" i="10"/>
  <c r="CE99" i="10"/>
  <c r="CD99" i="10"/>
  <c r="CC99" i="10"/>
  <c r="CB99" i="10"/>
  <c r="AN99" i="10"/>
  <c r="AK99" i="10"/>
  <c r="AJ99" i="10"/>
  <c r="AI99" i="10"/>
  <c r="AH99" i="10"/>
  <c r="AG99" i="10"/>
  <c r="AE99" i="10"/>
  <c r="AB99" i="10"/>
  <c r="AA99" i="10"/>
  <c r="Z99" i="10"/>
  <c r="W99" i="10"/>
  <c r="U99" i="10"/>
  <c r="T99" i="10"/>
  <c r="S99" i="10"/>
  <c r="R99" i="10"/>
  <c r="Q99" i="10"/>
  <c r="P99" i="10"/>
  <c r="O99" i="10"/>
  <c r="N99" i="10"/>
  <c r="M99" i="10"/>
  <c r="K99" i="10"/>
  <c r="I99" i="10"/>
  <c r="CQ98" i="10"/>
  <c r="CM98" i="10"/>
  <c r="CL98" i="10"/>
  <c r="CK98" i="10"/>
  <c r="CJ98" i="10"/>
  <c r="CH98" i="10"/>
  <c r="CF98" i="10"/>
  <c r="CE98" i="10"/>
  <c r="CD98" i="10"/>
  <c r="CC98" i="10"/>
  <c r="CB98" i="10"/>
  <c r="AN98" i="10"/>
  <c r="AK98" i="10"/>
  <c r="AJ98" i="10"/>
  <c r="AI98" i="10"/>
  <c r="AH98" i="10"/>
  <c r="AG98" i="10"/>
  <c r="AE98" i="10"/>
  <c r="AB98" i="10"/>
  <c r="AA98" i="10"/>
  <c r="Z98" i="10"/>
  <c r="W98" i="10"/>
  <c r="U98" i="10"/>
  <c r="T98" i="10"/>
  <c r="S98" i="10"/>
  <c r="R98" i="10"/>
  <c r="Q98" i="10"/>
  <c r="P98" i="10"/>
  <c r="O98" i="10"/>
  <c r="N98" i="10"/>
  <c r="M98" i="10"/>
  <c r="K98" i="10"/>
  <c r="I98" i="10"/>
  <c r="CQ97" i="10"/>
  <c r="CM97" i="10"/>
  <c r="CL97" i="10"/>
  <c r="CK97" i="10"/>
  <c r="CJ97" i="10"/>
  <c r="CH97" i="10"/>
  <c r="CF97" i="10"/>
  <c r="CE97" i="10"/>
  <c r="CD97" i="10"/>
  <c r="CC97" i="10"/>
  <c r="CB97" i="10"/>
  <c r="AN97" i="10"/>
  <c r="AK97" i="10"/>
  <c r="AJ97" i="10"/>
  <c r="AI97" i="10"/>
  <c r="AH97" i="10"/>
  <c r="AG97" i="10"/>
  <c r="AE97" i="10"/>
  <c r="AB97" i="10"/>
  <c r="AA97" i="10"/>
  <c r="Z97" i="10"/>
  <c r="W97" i="10"/>
  <c r="U97" i="10"/>
  <c r="T97" i="10"/>
  <c r="S97" i="10"/>
  <c r="R97" i="10"/>
  <c r="Q97" i="10"/>
  <c r="P97" i="10"/>
  <c r="O97" i="10"/>
  <c r="N97" i="10"/>
  <c r="M97" i="10"/>
  <c r="K97" i="10"/>
  <c r="I97" i="10"/>
  <c r="CQ96" i="10"/>
  <c r="CM96" i="10"/>
  <c r="CL96" i="10"/>
  <c r="CK96" i="10"/>
  <c r="CJ96" i="10"/>
  <c r="CH96" i="10"/>
  <c r="CF96" i="10"/>
  <c r="CE96" i="10"/>
  <c r="CD96" i="10"/>
  <c r="CC96" i="10"/>
  <c r="CB96" i="10"/>
  <c r="AN96" i="10"/>
  <c r="AK96" i="10"/>
  <c r="AJ96" i="10"/>
  <c r="AI96" i="10"/>
  <c r="AH96" i="10"/>
  <c r="AG96" i="10"/>
  <c r="AE96" i="10"/>
  <c r="AB96" i="10"/>
  <c r="AA96" i="10"/>
  <c r="Z96" i="10"/>
  <c r="W96" i="10"/>
  <c r="U96" i="10"/>
  <c r="T96" i="10"/>
  <c r="S96" i="10"/>
  <c r="R96" i="10"/>
  <c r="Q96" i="10"/>
  <c r="P96" i="10"/>
  <c r="O96" i="10"/>
  <c r="N96" i="10"/>
  <c r="M96" i="10"/>
  <c r="K96" i="10"/>
  <c r="I96" i="10"/>
  <c r="CQ95" i="10"/>
  <c r="CM95" i="10"/>
  <c r="CL95" i="10"/>
  <c r="CK95" i="10"/>
  <c r="CJ95" i="10"/>
  <c r="CH95" i="10"/>
  <c r="CF95" i="10"/>
  <c r="CE95" i="10"/>
  <c r="CD95" i="10"/>
  <c r="CC95" i="10"/>
  <c r="CB95" i="10"/>
  <c r="AN95" i="10"/>
  <c r="AK95" i="10"/>
  <c r="AJ95" i="10"/>
  <c r="AI95" i="10"/>
  <c r="AH95" i="10"/>
  <c r="AG95" i="10"/>
  <c r="AE95" i="10"/>
  <c r="AB95" i="10"/>
  <c r="AA95" i="10"/>
  <c r="Z95" i="10"/>
  <c r="W95" i="10"/>
  <c r="U95" i="10"/>
  <c r="T95" i="10"/>
  <c r="S95" i="10"/>
  <c r="R95" i="10"/>
  <c r="Q95" i="10"/>
  <c r="P95" i="10"/>
  <c r="O95" i="10"/>
  <c r="N95" i="10"/>
  <c r="M95" i="10"/>
  <c r="K95" i="10"/>
  <c r="I95" i="10"/>
  <c r="CQ94" i="10"/>
  <c r="CM94" i="10"/>
  <c r="CL94" i="10"/>
  <c r="CK94" i="10"/>
  <c r="CJ94" i="10"/>
  <c r="CH94" i="10"/>
  <c r="CF94" i="10"/>
  <c r="CE94" i="10"/>
  <c r="CD94" i="10"/>
  <c r="CC94" i="10"/>
  <c r="CB94" i="10"/>
  <c r="AN94" i="10"/>
  <c r="AK94" i="10"/>
  <c r="AJ94" i="10"/>
  <c r="AI94" i="10"/>
  <c r="AH94" i="10"/>
  <c r="AG94" i="10"/>
  <c r="AE94" i="10"/>
  <c r="AB94" i="10"/>
  <c r="AA94" i="10"/>
  <c r="Z94" i="10"/>
  <c r="W94" i="10"/>
  <c r="U94" i="10"/>
  <c r="T94" i="10"/>
  <c r="S94" i="10"/>
  <c r="R94" i="10"/>
  <c r="Q94" i="10"/>
  <c r="P94" i="10"/>
  <c r="O94" i="10"/>
  <c r="N94" i="10"/>
  <c r="M94" i="10"/>
  <c r="K94" i="10"/>
  <c r="I94" i="10"/>
  <c r="CQ93" i="10"/>
  <c r="CM93" i="10"/>
  <c r="CL93" i="10"/>
  <c r="CK93" i="10"/>
  <c r="CJ93" i="10"/>
  <c r="CH93" i="10"/>
  <c r="CF93" i="10"/>
  <c r="CE93" i="10"/>
  <c r="CD93" i="10"/>
  <c r="CC93" i="10"/>
  <c r="CB93" i="10"/>
  <c r="AN93" i="10"/>
  <c r="AK93" i="10"/>
  <c r="AJ93" i="10"/>
  <c r="AI93" i="10"/>
  <c r="AH93" i="10"/>
  <c r="AG93" i="10"/>
  <c r="AE93" i="10"/>
  <c r="AB93" i="10"/>
  <c r="AA93" i="10"/>
  <c r="Z93" i="10"/>
  <c r="W93" i="10"/>
  <c r="U93" i="10"/>
  <c r="T93" i="10"/>
  <c r="S93" i="10"/>
  <c r="R93" i="10"/>
  <c r="Q93" i="10"/>
  <c r="P93" i="10"/>
  <c r="O93" i="10"/>
  <c r="N93" i="10"/>
  <c r="M93" i="10"/>
  <c r="K93" i="10"/>
  <c r="I93" i="10"/>
  <c r="CQ92" i="10"/>
  <c r="CF92" i="10"/>
  <c r="CE92" i="10"/>
  <c r="CD92" i="10"/>
  <c r="CC92" i="10"/>
  <c r="CB92" i="10"/>
  <c r="AN92" i="10"/>
  <c r="AK92" i="10"/>
  <c r="AJ92" i="10"/>
  <c r="AI92" i="10"/>
  <c r="AH92" i="10"/>
  <c r="AG92" i="10"/>
  <c r="AE92" i="10"/>
  <c r="AB92" i="10"/>
  <c r="AA92" i="10"/>
  <c r="Z92" i="10"/>
  <c r="W92" i="10"/>
  <c r="U92" i="10"/>
  <c r="T92" i="10"/>
  <c r="S92" i="10"/>
  <c r="R92" i="10"/>
  <c r="Q92" i="10"/>
  <c r="P92" i="10"/>
  <c r="O92" i="10"/>
  <c r="N92" i="10"/>
  <c r="M92" i="10"/>
  <c r="K92" i="10"/>
  <c r="I92" i="10"/>
  <c r="CQ91" i="10"/>
  <c r="CM91" i="10"/>
  <c r="CL91" i="10"/>
  <c r="CK91" i="10"/>
  <c r="CJ91" i="10"/>
  <c r="CH91" i="10"/>
  <c r="CF91" i="10"/>
  <c r="CE91" i="10"/>
  <c r="CD91" i="10"/>
  <c r="CC91" i="10"/>
  <c r="CB91" i="10"/>
  <c r="AN91" i="10"/>
  <c r="AK91" i="10"/>
  <c r="AJ91" i="10"/>
  <c r="AI91" i="10"/>
  <c r="AH91" i="10"/>
  <c r="AG91" i="10"/>
  <c r="AE91" i="10"/>
  <c r="AB91" i="10"/>
  <c r="AA91" i="10"/>
  <c r="Z91" i="10"/>
  <c r="W91" i="10"/>
  <c r="U91" i="10"/>
  <c r="T91" i="10"/>
  <c r="S91" i="10"/>
  <c r="R91" i="10"/>
  <c r="Q91" i="10"/>
  <c r="P91" i="10"/>
  <c r="O91" i="10"/>
  <c r="N91" i="10"/>
  <c r="M91" i="10"/>
  <c r="K91" i="10"/>
  <c r="I91" i="10"/>
  <c r="CQ90" i="10"/>
  <c r="CM90" i="10"/>
  <c r="CL90" i="10"/>
  <c r="CK90" i="10"/>
  <c r="CJ90" i="10"/>
  <c r="CH90" i="10"/>
  <c r="CF90" i="10"/>
  <c r="CE90" i="10"/>
  <c r="CD90" i="10"/>
  <c r="CC90" i="10"/>
  <c r="CB90" i="10"/>
  <c r="AN90" i="10"/>
  <c r="AK90" i="10"/>
  <c r="AJ90" i="10"/>
  <c r="AI90" i="10"/>
  <c r="AH90" i="10"/>
  <c r="AG90" i="10"/>
  <c r="AE90" i="10"/>
  <c r="AB90" i="10"/>
  <c r="AA90" i="10"/>
  <c r="Z90" i="10"/>
  <c r="W90" i="10"/>
  <c r="U90" i="10"/>
  <c r="T90" i="10"/>
  <c r="S90" i="10"/>
  <c r="R90" i="10"/>
  <c r="Q90" i="10"/>
  <c r="P90" i="10"/>
  <c r="O90" i="10"/>
  <c r="N90" i="10"/>
  <c r="M90" i="10"/>
  <c r="K90" i="10"/>
  <c r="I90" i="10"/>
  <c r="CQ89" i="10"/>
  <c r="CM89" i="10"/>
  <c r="CL89" i="10"/>
  <c r="CK89" i="10"/>
  <c r="CJ89" i="10"/>
  <c r="CH89" i="10"/>
  <c r="CF89" i="10"/>
  <c r="CE89" i="10"/>
  <c r="CD89" i="10"/>
  <c r="CC89" i="10"/>
  <c r="CB89" i="10"/>
  <c r="AN89" i="10"/>
  <c r="AK89" i="10"/>
  <c r="AJ89" i="10"/>
  <c r="AI89" i="10"/>
  <c r="AH89" i="10"/>
  <c r="AG89" i="10"/>
  <c r="AE89" i="10"/>
  <c r="AB89" i="10"/>
  <c r="AA89" i="10"/>
  <c r="Z89" i="10"/>
  <c r="W89" i="10"/>
  <c r="U89" i="10"/>
  <c r="T89" i="10"/>
  <c r="S89" i="10"/>
  <c r="R89" i="10"/>
  <c r="Q89" i="10"/>
  <c r="P89" i="10"/>
  <c r="O89" i="10"/>
  <c r="N89" i="10"/>
  <c r="M89" i="10"/>
  <c r="K89" i="10"/>
  <c r="I89" i="10"/>
  <c r="CQ88" i="10"/>
  <c r="CM88" i="10"/>
  <c r="CL88" i="10"/>
  <c r="CK88" i="10"/>
  <c r="CJ88" i="10"/>
  <c r="CH88" i="10"/>
  <c r="CF88" i="10"/>
  <c r="CE88" i="10"/>
  <c r="CD88" i="10"/>
  <c r="CC88" i="10"/>
  <c r="CB88" i="10"/>
  <c r="AN88" i="10"/>
  <c r="AK88" i="10"/>
  <c r="AJ88" i="10"/>
  <c r="AI88" i="10"/>
  <c r="AH88" i="10"/>
  <c r="AG88" i="10"/>
  <c r="AE88" i="10"/>
  <c r="AB88" i="10"/>
  <c r="AA88" i="10"/>
  <c r="Z88" i="10"/>
  <c r="W88" i="10"/>
  <c r="U88" i="10"/>
  <c r="T88" i="10"/>
  <c r="S88" i="10"/>
  <c r="R88" i="10"/>
  <c r="Q88" i="10"/>
  <c r="P88" i="10"/>
  <c r="O88" i="10"/>
  <c r="N88" i="10"/>
  <c r="M88" i="10"/>
  <c r="K88" i="10"/>
  <c r="I88" i="10"/>
  <c r="CQ87" i="10"/>
  <c r="CM87" i="10"/>
  <c r="CL87" i="10"/>
  <c r="CK87" i="10"/>
  <c r="CJ87" i="10"/>
  <c r="CH87" i="10"/>
  <c r="CF87" i="10"/>
  <c r="CE87" i="10"/>
  <c r="CD87" i="10"/>
  <c r="CC87" i="10"/>
  <c r="CB87" i="10"/>
  <c r="AN87" i="10"/>
  <c r="AK87" i="10"/>
  <c r="AJ87" i="10"/>
  <c r="AI87" i="10"/>
  <c r="AH87" i="10"/>
  <c r="AG87" i="10"/>
  <c r="AE87" i="10"/>
  <c r="AB87" i="10"/>
  <c r="AA87" i="10"/>
  <c r="Z87" i="10"/>
  <c r="W87" i="10"/>
  <c r="U87" i="10"/>
  <c r="T87" i="10"/>
  <c r="S87" i="10"/>
  <c r="R87" i="10"/>
  <c r="Q87" i="10"/>
  <c r="P87" i="10"/>
  <c r="O87" i="10"/>
  <c r="N87" i="10"/>
  <c r="M87" i="10"/>
  <c r="K87" i="10"/>
  <c r="I87" i="10"/>
  <c r="CQ86" i="10"/>
  <c r="CM86" i="10"/>
  <c r="CL86" i="10"/>
  <c r="CK86" i="10"/>
  <c r="CJ86" i="10"/>
  <c r="CH86" i="10"/>
  <c r="CF86" i="10"/>
  <c r="CE86" i="10"/>
  <c r="CD86" i="10"/>
  <c r="CC86" i="10"/>
  <c r="CB86" i="10"/>
  <c r="AN86" i="10"/>
  <c r="AK86" i="10"/>
  <c r="AJ86" i="10"/>
  <c r="AI86" i="10"/>
  <c r="AH86" i="10"/>
  <c r="AG86" i="10"/>
  <c r="AE86" i="10"/>
  <c r="AB86" i="10"/>
  <c r="AA86" i="10"/>
  <c r="Z86" i="10"/>
  <c r="W86" i="10"/>
  <c r="U86" i="10"/>
  <c r="T86" i="10"/>
  <c r="S86" i="10"/>
  <c r="R86" i="10"/>
  <c r="Q86" i="10"/>
  <c r="P86" i="10"/>
  <c r="O86" i="10"/>
  <c r="N86" i="10"/>
  <c r="M86" i="10"/>
  <c r="K86" i="10"/>
  <c r="I86" i="10"/>
  <c r="CQ85" i="10"/>
  <c r="CM85" i="10"/>
  <c r="CL85" i="10"/>
  <c r="CK85" i="10"/>
  <c r="CJ85" i="10"/>
  <c r="CH85" i="10"/>
  <c r="CF85" i="10"/>
  <c r="CE85" i="10"/>
  <c r="CD85" i="10"/>
  <c r="CC85" i="10"/>
  <c r="CB85" i="10"/>
  <c r="AN85" i="10"/>
  <c r="AK85" i="10"/>
  <c r="AJ85" i="10"/>
  <c r="AI85" i="10"/>
  <c r="AH85" i="10"/>
  <c r="AG85" i="10"/>
  <c r="AE85" i="10"/>
  <c r="AB85" i="10"/>
  <c r="AA85" i="10"/>
  <c r="Z85" i="10"/>
  <c r="W85" i="10"/>
  <c r="U85" i="10"/>
  <c r="T85" i="10"/>
  <c r="S85" i="10"/>
  <c r="R85" i="10"/>
  <c r="Q85" i="10"/>
  <c r="P85" i="10"/>
  <c r="O85" i="10"/>
  <c r="N85" i="10"/>
  <c r="M85" i="10"/>
  <c r="K85" i="10"/>
  <c r="I85" i="10"/>
  <c r="CQ84" i="10"/>
  <c r="CM84" i="10"/>
  <c r="CL84" i="10"/>
  <c r="CK84" i="10"/>
  <c r="CJ84" i="10"/>
  <c r="CH84" i="10"/>
  <c r="CF84" i="10"/>
  <c r="CE84" i="10"/>
  <c r="CD84" i="10"/>
  <c r="CC84" i="10"/>
  <c r="CB84" i="10"/>
  <c r="AN84" i="10"/>
  <c r="AK84" i="10"/>
  <c r="AJ84" i="10"/>
  <c r="AI84" i="10"/>
  <c r="AH84" i="10"/>
  <c r="AG84" i="10"/>
  <c r="AE84" i="10"/>
  <c r="AB84" i="10"/>
  <c r="AA84" i="10"/>
  <c r="Z84" i="10"/>
  <c r="W84" i="10"/>
  <c r="U84" i="10"/>
  <c r="T84" i="10"/>
  <c r="S84" i="10"/>
  <c r="R84" i="10"/>
  <c r="Q84" i="10"/>
  <c r="P84" i="10"/>
  <c r="O84" i="10"/>
  <c r="N84" i="10"/>
  <c r="M84" i="10"/>
  <c r="K84" i="10"/>
  <c r="I84" i="10"/>
  <c r="CQ83" i="10"/>
  <c r="CF83" i="10"/>
  <c r="CE83" i="10"/>
  <c r="CD83" i="10"/>
  <c r="CC83" i="10"/>
  <c r="CB83" i="10"/>
  <c r="AN83" i="10"/>
  <c r="AK83" i="10"/>
  <c r="AJ83" i="10"/>
  <c r="AI83" i="10"/>
  <c r="AH83" i="10"/>
  <c r="AG83" i="10"/>
  <c r="AE83" i="10"/>
  <c r="AB83" i="10"/>
  <c r="AA83" i="10"/>
  <c r="Z83" i="10"/>
  <c r="W83" i="10"/>
  <c r="U83" i="10"/>
  <c r="T83" i="10"/>
  <c r="S83" i="10"/>
  <c r="R83" i="10"/>
  <c r="Q83" i="10"/>
  <c r="P83" i="10"/>
  <c r="O83" i="10"/>
  <c r="N83" i="10"/>
  <c r="M83" i="10"/>
  <c r="K83" i="10"/>
  <c r="I83" i="10"/>
  <c r="CQ82" i="10"/>
  <c r="CM82" i="10"/>
  <c r="CL82" i="10"/>
  <c r="CK82" i="10"/>
  <c r="CJ82" i="10"/>
  <c r="CH82" i="10"/>
  <c r="CF82" i="10"/>
  <c r="CE82" i="10"/>
  <c r="CD82" i="10"/>
  <c r="CC82" i="10"/>
  <c r="CB82" i="10"/>
  <c r="AN82" i="10"/>
  <c r="AK82" i="10"/>
  <c r="AJ82" i="10"/>
  <c r="AI82" i="10"/>
  <c r="AH82" i="10"/>
  <c r="AG82" i="10"/>
  <c r="AE82" i="10"/>
  <c r="AB82" i="10"/>
  <c r="AA82" i="10"/>
  <c r="Z82" i="10"/>
  <c r="W82" i="10"/>
  <c r="U82" i="10"/>
  <c r="T82" i="10"/>
  <c r="S82" i="10"/>
  <c r="R82" i="10"/>
  <c r="Q82" i="10"/>
  <c r="P82" i="10"/>
  <c r="O82" i="10"/>
  <c r="N82" i="10"/>
  <c r="M82" i="10"/>
  <c r="K82" i="10"/>
  <c r="I82" i="10"/>
  <c r="CQ81" i="10"/>
  <c r="CM81" i="10"/>
  <c r="CL81" i="10"/>
  <c r="CK81" i="10"/>
  <c r="CJ81" i="10"/>
  <c r="CH81" i="10"/>
  <c r="CF81" i="10"/>
  <c r="CE81" i="10"/>
  <c r="CD81" i="10"/>
  <c r="CC81" i="10"/>
  <c r="CB81" i="10"/>
  <c r="AN81" i="10"/>
  <c r="AK81" i="10"/>
  <c r="AJ81" i="10"/>
  <c r="AI81" i="10"/>
  <c r="AH81" i="10"/>
  <c r="AG81" i="10"/>
  <c r="AE81" i="10"/>
  <c r="AB81" i="10"/>
  <c r="AA81" i="10"/>
  <c r="Z81" i="10"/>
  <c r="W81" i="10"/>
  <c r="U81" i="10"/>
  <c r="T81" i="10"/>
  <c r="S81" i="10"/>
  <c r="R81" i="10"/>
  <c r="Q81" i="10"/>
  <c r="P81" i="10"/>
  <c r="O81" i="10"/>
  <c r="N81" i="10"/>
  <c r="M81" i="10"/>
  <c r="K81" i="10"/>
  <c r="I81" i="10"/>
  <c r="CQ80" i="10"/>
  <c r="CM80" i="10"/>
  <c r="CL80" i="10"/>
  <c r="CK80" i="10"/>
  <c r="CJ80" i="10"/>
  <c r="CH80" i="10"/>
  <c r="CF80" i="10"/>
  <c r="CE80" i="10"/>
  <c r="CD80" i="10"/>
  <c r="CC80" i="10"/>
  <c r="CB80" i="10"/>
  <c r="AN80" i="10"/>
  <c r="AK80" i="10"/>
  <c r="AJ80" i="10"/>
  <c r="AI80" i="10"/>
  <c r="AH80" i="10"/>
  <c r="AG80" i="10"/>
  <c r="AE80" i="10"/>
  <c r="AB80" i="10"/>
  <c r="Z80" i="10"/>
  <c r="W80" i="10"/>
  <c r="U80" i="10"/>
  <c r="T80" i="10"/>
  <c r="S80" i="10"/>
  <c r="R80" i="10"/>
  <c r="Q80" i="10"/>
  <c r="P80" i="10"/>
  <c r="O80" i="10"/>
  <c r="N80" i="10"/>
  <c r="M80" i="10"/>
  <c r="K80" i="10"/>
  <c r="I80" i="10"/>
  <c r="CQ79" i="10"/>
  <c r="CM79" i="10"/>
  <c r="CL79" i="10"/>
  <c r="CK79" i="10"/>
  <c r="CJ79" i="10"/>
  <c r="CH79" i="10"/>
  <c r="CF79" i="10"/>
  <c r="CE79" i="10"/>
  <c r="CD79" i="10"/>
  <c r="CC79" i="10"/>
  <c r="CB79" i="10"/>
  <c r="AN79" i="10"/>
  <c r="AK79" i="10"/>
  <c r="AJ79" i="10"/>
  <c r="AI79" i="10"/>
  <c r="AH79" i="10"/>
  <c r="AG79" i="10"/>
  <c r="AE79" i="10"/>
  <c r="AB79" i="10"/>
  <c r="AA79" i="10"/>
  <c r="Z79" i="10"/>
  <c r="W79" i="10"/>
  <c r="U79" i="10"/>
  <c r="T79" i="10"/>
  <c r="S79" i="10"/>
  <c r="R79" i="10"/>
  <c r="Q79" i="10"/>
  <c r="P79" i="10"/>
  <c r="O79" i="10"/>
  <c r="N79" i="10"/>
  <c r="M79" i="10"/>
  <c r="K79" i="10"/>
  <c r="I79" i="10"/>
  <c r="CQ78" i="10"/>
  <c r="CM78" i="10"/>
  <c r="CL78" i="10"/>
  <c r="CK78" i="10"/>
  <c r="CJ78" i="10"/>
  <c r="CH78" i="10"/>
  <c r="CF78" i="10"/>
  <c r="CE78" i="10"/>
  <c r="CD78" i="10"/>
  <c r="CC78" i="10"/>
  <c r="CB78" i="10"/>
  <c r="AN78" i="10"/>
  <c r="AK78" i="10"/>
  <c r="AJ78" i="10"/>
  <c r="AI78" i="10"/>
  <c r="AH78" i="10"/>
  <c r="AG78" i="10"/>
  <c r="AE78" i="10"/>
  <c r="AB78" i="10"/>
  <c r="AA78" i="10"/>
  <c r="Z78" i="10"/>
  <c r="W78" i="10"/>
  <c r="U78" i="10"/>
  <c r="T78" i="10"/>
  <c r="S78" i="10"/>
  <c r="R78" i="10"/>
  <c r="Q78" i="10"/>
  <c r="P78" i="10"/>
  <c r="O78" i="10"/>
  <c r="N78" i="10"/>
  <c r="M78" i="10"/>
  <c r="K78" i="10"/>
  <c r="I78" i="10"/>
  <c r="CQ77" i="10"/>
  <c r="CM77" i="10"/>
  <c r="CL77" i="10"/>
  <c r="CK77" i="10"/>
  <c r="CJ77" i="10"/>
  <c r="CH77" i="10"/>
  <c r="CF77" i="10"/>
  <c r="CE77" i="10"/>
  <c r="CD77" i="10"/>
  <c r="CC77" i="10"/>
  <c r="CB77" i="10"/>
  <c r="AN77" i="10"/>
  <c r="AK77" i="10"/>
  <c r="AJ77" i="10"/>
  <c r="AI77" i="10"/>
  <c r="AH77" i="10"/>
  <c r="AG77" i="10"/>
  <c r="AE77" i="10"/>
  <c r="AB77" i="10"/>
  <c r="AA77" i="10"/>
  <c r="Z77" i="10"/>
  <c r="W77" i="10"/>
  <c r="U77" i="10"/>
  <c r="T77" i="10"/>
  <c r="S77" i="10"/>
  <c r="R77" i="10"/>
  <c r="Q77" i="10"/>
  <c r="P77" i="10"/>
  <c r="O77" i="10"/>
  <c r="N77" i="10"/>
  <c r="M77" i="10"/>
  <c r="K77" i="10"/>
  <c r="I77" i="10"/>
  <c r="CQ76" i="10"/>
  <c r="CM76" i="10"/>
  <c r="CL76" i="10"/>
  <c r="CK76" i="10"/>
  <c r="CJ76" i="10"/>
  <c r="CH76" i="10"/>
  <c r="CF76" i="10"/>
  <c r="CE76" i="10"/>
  <c r="CD76" i="10"/>
  <c r="CC76" i="10"/>
  <c r="CB76" i="10"/>
  <c r="AN76" i="10"/>
  <c r="AK76" i="10"/>
  <c r="AJ76" i="10"/>
  <c r="AI76" i="10"/>
  <c r="AH76" i="10"/>
  <c r="AG76" i="10"/>
  <c r="AE76" i="10"/>
  <c r="AB76" i="10"/>
  <c r="AA76" i="10"/>
  <c r="Z76" i="10"/>
  <c r="W76" i="10"/>
  <c r="U76" i="10"/>
  <c r="T76" i="10"/>
  <c r="S76" i="10"/>
  <c r="R76" i="10"/>
  <c r="Q76" i="10"/>
  <c r="P76" i="10"/>
  <c r="O76" i="10"/>
  <c r="N76" i="10"/>
  <c r="M76" i="10"/>
  <c r="K76" i="10"/>
  <c r="I76" i="10"/>
  <c r="CQ75" i="10"/>
  <c r="CM75" i="10"/>
  <c r="CL75" i="10"/>
  <c r="CK75" i="10"/>
  <c r="CJ75" i="10"/>
  <c r="CH75" i="10"/>
  <c r="CF75" i="10"/>
  <c r="CE75" i="10"/>
  <c r="CD75" i="10"/>
  <c r="CC75" i="10"/>
  <c r="CB75" i="10"/>
  <c r="AN75" i="10"/>
  <c r="AK75" i="10"/>
  <c r="AJ75" i="10"/>
  <c r="AI75" i="10"/>
  <c r="AH75" i="10"/>
  <c r="AG75" i="10"/>
  <c r="AE75" i="10"/>
  <c r="AB75" i="10"/>
  <c r="AA75" i="10"/>
  <c r="Z75" i="10"/>
  <c r="W75" i="10"/>
  <c r="U75" i="10"/>
  <c r="T75" i="10"/>
  <c r="S75" i="10"/>
  <c r="R75" i="10"/>
  <c r="Q75" i="10"/>
  <c r="P75" i="10"/>
  <c r="O75" i="10"/>
  <c r="N75" i="10"/>
  <c r="M75" i="10"/>
  <c r="K75" i="10"/>
  <c r="I75" i="10"/>
  <c r="CQ74" i="10"/>
  <c r="CM74" i="10"/>
  <c r="CL74" i="10"/>
  <c r="CK74" i="10"/>
  <c r="CJ74" i="10"/>
  <c r="CH74" i="10"/>
  <c r="CF74" i="10"/>
  <c r="CE74" i="10"/>
  <c r="CD74" i="10"/>
  <c r="CC74" i="10"/>
  <c r="CB74" i="10"/>
  <c r="AN74" i="10"/>
  <c r="AK74" i="10"/>
  <c r="AJ74" i="10"/>
  <c r="AI74" i="10"/>
  <c r="AH74" i="10"/>
  <c r="AG74" i="10"/>
  <c r="AE74" i="10"/>
  <c r="AB74" i="10"/>
  <c r="AA74" i="10"/>
  <c r="Z74" i="10"/>
  <c r="W74" i="10"/>
  <c r="U74" i="10"/>
  <c r="T74" i="10"/>
  <c r="S74" i="10"/>
  <c r="R74" i="10"/>
  <c r="Q74" i="10"/>
  <c r="P74" i="10"/>
  <c r="O74" i="10"/>
  <c r="N74" i="10"/>
  <c r="M74" i="10"/>
  <c r="K74" i="10"/>
  <c r="I74" i="10"/>
  <c r="CQ73" i="10"/>
  <c r="CM73" i="10"/>
  <c r="CL73" i="10"/>
  <c r="CK73" i="10"/>
  <c r="CJ73" i="10"/>
  <c r="CH73" i="10"/>
  <c r="CF73" i="10"/>
  <c r="CE73" i="10"/>
  <c r="CD73" i="10"/>
  <c r="CC73" i="10"/>
  <c r="CB73" i="10"/>
  <c r="AN73" i="10"/>
  <c r="AK73" i="10"/>
  <c r="AJ73" i="10"/>
  <c r="AI73" i="10"/>
  <c r="AH73" i="10"/>
  <c r="AG73" i="10"/>
  <c r="AE73" i="10"/>
  <c r="AB73" i="10"/>
  <c r="AA73" i="10"/>
  <c r="Z73" i="10"/>
  <c r="W73" i="10"/>
  <c r="U73" i="10"/>
  <c r="T73" i="10"/>
  <c r="S73" i="10"/>
  <c r="R73" i="10"/>
  <c r="Q73" i="10"/>
  <c r="P73" i="10"/>
  <c r="O73" i="10"/>
  <c r="N73" i="10"/>
  <c r="M73" i="10"/>
  <c r="K73" i="10"/>
  <c r="I73" i="10"/>
  <c r="CQ72" i="10"/>
  <c r="CM72" i="10"/>
  <c r="CL72" i="10"/>
  <c r="CK72" i="10"/>
  <c r="CJ72" i="10"/>
  <c r="CH72" i="10"/>
  <c r="CF72" i="10"/>
  <c r="CE72" i="10"/>
  <c r="CD72" i="10"/>
  <c r="CC72" i="10"/>
  <c r="CB72" i="10"/>
  <c r="AN72" i="10"/>
  <c r="AK72" i="10"/>
  <c r="AJ72" i="10"/>
  <c r="AI72" i="10"/>
  <c r="AH72" i="10"/>
  <c r="AG72" i="10"/>
  <c r="AE72" i="10"/>
  <c r="AB72" i="10"/>
  <c r="AA72" i="10"/>
  <c r="Z72" i="10"/>
  <c r="W72" i="10"/>
  <c r="U72" i="10"/>
  <c r="T72" i="10"/>
  <c r="S72" i="10"/>
  <c r="R72" i="10"/>
  <c r="Q72" i="10"/>
  <c r="P72" i="10"/>
  <c r="O72" i="10"/>
  <c r="N72" i="10"/>
  <c r="M72" i="10"/>
  <c r="K72" i="10"/>
  <c r="I72" i="10"/>
  <c r="CQ71" i="10"/>
  <c r="CM71" i="10"/>
  <c r="CL71" i="10"/>
  <c r="CK71" i="10"/>
  <c r="CJ71" i="10"/>
  <c r="CH71" i="10"/>
  <c r="CF71" i="10"/>
  <c r="CE71" i="10"/>
  <c r="CD71" i="10"/>
  <c r="CC71" i="10"/>
  <c r="CB71" i="10"/>
  <c r="AN71" i="10"/>
  <c r="AK71" i="10"/>
  <c r="AJ71" i="10"/>
  <c r="AI71" i="10"/>
  <c r="AH71" i="10"/>
  <c r="AG71" i="10"/>
  <c r="AE71" i="10"/>
  <c r="AB71" i="10"/>
  <c r="AA71" i="10"/>
  <c r="Z71" i="10"/>
  <c r="W71" i="10"/>
  <c r="U71" i="10"/>
  <c r="T71" i="10"/>
  <c r="S71" i="10"/>
  <c r="R71" i="10"/>
  <c r="Q71" i="10"/>
  <c r="P71" i="10"/>
  <c r="O71" i="10"/>
  <c r="N71" i="10"/>
  <c r="M71" i="10"/>
  <c r="K71" i="10"/>
  <c r="I71" i="10"/>
  <c r="CQ70" i="10"/>
  <c r="CM70" i="10"/>
  <c r="CL70" i="10"/>
  <c r="CK70" i="10"/>
  <c r="CJ70" i="10"/>
  <c r="CH70" i="10"/>
  <c r="CF70" i="10"/>
  <c r="CE70" i="10"/>
  <c r="CD70" i="10"/>
  <c r="CC70" i="10"/>
  <c r="CB70" i="10"/>
  <c r="AN70" i="10"/>
  <c r="AK70" i="10"/>
  <c r="AJ70" i="10"/>
  <c r="AI70" i="10"/>
  <c r="AH70" i="10"/>
  <c r="AG70" i="10"/>
  <c r="AE70" i="10"/>
  <c r="AB70" i="10"/>
  <c r="AA70" i="10"/>
  <c r="Z70" i="10"/>
  <c r="W70" i="10"/>
  <c r="U70" i="10"/>
  <c r="T70" i="10"/>
  <c r="S70" i="10"/>
  <c r="R70" i="10"/>
  <c r="Q70" i="10"/>
  <c r="P70" i="10"/>
  <c r="O70" i="10"/>
  <c r="N70" i="10"/>
  <c r="M70" i="10"/>
  <c r="K70" i="10"/>
  <c r="I70" i="10"/>
  <c r="CQ69" i="10"/>
  <c r="CM69" i="10"/>
  <c r="CL69" i="10"/>
  <c r="CK69" i="10"/>
  <c r="CJ69" i="10"/>
  <c r="CH69" i="10"/>
  <c r="CF69" i="10"/>
  <c r="CE69" i="10"/>
  <c r="CD69" i="10"/>
  <c r="CC69" i="10"/>
  <c r="CB69" i="10"/>
  <c r="AN69" i="10"/>
  <c r="AK69" i="10"/>
  <c r="AJ69" i="10"/>
  <c r="AI69" i="10"/>
  <c r="AH69" i="10"/>
  <c r="AG69" i="10"/>
  <c r="AE69" i="10"/>
  <c r="AB69" i="10"/>
  <c r="AA69" i="10"/>
  <c r="Z69" i="10"/>
  <c r="W69" i="10"/>
  <c r="U69" i="10"/>
  <c r="T69" i="10"/>
  <c r="S69" i="10"/>
  <c r="R69" i="10"/>
  <c r="Q69" i="10"/>
  <c r="P69" i="10"/>
  <c r="O69" i="10"/>
  <c r="N69" i="10"/>
  <c r="M69" i="10"/>
  <c r="K69" i="10"/>
  <c r="I69" i="10"/>
  <c r="CQ68" i="10"/>
  <c r="CM68" i="10"/>
  <c r="CL68" i="10"/>
  <c r="CK68" i="10"/>
  <c r="CJ68" i="10"/>
  <c r="CH68" i="10"/>
  <c r="CF68" i="10"/>
  <c r="CE68" i="10"/>
  <c r="CD68" i="10"/>
  <c r="CC68" i="10"/>
  <c r="CB68" i="10"/>
  <c r="AN68" i="10"/>
  <c r="AK68" i="10"/>
  <c r="AJ68" i="10"/>
  <c r="AI68" i="10"/>
  <c r="AH68" i="10"/>
  <c r="AG68" i="10"/>
  <c r="AE68" i="10"/>
  <c r="AB68" i="10"/>
  <c r="AA68" i="10"/>
  <c r="Z68" i="10"/>
  <c r="W68" i="10"/>
  <c r="U68" i="10"/>
  <c r="T68" i="10"/>
  <c r="S68" i="10"/>
  <c r="R68" i="10"/>
  <c r="Q68" i="10"/>
  <c r="P68" i="10"/>
  <c r="O68" i="10"/>
  <c r="N68" i="10"/>
  <c r="M68" i="10"/>
  <c r="K68" i="10"/>
  <c r="I68" i="10"/>
  <c r="CQ67" i="10"/>
  <c r="CM67" i="10"/>
  <c r="CL67" i="10"/>
  <c r="CK67" i="10"/>
  <c r="CJ67" i="10"/>
  <c r="CH67" i="10"/>
  <c r="CF67" i="10"/>
  <c r="CE67" i="10"/>
  <c r="CD67" i="10"/>
  <c r="CC67" i="10"/>
  <c r="CB67" i="10"/>
  <c r="AN67" i="10"/>
  <c r="AK67" i="10"/>
  <c r="AJ67" i="10"/>
  <c r="AI67" i="10"/>
  <c r="AH67" i="10"/>
  <c r="AG67" i="10"/>
  <c r="AE67" i="10"/>
  <c r="AB67" i="10"/>
  <c r="AA67" i="10"/>
  <c r="Z67" i="10"/>
  <c r="W67" i="10"/>
  <c r="U67" i="10"/>
  <c r="T67" i="10"/>
  <c r="S67" i="10"/>
  <c r="R67" i="10"/>
  <c r="Q67" i="10"/>
  <c r="P67" i="10"/>
  <c r="O67" i="10"/>
  <c r="N67" i="10"/>
  <c r="M67" i="10"/>
  <c r="K67" i="10"/>
  <c r="I67" i="10"/>
  <c r="CQ66" i="10"/>
  <c r="CM66" i="10"/>
  <c r="CL66" i="10"/>
  <c r="CK66" i="10"/>
  <c r="CJ66" i="10"/>
  <c r="CH66" i="10"/>
  <c r="CF66" i="10"/>
  <c r="CE66" i="10"/>
  <c r="CD66" i="10"/>
  <c r="CC66" i="10"/>
  <c r="CB66" i="10"/>
  <c r="AN66" i="10"/>
  <c r="AK66" i="10"/>
  <c r="AJ66" i="10"/>
  <c r="AI66" i="10"/>
  <c r="AH66" i="10"/>
  <c r="AG66" i="10"/>
  <c r="AE66" i="10"/>
  <c r="AB66" i="10"/>
  <c r="AA66" i="10"/>
  <c r="Z66" i="10"/>
  <c r="W66" i="10"/>
  <c r="U66" i="10"/>
  <c r="T66" i="10"/>
  <c r="S66" i="10"/>
  <c r="R66" i="10"/>
  <c r="Q66" i="10"/>
  <c r="P66" i="10"/>
  <c r="O66" i="10"/>
  <c r="N66" i="10"/>
  <c r="M66" i="10"/>
  <c r="K66" i="10"/>
  <c r="I66" i="10"/>
  <c r="CQ65" i="10"/>
  <c r="CM65" i="10"/>
  <c r="CL65" i="10"/>
  <c r="CK65" i="10"/>
  <c r="CJ65" i="10"/>
  <c r="CH65" i="10"/>
  <c r="CF65" i="10"/>
  <c r="CE65" i="10"/>
  <c r="CD65" i="10"/>
  <c r="CC65" i="10"/>
  <c r="CB65" i="10"/>
  <c r="AN65" i="10"/>
  <c r="AK65" i="10"/>
  <c r="AJ65" i="10"/>
  <c r="AI65" i="10"/>
  <c r="AH65" i="10"/>
  <c r="AG65" i="10"/>
  <c r="AE65" i="10"/>
  <c r="AB65" i="10"/>
  <c r="AA65" i="10"/>
  <c r="Z65" i="10"/>
  <c r="W65" i="10"/>
  <c r="U65" i="10"/>
  <c r="T65" i="10"/>
  <c r="S65" i="10"/>
  <c r="R65" i="10"/>
  <c r="Q65" i="10"/>
  <c r="P65" i="10"/>
  <c r="O65" i="10"/>
  <c r="N65" i="10"/>
  <c r="M65" i="10"/>
  <c r="K65" i="10"/>
  <c r="I65" i="10"/>
  <c r="CQ64" i="10"/>
  <c r="CM64" i="10"/>
  <c r="CL64" i="10"/>
  <c r="CK64" i="10"/>
  <c r="CJ64" i="10"/>
  <c r="CH64" i="10"/>
  <c r="CF64" i="10"/>
  <c r="CE64" i="10"/>
  <c r="CD64" i="10"/>
  <c r="CC64" i="10"/>
  <c r="CB64" i="10"/>
  <c r="AN64" i="10"/>
  <c r="AK64" i="10"/>
  <c r="AJ64" i="10"/>
  <c r="AI64" i="10"/>
  <c r="AH64" i="10"/>
  <c r="AG64" i="10"/>
  <c r="AE64" i="10"/>
  <c r="AB64" i="10"/>
  <c r="AA64" i="10"/>
  <c r="Z64" i="10"/>
  <c r="W64" i="10"/>
  <c r="U64" i="10"/>
  <c r="T64" i="10"/>
  <c r="S64" i="10"/>
  <c r="R64" i="10"/>
  <c r="Q64" i="10"/>
  <c r="P64" i="10"/>
  <c r="O64" i="10"/>
  <c r="N64" i="10"/>
  <c r="M64" i="10"/>
  <c r="K64" i="10"/>
  <c r="I64" i="10"/>
  <c r="CQ63" i="10"/>
  <c r="CM63" i="10"/>
  <c r="CL63" i="10"/>
  <c r="CK63" i="10"/>
  <c r="CJ63" i="10"/>
  <c r="CH63" i="10"/>
  <c r="CF63" i="10"/>
  <c r="CE63" i="10"/>
  <c r="CD63" i="10"/>
  <c r="CC63" i="10"/>
  <c r="CB63" i="10"/>
  <c r="AN63" i="10"/>
  <c r="AK63" i="10"/>
  <c r="AJ63" i="10"/>
  <c r="AI63" i="10"/>
  <c r="AH63" i="10"/>
  <c r="AG63" i="10"/>
  <c r="AE63" i="10"/>
  <c r="AB63" i="10"/>
  <c r="AA63" i="10"/>
  <c r="Z63" i="10"/>
  <c r="W63" i="10"/>
  <c r="U63" i="10"/>
  <c r="T63" i="10"/>
  <c r="S63" i="10"/>
  <c r="R63" i="10"/>
  <c r="Q63" i="10"/>
  <c r="P63" i="10"/>
  <c r="O63" i="10"/>
  <c r="N63" i="10"/>
  <c r="M63" i="10"/>
  <c r="K63" i="10"/>
  <c r="I63" i="10"/>
  <c r="CQ62" i="10"/>
  <c r="CF62" i="10"/>
  <c r="CE62" i="10"/>
  <c r="CD62" i="10"/>
  <c r="CC62" i="10"/>
  <c r="CB62" i="10"/>
  <c r="AN62" i="10"/>
  <c r="AK62" i="10"/>
  <c r="AJ62" i="10"/>
  <c r="AI62" i="10"/>
  <c r="AH62" i="10"/>
  <c r="AG62" i="10"/>
  <c r="AE62" i="10"/>
  <c r="AB62" i="10"/>
  <c r="AA62" i="10"/>
  <c r="Z62" i="10"/>
  <c r="W62" i="10"/>
  <c r="U62" i="10"/>
  <c r="T62" i="10"/>
  <c r="S62" i="10"/>
  <c r="R62" i="10"/>
  <c r="Q62" i="10"/>
  <c r="P62" i="10"/>
  <c r="O62" i="10"/>
  <c r="N62" i="10"/>
  <c r="M62" i="10"/>
  <c r="K62" i="10"/>
  <c r="I62" i="10"/>
  <c r="CQ61" i="10"/>
  <c r="CM61" i="10"/>
  <c r="CL61" i="10"/>
  <c r="CK61" i="10"/>
  <c r="CJ61" i="10"/>
  <c r="CH61" i="10"/>
  <c r="CF61" i="10"/>
  <c r="CE61" i="10"/>
  <c r="CD61" i="10"/>
  <c r="CC61" i="10"/>
  <c r="CB61" i="10"/>
  <c r="AN61" i="10"/>
  <c r="AK61" i="10"/>
  <c r="AJ61" i="10"/>
  <c r="AI61" i="10"/>
  <c r="AH61" i="10"/>
  <c r="AG61" i="10"/>
  <c r="AE61" i="10"/>
  <c r="AB61" i="10"/>
  <c r="AA61" i="10"/>
  <c r="Z61" i="10"/>
  <c r="W61" i="10"/>
  <c r="U61" i="10"/>
  <c r="T61" i="10"/>
  <c r="S61" i="10"/>
  <c r="R61" i="10"/>
  <c r="Q61" i="10"/>
  <c r="P61" i="10"/>
  <c r="O61" i="10"/>
  <c r="N61" i="10"/>
  <c r="M61" i="10"/>
  <c r="K61" i="10"/>
  <c r="I61" i="10"/>
  <c r="CQ60" i="10"/>
  <c r="CM60" i="10"/>
  <c r="CL60" i="10"/>
  <c r="CK60" i="10"/>
  <c r="CJ60" i="10"/>
  <c r="CH60" i="10"/>
  <c r="CF60" i="10"/>
  <c r="CE60" i="10"/>
  <c r="CD60" i="10"/>
  <c r="CC60" i="10"/>
  <c r="CB60" i="10"/>
  <c r="AN60" i="10"/>
  <c r="AK60" i="10"/>
  <c r="AJ60" i="10"/>
  <c r="AI60" i="10"/>
  <c r="AH60" i="10"/>
  <c r="AG60" i="10"/>
  <c r="AE60" i="10"/>
  <c r="AB60" i="10"/>
  <c r="AA60" i="10"/>
  <c r="Z60" i="10"/>
  <c r="W60" i="10"/>
  <c r="U60" i="10"/>
  <c r="T60" i="10"/>
  <c r="S60" i="10"/>
  <c r="R60" i="10"/>
  <c r="Q60" i="10"/>
  <c r="P60" i="10"/>
  <c r="O60" i="10"/>
  <c r="N60" i="10"/>
  <c r="M60" i="10"/>
  <c r="K60" i="10"/>
  <c r="I60" i="10"/>
  <c r="CQ59" i="10"/>
  <c r="CM59" i="10"/>
  <c r="CL59" i="10"/>
  <c r="CK59" i="10"/>
  <c r="CJ59" i="10"/>
  <c r="CH59" i="10"/>
  <c r="CF59" i="10"/>
  <c r="CE59" i="10"/>
  <c r="CD59" i="10"/>
  <c r="CC59" i="10"/>
  <c r="CB59" i="10"/>
  <c r="AN59" i="10"/>
  <c r="AK59" i="10"/>
  <c r="AJ59" i="10"/>
  <c r="AI59" i="10"/>
  <c r="AH59" i="10"/>
  <c r="AG59" i="10"/>
  <c r="AE59" i="10"/>
  <c r="AB59" i="10"/>
  <c r="AA59" i="10"/>
  <c r="Z59" i="10"/>
  <c r="W59" i="10"/>
  <c r="U59" i="10"/>
  <c r="T59" i="10"/>
  <c r="S59" i="10"/>
  <c r="R59" i="10"/>
  <c r="Q59" i="10"/>
  <c r="P59" i="10"/>
  <c r="O59" i="10"/>
  <c r="N59" i="10"/>
  <c r="M59" i="10"/>
  <c r="K59" i="10"/>
  <c r="I59" i="10"/>
  <c r="CQ58" i="10"/>
  <c r="CM58" i="10"/>
  <c r="CL58" i="10"/>
  <c r="CK58" i="10"/>
  <c r="CJ58" i="10"/>
  <c r="CH58" i="10"/>
  <c r="CF58" i="10"/>
  <c r="CE58" i="10"/>
  <c r="CD58" i="10"/>
  <c r="CC58" i="10"/>
  <c r="CB58" i="10"/>
  <c r="AN58" i="10"/>
  <c r="AK58" i="10"/>
  <c r="AJ58" i="10"/>
  <c r="AI58" i="10"/>
  <c r="AH58" i="10"/>
  <c r="AG58" i="10"/>
  <c r="AE58" i="10"/>
  <c r="AB58" i="10"/>
  <c r="AA58" i="10"/>
  <c r="Z58" i="10"/>
  <c r="W58" i="10"/>
  <c r="U58" i="10"/>
  <c r="T58" i="10"/>
  <c r="S58" i="10"/>
  <c r="R58" i="10"/>
  <c r="Q58" i="10"/>
  <c r="P58" i="10"/>
  <c r="O58" i="10"/>
  <c r="N58" i="10"/>
  <c r="M58" i="10"/>
  <c r="K58" i="10"/>
  <c r="I58" i="10"/>
  <c r="CQ57" i="10"/>
  <c r="CF57" i="10"/>
  <c r="CE57" i="10"/>
  <c r="CD57" i="10"/>
  <c r="CC57" i="10"/>
  <c r="CB57" i="10"/>
  <c r="AN57" i="10"/>
  <c r="AK57" i="10"/>
  <c r="AJ57" i="10"/>
  <c r="AI57" i="10"/>
  <c r="AH57" i="10"/>
  <c r="AG57" i="10"/>
  <c r="AE57" i="10"/>
  <c r="AB57" i="10"/>
  <c r="AA57" i="10"/>
  <c r="Z57" i="10"/>
  <c r="W57" i="10"/>
  <c r="U57" i="10"/>
  <c r="T57" i="10"/>
  <c r="S57" i="10"/>
  <c r="R57" i="10"/>
  <c r="Q57" i="10"/>
  <c r="P57" i="10"/>
  <c r="O57" i="10"/>
  <c r="N57" i="10"/>
  <c r="M57" i="10"/>
  <c r="K57" i="10"/>
  <c r="I57" i="10"/>
  <c r="CQ56" i="10"/>
  <c r="CM56" i="10"/>
  <c r="CL56" i="10"/>
  <c r="CK56" i="10"/>
  <c r="CJ56" i="10"/>
  <c r="CH56" i="10"/>
  <c r="CF56" i="10"/>
  <c r="CE56" i="10"/>
  <c r="CD56" i="10"/>
  <c r="CC56" i="10"/>
  <c r="CB56" i="10"/>
  <c r="AN56" i="10"/>
  <c r="AK56" i="10"/>
  <c r="AJ56" i="10"/>
  <c r="AI56" i="10"/>
  <c r="AH56" i="10"/>
  <c r="AG56" i="10"/>
  <c r="AE56" i="10"/>
  <c r="AB56" i="10"/>
  <c r="AA56" i="10"/>
  <c r="Z56" i="10"/>
  <c r="W56" i="10"/>
  <c r="U56" i="10"/>
  <c r="T56" i="10"/>
  <c r="S56" i="10"/>
  <c r="R56" i="10"/>
  <c r="Q56" i="10"/>
  <c r="P56" i="10"/>
  <c r="O56" i="10"/>
  <c r="N56" i="10"/>
  <c r="M56" i="10"/>
  <c r="K56" i="10"/>
  <c r="I56" i="10"/>
  <c r="CQ55" i="10"/>
  <c r="CM55" i="10"/>
  <c r="CL55" i="10"/>
  <c r="CK55" i="10"/>
  <c r="CJ55" i="10"/>
  <c r="CH55" i="10"/>
  <c r="CF55" i="10"/>
  <c r="CE55" i="10"/>
  <c r="CD55" i="10"/>
  <c r="CC55" i="10"/>
  <c r="CB55" i="10"/>
  <c r="AN55" i="10"/>
  <c r="AK55" i="10"/>
  <c r="AJ55" i="10"/>
  <c r="AI55" i="10"/>
  <c r="AH55" i="10"/>
  <c r="AG55" i="10"/>
  <c r="AE55" i="10"/>
  <c r="AB55" i="10"/>
  <c r="AA55" i="10"/>
  <c r="Z55" i="10"/>
  <c r="W55" i="10"/>
  <c r="U55" i="10"/>
  <c r="T55" i="10"/>
  <c r="S55" i="10"/>
  <c r="R55" i="10"/>
  <c r="Q55" i="10"/>
  <c r="P55" i="10"/>
  <c r="O55" i="10"/>
  <c r="N55" i="10"/>
  <c r="M55" i="10"/>
  <c r="K55" i="10"/>
  <c r="I55" i="10"/>
  <c r="CQ54" i="10"/>
  <c r="CM54" i="10"/>
  <c r="CL54" i="10"/>
  <c r="CK54" i="10"/>
  <c r="CJ54" i="10"/>
  <c r="CH54" i="10"/>
  <c r="CF54" i="10"/>
  <c r="CE54" i="10"/>
  <c r="CD54" i="10"/>
  <c r="CC54" i="10"/>
  <c r="CB54" i="10"/>
  <c r="AN54" i="10"/>
  <c r="AK54" i="10"/>
  <c r="AJ54" i="10"/>
  <c r="AI54" i="10"/>
  <c r="AH54" i="10"/>
  <c r="AG54" i="10"/>
  <c r="AE54" i="10"/>
  <c r="AB54" i="10"/>
  <c r="Z54" i="10"/>
  <c r="W54" i="10"/>
  <c r="U54" i="10"/>
  <c r="T54" i="10"/>
  <c r="S54" i="10"/>
  <c r="R54" i="10"/>
  <c r="Q54" i="10"/>
  <c r="P54" i="10"/>
  <c r="O54" i="10"/>
  <c r="N54" i="10"/>
  <c r="M54" i="10"/>
  <c r="K54" i="10"/>
  <c r="I54" i="10"/>
  <c r="CQ53" i="10"/>
  <c r="CM53" i="10"/>
  <c r="CL53" i="10"/>
  <c r="CK53" i="10"/>
  <c r="CJ53" i="10"/>
  <c r="CH53" i="10"/>
  <c r="CF53" i="10"/>
  <c r="CE53" i="10"/>
  <c r="CD53" i="10"/>
  <c r="CC53" i="10"/>
  <c r="CB53" i="10"/>
  <c r="AN53" i="10"/>
  <c r="AK53" i="10"/>
  <c r="AJ53" i="10"/>
  <c r="AI53" i="10"/>
  <c r="AH53" i="10"/>
  <c r="AG53" i="10"/>
  <c r="AE53" i="10"/>
  <c r="AB53" i="10"/>
  <c r="AA53" i="10"/>
  <c r="Z53" i="10"/>
  <c r="W53" i="10"/>
  <c r="U53" i="10"/>
  <c r="T53" i="10"/>
  <c r="S53" i="10"/>
  <c r="R53" i="10"/>
  <c r="Q53" i="10"/>
  <c r="P53" i="10"/>
  <c r="O53" i="10"/>
  <c r="N53" i="10"/>
  <c r="M53" i="10"/>
  <c r="K53" i="10"/>
  <c r="I53" i="10"/>
  <c r="CQ52" i="10"/>
  <c r="CM52" i="10"/>
  <c r="CL52" i="10"/>
  <c r="CK52" i="10"/>
  <c r="CJ52" i="10"/>
  <c r="CH52" i="10"/>
  <c r="CF52" i="10"/>
  <c r="CE52" i="10"/>
  <c r="CD52" i="10"/>
  <c r="CC52" i="10"/>
  <c r="CB52" i="10"/>
  <c r="AN52" i="10"/>
  <c r="AK52" i="10"/>
  <c r="AJ52" i="10"/>
  <c r="AI52" i="10"/>
  <c r="AH52" i="10"/>
  <c r="AG52" i="10"/>
  <c r="AE52" i="10"/>
  <c r="AB52" i="10"/>
  <c r="AA52" i="10"/>
  <c r="Z52" i="10"/>
  <c r="W52" i="10"/>
  <c r="U52" i="10"/>
  <c r="T52" i="10"/>
  <c r="S52" i="10"/>
  <c r="R52" i="10"/>
  <c r="Q52" i="10"/>
  <c r="P52" i="10"/>
  <c r="O52" i="10"/>
  <c r="N52" i="10"/>
  <c r="M52" i="10"/>
  <c r="K52" i="10"/>
  <c r="I52" i="10"/>
  <c r="CQ51" i="10"/>
  <c r="CM51" i="10"/>
  <c r="CL51" i="10"/>
  <c r="CK51" i="10"/>
  <c r="CJ51" i="10"/>
  <c r="CH51" i="10"/>
  <c r="CF51" i="10"/>
  <c r="CE51" i="10"/>
  <c r="CD51" i="10"/>
  <c r="CC51" i="10"/>
  <c r="CB51" i="10"/>
  <c r="AN51" i="10"/>
  <c r="AK51" i="10"/>
  <c r="AJ51" i="10"/>
  <c r="AI51" i="10"/>
  <c r="AH51" i="10"/>
  <c r="AG51" i="10"/>
  <c r="AE51" i="10"/>
  <c r="AB51" i="10"/>
  <c r="AA51" i="10"/>
  <c r="Z51" i="10"/>
  <c r="W51" i="10"/>
  <c r="U51" i="10"/>
  <c r="T51" i="10"/>
  <c r="S51" i="10"/>
  <c r="R51" i="10"/>
  <c r="Q51" i="10"/>
  <c r="P51" i="10"/>
  <c r="O51" i="10"/>
  <c r="N51" i="10"/>
  <c r="M51" i="10"/>
  <c r="K51" i="10"/>
  <c r="I51" i="10"/>
  <c r="CQ50" i="10"/>
  <c r="CM50" i="10"/>
  <c r="CL50" i="10"/>
  <c r="CK50" i="10"/>
  <c r="CJ50" i="10"/>
  <c r="CH50" i="10"/>
  <c r="CF50" i="10"/>
  <c r="CE50" i="10"/>
  <c r="CD50" i="10"/>
  <c r="CC50" i="10"/>
  <c r="CB50" i="10"/>
  <c r="AN50" i="10"/>
  <c r="AK50" i="10"/>
  <c r="AJ50" i="10"/>
  <c r="AI50" i="10"/>
  <c r="AH50" i="10"/>
  <c r="AG50" i="10"/>
  <c r="AE50" i="10"/>
  <c r="AB50" i="10"/>
  <c r="AA50" i="10"/>
  <c r="Z50" i="10"/>
  <c r="W50" i="10"/>
  <c r="U50" i="10"/>
  <c r="T50" i="10"/>
  <c r="S50" i="10"/>
  <c r="R50" i="10"/>
  <c r="Q50" i="10"/>
  <c r="P50" i="10"/>
  <c r="O50" i="10"/>
  <c r="N50" i="10"/>
  <c r="M50" i="10"/>
  <c r="K50" i="10"/>
  <c r="I50" i="10"/>
  <c r="CQ49" i="10"/>
  <c r="CM49" i="10"/>
  <c r="CL49" i="10"/>
  <c r="CK49" i="10"/>
  <c r="CJ49" i="10"/>
  <c r="CH49" i="10"/>
  <c r="CF49" i="10"/>
  <c r="CE49" i="10"/>
  <c r="CD49" i="10"/>
  <c r="CC49" i="10"/>
  <c r="CB49" i="10"/>
  <c r="AN49" i="10"/>
  <c r="AK49" i="10"/>
  <c r="AJ49" i="10"/>
  <c r="AI49" i="10"/>
  <c r="AH49" i="10"/>
  <c r="AG49" i="10"/>
  <c r="AE49" i="10"/>
  <c r="AB49" i="10"/>
  <c r="AA49" i="10"/>
  <c r="Z49" i="10"/>
  <c r="W49" i="10"/>
  <c r="U49" i="10"/>
  <c r="T49" i="10"/>
  <c r="S49" i="10"/>
  <c r="R49" i="10"/>
  <c r="Q49" i="10"/>
  <c r="P49" i="10"/>
  <c r="O49" i="10"/>
  <c r="N49" i="10"/>
  <c r="M49" i="10"/>
  <c r="K49" i="10"/>
  <c r="I49" i="10"/>
  <c r="CQ48" i="10"/>
  <c r="CM48" i="10"/>
  <c r="CL48" i="10"/>
  <c r="CK48" i="10"/>
  <c r="CJ48" i="10"/>
  <c r="CH48" i="10"/>
  <c r="CF48" i="10"/>
  <c r="CE48" i="10"/>
  <c r="CD48" i="10"/>
  <c r="CC48" i="10"/>
  <c r="CB48" i="10"/>
  <c r="AN48" i="10"/>
  <c r="AK48" i="10"/>
  <c r="AJ48" i="10"/>
  <c r="AI48" i="10"/>
  <c r="AH48" i="10"/>
  <c r="AG48" i="10"/>
  <c r="AE48" i="10"/>
  <c r="AB48" i="10"/>
  <c r="AA48" i="10"/>
  <c r="Z48" i="10"/>
  <c r="W48" i="10"/>
  <c r="U48" i="10"/>
  <c r="T48" i="10"/>
  <c r="S48" i="10"/>
  <c r="R48" i="10"/>
  <c r="Q48" i="10"/>
  <c r="P48" i="10"/>
  <c r="O48" i="10"/>
  <c r="N48" i="10"/>
  <c r="M48" i="10"/>
  <c r="K48" i="10"/>
  <c r="I48" i="10"/>
  <c r="CQ47" i="10"/>
  <c r="CM47" i="10"/>
  <c r="CL47" i="10"/>
  <c r="CK47" i="10"/>
  <c r="CJ47" i="10"/>
  <c r="CH47" i="10"/>
  <c r="CF47" i="10"/>
  <c r="CE47" i="10"/>
  <c r="CD47" i="10"/>
  <c r="CC47" i="10"/>
  <c r="CB47" i="10"/>
  <c r="AN47" i="10"/>
  <c r="AK47" i="10"/>
  <c r="AJ47" i="10"/>
  <c r="AI47" i="10"/>
  <c r="AH47" i="10"/>
  <c r="AG47" i="10"/>
  <c r="AE47" i="10"/>
  <c r="AB47" i="10"/>
  <c r="AA47" i="10"/>
  <c r="Z47" i="10"/>
  <c r="W47" i="10"/>
  <c r="U47" i="10"/>
  <c r="T47" i="10"/>
  <c r="S47" i="10"/>
  <c r="R47" i="10"/>
  <c r="Q47" i="10"/>
  <c r="P47" i="10"/>
  <c r="O47" i="10"/>
  <c r="N47" i="10"/>
  <c r="M47" i="10"/>
  <c r="K47" i="10"/>
  <c r="I47" i="10"/>
  <c r="CQ46" i="10"/>
  <c r="CM46" i="10"/>
  <c r="CL46" i="10"/>
  <c r="CK46" i="10"/>
  <c r="CJ46" i="10"/>
  <c r="CH46" i="10"/>
  <c r="CF46" i="10"/>
  <c r="CE46" i="10"/>
  <c r="CD46" i="10"/>
  <c r="CC46" i="10"/>
  <c r="CB46" i="10"/>
  <c r="AN46" i="10"/>
  <c r="AK46" i="10"/>
  <c r="AJ46" i="10"/>
  <c r="AI46" i="10"/>
  <c r="AH46" i="10"/>
  <c r="AG46" i="10"/>
  <c r="AE46" i="10"/>
  <c r="AB46" i="10"/>
  <c r="AA46" i="10"/>
  <c r="Z46" i="10"/>
  <c r="W46" i="10"/>
  <c r="U46" i="10"/>
  <c r="T46" i="10"/>
  <c r="S46" i="10"/>
  <c r="R46" i="10"/>
  <c r="Q46" i="10"/>
  <c r="P46" i="10"/>
  <c r="O46" i="10"/>
  <c r="N46" i="10"/>
  <c r="M46" i="10"/>
  <c r="K46" i="10"/>
  <c r="I46" i="10"/>
  <c r="CQ45" i="10"/>
  <c r="CM45" i="10"/>
  <c r="CL45" i="10"/>
  <c r="CK45" i="10"/>
  <c r="CJ45" i="10"/>
  <c r="CH45" i="10"/>
  <c r="CF45" i="10"/>
  <c r="CE45" i="10"/>
  <c r="CD45" i="10"/>
  <c r="CC45" i="10"/>
  <c r="CB45" i="10"/>
  <c r="AN45" i="10"/>
  <c r="AK45" i="10"/>
  <c r="AJ45" i="10"/>
  <c r="AI45" i="10"/>
  <c r="AH45" i="10"/>
  <c r="AG45" i="10"/>
  <c r="AE45" i="10"/>
  <c r="AB45" i="10"/>
  <c r="AA45" i="10"/>
  <c r="Z45" i="10"/>
  <c r="W45" i="10"/>
  <c r="U45" i="10"/>
  <c r="T45" i="10"/>
  <c r="S45" i="10"/>
  <c r="R45" i="10"/>
  <c r="Q45" i="10"/>
  <c r="P45" i="10"/>
  <c r="O45" i="10"/>
  <c r="N45" i="10"/>
  <c r="M45" i="10"/>
  <c r="K45" i="10"/>
  <c r="I45" i="10"/>
  <c r="CQ44" i="10"/>
  <c r="CM44" i="10"/>
  <c r="CL44" i="10"/>
  <c r="CK44" i="10"/>
  <c r="CJ44" i="10"/>
  <c r="CH44" i="10"/>
  <c r="CF44" i="10"/>
  <c r="CE44" i="10"/>
  <c r="CD44" i="10"/>
  <c r="CC44" i="10"/>
  <c r="CB44" i="10"/>
  <c r="AN44" i="10"/>
  <c r="AK44" i="10"/>
  <c r="AJ44" i="10"/>
  <c r="AI44" i="10"/>
  <c r="AH44" i="10"/>
  <c r="AG44" i="10"/>
  <c r="AE44" i="10"/>
  <c r="AB44" i="10"/>
  <c r="AA44" i="10"/>
  <c r="Z44" i="10"/>
  <c r="W44" i="10"/>
  <c r="U44" i="10"/>
  <c r="T44" i="10"/>
  <c r="S44" i="10"/>
  <c r="R44" i="10"/>
  <c r="Q44" i="10"/>
  <c r="P44" i="10"/>
  <c r="O44" i="10"/>
  <c r="N44" i="10"/>
  <c r="M44" i="10"/>
  <c r="K44" i="10"/>
  <c r="I44" i="10"/>
  <c r="CQ43" i="10"/>
  <c r="CM43" i="10"/>
  <c r="CL43" i="10"/>
  <c r="CK43" i="10"/>
  <c r="CJ43" i="10"/>
  <c r="CH43" i="10"/>
  <c r="CF43" i="10"/>
  <c r="CE43" i="10"/>
  <c r="CD43" i="10"/>
  <c r="CC43" i="10"/>
  <c r="CB43" i="10"/>
  <c r="AN43" i="10"/>
  <c r="AK43" i="10"/>
  <c r="AJ43" i="10"/>
  <c r="AI43" i="10"/>
  <c r="AH43" i="10"/>
  <c r="AG43" i="10"/>
  <c r="AE43" i="10"/>
  <c r="AB43" i="10"/>
  <c r="AA43" i="10"/>
  <c r="Z43" i="10"/>
  <c r="W43" i="10"/>
  <c r="U43" i="10"/>
  <c r="T43" i="10"/>
  <c r="S43" i="10"/>
  <c r="R43" i="10"/>
  <c r="Q43" i="10"/>
  <c r="P43" i="10"/>
  <c r="O43" i="10"/>
  <c r="N43" i="10"/>
  <c r="M43" i="10"/>
  <c r="K43" i="10"/>
  <c r="I43" i="10"/>
  <c r="CQ42" i="10"/>
  <c r="CM42" i="10"/>
  <c r="CL42" i="10"/>
  <c r="CK42" i="10"/>
  <c r="CJ42" i="10"/>
  <c r="CH42" i="10"/>
  <c r="CF42" i="10"/>
  <c r="CE42" i="10"/>
  <c r="CD42" i="10"/>
  <c r="CC42" i="10"/>
  <c r="CB42" i="10"/>
  <c r="AN42" i="10"/>
  <c r="AK42" i="10"/>
  <c r="AJ42" i="10"/>
  <c r="AI42" i="10"/>
  <c r="AH42" i="10"/>
  <c r="AG42" i="10"/>
  <c r="AE42" i="10"/>
  <c r="AB42" i="10"/>
  <c r="AA42" i="10"/>
  <c r="Z42" i="10"/>
  <c r="W42" i="10"/>
  <c r="U42" i="10"/>
  <c r="T42" i="10"/>
  <c r="S42" i="10"/>
  <c r="R42" i="10"/>
  <c r="Q42" i="10"/>
  <c r="P42" i="10"/>
  <c r="O42" i="10"/>
  <c r="N42" i="10"/>
  <c r="M42" i="10"/>
  <c r="K42" i="10"/>
  <c r="I42" i="10"/>
  <c r="CQ41" i="10"/>
  <c r="CM41" i="10"/>
  <c r="CL41" i="10"/>
  <c r="CK41" i="10"/>
  <c r="CJ41" i="10"/>
  <c r="CH41" i="10"/>
  <c r="CF41" i="10"/>
  <c r="CE41" i="10"/>
  <c r="CD41" i="10"/>
  <c r="CC41" i="10"/>
  <c r="CB41" i="10"/>
  <c r="AN41" i="10"/>
  <c r="AK41" i="10"/>
  <c r="AJ41" i="10"/>
  <c r="AI41" i="10"/>
  <c r="AH41" i="10"/>
  <c r="AG41" i="10"/>
  <c r="AE41" i="10"/>
  <c r="AB41" i="10"/>
  <c r="AA41" i="10"/>
  <c r="Z41" i="10"/>
  <c r="W41" i="10"/>
  <c r="U41" i="10"/>
  <c r="T41" i="10"/>
  <c r="S41" i="10"/>
  <c r="R41" i="10"/>
  <c r="Q41" i="10"/>
  <c r="P41" i="10"/>
  <c r="O41" i="10"/>
  <c r="N41" i="10"/>
  <c r="M41" i="10"/>
  <c r="K41" i="10"/>
  <c r="I41" i="10"/>
  <c r="CQ40" i="10"/>
  <c r="CM40" i="10"/>
  <c r="CL40" i="10"/>
  <c r="CK40" i="10"/>
  <c r="CJ40" i="10"/>
  <c r="CH40" i="10"/>
  <c r="CF40" i="10"/>
  <c r="CE40" i="10"/>
  <c r="CD40" i="10"/>
  <c r="CC40" i="10"/>
  <c r="CB40" i="10"/>
  <c r="AN40" i="10"/>
  <c r="AK40" i="10"/>
  <c r="AJ40" i="10"/>
  <c r="AI40" i="10"/>
  <c r="AH40" i="10"/>
  <c r="AG40" i="10"/>
  <c r="AE40" i="10"/>
  <c r="AB40" i="10"/>
  <c r="AA40" i="10"/>
  <c r="Z40" i="10"/>
  <c r="W40" i="10"/>
  <c r="U40" i="10"/>
  <c r="T40" i="10"/>
  <c r="S40" i="10"/>
  <c r="R40" i="10"/>
  <c r="Q40" i="10"/>
  <c r="P40" i="10"/>
  <c r="O40" i="10"/>
  <c r="N40" i="10"/>
  <c r="M40" i="10"/>
  <c r="K40" i="10"/>
  <c r="I40" i="10"/>
  <c r="CQ39" i="10"/>
  <c r="CM39" i="10"/>
  <c r="CL39" i="10"/>
  <c r="CK39" i="10"/>
  <c r="CJ39" i="10"/>
  <c r="CH39" i="10"/>
  <c r="CF39" i="10"/>
  <c r="CE39" i="10"/>
  <c r="CD39" i="10"/>
  <c r="CC39" i="10"/>
  <c r="CB39" i="10"/>
  <c r="AN39" i="10"/>
  <c r="AK39" i="10"/>
  <c r="AJ39" i="10"/>
  <c r="AI39" i="10"/>
  <c r="AH39" i="10"/>
  <c r="AG39" i="10"/>
  <c r="AE39" i="10"/>
  <c r="AB39" i="10"/>
  <c r="AA39" i="10"/>
  <c r="Z39" i="10"/>
  <c r="W39" i="10"/>
  <c r="U39" i="10"/>
  <c r="T39" i="10"/>
  <c r="S39" i="10"/>
  <c r="R39" i="10"/>
  <c r="Q39" i="10"/>
  <c r="P39" i="10"/>
  <c r="O39" i="10"/>
  <c r="N39" i="10"/>
  <c r="M39" i="10"/>
  <c r="K39" i="10"/>
  <c r="I39" i="10"/>
  <c r="CQ38" i="10"/>
  <c r="CM38" i="10"/>
  <c r="CL38" i="10"/>
  <c r="CK38" i="10"/>
  <c r="CJ38" i="10"/>
  <c r="CH38" i="10"/>
  <c r="CF38" i="10"/>
  <c r="CE38" i="10"/>
  <c r="CD38" i="10"/>
  <c r="CC38" i="10"/>
  <c r="CB38" i="10"/>
  <c r="AN38" i="10"/>
  <c r="AK38" i="10"/>
  <c r="AJ38" i="10"/>
  <c r="AI38" i="10"/>
  <c r="AH38" i="10"/>
  <c r="AG38" i="10"/>
  <c r="AE38" i="10"/>
  <c r="AB38" i="10"/>
  <c r="AA38" i="10"/>
  <c r="Z38" i="10"/>
  <c r="W38" i="10"/>
  <c r="U38" i="10"/>
  <c r="T38" i="10"/>
  <c r="S38" i="10"/>
  <c r="R38" i="10"/>
  <c r="Q38" i="10"/>
  <c r="P38" i="10"/>
  <c r="O38" i="10"/>
  <c r="N38" i="10"/>
  <c r="M38" i="10"/>
  <c r="K38" i="10"/>
  <c r="I38" i="10"/>
  <c r="CQ37" i="10"/>
  <c r="CM37" i="10"/>
  <c r="CL37" i="10"/>
  <c r="CK37" i="10"/>
  <c r="CJ37" i="10"/>
  <c r="CH37" i="10"/>
  <c r="CF37" i="10"/>
  <c r="CE37" i="10"/>
  <c r="CD37" i="10"/>
  <c r="CC37" i="10"/>
  <c r="CB37" i="10"/>
  <c r="AN37" i="10"/>
  <c r="AK37" i="10"/>
  <c r="AJ37" i="10"/>
  <c r="AI37" i="10"/>
  <c r="AH37" i="10"/>
  <c r="AG37" i="10"/>
  <c r="AE37" i="10"/>
  <c r="AB37" i="10"/>
  <c r="AA37" i="10"/>
  <c r="Z37" i="10"/>
  <c r="W37" i="10"/>
  <c r="U37" i="10"/>
  <c r="T37" i="10"/>
  <c r="S37" i="10"/>
  <c r="R37" i="10"/>
  <c r="Q37" i="10"/>
  <c r="P37" i="10"/>
  <c r="O37" i="10"/>
  <c r="N37" i="10"/>
  <c r="M37" i="10"/>
  <c r="K37" i="10"/>
  <c r="I37" i="10"/>
  <c r="CQ36" i="10"/>
  <c r="CM36" i="10"/>
  <c r="CL36" i="10"/>
  <c r="CK36" i="10"/>
  <c r="CJ36" i="10"/>
  <c r="CH36" i="10"/>
  <c r="CF36" i="10"/>
  <c r="CE36" i="10"/>
  <c r="CD36" i="10"/>
  <c r="CC36" i="10"/>
  <c r="CB36" i="10"/>
  <c r="AN36" i="10"/>
  <c r="AK36" i="10"/>
  <c r="AJ36" i="10"/>
  <c r="AI36" i="10"/>
  <c r="AH36" i="10"/>
  <c r="AG36" i="10"/>
  <c r="AE36" i="10"/>
  <c r="AB36" i="10"/>
  <c r="AA36" i="10"/>
  <c r="Z36" i="10"/>
  <c r="W36" i="10"/>
  <c r="U36" i="10"/>
  <c r="T36" i="10"/>
  <c r="S36" i="10"/>
  <c r="R36" i="10"/>
  <c r="Q36" i="10"/>
  <c r="P36" i="10"/>
  <c r="O36" i="10"/>
  <c r="N36" i="10"/>
  <c r="M36" i="10"/>
  <c r="K36" i="10"/>
  <c r="I36" i="10"/>
  <c r="CQ35" i="10"/>
  <c r="CM35" i="10"/>
  <c r="CL35" i="10"/>
  <c r="CK35" i="10"/>
  <c r="CJ35" i="10"/>
  <c r="CH35" i="10"/>
  <c r="CF35" i="10"/>
  <c r="CE35" i="10"/>
  <c r="CD35" i="10"/>
  <c r="CC35" i="10"/>
  <c r="CB35" i="10"/>
  <c r="AN35" i="10"/>
  <c r="AK35" i="10"/>
  <c r="AJ35" i="10"/>
  <c r="AI35" i="10"/>
  <c r="AH35" i="10"/>
  <c r="AG35" i="10"/>
  <c r="AE35" i="10"/>
  <c r="AB35" i="10"/>
  <c r="AA35" i="10"/>
  <c r="Z35" i="10"/>
  <c r="W35" i="10"/>
  <c r="U35" i="10"/>
  <c r="T35" i="10"/>
  <c r="S35" i="10"/>
  <c r="R35" i="10"/>
  <c r="Q35" i="10"/>
  <c r="P35" i="10"/>
  <c r="O35" i="10"/>
  <c r="N35" i="10"/>
  <c r="M35" i="10"/>
  <c r="K35" i="10"/>
  <c r="I35" i="10"/>
  <c r="CQ34" i="10"/>
  <c r="CM34" i="10"/>
  <c r="CL34" i="10"/>
  <c r="CK34" i="10"/>
  <c r="CJ34" i="10"/>
  <c r="CH34" i="10"/>
  <c r="CF34" i="10"/>
  <c r="CE34" i="10"/>
  <c r="CD34" i="10"/>
  <c r="CC34" i="10"/>
  <c r="CB34" i="10"/>
  <c r="AN34" i="10"/>
  <c r="AK34" i="10"/>
  <c r="AJ34" i="10"/>
  <c r="AI34" i="10"/>
  <c r="AH34" i="10"/>
  <c r="AG34" i="10"/>
  <c r="AE34" i="10"/>
  <c r="AB34" i="10"/>
  <c r="AA34" i="10"/>
  <c r="Z34" i="10"/>
  <c r="W34" i="10"/>
  <c r="U34" i="10"/>
  <c r="T34" i="10"/>
  <c r="S34" i="10"/>
  <c r="R34" i="10"/>
  <c r="Q34" i="10"/>
  <c r="P34" i="10"/>
  <c r="O34" i="10"/>
  <c r="N34" i="10"/>
  <c r="M34" i="10"/>
  <c r="K34" i="10"/>
  <c r="I34" i="10"/>
  <c r="CQ33" i="10"/>
  <c r="CM33" i="10"/>
  <c r="CL33" i="10"/>
  <c r="CK33" i="10"/>
  <c r="CJ33" i="10"/>
  <c r="CH33" i="10"/>
  <c r="CF33" i="10"/>
  <c r="CE33" i="10"/>
  <c r="CD33" i="10"/>
  <c r="CC33" i="10"/>
  <c r="CB33" i="10"/>
  <c r="AN33" i="10"/>
  <c r="AK33" i="10"/>
  <c r="AJ33" i="10"/>
  <c r="AI33" i="10"/>
  <c r="AH33" i="10"/>
  <c r="AG33" i="10"/>
  <c r="AE33" i="10"/>
  <c r="AB33" i="10"/>
  <c r="AA33" i="10"/>
  <c r="Z33" i="10"/>
  <c r="W33" i="10"/>
  <c r="U33" i="10"/>
  <c r="T33" i="10"/>
  <c r="S33" i="10"/>
  <c r="R33" i="10"/>
  <c r="Q33" i="10"/>
  <c r="P33" i="10"/>
  <c r="O33" i="10"/>
  <c r="N33" i="10"/>
  <c r="M33" i="10"/>
  <c r="K33" i="10"/>
  <c r="I33" i="10"/>
  <c r="CQ32" i="10"/>
  <c r="CM32" i="10"/>
  <c r="CL32" i="10"/>
  <c r="CK32" i="10"/>
  <c r="CJ32" i="10"/>
  <c r="CH32" i="10"/>
  <c r="CF32" i="10"/>
  <c r="CE32" i="10"/>
  <c r="CD32" i="10"/>
  <c r="CC32" i="10"/>
  <c r="CB32" i="10"/>
  <c r="AN32" i="10"/>
  <c r="AK32" i="10"/>
  <c r="AJ32" i="10"/>
  <c r="AI32" i="10"/>
  <c r="AH32" i="10"/>
  <c r="AG32" i="10"/>
  <c r="AE32" i="10"/>
  <c r="AB32" i="10"/>
  <c r="AA32" i="10"/>
  <c r="Z32" i="10"/>
  <c r="W32" i="10"/>
  <c r="U32" i="10"/>
  <c r="T32" i="10"/>
  <c r="S32" i="10"/>
  <c r="R32" i="10"/>
  <c r="Q32" i="10"/>
  <c r="P32" i="10"/>
  <c r="O32" i="10"/>
  <c r="N32" i="10"/>
  <c r="M32" i="10"/>
  <c r="K32" i="10"/>
  <c r="I32" i="10"/>
  <c r="CQ31" i="10"/>
  <c r="CM31" i="10"/>
  <c r="CL31" i="10"/>
  <c r="CK31" i="10"/>
  <c r="CJ31" i="10"/>
  <c r="CH31" i="10"/>
  <c r="CF31" i="10"/>
  <c r="CE31" i="10"/>
  <c r="CD31" i="10"/>
  <c r="CC31" i="10"/>
  <c r="CB31" i="10"/>
  <c r="AN31" i="10"/>
  <c r="AK31" i="10"/>
  <c r="AJ31" i="10"/>
  <c r="AI31" i="10"/>
  <c r="AH31" i="10"/>
  <c r="AG31" i="10"/>
  <c r="AE31" i="10"/>
  <c r="AB31" i="10"/>
  <c r="AA31" i="10"/>
  <c r="Z31" i="10"/>
  <c r="W31" i="10"/>
  <c r="U31" i="10"/>
  <c r="T31" i="10"/>
  <c r="S31" i="10"/>
  <c r="R31" i="10"/>
  <c r="Q31" i="10"/>
  <c r="P31" i="10"/>
  <c r="O31" i="10"/>
  <c r="N31" i="10"/>
  <c r="M31" i="10"/>
  <c r="K31" i="10"/>
  <c r="I31" i="10"/>
  <c r="CQ30" i="10"/>
  <c r="CM30" i="10"/>
  <c r="CL30" i="10"/>
  <c r="CK30" i="10"/>
  <c r="CJ30" i="10"/>
  <c r="CH30" i="10"/>
  <c r="CF30" i="10"/>
  <c r="CE30" i="10"/>
  <c r="CD30" i="10"/>
  <c r="CC30" i="10"/>
  <c r="CB30" i="10"/>
  <c r="AN30" i="10"/>
  <c r="AK30" i="10"/>
  <c r="AJ30" i="10"/>
  <c r="AI30" i="10"/>
  <c r="AH30" i="10"/>
  <c r="AG30" i="10"/>
  <c r="AE30" i="10"/>
  <c r="AB30" i="10"/>
  <c r="AA30" i="10"/>
  <c r="Z30" i="10"/>
  <c r="W30" i="10"/>
  <c r="U30" i="10"/>
  <c r="T30" i="10"/>
  <c r="S30" i="10"/>
  <c r="R30" i="10"/>
  <c r="Q30" i="10"/>
  <c r="P30" i="10"/>
  <c r="O30" i="10"/>
  <c r="N30" i="10"/>
  <c r="M30" i="10"/>
  <c r="K30" i="10"/>
  <c r="I30" i="10"/>
  <c r="CQ29" i="10"/>
  <c r="CM29" i="10"/>
  <c r="CL29" i="10"/>
  <c r="CK29" i="10"/>
  <c r="CJ29" i="10"/>
  <c r="CH29" i="10"/>
  <c r="CF29" i="10"/>
  <c r="CE29" i="10"/>
  <c r="CD29" i="10"/>
  <c r="CC29" i="10"/>
  <c r="CB29" i="10"/>
  <c r="AN29" i="10"/>
  <c r="AK29" i="10"/>
  <c r="AJ29" i="10"/>
  <c r="AI29" i="10"/>
  <c r="AH29" i="10"/>
  <c r="AG29" i="10"/>
  <c r="AE29" i="10"/>
  <c r="AB29" i="10"/>
  <c r="AA29" i="10"/>
  <c r="Z29" i="10"/>
  <c r="W29" i="10"/>
  <c r="U29" i="10"/>
  <c r="T29" i="10"/>
  <c r="S29" i="10"/>
  <c r="R29" i="10"/>
  <c r="Q29" i="10"/>
  <c r="P29" i="10"/>
  <c r="O29" i="10"/>
  <c r="N29" i="10"/>
  <c r="M29" i="10"/>
  <c r="K29" i="10"/>
  <c r="I29" i="10"/>
  <c r="CQ28" i="10"/>
  <c r="CM28" i="10"/>
  <c r="CL28" i="10"/>
  <c r="CK28" i="10"/>
  <c r="CJ28" i="10"/>
  <c r="CH28" i="10"/>
  <c r="CF28" i="10"/>
  <c r="CE28" i="10"/>
  <c r="CD28" i="10"/>
  <c r="CC28" i="10"/>
  <c r="CB28" i="10"/>
  <c r="AN28" i="10"/>
  <c r="AK28" i="10"/>
  <c r="AJ28" i="10"/>
  <c r="AI28" i="10"/>
  <c r="AH28" i="10"/>
  <c r="AG28" i="10"/>
  <c r="AE28" i="10"/>
  <c r="AB28" i="10"/>
  <c r="AA28" i="10"/>
  <c r="Z28" i="10"/>
  <c r="W28" i="10"/>
  <c r="U28" i="10"/>
  <c r="T28" i="10"/>
  <c r="S28" i="10"/>
  <c r="R28" i="10"/>
  <c r="Q28" i="10"/>
  <c r="P28" i="10"/>
  <c r="O28" i="10"/>
  <c r="N28" i="10"/>
  <c r="M28" i="10"/>
  <c r="K28" i="10"/>
  <c r="I28" i="10"/>
  <c r="CQ27" i="10"/>
  <c r="CM27" i="10"/>
  <c r="CL27" i="10"/>
  <c r="CK27" i="10"/>
  <c r="CJ27" i="10"/>
  <c r="CH27" i="10"/>
  <c r="CF27" i="10"/>
  <c r="CE27" i="10"/>
  <c r="CD27" i="10"/>
  <c r="CC27" i="10"/>
  <c r="CB27" i="10"/>
  <c r="AN27" i="10"/>
  <c r="AK27" i="10"/>
  <c r="AJ27" i="10"/>
  <c r="AI27" i="10"/>
  <c r="AH27" i="10"/>
  <c r="AG27" i="10"/>
  <c r="AE27" i="10"/>
  <c r="AB27" i="10"/>
  <c r="AA27" i="10"/>
  <c r="Z27" i="10"/>
  <c r="W27" i="10"/>
  <c r="U27" i="10"/>
  <c r="T27" i="10"/>
  <c r="S27" i="10"/>
  <c r="R27" i="10"/>
  <c r="Q27" i="10"/>
  <c r="P27" i="10"/>
  <c r="O27" i="10"/>
  <c r="N27" i="10"/>
  <c r="M27" i="10"/>
  <c r="K27" i="10"/>
  <c r="I27" i="10"/>
  <c r="CQ26" i="10"/>
  <c r="CM26" i="10"/>
  <c r="CL26" i="10"/>
  <c r="CK26" i="10"/>
  <c r="CJ26" i="10"/>
  <c r="CH26" i="10"/>
  <c r="CF26" i="10"/>
  <c r="CE26" i="10"/>
  <c r="CD26" i="10"/>
  <c r="CC26" i="10"/>
  <c r="CB26" i="10"/>
  <c r="AN26" i="10"/>
  <c r="AK26" i="10"/>
  <c r="AJ26" i="10"/>
  <c r="AI26" i="10"/>
  <c r="AH26" i="10"/>
  <c r="AG26" i="10"/>
  <c r="AE26" i="10"/>
  <c r="AB26" i="10"/>
  <c r="AA26" i="10"/>
  <c r="Z26" i="10"/>
  <c r="W26" i="10"/>
  <c r="U26" i="10"/>
  <c r="T26" i="10"/>
  <c r="S26" i="10"/>
  <c r="R26" i="10"/>
  <c r="Q26" i="10"/>
  <c r="P26" i="10"/>
  <c r="O26" i="10"/>
  <c r="N26" i="10"/>
  <c r="M26" i="10"/>
  <c r="K26" i="10"/>
  <c r="I26" i="10"/>
  <c r="CQ25" i="10"/>
  <c r="CM25" i="10"/>
  <c r="CL25" i="10"/>
  <c r="CK25" i="10"/>
  <c r="CJ25" i="10"/>
  <c r="CH25" i="10"/>
  <c r="CF25" i="10"/>
  <c r="CE25" i="10"/>
  <c r="CD25" i="10"/>
  <c r="CC25" i="10"/>
  <c r="CB25" i="10"/>
  <c r="AN25" i="10"/>
  <c r="AK25" i="10"/>
  <c r="AJ25" i="10"/>
  <c r="AI25" i="10"/>
  <c r="AH25" i="10"/>
  <c r="AG25" i="10"/>
  <c r="AE25" i="10"/>
  <c r="AB25" i="10"/>
  <c r="AA25" i="10"/>
  <c r="Z25" i="10"/>
  <c r="W25" i="10"/>
  <c r="U25" i="10"/>
  <c r="T25" i="10"/>
  <c r="S25" i="10"/>
  <c r="R25" i="10"/>
  <c r="Q25" i="10"/>
  <c r="P25" i="10"/>
  <c r="O25" i="10"/>
  <c r="N25" i="10"/>
  <c r="M25" i="10"/>
  <c r="K25" i="10"/>
  <c r="I25" i="10"/>
  <c r="CQ24" i="10"/>
  <c r="CM24" i="10"/>
  <c r="CL24" i="10"/>
  <c r="CK24" i="10"/>
  <c r="CJ24" i="10"/>
  <c r="CH24" i="10"/>
  <c r="CF24" i="10"/>
  <c r="CE24" i="10"/>
  <c r="CD24" i="10"/>
  <c r="CC24" i="10"/>
  <c r="CB24" i="10"/>
  <c r="AN24" i="10"/>
  <c r="AK24" i="10"/>
  <c r="AJ24" i="10"/>
  <c r="AI24" i="10"/>
  <c r="AH24" i="10"/>
  <c r="AG24" i="10"/>
  <c r="AE24" i="10"/>
  <c r="AB24" i="10"/>
  <c r="AA24" i="10"/>
  <c r="Z24" i="10"/>
  <c r="W24" i="10"/>
  <c r="U24" i="10"/>
  <c r="T24" i="10"/>
  <c r="S24" i="10"/>
  <c r="R24" i="10"/>
  <c r="Q24" i="10"/>
  <c r="P24" i="10"/>
  <c r="O24" i="10"/>
  <c r="N24" i="10"/>
  <c r="M24" i="10"/>
  <c r="K24" i="10"/>
  <c r="I24" i="10"/>
  <c r="CQ23" i="10"/>
  <c r="CM23" i="10"/>
  <c r="CL23" i="10"/>
  <c r="CK23" i="10"/>
  <c r="CJ23" i="10"/>
  <c r="CH23" i="10"/>
  <c r="CF23" i="10"/>
  <c r="CE23" i="10"/>
  <c r="CD23" i="10"/>
  <c r="CC23" i="10"/>
  <c r="CB23" i="10"/>
  <c r="AN23" i="10"/>
  <c r="AK23" i="10"/>
  <c r="AJ23" i="10"/>
  <c r="AI23" i="10"/>
  <c r="AH23" i="10"/>
  <c r="AG23" i="10"/>
  <c r="AE23" i="10"/>
  <c r="AB23" i="10"/>
  <c r="AA23" i="10"/>
  <c r="Z23" i="10"/>
  <c r="W23" i="10"/>
  <c r="U23" i="10"/>
  <c r="T23" i="10"/>
  <c r="S23" i="10"/>
  <c r="R23" i="10"/>
  <c r="Q23" i="10"/>
  <c r="P23" i="10"/>
  <c r="O23" i="10"/>
  <c r="N23" i="10"/>
  <c r="M23" i="10"/>
  <c r="K23" i="10"/>
  <c r="I23" i="10"/>
  <c r="CQ22" i="10"/>
  <c r="CM22" i="10"/>
  <c r="CL22" i="10"/>
  <c r="CK22" i="10"/>
  <c r="CJ22" i="10"/>
  <c r="CH22" i="10"/>
  <c r="CF22" i="10"/>
  <c r="CE22" i="10"/>
  <c r="CD22" i="10"/>
  <c r="CC22" i="10"/>
  <c r="CB22" i="10"/>
  <c r="AN22" i="10"/>
  <c r="AK22" i="10"/>
  <c r="AJ22" i="10"/>
  <c r="AI22" i="10"/>
  <c r="AH22" i="10"/>
  <c r="AG22" i="10"/>
  <c r="AE22" i="10"/>
  <c r="AB22" i="10"/>
  <c r="AA22" i="10"/>
  <c r="Z22" i="10"/>
  <c r="W22" i="10"/>
  <c r="U22" i="10"/>
  <c r="T22" i="10"/>
  <c r="S22" i="10"/>
  <c r="R22" i="10"/>
  <c r="Q22" i="10"/>
  <c r="P22" i="10"/>
  <c r="O22" i="10"/>
  <c r="N22" i="10"/>
  <c r="M22" i="10"/>
  <c r="K22" i="10"/>
  <c r="I22" i="10"/>
  <c r="CQ21" i="10"/>
  <c r="CM21" i="10"/>
  <c r="CL21" i="10"/>
  <c r="CK21" i="10"/>
  <c r="CJ21" i="10"/>
  <c r="CH21" i="10"/>
  <c r="CF21" i="10"/>
  <c r="CE21" i="10"/>
  <c r="CD21" i="10"/>
  <c r="CC21" i="10"/>
  <c r="CB21" i="10"/>
  <c r="AN21" i="10"/>
  <c r="AK21" i="10"/>
  <c r="AJ21" i="10"/>
  <c r="AI21" i="10"/>
  <c r="AH21" i="10"/>
  <c r="AG21" i="10"/>
  <c r="AE21" i="10"/>
  <c r="AB21" i="10"/>
  <c r="AA21" i="10"/>
  <c r="Z21" i="10"/>
  <c r="W21" i="10"/>
  <c r="U21" i="10"/>
  <c r="T21" i="10"/>
  <c r="S21" i="10"/>
  <c r="R21" i="10"/>
  <c r="Q21" i="10"/>
  <c r="P21" i="10"/>
  <c r="O21" i="10"/>
  <c r="N21" i="10"/>
  <c r="M21" i="10"/>
  <c r="K21" i="10"/>
  <c r="I21" i="10"/>
  <c r="CQ20" i="10"/>
  <c r="CM20" i="10"/>
  <c r="CL20" i="10"/>
  <c r="CK20" i="10"/>
  <c r="CJ20" i="10"/>
  <c r="CH20" i="10"/>
  <c r="CF20" i="10"/>
  <c r="CE20" i="10"/>
  <c r="CD20" i="10"/>
  <c r="CC20" i="10"/>
  <c r="CB20" i="10"/>
  <c r="AN20" i="10"/>
  <c r="AK20" i="10"/>
  <c r="AJ20" i="10"/>
  <c r="AI20" i="10"/>
  <c r="AH20" i="10"/>
  <c r="AG20" i="10"/>
  <c r="AE20" i="10"/>
  <c r="AB20" i="10"/>
  <c r="AA20" i="10"/>
  <c r="Z20" i="10"/>
  <c r="W20" i="10"/>
  <c r="U20" i="10"/>
  <c r="T20" i="10"/>
  <c r="S20" i="10"/>
  <c r="R20" i="10"/>
  <c r="Q20" i="10"/>
  <c r="P20" i="10"/>
  <c r="O20" i="10"/>
  <c r="N20" i="10"/>
  <c r="M20" i="10"/>
  <c r="K20" i="10"/>
  <c r="I20" i="10"/>
  <c r="CQ19" i="10"/>
  <c r="CM19" i="10"/>
  <c r="CL19" i="10"/>
  <c r="CK19" i="10"/>
  <c r="CJ19" i="10"/>
  <c r="CH19" i="10"/>
  <c r="CF19" i="10"/>
  <c r="CE19" i="10"/>
  <c r="CD19" i="10"/>
  <c r="CC19" i="10"/>
  <c r="CB19" i="10"/>
  <c r="AN19" i="10"/>
  <c r="AK19" i="10"/>
  <c r="AJ19" i="10"/>
  <c r="AI19" i="10"/>
  <c r="AH19" i="10"/>
  <c r="AG19" i="10"/>
  <c r="AE19" i="10"/>
  <c r="AB19" i="10"/>
  <c r="AA19" i="10"/>
  <c r="Z19" i="10"/>
  <c r="W19" i="10"/>
  <c r="U19" i="10"/>
  <c r="T19" i="10"/>
  <c r="S19" i="10"/>
  <c r="R19" i="10"/>
  <c r="Q19" i="10"/>
  <c r="P19" i="10"/>
  <c r="O19" i="10"/>
  <c r="N19" i="10"/>
  <c r="M19" i="10"/>
  <c r="K19" i="10"/>
  <c r="I19" i="10"/>
  <c r="CQ18" i="10"/>
  <c r="CM18" i="10"/>
  <c r="CL18" i="10"/>
  <c r="CK18" i="10"/>
  <c r="CJ18" i="10"/>
  <c r="CH18" i="10"/>
  <c r="CF18" i="10"/>
  <c r="CE18" i="10"/>
  <c r="CD18" i="10"/>
  <c r="CC18" i="10"/>
  <c r="CB18" i="10"/>
  <c r="AN18" i="10"/>
  <c r="AK18" i="10"/>
  <c r="AJ18" i="10"/>
  <c r="AI18" i="10"/>
  <c r="AH18" i="10"/>
  <c r="AG18" i="10"/>
  <c r="AE18" i="10"/>
  <c r="AB18" i="10"/>
  <c r="AA18" i="10"/>
  <c r="Z18" i="10"/>
  <c r="W18" i="10"/>
  <c r="U18" i="10"/>
  <c r="T18" i="10"/>
  <c r="S18" i="10"/>
  <c r="R18" i="10"/>
  <c r="Q18" i="10"/>
  <c r="P18" i="10"/>
  <c r="O18" i="10"/>
  <c r="N18" i="10"/>
  <c r="M18" i="10"/>
  <c r="K18" i="10"/>
  <c r="I18" i="10"/>
  <c r="CQ17" i="10"/>
  <c r="CM17" i="10"/>
  <c r="CL17" i="10"/>
  <c r="CK17" i="10"/>
  <c r="CJ17" i="10"/>
  <c r="CH17" i="10"/>
  <c r="CF17" i="10"/>
  <c r="CE17" i="10"/>
  <c r="CD17" i="10"/>
  <c r="CC17" i="10"/>
  <c r="CB17" i="10"/>
  <c r="AN17" i="10"/>
  <c r="AK17" i="10"/>
  <c r="AJ17" i="10"/>
  <c r="AI17" i="10"/>
  <c r="AH17" i="10"/>
  <c r="AG17" i="10"/>
  <c r="AE17" i="10"/>
  <c r="AB17" i="10"/>
  <c r="AA17" i="10"/>
  <c r="Z17" i="10"/>
  <c r="W17" i="10"/>
  <c r="U17" i="10"/>
  <c r="T17" i="10"/>
  <c r="S17" i="10"/>
  <c r="R17" i="10"/>
  <c r="Q17" i="10"/>
  <c r="P17" i="10"/>
  <c r="O17" i="10"/>
  <c r="N17" i="10"/>
  <c r="M17" i="10"/>
  <c r="K17" i="10"/>
  <c r="I17" i="10"/>
  <c r="CQ16" i="10"/>
  <c r="CM16" i="10"/>
  <c r="CL16" i="10"/>
  <c r="CK16" i="10"/>
  <c r="CJ16" i="10"/>
  <c r="CH16" i="10"/>
  <c r="CF16" i="10"/>
  <c r="CE16" i="10"/>
  <c r="CD16" i="10"/>
  <c r="CC16" i="10"/>
  <c r="CB16" i="10"/>
  <c r="AN16" i="10"/>
  <c r="AK16" i="10"/>
  <c r="AJ16" i="10"/>
  <c r="AI16" i="10"/>
  <c r="AH16" i="10"/>
  <c r="AG16" i="10"/>
  <c r="AE16" i="10"/>
  <c r="AB16" i="10"/>
  <c r="AA16" i="10"/>
  <c r="Z16" i="10"/>
  <c r="W16" i="10"/>
  <c r="U16" i="10"/>
  <c r="T16" i="10"/>
  <c r="S16" i="10"/>
  <c r="R16" i="10"/>
  <c r="Q16" i="10"/>
  <c r="P16" i="10"/>
  <c r="O16" i="10"/>
  <c r="N16" i="10"/>
  <c r="M16" i="10"/>
  <c r="K16" i="10"/>
  <c r="I16" i="10"/>
  <c r="CQ15" i="10"/>
  <c r="CM15" i="10"/>
  <c r="CL15" i="10"/>
  <c r="CK15" i="10"/>
  <c r="CJ15" i="10"/>
  <c r="CH15" i="10"/>
  <c r="CF15" i="10"/>
  <c r="CE15" i="10"/>
  <c r="CD15" i="10"/>
  <c r="CC15" i="10"/>
  <c r="CB15" i="10"/>
  <c r="AN15" i="10"/>
  <c r="AK15" i="10"/>
  <c r="AJ15" i="10"/>
  <c r="AI15" i="10"/>
  <c r="AH15" i="10"/>
  <c r="AG15" i="10"/>
  <c r="AE15" i="10"/>
  <c r="AB15" i="10"/>
  <c r="AA15" i="10"/>
  <c r="Z15" i="10"/>
  <c r="W15" i="10"/>
  <c r="U15" i="10"/>
  <c r="T15" i="10"/>
  <c r="S15" i="10"/>
  <c r="R15" i="10"/>
  <c r="Q15" i="10"/>
  <c r="P15" i="10"/>
  <c r="O15" i="10"/>
  <c r="N15" i="10"/>
  <c r="M15" i="10"/>
  <c r="K15" i="10"/>
  <c r="I15" i="10"/>
  <c r="CQ14" i="10"/>
  <c r="CM14" i="10"/>
  <c r="CL14" i="10"/>
  <c r="CK14" i="10"/>
  <c r="CJ14" i="10"/>
  <c r="CH14" i="10"/>
  <c r="CF14" i="10"/>
  <c r="CE14" i="10"/>
  <c r="CD14" i="10"/>
  <c r="CC14" i="10"/>
  <c r="CB14" i="10"/>
  <c r="AN14" i="10"/>
  <c r="AK14" i="10"/>
  <c r="AJ14" i="10"/>
  <c r="AI14" i="10"/>
  <c r="AH14" i="10"/>
  <c r="AG14" i="10"/>
  <c r="AE14" i="10"/>
  <c r="AB14" i="10"/>
  <c r="AA14" i="10"/>
  <c r="Z14" i="10"/>
  <c r="W14" i="10"/>
  <c r="U14" i="10"/>
  <c r="T14" i="10"/>
  <c r="S14" i="10"/>
  <c r="R14" i="10"/>
  <c r="Q14" i="10"/>
  <c r="P14" i="10"/>
  <c r="O14" i="10"/>
  <c r="N14" i="10"/>
  <c r="M14" i="10"/>
  <c r="K14" i="10"/>
  <c r="I14" i="10"/>
  <c r="CQ13" i="10"/>
  <c r="CM13" i="10"/>
  <c r="CL13" i="10"/>
  <c r="CK13" i="10"/>
  <c r="CJ13" i="10"/>
  <c r="CH13" i="10"/>
  <c r="CF13" i="10"/>
  <c r="CE13" i="10"/>
  <c r="CD13" i="10"/>
  <c r="CC13" i="10"/>
  <c r="CB13" i="10"/>
  <c r="AN13" i="10"/>
  <c r="AK13" i="10"/>
  <c r="AJ13" i="10"/>
  <c r="AI13" i="10"/>
  <c r="AH13" i="10"/>
  <c r="AG13" i="10"/>
  <c r="AE13" i="10"/>
  <c r="AB13" i="10"/>
  <c r="AA13" i="10"/>
  <c r="Z13" i="10"/>
  <c r="W13" i="10"/>
  <c r="U13" i="10"/>
  <c r="T13" i="10"/>
  <c r="S13" i="10"/>
  <c r="R13" i="10"/>
  <c r="Q13" i="10"/>
  <c r="P13" i="10"/>
  <c r="O13" i="10"/>
  <c r="N13" i="10"/>
  <c r="M13" i="10"/>
  <c r="K13" i="10"/>
  <c r="I13" i="10"/>
  <c r="CQ12" i="10"/>
  <c r="CM12" i="10"/>
  <c r="CL12" i="10"/>
  <c r="CK12" i="10"/>
  <c r="CJ12" i="10"/>
  <c r="CH12" i="10"/>
  <c r="CF12" i="10"/>
  <c r="CE12" i="10"/>
  <c r="CD12" i="10"/>
  <c r="CC12" i="10"/>
  <c r="CB12" i="10"/>
  <c r="AN12" i="10"/>
  <c r="AK12" i="10"/>
  <c r="AJ12" i="10"/>
  <c r="AI12" i="10"/>
  <c r="AH12" i="10"/>
  <c r="AG12" i="10"/>
  <c r="AE12" i="10"/>
  <c r="AB12" i="10"/>
  <c r="AA12" i="10"/>
  <c r="Z12" i="10"/>
  <c r="W12" i="10"/>
  <c r="U12" i="10"/>
  <c r="T12" i="10"/>
  <c r="S12" i="10"/>
  <c r="R12" i="10"/>
  <c r="Q12" i="10"/>
  <c r="P12" i="10"/>
  <c r="O12" i="10"/>
  <c r="N12" i="10"/>
  <c r="M12" i="10"/>
  <c r="K12" i="10"/>
  <c r="I12" i="10"/>
  <c r="CQ11" i="10"/>
  <c r="CM11" i="10"/>
  <c r="CL11" i="10"/>
  <c r="CK11" i="10"/>
  <c r="CJ11" i="10"/>
  <c r="CH11" i="10"/>
  <c r="CF11" i="10"/>
  <c r="CE11" i="10"/>
  <c r="CD11" i="10"/>
  <c r="CC11" i="10"/>
  <c r="CB11" i="10"/>
  <c r="AN11" i="10"/>
  <c r="AK11" i="10"/>
  <c r="AJ11" i="10"/>
  <c r="AI11" i="10"/>
  <c r="AH11" i="10"/>
  <c r="AG11" i="10"/>
  <c r="AE11" i="10"/>
  <c r="AB11" i="10"/>
  <c r="AA11" i="10"/>
  <c r="Z11" i="10"/>
  <c r="W11" i="10"/>
  <c r="U11" i="10"/>
  <c r="T11" i="10"/>
  <c r="S11" i="10"/>
  <c r="R11" i="10"/>
  <c r="Q11" i="10"/>
  <c r="P11" i="10"/>
  <c r="O11" i="10"/>
  <c r="N11" i="10"/>
  <c r="M11" i="10"/>
  <c r="K11" i="10"/>
  <c r="I11" i="10"/>
  <c r="CQ10" i="10"/>
  <c r="CM10" i="10"/>
  <c r="CL10" i="10"/>
  <c r="CK10" i="10"/>
  <c r="CJ10" i="10"/>
  <c r="CF10" i="10"/>
  <c r="CE10" i="10"/>
  <c r="CD10" i="10"/>
  <c r="CC10" i="10"/>
  <c r="CB10" i="10"/>
  <c r="AN10" i="10"/>
  <c r="AK10" i="10"/>
  <c r="AJ10" i="10"/>
  <c r="AI10" i="10"/>
  <c r="AH10" i="10"/>
  <c r="AG10" i="10"/>
  <c r="AE10" i="10"/>
  <c r="AB10" i="10"/>
  <c r="AA10" i="10"/>
  <c r="Z10" i="10"/>
  <c r="W10" i="10"/>
  <c r="U10" i="10"/>
  <c r="T10" i="10"/>
  <c r="S10" i="10"/>
  <c r="R10" i="10"/>
  <c r="Q10" i="10"/>
  <c r="P10" i="10"/>
  <c r="O10" i="10"/>
  <c r="N10" i="10"/>
  <c r="M10" i="10"/>
  <c r="K10" i="10"/>
  <c r="I10" i="10"/>
  <c r="CQ9" i="10"/>
  <c r="CJ9" i="10"/>
  <c r="CM9" i="10" s="1"/>
  <c r="CH9" i="10"/>
  <c r="CF9" i="10"/>
  <c r="CE9" i="10"/>
  <c r="CD9" i="10"/>
  <c r="CC9" i="10"/>
  <c r="CB9" i="10"/>
  <c r="AN9" i="10"/>
  <c r="AK9" i="10"/>
  <c r="AJ9" i="10"/>
  <c r="AI9" i="10"/>
  <c r="AH9" i="10"/>
  <c r="AG9" i="10"/>
  <c r="AE9" i="10"/>
  <c r="AB9" i="10"/>
  <c r="AA9" i="10"/>
  <c r="Z9" i="10"/>
  <c r="W9" i="10"/>
  <c r="U9" i="10"/>
  <c r="T9" i="10"/>
  <c r="S9" i="10"/>
  <c r="R9" i="10"/>
  <c r="Q9" i="10"/>
  <c r="P9" i="10"/>
  <c r="O9" i="10"/>
  <c r="N9" i="10"/>
  <c r="M9" i="10"/>
  <c r="K9" i="10"/>
  <c r="I9" i="10"/>
  <c r="CQ8" i="10"/>
  <c r="CL8" i="10"/>
  <c r="CK8" i="10"/>
  <c r="CJ8" i="10"/>
  <c r="CM8" i="10" s="1"/>
  <c r="CH8" i="10"/>
  <c r="CF8" i="10"/>
  <c r="CE8" i="10"/>
  <c r="CD8" i="10"/>
  <c r="CC8" i="10"/>
  <c r="CB8" i="10"/>
  <c r="AN8" i="10"/>
  <c r="AK8" i="10"/>
  <c r="AJ8" i="10"/>
  <c r="AI8" i="10"/>
  <c r="AH8" i="10"/>
  <c r="AG8" i="10"/>
  <c r="AE8" i="10"/>
  <c r="AB8" i="10"/>
  <c r="AA8" i="10"/>
  <c r="Z8" i="10"/>
  <c r="W8" i="10"/>
  <c r="U8" i="10"/>
  <c r="T8" i="10"/>
  <c r="S8" i="10"/>
  <c r="R8" i="10"/>
  <c r="Q8" i="10"/>
  <c r="P8" i="10"/>
  <c r="O8" i="10"/>
  <c r="N8" i="10"/>
  <c r="M8" i="10"/>
  <c r="K8" i="10"/>
  <c r="I8" i="10"/>
  <c r="CQ7" i="10"/>
  <c r="CH7" i="10"/>
  <c r="CJ7" i="10" s="1"/>
  <c r="CF7" i="10"/>
  <c r="CE7" i="10"/>
  <c r="CD7" i="10"/>
  <c r="CC7" i="10"/>
  <c r="CB7" i="10"/>
  <c r="AN7" i="10"/>
  <c r="AK7" i="10"/>
  <c r="AJ7" i="10"/>
  <c r="AI7" i="10"/>
  <c r="AH7" i="10"/>
  <c r="AG7" i="10"/>
  <c r="AE7" i="10"/>
  <c r="AB7" i="10"/>
  <c r="AA7" i="10"/>
  <c r="Z7" i="10"/>
  <c r="W7" i="10"/>
  <c r="U7" i="10"/>
  <c r="T7" i="10"/>
  <c r="S7" i="10"/>
  <c r="R7" i="10"/>
  <c r="Q7" i="10"/>
  <c r="P7" i="10"/>
  <c r="O7" i="10"/>
  <c r="N7" i="10"/>
  <c r="M7" i="10"/>
  <c r="K7" i="10"/>
  <c r="I7" i="10"/>
  <c r="CQ6" i="10"/>
  <c r="CH6" i="10"/>
  <c r="CJ6" i="10" s="1"/>
  <c r="CF6" i="10"/>
  <c r="CE6" i="10"/>
  <c r="CD6" i="10"/>
  <c r="CC6" i="10"/>
  <c r="CB6" i="10"/>
  <c r="AN6" i="10"/>
  <c r="AK6" i="10"/>
  <c r="AJ6" i="10"/>
  <c r="AI6" i="10"/>
  <c r="AH6" i="10"/>
  <c r="AG6" i="10"/>
  <c r="AE6" i="10"/>
  <c r="AB6" i="10"/>
  <c r="AA6" i="10"/>
  <c r="Z6" i="10"/>
  <c r="W6" i="10"/>
  <c r="U6" i="10"/>
  <c r="T6" i="10"/>
  <c r="S6" i="10"/>
  <c r="R6" i="10"/>
  <c r="Q6" i="10"/>
  <c r="P6" i="10"/>
  <c r="O6" i="10"/>
  <c r="N6" i="10"/>
  <c r="M6" i="10"/>
  <c r="K6" i="10"/>
  <c r="I6" i="10"/>
  <c r="CQ5" i="10"/>
  <c r="CH5" i="10"/>
  <c r="CJ5" i="10" s="1"/>
  <c r="CM5" i="10" s="1"/>
  <c r="CF5" i="10"/>
  <c r="CE5" i="10"/>
  <c r="CD5" i="10"/>
  <c r="CC5" i="10"/>
  <c r="CB5" i="10"/>
  <c r="AN5" i="10"/>
  <c r="AK5" i="10"/>
  <c r="AJ5" i="10"/>
  <c r="AI5" i="10"/>
  <c r="AH5" i="10"/>
  <c r="AG5" i="10"/>
  <c r="AE5" i="10"/>
  <c r="AB5" i="10"/>
  <c r="AA5" i="10"/>
  <c r="Z5" i="10"/>
  <c r="W5" i="10"/>
  <c r="U5" i="10"/>
  <c r="T5" i="10"/>
  <c r="S5" i="10"/>
  <c r="R5" i="10"/>
  <c r="Q5" i="10"/>
  <c r="P5" i="10"/>
  <c r="O5" i="10"/>
  <c r="N5" i="10"/>
  <c r="M5" i="10"/>
  <c r="K5" i="10"/>
  <c r="I5" i="10"/>
  <c r="CQ4" i="10"/>
  <c r="CH4" i="10"/>
  <c r="CJ4" i="10" s="1"/>
  <c r="CF4" i="10"/>
  <c r="CE4" i="10"/>
  <c r="CD4" i="10"/>
  <c r="CC4" i="10"/>
  <c r="CB4" i="10"/>
  <c r="AN4" i="10"/>
  <c r="AK4" i="10"/>
  <c r="AJ4" i="10"/>
  <c r="AI4" i="10"/>
  <c r="AH4" i="10"/>
  <c r="AG4" i="10"/>
  <c r="AE4" i="10"/>
  <c r="AB4" i="10"/>
  <c r="AA4" i="10"/>
  <c r="Z4" i="10"/>
  <c r="W4" i="10"/>
  <c r="U4" i="10"/>
  <c r="T4" i="10"/>
  <c r="S4" i="10"/>
  <c r="R4" i="10"/>
  <c r="Q4" i="10"/>
  <c r="P4" i="10"/>
  <c r="O4" i="10"/>
  <c r="N4" i="10"/>
  <c r="M4" i="10"/>
  <c r="K4" i="10"/>
  <c r="I4" i="10"/>
  <c r="CQ3" i="10"/>
  <c r="CF3" i="10"/>
  <c r="CE3" i="10"/>
  <c r="CD3" i="10"/>
  <c r="CC3" i="10"/>
  <c r="CB3" i="10"/>
  <c r="AN3" i="10"/>
  <c r="AK3" i="10"/>
  <c r="AJ3" i="10"/>
  <c r="AI3" i="10"/>
  <c r="AH3" i="10"/>
  <c r="AG3" i="10"/>
  <c r="AE3" i="10"/>
  <c r="AB3" i="10"/>
  <c r="U3" i="10"/>
  <c r="Q3" i="10"/>
  <c r="P3" i="10"/>
  <c r="O3" i="10"/>
  <c r="N3" i="10"/>
  <c r="M3" i="10"/>
  <c r="I3" i="10"/>
  <c r="CQ2" i="10"/>
  <c r="CF2" i="10"/>
  <c r="CE2" i="10"/>
  <c r="CD2" i="10"/>
  <c r="CC2" i="10"/>
  <c r="CB2" i="10"/>
  <c r="AN2" i="10"/>
  <c r="AK2" i="10"/>
  <c r="AJ2" i="10"/>
  <c r="AI2" i="10"/>
  <c r="AH2" i="10"/>
  <c r="AG2" i="10"/>
  <c r="AE2" i="10"/>
  <c r="AB2" i="10"/>
  <c r="U2" i="10"/>
  <c r="Q2" i="10"/>
  <c r="P2" i="10"/>
  <c r="O2" i="10"/>
  <c r="N2" i="10"/>
  <c r="M2" i="10"/>
  <c r="I2" i="10"/>
  <c r="J28" i="12"/>
  <c r="H28" i="12"/>
  <c r="D11" i="12"/>
  <c r="B11" i="12"/>
  <c r="AJ351" i="1"/>
  <c r="AG351" i="1"/>
  <c r="AF351" i="1"/>
  <c r="AE351" i="1"/>
  <c r="AD351" i="1"/>
  <c r="AC351" i="1"/>
  <c r="AB351" i="1"/>
  <c r="Z351" i="1"/>
  <c r="Y351" i="1"/>
  <c r="X351" i="1"/>
  <c r="W351" i="1"/>
  <c r="V351" i="1"/>
  <c r="U351" i="1"/>
  <c r="T351" i="1"/>
  <c r="S351" i="1"/>
  <c r="R351" i="1"/>
  <c r="A351" i="1"/>
  <c r="BG350" i="1"/>
  <c r="AW350" i="1" s="1"/>
  <c r="BB350" i="1"/>
  <c r="AH350" i="1"/>
  <c r="AA350" i="1"/>
  <c r="K350" i="1"/>
  <c r="N350" i="1" s="1"/>
  <c r="H350" i="1"/>
  <c r="G350" i="1"/>
  <c r="I350" i="1" s="1"/>
  <c r="F350" i="1"/>
  <c r="E350" i="1"/>
  <c r="D350" i="1"/>
  <c r="C350" i="1"/>
  <c r="B350" i="1"/>
  <c r="BG349" i="1"/>
  <c r="AW349" i="1" s="1"/>
  <c r="BB349" i="1"/>
  <c r="AH349" i="1"/>
  <c r="AA349" i="1"/>
  <c r="P349" i="1"/>
  <c r="K349" i="1"/>
  <c r="N349" i="1" s="1"/>
  <c r="H349" i="1"/>
  <c r="G349" i="1"/>
  <c r="I349" i="1" s="1"/>
  <c r="F349" i="1"/>
  <c r="E349" i="1"/>
  <c r="D349" i="1"/>
  <c r="C349" i="1"/>
  <c r="B349" i="1"/>
  <c r="BG348" i="1"/>
  <c r="AW348" i="1" s="1"/>
  <c r="BB348" i="1"/>
  <c r="AH348" i="1"/>
  <c r="AA348" i="1"/>
  <c r="K348" i="1"/>
  <c r="N348" i="1" s="1"/>
  <c r="H348" i="1"/>
  <c r="G348" i="1"/>
  <c r="I348" i="1" s="1"/>
  <c r="F348" i="1"/>
  <c r="E348" i="1"/>
  <c r="D348" i="1"/>
  <c r="C348" i="1"/>
  <c r="B348" i="1"/>
  <c r="BG347" i="1"/>
  <c r="AW347" i="1" s="1"/>
  <c r="BB347" i="1"/>
  <c r="AH347" i="1"/>
  <c r="AA347" i="1"/>
  <c r="K347" i="1"/>
  <c r="M347" i="1" s="1"/>
  <c r="H347" i="1"/>
  <c r="G347" i="1"/>
  <c r="I347" i="1" s="1"/>
  <c r="F347" i="1"/>
  <c r="E347" i="1"/>
  <c r="D347" i="1"/>
  <c r="C347" i="1"/>
  <c r="B347" i="1"/>
  <c r="BG346" i="1"/>
  <c r="AW346" i="1" s="1"/>
  <c r="BB346" i="1"/>
  <c r="AH346" i="1"/>
  <c r="AA346" i="1"/>
  <c r="K346" i="1"/>
  <c r="N346" i="1" s="1"/>
  <c r="H346" i="1"/>
  <c r="G346" i="1"/>
  <c r="I346" i="1" s="1"/>
  <c r="F346" i="1"/>
  <c r="E346" i="1"/>
  <c r="D346" i="1"/>
  <c r="C346" i="1"/>
  <c r="B346" i="1"/>
  <c r="BG345" i="1"/>
  <c r="AW345" i="1" s="1"/>
  <c r="BB345" i="1"/>
  <c r="AH345" i="1"/>
  <c r="AA345" i="1"/>
  <c r="K345" i="1"/>
  <c r="N345" i="1" s="1"/>
  <c r="H345" i="1"/>
  <c r="G345" i="1"/>
  <c r="I345" i="1" s="1"/>
  <c r="F345" i="1"/>
  <c r="E345" i="1"/>
  <c r="D345" i="1"/>
  <c r="C345" i="1"/>
  <c r="B345" i="1"/>
  <c r="BG344" i="1"/>
  <c r="AW344" i="1" s="1"/>
  <c r="BB344" i="1"/>
  <c r="AH344" i="1"/>
  <c r="AA344" i="1"/>
  <c r="K344" i="1"/>
  <c r="N344" i="1" s="1"/>
  <c r="H344" i="1"/>
  <c r="G344" i="1"/>
  <c r="I344" i="1" s="1"/>
  <c r="F344" i="1"/>
  <c r="E344" i="1"/>
  <c r="D344" i="1"/>
  <c r="C344" i="1"/>
  <c r="B344" i="1"/>
  <c r="BG343" i="1"/>
  <c r="AW343" i="1" s="1"/>
  <c r="BB343" i="1"/>
  <c r="AH343" i="1"/>
  <c r="AA343" i="1"/>
  <c r="K343" i="1"/>
  <c r="N343" i="1" s="1"/>
  <c r="H343" i="1"/>
  <c r="G343" i="1"/>
  <c r="I343" i="1" s="1"/>
  <c r="F343" i="1"/>
  <c r="E343" i="1"/>
  <c r="D343" i="1"/>
  <c r="C343" i="1"/>
  <c r="B343" i="1"/>
  <c r="BG342" i="1"/>
  <c r="AW342" i="1" s="1"/>
  <c r="BB342" i="1"/>
  <c r="AH342" i="1"/>
  <c r="AA342" i="1"/>
  <c r="K342" i="1"/>
  <c r="N342" i="1" s="1"/>
  <c r="H342" i="1"/>
  <c r="G342" i="1"/>
  <c r="I342" i="1" s="1"/>
  <c r="F342" i="1"/>
  <c r="E342" i="1"/>
  <c r="D342" i="1"/>
  <c r="C342" i="1"/>
  <c r="B342" i="1"/>
  <c r="BG341" i="1"/>
  <c r="AW341" i="1" s="1"/>
  <c r="BB341" i="1"/>
  <c r="AH341" i="1"/>
  <c r="AA341" i="1"/>
  <c r="K341" i="1"/>
  <c r="N341" i="1" s="1"/>
  <c r="H341" i="1"/>
  <c r="G341" i="1"/>
  <c r="I341" i="1" s="1"/>
  <c r="F341" i="1"/>
  <c r="E341" i="1"/>
  <c r="D341" i="1"/>
  <c r="C341" i="1"/>
  <c r="B341" i="1"/>
  <c r="BG340" i="1"/>
  <c r="AW340" i="1" s="1"/>
  <c r="BB340" i="1"/>
  <c r="AH340" i="1"/>
  <c r="AA340" i="1"/>
  <c r="K340" i="1"/>
  <c r="N340" i="1" s="1"/>
  <c r="H340" i="1"/>
  <c r="G340" i="1"/>
  <c r="I340" i="1" s="1"/>
  <c r="F340" i="1"/>
  <c r="E340" i="1"/>
  <c r="D340" i="1"/>
  <c r="C340" i="1"/>
  <c r="B340" i="1"/>
  <c r="BG339" i="1"/>
  <c r="AW339" i="1" s="1"/>
  <c r="BB339" i="1"/>
  <c r="AH339" i="1"/>
  <c r="AA339" i="1"/>
  <c r="K339" i="1"/>
  <c r="N339" i="1" s="1"/>
  <c r="H339" i="1"/>
  <c r="G339" i="1"/>
  <c r="I339" i="1" s="1"/>
  <c r="F339" i="1"/>
  <c r="E339" i="1"/>
  <c r="D339" i="1"/>
  <c r="C339" i="1"/>
  <c r="B339" i="1"/>
  <c r="BG338" i="1"/>
  <c r="AW338" i="1" s="1"/>
  <c r="BB338" i="1"/>
  <c r="AH338" i="1"/>
  <c r="AA338" i="1"/>
  <c r="K338" i="1"/>
  <c r="N338" i="1" s="1"/>
  <c r="H338" i="1"/>
  <c r="G338" i="1"/>
  <c r="I338" i="1" s="1"/>
  <c r="F338" i="1"/>
  <c r="E338" i="1"/>
  <c r="D338" i="1"/>
  <c r="C338" i="1"/>
  <c r="B338" i="1"/>
  <c r="BG337" i="1"/>
  <c r="AW337" i="1" s="1"/>
  <c r="BB337" i="1"/>
  <c r="AH337" i="1"/>
  <c r="AA337" i="1"/>
  <c r="K337" i="1"/>
  <c r="M337" i="1" s="1"/>
  <c r="H337" i="1"/>
  <c r="G337" i="1"/>
  <c r="I337" i="1" s="1"/>
  <c r="F337" i="1"/>
  <c r="E337" i="1"/>
  <c r="D337" i="1"/>
  <c r="C337" i="1"/>
  <c r="B337" i="1"/>
  <c r="BG336" i="1"/>
  <c r="AW336" i="1" s="1"/>
  <c r="BB336" i="1"/>
  <c r="AH336" i="1"/>
  <c r="AA336" i="1"/>
  <c r="K336" i="1"/>
  <c r="N336" i="1" s="1"/>
  <c r="H336" i="1"/>
  <c r="G336" i="1"/>
  <c r="I336" i="1" s="1"/>
  <c r="F336" i="1"/>
  <c r="E336" i="1"/>
  <c r="D336" i="1"/>
  <c r="C336" i="1"/>
  <c r="B336" i="1"/>
  <c r="BG335" i="1"/>
  <c r="AW335" i="1" s="1"/>
  <c r="BB335" i="1"/>
  <c r="AH335" i="1"/>
  <c r="AA335" i="1"/>
  <c r="K335" i="1"/>
  <c r="N335" i="1" s="1"/>
  <c r="H335" i="1"/>
  <c r="G335" i="1"/>
  <c r="I335" i="1" s="1"/>
  <c r="F335" i="1"/>
  <c r="E335" i="1"/>
  <c r="D335" i="1"/>
  <c r="C335" i="1"/>
  <c r="B335" i="1"/>
  <c r="BG334" i="1"/>
  <c r="AW334" i="1" s="1"/>
  <c r="BB334" i="1"/>
  <c r="AH334" i="1"/>
  <c r="AA334" i="1"/>
  <c r="K334" i="1"/>
  <c r="N334" i="1" s="1"/>
  <c r="H334" i="1"/>
  <c r="G334" i="1"/>
  <c r="I334" i="1" s="1"/>
  <c r="F334" i="1"/>
  <c r="E334" i="1"/>
  <c r="D334" i="1"/>
  <c r="C334" i="1"/>
  <c r="B334" i="1"/>
  <c r="BG333" i="1"/>
  <c r="AW333" i="1" s="1"/>
  <c r="BB333" i="1"/>
  <c r="AH333" i="1"/>
  <c r="AA333" i="1"/>
  <c r="K333" i="1"/>
  <c r="N333" i="1" s="1"/>
  <c r="H333" i="1"/>
  <c r="G333" i="1"/>
  <c r="I333" i="1" s="1"/>
  <c r="F333" i="1"/>
  <c r="E333" i="1"/>
  <c r="D333" i="1"/>
  <c r="C333" i="1"/>
  <c r="B333" i="1"/>
  <c r="BG332" i="1"/>
  <c r="AW332" i="1" s="1"/>
  <c r="BB332" i="1"/>
  <c r="AH332" i="1"/>
  <c r="AA332" i="1"/>
  <c r="K332" i="1"/>
  <c r="N332" i="1" s="1"/>
  <c r="H332" i="1"/>
  <c r="G332" i="1"/>
  <c r="I332" i="1" s="1"/>
  <c r="F332" i="1"/>
  <c r="E332" i="1"/>
  <c r="D332" i="1"/>
  <c r="C332" i="1"/>
  <c r="B332" i="1"/>
  <c r="BG331" i="1"/>
  <c r="AW331" i="1" s="1"/>
  <c r="BB331" i="1"/>
  <c r="AH331" i="1"/>
  <c r="AA331" i="1"/>
  <c r="K331" i="1"/>
  <c r="N331" i="1" s="1"/>
  <c r="H331" i="1"/>
  <c r="G331" i="1"/>
  <c r="I331" i="1" s="1"/>
  <c r="F331" i="1"/>
  <c r="E331" i="1"/>
  <c r="D331" i="1"/>
  <c r="C331" i="1"/>
  <c r="B331" i="1"/>
  <c r="BG330" i="1"/>
  <c r="AW330" i="1" s="1"/>
  <c r="BB330" i="1"/>
  <c r="AH330" i="1"/>
  <c r="AA330" i="1"/>
  <c r="K330" i="1"/>
  <c r="N330" i="1" s="1"/>
  <c r="H330" i="1"/>
  <c r="G330" i="1"/>
  <c r="I330" i="1" s="1"/>
  <c r="F330" i="1"/>
  <c r="E330" i="1"/>
  <c r="D330" i="1"/>
  <c r="C330" i="1"/>
  <c r="B330" i="1"/>
  <c r="BG329" i="1"/>
  <c r="AW329" i="1" s="1"/>
  <c r="BB329" i="1"/>
  <c r="AH329" i="1"/>
  <c r="AA329" i="1"/>
  <c r="K329" i="1"/>
  <c r="M329" i="1" s="1"/>
  <c r="H329" i="1"/>
  <c r="G329" i="1"/>
  <c r="I329" i="1" s="1"/>
  <c r="F329" i="1"/>
  <c r="E329" i="1"/>
  <c r="D329" i="1"/>
  <c r="C329" i="1"/>
  <c r="B329" i="1"/>
  <c r="BG328" i="1"/>
  <c r="AW328" i="1" s="1"/>
  <c r="BB328" i="1"/>
  <c r="AH328" i="1"/>
  <c r="AA328" i="1"/>
  <c r="K328" i="1"/>
  <c r="M328" i="1" s="1"/>
  <c r="H328" i="1"/>
  <c r="G328" i="1"/>
  <c r="I328" i="1" s="1"/>
  <c r="F328" i="1"/>
  <c r="E328" i="1"/>
  <c r="D328" i="1"/>
  <c r="C328" i="1"/>
  <c r="B328" i="1"/>
  <c r="BG327" i="1"/>
  <c r="AW327" i="1" s="1"/>
  <c r="BB327" i="1"/>
  <c r="AH327" i="1"/>
  <c r="AA327" i="1"/>
  <c r="K327" i="1"/>
  <c r="N327" i="1" s="1"/>
  <c r="H327" i="1"/>
  <c r="G327" i="1"/>
  <c r="I327" i="1" s="1"/>
  <c r="F327" i="1"/>
  <c r="E327" i="1"/>
  <c r="D327" i="1"/>
  <c r="C327" i="1"/>
  <c r="B327" i="1"/>
  <c r="BG326" i="1"/>
  <c r="AW326" i="1" s="1"/>
  <c r="BB326" i="1"/>
  <c r="AH326" i="1"/>
  <c r="AA326" i="1"/>
  <c r="K326" i="1"/>
  <c r="N326" i="1" s="1"/>
  <c r="H326" i="1"/>
  <c r="G326" i="1"/>
  <c r="I326" i="1" s="1"/>
  <c r="F326" i="1"/>
  <c r="E326" i="1"/>
  <c r="D326" i="1"/>
  <c r="C326" i="1"/>
  <c r="B326" i="1"/>
  <c r="BG325" i="1"/>
  <c r="AW325" i="1" s="1"/>
  <c r="BB325" i="1"/>
  <c r="AH325" i="1"/>
  <c r="AA325" i="1"/>
  <c r="K325" i="1"/>
  <c r="N325" i="1" s="1"/>
  <c r="H325" i="1"/>
  <c r="G325" i="1"/>
  <c r="I325" i="1" s="1"/>
  <c r="F325" i="1"/>
  <c r="E325" i="1"/>
  <c r="D325" i="1"/>
  <c r="C325" i="1"/>
  <c r="B325" i="1"/>
  <c r="BG324" i="1"/>
  <c r="AW324" i="1" s="1"/>
  <c r="BB324" i="1"/>
  <c r="AH324" i="1"/>
  <c r="AA324" i="1"/>
  <c r="K324" i="1"/>
  <c r="M324" i="1" s="1"/>
  <c r="H324" i="1"/>
  <c r="G324" i="1"/>
  <c r="I324" i="1" s="1"/>
  <c r="F324" i="1"/>
  <c r="E324" i="1"/>
  <c r="D324" i="1"/>
  <c r="C324" i="1"/>
  <c r="B324" i="1"/>
  <c r="BG323" i="1"/>
  <c r="AW323" i="1" s="1"/>
  <c r="BB323" i="1"/>
  <c r="AH323" i="1"/>
  <c r="AA323" i="1"/>
  <c r="K323" i="1"/>
  <c r="N323" i="1" s="1"/>
  <c r="H323" i="1"/>
  <c r="G323" i="1"/>
  <c r="I323" i="1" s="1"/>
  <c r="F323" i="1"/>
  <c r="E323" i="1"/>
  <c r="D323" i="1"/>
  <c r="C323" i="1"/>
  <c r="B323" i="1"/>
  <c r="BG322" i="1"/>
  <c r="AW322" i="1" s="1"/>
  <c r="BB322" i="1"/>
  <c r="AH322" i="1"/>
  <c r="AA322" i="1"/>
  <c r="K322" i="1"/>
  <c r="N322" i="1" s="1"/>
  <c r="H322" i="1"/>
  <c r="G322" i="1"/>
  <c r="I322" i="1" s="1"/>
  <c r="F322" i="1"/>
  <c r="E322" i="1"/>
  <c r="D322" i="1"/>
  <c r="C322" i="1"/>
  <c r="B322" i="1"/>
  <c r="BG321" i="1"/>
  <c r="AW321" i="1" s="1"/>
  <c r="BB321" i="1"/>
  <c r="AH321" i="1"/>
  <c r="AA321" i="1"/>
  <c r="P321" i="1"/>
  <c r="K321" i="1"/>
  <c r="N321" i="1" s="1"/>
  <c r="H321" i="1"/>
  <c r="G321" i="1"/>
  <c r="I321" i="1" s="1"/>
  <c r="F321" i="1"/>
  <c r="E321" i="1"/>
  <c r="D321" i="1"/>
  <c r="C321" i="1"/>
  <c r="B321" i="1"/>
  <c r="BG320" i="1"/>
  <c r="AW320" i="1" s="1"/>
  <c r="BB320" i="1"/>
  <c r="AH320" i="1"/>
  <c r="AA320" i="1"/>
  <c r="P320" i="1"/>
  <c r="K320" i="1"/>
  <c r="N320" i="1" s="1"/>
  <c r="H320" i="1"/>
  <c r="G320" i="1"/>
  <c r="I320" i="1" s="1"/>
  <c r="F320" i="1"/>
  <c r="E320" i="1"/>
  <c r="D320" i="1"/>
  <c r="C320" i="1"/>
  <c r="B320" i="1"/>
  <c r="BG319" i="1"/>
  <c r="AW319" i="1" s="1"/>
  <c r="BB319" i="1"/>
  <c r="AH319" i="1"/>
  <c r="AA319" i="1"/>
  <c r="P319" i="1"/>
  <c r="K319" i="1"/>
  <c r="M319" i="1" s="1"/>
  <c r="H319" i="1"/>
  <c r="G319" i="1"/>
  <c r="I319" i="1" s="1"/>
  <c r="F319" i="1"/>
  <c r="E319" i="1"/>
  <c r="D319" i="1"/>
  <c r="C319" i="1"/>
  <c r="B319" i="1"/>
  <c r="BG318" i="1"/>
  <c r="AW318" i="1" s="1"/>
  <c r="BB318" i="1"/>
  <c r="AH318" i="1"/>
  <c r="AA318" i="1"/>
  <c r="P318" i="1"/>
  <c r="K318" i="1"/>
  <c r="N318" i="1" s="1"/>
  <c r="H318" i="1"/>
  <c r="G318" i="1"/>
  <c r="I318" i="1" s="1"/>
  <c r="F318" i="1"/>
  <c r="E318" i="1"/>
  <c r="D318" i="1"/>
  <c r="C318" i="1"/>
  <c r="B318" i="1"/>
  <c r="BG317" i="1"/>
  <c r="AW317" i="1" s="1"/>
  <c r="BB317" i="1"/>
  <c r="AH317" i="1"/>
  <c r="AA317" i="1"/>
  <c r="P317" i="1"/>
  <c r="K317" i="1"/>
  <c r="N317" i="1" s="1"/>
  <c r="H317" i="1"/>
  <c r="G317" i="1"/>
  <c r="I317" i="1" s="1"/>
  <c r="F317" i="1"/>
  <c r="E317" i="1"/>
  <c r="D317" i="1"/>
  <c r="C317" i="1"/>
  <c r="B317" i="1"/>
  <c r="BG316" i="1"/>
  <c r="AW316" i="1" s="1"/>
  <c r="BB316" i="1"/>
  <c r="AH316" i="1"/>
  <c r="AA316" i="1"/>
  <c r="P316" i="1"/>
  <c r="K316" i="1"/>
  <c r="N316" i="1" s="1"/>
  <c r="H316" i="1"/>
  <c r="G316" i="1"/>
  <c r="I316" i="1" s="1"/>
  <c r="F316" i="1"/>
  <c r="E316" i="1"/>
  <c r="D316" i="1"/>
  <c r="C316" i="1"/>
  <c r="B316" i="1"/>
  <c r="BG315" i="1"/>
  <c r="AW315" i="1" s="1"/>
  <c r="BB315" i="1"/>
  <c r="AH315" i="1"/>
  <c r="AA315" i="1"/>
  <c r="P315" i="1"/>
  <c r="K315" i="1"/>
  <c r="M315" i="1" s="1"/>
  <c r="H315" i="1"/>
  <c r="G315" i="1"/>
  <c r="I315" i="1" s="1"/>
  <c r="F315" i="1"/>
  <c r="E315" i="1"/>
  <c r="D315" i="1"/>
  <c r="C315" i="1"/>
  <c r="B315" i="1"/>
  <c r="BG314" i="1"/>
  <c r="AW314" i="1" s="1"/>
  <c r="BB314" i="1"/>
  <c r="AH314" i="1"/>
  <c r="AA314" i="1"/>
  <c r="P314" i="1"/>
  <c r="K314" i="1"/>
  <c r="M314" i="1" s="1"/>
  <c r="H314" i="1"/>
  <c r="G314" i="1"/>
  <c r="I314" i="1" s="1"/>
  <c r="F314" i="1"/>
  <c r="E314" i="1"/>
  <c r="D314" i="1"/>
  <c r="C314" i="1"/>
  <c r="B314" i="1"/>
  <c r="BG313" i="1"/>
  <c r="AW313" i="1" s="1"/>
  <c r="BB313" i="1"/>
  <c r="AH313" i="1"/>
  <c r="AA313" i="1"/>
  <c r="P313" i="1"/>
  <c r="K313" i="1"/>
  <c r="N313" i="1" s="1"/>
  <c r="H313" i="1"/>
  <c r="G313" i="1"/>
  <c r="I313" i="1" s="1"/>
  <c r="F313" i="1"/>
  <c r="E313" i="1"/>
  <c r="D313" i="1"/>
  <c r="C313" i="1"/>
  <c r="B313" i="1"/>
  <c r="BG312" i="1"/>
  <c r="AW312" i="1" s="1"/>
  <c r="BB312" i="1"/>
  <c r="AH312" i="1"/>
  <c r="AA312" i="1"/>
  <c r="P312" i="1"/>
  <c r="K312" i="1"/>
  <c r="N312" i="1" s="1"/>
  <c r="H312" i="1"/>
  <c r="G312" i="1"/>
  <c r="I312" i="1" s="1"/>
  <c r="F312" i="1"/>
  <c r="E312" i="1"/>
  <c r="D312" i="1"/>
  <c r="C312" i="1"/>
  <c r="B312" i="1"/>
  <c r="BG311" i="1"/>
  <c r="AW311" i="1" s="1"/>
  <c r="BB311" i="1"/>
  <c r="AH311" i="1"/>
  <c r="AA311" i="1"/>
  <c r="P311" i="1"/>
  <c r="K311" i="1"/>
  <c r="M311" i="1" s="1"/>
  <c r="H311" i="1"/>
  <c r="G311" i="1"/>
  <c r="I311" i="1" s="1"/>
  <c r="F311" i="1"/>
  <c r="E311" i="1"/>
  <c r="D311" i="1"/>
  <c r="C311" i="1"/>
  <c r="B311" i="1"/>
  <c r="BG310" i="1"/>
  <c r="AW310" i="1" s="1"/>
  <c r="BB310" i="1"/>
  <c r="AH310" i="1"/>
  <c r="AA310" i="1"/>
  <c r="K310" i="1"/>
  <c r="N310" i="1" s="1"/>
  <c r="H310" i="1"/>
  <c r="G310" i="1"/>
  <c r="I310" i="1" s="1"/>
  <c r="F310" i="1"/>
  <c r="E310" i="1"/>
  <c r="D310" i="1"/>
  <c r="C310" i="1"/>
  <c r="B310" i="1"/>
  <c r="BG309" i="1"/>
  <c r="AW309" i="1" s="1"/>
  <c r="BB309" i="1"/>
  <c r="AH309" i="1"/>
  <c r="AA309" i="1"/>
  <c r="K309" i="1"/>
  <c r="M309" i="1" s="1"/>
  <c r="H309" i="1"/>
  <c r="G309" i="1"/>
  <c r="I309" i="1" s="1"/>
  <c r="F309" i="1"/>
  <c r="E309" i="1"/>
  <c r="D309" i="1"/>
  <c r="C309" i="1"/>
  <c r="B309" i="1"/>
  <c r="BG308" i="1"/>
  <c r="AW308" i="1" s="1"/>
  <c r="BB308" i="1"/>
  <c r="AH308" i="1"/>
  <c r="AA308" i="1"/>
  <c r="K308" i="1"/>
  <c r="M308" i="1" s="1"/>
  <c r="H308" i="1"/>
  <c r="G308" i="1"/>
  <c r="I308" i="1" s="1"/>
  <c r="F308" i="1"/>
  <c r="E308" i="1"/>
  <c r="D308" i="1"/>
  <c r="C308" i="1"/>
  <c r="B308" i="1"/>
  <c r="BG307" i="1"/>
  <c r="AW307" i="1" s="1"/>
  <c r="BB307" i="1"/>
  <c r="AH307" i="1"/>
  <c r="AA307" i="1"/>
  <c r="K307" i="1"/>
  <c r="N307" i="1" s="1"/>
  <c r="H307" i="1"/>
  <c r="G307" i="1"/>
  <c r="I307" i="1" s="1"/>
  <c r="F307" i="1"/>
  <c r="E307" i="1"/>
  <c r="D307" i="1"/>
  <c r="C307" i="1"/>
  <c r="B307" i="1"/>
  <c r="BG306" i="1"/>
  <c r="AW306" i="1" s="1"/>
  <c r="BB306" i="1"/>
  <c r="AH306" i="1"/>
  <c r="AA306" i="1"/>
  <c r="K306" i="1"/>
  <c r="N306" i="1" s="1"/>
  <c r="H306" i="1"/>
  <c r="G306" i="1"/>
  <c r="I306" i="1" s="1"/>
  <c r="F306" i="1"/>
  <c r="E306" i="1"/>
  <c r="D306" i="1"/>
  <c r="C306" i="1"/>
  <c r="B306" i="1"/>
  <c r="BG305" i="1"/>
  <c r="AW305" i="1" s="1"/>
  <c r="BB305" i="1"/>
  <c r="AH305" i="1"/>
  <c r="AA305" i="1"/>
  <c r="K305" i="1"/>
  <c r="M305" i="1" s="1"/>
  <c r="H305" i="1"/>
  <c r="G305" i="1"/>
  <c r="I305" i="1" s="1"/>
  <c r="F305" i="1"/>
  <c r="E305" i="1"/>
  <c r="D305" i="1"/>
  <c r="C305" i="1"/>
  <c r="B305" i="1"/>
  <c r="BG304" i="1"/>
  <c r="AW304" i="1" s="1"/>
  <c r="BB304" i="1"/>
  <c r="AH304" i="1"/>
  <c r="AA304" i="1"/>
  <c r="K304" i="1"/>
  <c r="N304" i="1" s="1"/>
  <c r="H304" i="1"/>
  <c r="G304" i="1"/>
  <c r="I304" i="1" s="1"/>
  <c r="F304" i="1"/>
  <c r="E304" i="1"/>
  <c r="D304" i="1"/>
  <c r="C304" i="1"/>
  <c r="B304" i="1"/>
  <c r="BG303" i="1"/>
  <c r="AW303" i="1" s="1"/>
  <c r="BB303" i="1"/>
  <c r="AH303" i="1"/>
  <c r="AA303" i="1"/>
  <c r="K303" i="1"/>
  <c r="N303" i="1" s="1"/>
  <c r="H303" i="1"/>
  <c r="G303" i="1"/>
  <c r="I303" i="1" s="1"/>
  <c r="F303" i="1"/>
  <c r="E303" i="1"/>
  <c r="D303" i="1"/>
  <c r="C303" i="1"/>
  <c r="B303" i="1"/>
  <c r="BG302" i="1"/>
  <c r="AW302" i="1" s="1"/>
  <c r="BB302" i="1"/>
  <c r="AH302" i="1"/>
  <c r="AA302" i="1"/>
  <c r="K302" i="1"/>
  <c r="N302" i="1" s="1"/>
  <c r="H302" i="1"/>
  <c r="G302" i="1"/>
  <c r="I302" i="1" s="1"/>
  <c r="F302" i="1"/>
  <c r="E302" i="1"/>
  <c r="D302" i="1"/>
  <c r="C302" i="1"/>
  <c r="B302" i="1"/>
  <c r="BG301" i="1"/>
  <c r="AW301" i="1" s="1"/>
  <c r="BB301" i="1"/>
  <c r="AH301" i="1"/>
  <c r="AA301" i="1"/>
  <c r="K301" i="1"/>
  <c r="M301" i="1" s="1"/>
  <c r="H301" i="1"/>
  <c r="G301" i="1"/>
  <c r="I301" i="1" s="1"/>
  <c r="F301" i="1"/>
  <c r="E301" i="1"/>
  <c r="D301" i="1"/>
  <c r="C301" i="1"/>
  <c r="B301" i="1"/>
  <c r="BG300" i="1"/>
  <c r="AW300" i="1" s="1"/>
  <c r="BB300" i="1"/>
  <c r="AH300" i="1"/>
  <c r="AA300" i="1"/>
  <c r="K300" i="1"/>
  <c r="H300" i="1"/>
  <c r="G300" i="1"/>
  <c r="I300" i="1" s="1"/>
  <c r="F300" i="1"/>
  <c r="E300" i="1"/>
  <c r="D300" i="1"/>
  <c r="C300" i="1"/>
  <c r="B300" i="1"/>
  <c r="BG299" i="1"/>
  <c r="AW299" i="1" s="1"/>
  <c r="BB299" i="1"/>
  <c r="AH299" i="1"/>
  <c r="AA299" i="1"/>
  <c r="K299" i="1"/>
  <c r="N299" i="1" s="1"/>
  <c r="H299" i="1"/>
  <c r="G299" i="1"/>
  <c r="I299" i="1" s="1"/>
  <c r="F299" i="1"/>
  <c r="E299" i="1"/>
  <c r="D299" i="1"/>
  <c r="C299" i="1"/>
  <c r="B299" i="1"/>
  <c r="BG298" i="1"/>
  <c r="AW298" i="1" s="1"/>
  <c r="BB298" i="1"/>
  <c r="AH298" i="1"/>
  <c r="AA298" i="1"/>
  <c r="K298" i="1"/>
  <c r="H298" i="1"/>
  <c r="G298" i="1"/>
  <c r="I298" i="1" s="1"/>
  <c r="F298" i="1"/>
  <c r="E298" i="1"/>
  <c r="D298" i="1"/>
  <c r="C298" i="1"/>
  <c r="B298" i="1"/>
  <c r="BG297" i="1"/>
  <c r="AW297" i="1" s="1"/>
  <c r="BB297" i="1"/>
  <c r="AH297" i="1"/>
  <c r="AA297" i="1"/>
  <c r="K297" i="1"/>
  <c r="M297" i="1" s="1"/>
  <c r="H297" i="1"/>
  <c r="G297" i="1"/>
  <c r="I297" i="1" s="1"/>
  <c r="F297" i="1"/>
  <c r="E297" i="1"/>
  <c r="D297" i="1"/>
  <c r="C297" i="1"/>
  <c r="B297" i="1"/>
  <c r="BG296" i="1"/>
  <c r="AW296" i="1" s="1"/>
  <c r="BB296" i="1"/>
  <c r="AH296" i="1"/>
  <c r="AA296" i="1"/>
  <c r="K296" i="1"/>
  <c r="N296" i="1" s="1"/>
  <c r="H296" i="1"/>
  <c r="G296" i="1"/>
  <c r="I296" i="1" s="1"/>
  <c r="F296" i="1"/>
  <c r="E296" i="1"/>
  <c r="D296" i="1"/>
  <c r="C296" i="1"/>
  <c r="B296" i="1"/>
  <c r="BG295" i="1"/>
  <c r="AW295" i="1" s="1"/>
  <c r="BB295" i="1"/>
  <c r="AH295" i="1"/>
  <c r="AA295" i="1"/>
  <c r="K295" i="1"/>
  <c r="H295" i="1"/>
  <c r="G295" i="1"/>
  <c r="I295" i="1" s="1"/>
  <c r="F295" i="1"/>
  <c r="E295" i="1"/>
  <c r="D295" i="1"/>
  <c r="C295" i="1"/>
  <c r="B295" i="1"/>
  <c r="BG294" i="1"/>
  <c r="AW294" i="1" s="1"/>
  <c r="BB294" i="1"/>
  <c r="AH294" i="1"/>
  <c r="AA294" i="1"/>
  <c r="K294" i="1"/>
  <c r="M294" i="1" s="1"/>
  <c r="H294" i="1"/>
  <c r="G294" i="1"/>
  <c r="I294" i="1" s="1"/>
  <c r="F294" i="1"/>
  <c r="E294" i="1"/>
  <c r="D294" i="1"/>
  <c r="C294" i="1"/>
  <c r="B294" i="1"/>
  <c r="BG293" i="1"/>
  <c r="AW293" i="1" s="1"/>
  <c r="BB293" i="1"/>
  <c r="AH293" i="1"/>
  <c r="AA293" i="1"/>
  <c r="K293" i="1"/>
  <c r="M293" i="1" s="1"/>
  <c r="H293" i="1"/>
  <c r="G293" i="1"/>
  <c r="I293" i="1" s="1"/>
  <c r="F293" i="1"/>
  <c r="E293" i="1"/>
  <c r="D293" i="1"/>
  <c r="C293" i="1"/>
  <c r="B293" i="1"/>
  <c r="BG292" i="1"/>
  <c r="AW292" i="1" s="1"/>
  <c r="BB292" i="1"/>
  <c r="AH292" i="1"/>
  <c r="AA292" i="1"/>
  <c r="K292" i="1"/>
  <c r="M292" i="1" s="1"/>
  <c r="H292" i="1"/>
  <c r="G292" i="1"/>
  <c r="I292" i="1" s="1"/>
  <c r="F292" i="1"/>
  <c r="E292" i="1"/>
  <c r="D292" i="1"/>
  <c r="C292" i="1"/>
  <c r="B292" i="1"/>
  <c r="BG291" i="1"/>
  <c r="AW291" i="1" s="1"/>
  <c r="BB291" i="1"/>
  <c r="AH291" i="1"/>
  <c r="AA291" i="1"/>
  <c r="K291" i="1"/>
  <c r="N291" i="1" s="1"/>
  <c r="H291" i="1"/>
  <c r="G291" i="1"/>
  <c r="I291" i="1" s="1"/>
  <c r="F291" i="1"/>
  <c r="E291" i="1"/>
  <c r="D291" i="1"/>
  <c r="C291" i="1"/>
  <c r="B291" i="1"/>
  <c r="BG290" i="1"/>
  <c r="AW290" i="1" s="1"/>
  <c r="BB290" i="1"/>
  <c r="AH290" i="1"/>
  <c r="AA290" i="1"/>
  <c r="K290" i="1"/>
  <c r="M290" i="1" s="1"/>
  <c r="H290" i="1"/>
  <c r="G290" i="1"/>
  <c r="I290" i="1" s="1"/>
  <c r="F290" i="1"/>
  <c r="E290" i="1"/>
  <c r="D290" i="1"/>
  <c r="C290" i="1"/>
  <c r="B290" i="1"/>
  <c r="BG289" i="1"/>
  <c r="AW289" i="1" s="1"/>
  <c r="BB289" i="1"/>
  <c r="AH289" i="1"/>
  <c r="AA289" i="1"/>
  <c r="K289" i="1"/>
  <c r="N289" i="1" s="1"/>
  <c r="H289" i="1"/>
  <c r="G289" i="1"/>
  <c r="I289" i="1" s="1"/>
  <c r="F289" i="1"/>
  <c r="E289" i="1"/>
  <c r="D289" i="1"/>
  <c r="C289" i="1"/>
  <c r="B289" i="1"/>
  <c r="BG288" i="1"/>
  <c r="AW288" i="1" s="1"/>
  <c r="BB288" i="1"/>
  <c r="AH288" i="1"/>
  <c r="AA288" i="1"/>
  <c r="K288" i="1"/>
  <c r="M288" i="1" s="1"/>
  <c r="H288" i="1"/>
  <c r="G288" i="1"/>
  <c r="I288" i="1" s="1"/>
  <c r="F288" i="1"/>
  <c r="E288" i="1"/>
  <c r="D288" i="1"/>
  <c r="C288" i="1"/>
  <c r="B288" i="1"/>
  <c r="BG287" i="1"/>
  <c r="AW287" i="1" s="1"/>
  <c r="BB287" i="1"/>
  <c r="AH287" i="1"/>
  <c r="AA287" i="1"/>
  <c r="K287" i="1"/>
  <c r="N287" i="1" s="1"/>
  <c r="H287" i="1"/>
  <c r="G287" i="1"/>
  <c r="I287" i="1" s="1"/>
  <c r="F287" i="1"/>
  <c r="E287" i="1"/>
  <c r="D287" i="1"/>
  <c r="C287" i="1"/>
  <c r="B287" i="1"/>
  <c r="BG286" i="1"/>
  <c r="AW286" i="1" s="1"/>
  <c r="BB286" i="1"/>
  <c r="AH286" i="1"/>
  <c r="AA286" i="1"/>
  <c r="K286" i="1"/>
  <c r="M286" i="1" s="1"/>
  <c r="H286" i="1"/>
  <c r="G286" i="1"/>
  <c r="I286" i="1" s="1"/>
  <c r="F286" i="1"/>
  <c r="E286" i="1"/>
  <c r="D286" i="1"/>
  <c r="C286" i="1"/>
  <c r="B286" i="1"/>
  <c r="BG285" i="1"/>
  <c r="AW285" i="1" s="1"/>
  <c r="BB285" i="1"/>
  <c r="AH285" i="1"/>
  <c r="AA285" i="1"/>
  <c r="K285" i="1"/>
  <c r="N285" i="1" s="1"/>
  <c r="H285" i="1"/>
  <c r="G285" i="1"/>
  <c r="I285" i="1" s="1"/>
  <c r="F285" i="1"/>
  <c r="E285" i="1"/>
  <c r="D285" i="1"/>
  <c r="C285" i="1"/>
  <c r="B285" i="1"/>
  <c r="BG284" i="1"/>
  <c r="AW284" i="1" s="1"/>
  <c r="BB284" i="1"/>
  <c r="AH284" i="1"/>
  <c r="AA284" i="1"/>
  <c r="K284" i="1"/>
  <c r="M284" i="1" s="1"/>
  <c r="H284" i="1"/>
  <c r="G284" i="1"/>
  <c r="I284" i="1" s="1"/>
  <c r="F284" i="1"/>
  <c r="E284" i="1"/>
  <c r="D284" i="1"/>
  <c r="C284" i="1"/>
  <c r="B284" i="1"/>
  <c r="BG283" i="1"/>
  <c r="AW283" i="1" s="1"/>
  <c r="BB283" i="1"/>
  <c r="AH283" i="1"/>
  <c r="AA283" i="1"/>
  <c r="K283" i="1"/>
  <c r="N283" i="1" s="1"/>
  <c r="H283" i="1"/>
  <c r="G283" i="1"/>
  <c r="I283" i="1" s="1"/>
  <c r="F283" i="1"/>
  <c r="E283" i="1"/>
  <c r="D283" i="1"/>
  <c r="C283" i="1"/>
  <c r="B283" i="1"/>
  <c r="BG282" i="1"/>
  <c r="AW282" i="1" s="1"/>
  <c r="BB282" i="1"/>
  <c r="AH282" i="1"/>
  <c r="AA282" i="1"/>
  <c r="K282" i="1"/>
  <c r="N282" i="1" s="1"/>
  <c r="H282" i="1"/>
  <c r="G282" i="1"/>
  <c r="I282" i="1" s="1"/>
  <c r="F282" i="1"/>
  <c r="E282" i="1"/>
  <c r="D282" i="1"/>
  <c r="C282" i="1"/>
  <c r="B282" i="1"/>
  <c r="BG281" i="1"/>
  <c r="AW281" i="1" s="1"/>
  <c r="BB281" i="1"/>
  <c r="AH281" i="1"/>
  <c r="AA281" i="1"/>
  <c r="K281" i="1"/>
  <c r="N281" i="1" s="1"/>
  <c r="H281" i="1"/>
  <c r="G281" i="1"/>
  <c r="I281" i="1" s="1"/>
  <c r="F281" i="1"/>
  <c r="E281" i="1"/>
  <c r="D281" i="1"/>
  <c r="C281" i="1"/>
  <c r="B281" i="1"/>
  <c r="BG280" i="1"/>
  <c r="AW280" i="1" s="1"/>
  <c r="BB280" i="1"/>
  <c r="AH280" i="1"/>
  <c r="AA280" i="1"/>
  <c r="K280" i="1"/>
  <c r="H280" i="1"/>
  <c r="G280" i="1"/>
  <c r="I280" i="1" s="1"/>
  <c r="F280" i="1"/>
  <c r="E280" i="1"/>
  <c r="D280" i="1"/>
  <c r="C280" i="1"/>
  <c r="B280" i="1"/>
  <c r="BG279" i="1"/>
  <c r="AW279" i="1" s="1"/>
  <c r="BB279" i="1"/>
  <c r="AH279" i="1"/>
  <c r="AA279" i="1"/>
  <c r="K279" i="1"/>
  <c r="N279" i="1" s="1"/>
  <c r="H279" i="1"/>
  <c r="G279" i="1"/>
  <c r="I279" i="1" s="1"/>
  <c r="F279" i="1"/>
  <c r="E279" i="1"/>
  <c r="D279" i="1"/>
  <c r="C279" i="1"/>
  <c r="B279" i="1"/>
  <c r="BG278" i="1"/>
  <c r="AW278" i="1" s="1"/>
  <c r="BB278" i="1"/>
  <c r="AH278" i="1"/>
  <c r="AA278" i="1"/>
  <c r="K278" i="1"/>
  <c r="N278" i="1" s="1"/>
  <c r="H278" i="1"/>
  <c r="G278" i="1"/>
  <c r="I278" i="1" s="1"/>
  <c r="F278" i="1"/>
  <c r="E278" i="1"/>
  <c r="D278" i="1"/>
  <c r="C278" i="1"/>
  <c r="B278" i="1"/>
  <c r="BG277" i="1"/>
  <c r="AW277" i="1" s="1"/>
  <c r="BB277" i="1"/>
  <c r="AH277" i="1"/>
  <c r="AA277" i="1"/>
  <c r="K277" i="1"/>
  <c r="H277" i="1"/>
  <c r="G277" i="1"/>
  <c r="I277" i="1" s="1"/>
  <c r="F277" i="1"/>
  <c r="E277" i="1"/>
  <c r="D277" i="1"/>
  <c r="C277" i="1"/>
  <c r="B277" i="1"/>
  <c r="BG276" i="1"/>
  <c r="AW276" i="1" s="1"/>
  <c r="BB276" i="1"/>
  <c r="AH276" i="1"/>
  <c r="AA276" i="1"/>
  <c r="K276" i="1"/>
  <c r="N276" i="1" s="1"/>
  <c r="H276" i="1"/>
  <c r="G276" i="1"/>
  <c r="I276" i="1" s="1"/>
  <c r="F276" i="1"/>
  <c r="E276" i="1"/>
  <c r="D276" i="1"/>
  <c r="C276" i="1"/>
  <c r="B276" i="1"/>
  <c r="BG275" i="1"/>
  <c r="AW275" i="1" s="1"/>
  <c r="BB275" i="1"/>
  <c r="AH275" i="1"/>
  <c r="AA275" i="1"/>
  <c r="K275" i="1"/>
  <c r="N275" i="1" s="1"/>
  <c r="H275" i="1"/>
  <c r="G275" i="1"/>
  <c r="I275" i="1" s="1"/>
  <c r="F275" i="1"/>
  <c r="E275" i="1"/>
  <c r="D275" i="1"/>
  <c r="C275" i="1"/>
  <c r="B275" i="1"/>
  <c r="BG274" i="1"/>
  <c r="AW274" i="1" s="1"/>
  <c r="BB274" i="1"/>
  <c r="AH274" i="1"/>
  <c r="AA274" i="1"/>
  <c r="K274" i="1"/>
  <c r="H274" i="1"/>
  <c r="G274" i="1"/>
  <c r="I274" i="1" s="1"/>
  <c r="F274" i="1"/>
  <c r="E274" i="1"/>
  <c r="D274" i="1"/>
  <c r="C274" i="1"/>
  <c r="B274" i="1"/>
  <c r="BG273" i="1"/>
  <c r="AW273" i="1" s="1"/>
  <c r="BB273" i="1"/>
  <c r="AH273" i="1"/>
  <c r="AA273" i="1"/>
  <c r="K273" i="1"/>
  <c r="H273" i="1"/>
  <c r="G273" i="1"/>
  <c r="I273" i="1" s="1"/>
  <c r="F273" i="1"/>
  <c r="E273" i="1"/>
  <c r="D273" i="1"/>
  <c r="C273" i="1"/>
  <c r="B273" i="1"/>
  <c r="BG272" i="1"/>
  <c r="AW272" i="1" s="1"/>
  <c r="BB272" i="1"/>
  <c r="AH272" i="1"/>
  <c r="AA272" i="1"/>
  <c r="K272" i="1"/>
  <c r="H272" i="1"/>
  <c r="G272" i="1"/>
  <c r="I272" i="1" s="1"/>
  <c r="F272" i="1"/>
  <c r="E272" i="1"/>
  <c r="D272" i="1"/>
  <c r="C272" i="1"/>
  <c r="B272" i="1"/>
  <c r="BG271" i="1"/>
  <c r="AW271" i="1" s="1"/>
  <c r="BB271" i="1"/>
  <c r="AH271" i="1"/>
  <c r="AA271" i="1"/>
  <c r="K271" i="1"/>
  <c r="H271" i="1"/>
  <c r="G271" i="1"/>
  <c r="I271" i="1" s="1"/>
  <c r="F271" i="1"/>
  <c r="E271" i="1"/>
  <c r="D271" i="1"/>
  <c r="C271" i="1"/>
  <c r="B271" i="1"/>
  <c r="BG270" i="1"/>
  <c r="AW270" i="1" s="1"/>
  <c r="BB270" i="1"/>
  <c r="AH270" i="1"/>
  <c r="AA270" i="1"/>
  <c r="K270" i="1"/>
  <c r="N270" i="1" s="1"/>
  <c r="H270" i="1"/>
  <c r="G270" i="1"/>
  <c r="I270" i="1" s="1"/>
  <c r="F270" i="1"/>
  <c r="E270" i="1"/>
  <c r="D270" i="1"/>
  <c r="C270" i="1"/>
  <c r="B270" i="1"/>
  <c r="BG269" i="1"/>
  <c r="AW269" i="1" s="1"/>
  <c r="BB269" i="1"/>
  <c r="AH269" i="1"/>
  <c r="AA269" i="1"/>
  <c r="K269" i="1"/>
  <c r="H269" i="1"/>
  <c r="G269" i="1"/>
  <c r="I269" i="1" s="1"/>
  <c r="F269" i="1"/>
  <c r="E269" i="1"/>
  <c r="D269" i="1"/>
  <c r="C269" i="1"/>
  <c r="B269" i="1"/>
  <c r="BG268" i="1"/>
  <c r="AW268" i="1" s="1"/>
  <c r="BB268" i="1"/>
  <c r="AH268" i="1"/>
  <c r="AA268" i="1"/>
  <c r="K268" i="1"/>
  <c r="H268" i="1"/>
  <c r="G268" i="1"/>
  <c r="I268" i="1" s="1"/>
  <c r="F268" i="1"/>
  <c r="E268" i="1"/>
  <c r="D268" i="1"/>
  <c r="C268" i="1"/>
  <c r="B268" i="1"/>
  <c r="BG267" i="1"/>
  <c r="AW267" i="1" s="1"/>
  <c r="BB267" i="1"/>
  <c r="AH267" i="1"/>
  <c r="AA267" i="1"/>
  <c r="K267" i="1"/>
  <c r="H267" i="1"/>
  <c r="G267" i="1"/>
  <c r="I267" i="1" s="1"/>
  <c r="F267" i="1"/>
  <c r="E267" i="1"/>
  <c r="D267" i="1"/>
  <c r="C267" i="1"/>
  <c r="B267" i="1"/>
  <c r="BG266" i="1"/>
  <c r="AW266" i="1" s="1"/>
  <c r="BB266" i="1"/>
  <c r="AH266" i="1"/>
  <c r="AA266" i="1"/>
  <c r="K266" i="1"/>
  <c r="H266" i="1"/>
  <c r="G266" i="1"/>
  <c r="I266" i="1" s="1"/>
  <c r="F266" i="1"/>
  <c r="E266" i="1"/>
  <c r="D266" i="1"/>
  <c r="C266" i="1"/>
  <c r="B266" i="1"/>
  <c r="BG265" i="1"/>
  <c r="AW265" i="1" s="1"/>
  <c r="BB265" i="1"/>
  <c r="AH265" i="1"/>
  <c r="AA265" i="1"/>
  <c r="K265" i="1"/>
  <c r="N265" i="1" s="1"/>
  <c r="H265" i="1"/>
  <c r="G265" i="1"/>
  <c r="I265" i="1" s="1"/>
  <c r="F265" i="1"/>
  <c r="E265" i="1"/>
  <c r="D265" i="1"/>
  <c r="C265" i="1"/>
  <c r="B265" i="1"/>
  <c r="BG264" i="1"/>
  <c r="AW264" i="1" s="1"/>
  <c r="BB264" i="1"/>
  <c r="AH264" i="1"/>
  <c r="AA264" i="1"/>
  <c r="K264" i="1"/>
  <c r="N264" i="1" s="1"/>
  <c r="H264" i="1"/>
  <c r="G264" i="1"/>
  <c r="I264" i="1" s="1"/>
  <c r="F264" i="1"/>
  <c r="E264" i="1"/>
  <c r="D264" i="1"/>
  <c r="C264" i="1"/>
  <c r="B264" i="1"/>
  <c r="BG263" i="1"/>
  <c r="AW263" i="1" s="1"/>
  <c r="BB263" i="1"/>
  <c r="AH263" i="1"/>
  <c r="AA263" i="1"/>
  <c r="K263" i="1"/>
  <c r="M263" i="1" s="1"/>
  <c r="H263" i="1"/>
  <c r="G263" i="1"/>
  <c r="I263" i="1" s="1"/>
  <c r="F263" i="1"/>
  <c r="E263" i="1"/>
  <c r="D263" i="1"/>
  <c r="C263" i="1"/>
  <c r="B263" i="1"/>
  <c r="BG262" i="1"/>
  <c r="AW262" i="1" s="1"/>
  <c r="BB262" i="1"/>
  <c r="AH262" i="1"/>
  <c r="AA262" i="1"/>
  <c r="K262" i="1"/>
  <c r="N262" i="1" s="1"/>
  <c r="H262" i="1"/>
  <c r="G262" i="1"/>
  <c r="I262" i="1" s="1"/>
  <c r="F262" i="1"/>
  <c r="E262" i="1"/>
  <c r="D262" i="1"/>
  <c r="C262" i="1"/>
  <c r="B262" i="1"/>
  <c r="BG261" i="1"/>
  <c r="AW261" i="1" s="1"/>
  <c r="BB261" i="1"/>
  <c r="AH261" i="1"/>
  <c r="AA261" i="1"/>
  <c r="K261" i="1"/>
  <c r="N261" i="1" s="1"/>
  <c r="H261" i="1"/>
  <c r="G261" i="1"/>
  <c r="I261" i="1" s="1"/>
  <c r="F261" i="1"/>
  <c r="E261" i="1"/>
  <c r="D261" i="1"/>
  <c r="C261" i="1"/>
  <c r="B261" i="1"/>
  <c r="BG260" i="1"/>
  <c r="AW260" i="1" s="1"/>
  <c r="BB260" i="1"/>
  <c r="AH260" i="1"/>
  <c r="AA260" i="1"/>
  <c r="K260" i="1"/>
  <c r="H260" i="1"/>
  <c r="G260" i="1"/>
  <c r="I260" i="1" s="1"/>
  <c r="F260" i="1"/>
  <c r="E260" i="1"/>
  <c r="D260" i="1"/>
  <c r="C260" i="1"/>
  <c r="B260" i="1"/>
  <c r="BG259" i="1"/>
  <c r="AW259" i="1" s="1"/>
  <c r="BB259" i="1"/>
  <c r="AH259" i="1"/>
  <c r="AA259" i="1"/>
  <c r="K259" i="1"/>
  <c r="H259" i="1"/>
  <c r="G259" i="1"/>
  <c r="I259" i="1" s="1"/>
  <c r="F259" i="1"/>
  <c r="E259" i="1"/>
  <c r="D259" i="1"/>
  <c r="C259" i="1"/>
  <c r="B259" i="1"/>
  <c r="BG258" i="1"/>
  <c r="AW258" i="1" s="1"/>
  <c r="BB258" i="1"/>
  <c r="AH258" i="1"/>
  <c r="AA258" i="1"/>
  <c r="K258" i="1"/>
  <c r="H258" i="1"/>
  <c r="G258" i="1"/>
  <c r="I258" i="1" s="1"/>
  <c r="F258" i="1"/>
  <c r="E258" i="1"/>
  <c r="D258" i="1"/>
  <c r="C258" i="1"/>
  <c r="B258" i="1"/>
  <c r="BG257" i="1"/>
  <c r="AW257" i="1" s="1"/>
  <c r="BB257" i="1"/>
  <c r="AH257" i="1"/>
  <c r="AA257" i="1"/>
  <c r="K257" i="1"/>
  <c r="M257" i="1" s="1"/>
  <c r="H257" i="1"/>
  <c r="G257" i="1"/>
  <c r="I257" i="1" s="1"/>
  <c r="F257" i="1"/>
  <c r="E257" i="1"/>
  <c r="D257" i="1"/>
  <c r="C257" i="1"/>
  <c r="B257" i="1"/>
  <c r="BG256" i="1"/>
  <c r="AW256" i="1" s="1"/>
  <c r="BB256" i="1"/>
  <c r="AH256" i="1"/>
  <c r="AA256" i="1"/>
  <c r="K256" i="1"/>
  <c r="M256" i="1" s="1"/>
  <c r="H256" i="1"/>
  <c r="G256" i="1"/>
  <c r="I256" i="1" s="1"/>
  <c r="F256" i="1"/>
  <c r="E256" i="1"/>
  <c r="D256" i="1"/>
  <c r="C256" i="1"/>
  <c r="B256" i="1"/>
  <c r="BG255" i="1"/>
  <c r="AW255" i="1" s="1"/>
  <c r="BB255" i="1"/>
  <c r="AH255" i="1"/>
  <c r="AA255" i="1"/>
  <c r="K255" i="1"/>
  <c r="N255" i="1" s="1"/>
  <c r="H255" i="1"/>
  <c r="G255" i="1"/>
  <c r="I255" i="1" s="1"/>
  <c r="F255" i="1"/>
  <c r="E255" i="1"/>
  <c r="D255" i="1"/>
  <c r="C255" i="1"/>
  <c r="B255" i="1"/>
  <c r="BG254" i="1"/>
  <c r="AW254" i="1" s="1"/>
  <c r="BB254" i="1"/>
  <c r="AH254" i="1"/>
  <c r="AA254" i="1"/>
  <c r="K254" i="1"/>
  <c r="H254" i="1"/>
  <c r="G254" i="1"/>
  <c r="I254" i="1" s="1"/>
  <c r="F254" i="1"/>
  <c r="E254" i="1"/>
  <c r="D254" i="1"/>
  <c r="C254" i="1"/>
  <c r="B254" i="1"/>
  <c r="BG253" i="1"/>
  <c r="AW253" i="1" s="1"/>
  <c r="BB253" i="1"/>
  <c r="AH253" i="1"/>
  <c r="AA253" i="1"/>
  <c r="K253" i="1"/>
  <c r="N253" i="1" s="1"/>
  <c r="H253" i="1"/>
  <c r="G253" i="1"/>
  <c r="I253" i="1" s="1"/>
  <c r="F253" i="1"/>
  <c r="E253" i="1"/>
  <c r="D253" i="1"/>
  <c r="C253" i="1"/>
  <c r="B253" i="1"/>
  <c r="BG252" i="1"/>
  <c r="AW252" i="1" s="1"/>
  <c r="BB252" i="1"/>
  <c r="AH252" i="1"/>
  <c r="AA252" i="1"/>
  <c r="K252" i="1"/>
  <c r="H252" i="1"/>
  <c r="G252" i="1"/>
  <c r="I252" i="1" s="1"/>
  <c r="F252" i="1"/>
  <c r="E252" i="1"/>
  <c r="D252" i="1"/>
  <c r="C252" i="1"/>
  <c r="B252" i="1"/>
  <c r="BG251" i="1"/>
  <c r="AW251" i="1" s="1"/>
  <c r="BB251" i="1"/>
  <c r="AH251" i="1"/>
  <c r="AA251" i="1"/>
  <c r="K251" i="1"/>
  <c r="N251" i="1" s="1"/>
  <c r="H251" i="1"/>
  <c r="G251" i="1"/>
  <c r="I251" i="1" s="1"/>
  <c r="F251" i="1"/>
  <c r="E251" i="1"/>
  <c r="D251" i="1"/>
  <c r="C251" i="1"/>
  <c r="B251" i="1"/>
  <c r="BG250" i="1"/>
  <c r="AW250" i="1" s="1"/>
  <c r="BB250" i="1"/>
  <c r="AH250" i="1"/>
  <c r="AA250" i="1"/>
  <c r="K250" i="1"/>
  <c r="H250" i="1"/>
  <c r="G250" i="1"/>
  <c r="I250" i="1" s="1"/>
  <c r="F250" i="1"/>
  <c r="E250" i="1"/>
  <c r="D250" i="1"/>
  <c r="C250" i="1"/>
  <c r="B250" i="1"/>
  <c r="BG249" i="1"/>
  <c r="AW249" i="1" s="1"/>
  <c r="BB249" i="1"/>
  <c r="AH249" i="1"/>
  <c r="AA249" i="1"/>
  <c r="K249" i="1"/>
  <c r="N249" i="1" s="1"/>
  <c r="H249" i="1"/>
  <c r="G249" i="1"/>
  <c r="I249" i="1" s="1"/>
  <c r="F249" i="1"/>
  <c r="E249" i="1"/>
  <c r="D249" i="1"/>
  <c r="C249" i="1"/>
  <c r="B249" i="1"/>
  <c r="BG248" i="1"/>
  <c r="AW248" i="1" s="1"/>
  <c r="BB248" i="1"/>
  <c r="AH248" i="1"/>
  <c r="AA248" i="1"/>
  <c r="K248" i="1"/>
  <c r="H248" i="1"/>
  <c r="G248" i="1"/>
  <c r="I248" i="1" s="1"/>
  <c r="F248" i="1"/>
  <c r="E248" i="1"/>
  <c r="D248" i="1"/>
  <c r="C248" i="1"/>
  <c r="B248" i="1"/>
  <c r="BG247" i="1"/>
  <c r="AW247" i="1" s="1"/>
  <c r="BB247" i="1"/>
  <c r="AH247" i="1"/>
  <c r="AA247" i="1"/>
  <c r="K247" i="1"/>
  <c r="M247" i="1" s="1"/>
  <c r="H247" i="1"/>
  <c r="G247" i="1"/>
  <c r="I247" i="1" s="1"/>
  <c r="F247" i="1"/>
  <c r="E247" i="1"/>
  <c r="D247" i="1"/>
  <c r="C247" i="1"/>
  <c r="B247" i="1"/>
  <c r="BG246" i="1"/>
  <c r="AW246" i="1" s="1"/>
  <c r="BB246" i="1"/>
  <c r="AH246" i="1"/>
  <c r="AA246" i="1"/>
  <c r="K246" i="1"/>
  <c r="H246" i="1"/>
  <c r="G246" i="1"/>
  <c r="I246" i="1" s="1"/>
  <c r="F246" i="1"/>
  <c r="E246" i="1"/>
  <c r="D246" i="1"/>
  <c r="C246" i="1"/>
  <c r="B246" i="1"/>
  <c r="BG245" i="1"/>
  <c r="AW245" i="1" s="1"/>
  <c r="BB245" i="1"/>
  <c r="AH245" i="1"/>
  <c r="AA245" i="1"/>
  <c r="K245" i="1"/>
  <c r="H245" i="1"/>
  <c r="G245" i="1"/>
  <c r="I245" i="1" s="1"/>
  <c r="F245" i="1"/>
  <c r="E245" i="1"/>
  <c r="D245" i="1"/>
  <c r="C245" i="1"/>
  <c r="B245" i="1"/>
  <c r="BG244" i="1"/>
  <c r="AW244" i="1" s="1"/>
  <c r="BB244" i="1"/>
  <c r="AH244" i="1"/>
  <c r="AA244" i="1"/>
  <c r="K244" i="1"/>
  <c r="H244" i="1"/>
  <c r="G244" i="1"/>
  <c r="I244" i="1" s="1"/>
  <c r="F244" i="1"/>
  <c r="E244" i="1"/>
  <c r="D244" i="1"/>
  <c r="C244" i="1"/>
  <c r="B244" i="1"/>
  <c r="BG243" i="1"/>
  <c r="AW243" i="1" s="1"/>
  <c r="BB243" i="1"/>
  <c r="AH243" i="1"/>
  <c r="AA243" i="1"/>
  <c r="K243" i="1"/>
  <c r="N243" i="1" s="1"/>
  <c r="H243" i="1"/>
  <c r="G243" i="1"/>
  <c r="I243" i="1" s="1"/>
  <c r="F243" i="1"/>
  <c r="E243" i="1"/>
  <c r="D243" i="1"/>
  <c r="C243" i="1"/>
  <c r="B243" i="1"/>
  <c r="BG242" i="1"/>
  <c r="AW242" i="1" s="1"/>
  <c r="BB242" i="1"/>
  <c r="AH242" i="1"/>
  <c r="AA242" i="1"/>
  <c r="K242" i="1"/>
  <c r="H242" i="1"/>
  <c r="G242" i="1"/>
  <c r="I242" i="1" s="1"/>
  <c r="F242" i="1"/>
  <c r="E242" i="1"/>
  <c r="D242" i="1"/>
  <c r="C242" i="1"/>
  <c r="B242" i="1"/>
  <c r="BG241" i="1"/>
  <c r="AW241" i="1" s="1"/>
  <c r="BB241" i="1"/>
  <c r="AH241" i="1"/>
  <c r="AA241" i="1"/>
  <c r="K241" i="1"/>
  <c r="N241" i="1" s="1"/>
  <c r="H241" i="1"/>
  <c r="G241" i="1"/>
  <c r="I241" i="1" s="1"/>
  <c r="F241" i="1"/>
  <c r="E241" i="1"/>
  <c r="D241" i="1"/>
  <c r="C241" i="1"/>
  <c r="B241" i="1"/>
  <c r="BG240" i="1"/>
  <c r="AW240" i="1" s="1"/>
  <c r="BB240" i="1"/>
  <c r="AH240" i="1"/>
  <c r="AA240" i="1"/>
  <c r="K240" i="1"/>
  <c r="H240" i="1"/>
  <c r="G240" i="1"/>
  <c r="I240" i="1" s="1"/>
  <c r="F240" i="1"/>
  <c r="E240" i="1"/>
  <c r="D240" i="1"/>
  <c r="C240" i="1"/>
  <c r="B240" i="1"/>
  <c r="BG239" i="1"/>
  <c r="AW239" i="1" s="1"/>
  <c r="BB239" i="1"/>
  <c r="AH239" i="1"/>
  <c r="AA239" i="1"/>
  <c r="K239" i="1"/>
  <c r="H239" i="1"/>
  <c r="G239" i="1"/>
  <c r="I239" i="1" s="1"/>
  <c r="F239" i="1"/>
  <c r="E239" i="1"/>
  <c r="D239" i="1"/>
  <c r="C239" i="1"/>
  <c r="B239" i="1"/>
  <c r="BG238" i="1"/>
  <c r="AW238" i="1" s="1"/>
  <c r="BB238" i="1"/>
  <c r="AH238" i="1"/>
  <c r="AA238" i="1"/>
  <c r="K238" i="1"/>
  <c r="H238" i="1"/>
  <c r="G238" i="1"/>
  <c r="I238" i="1" s="1"/>
  <c r="F238" i="1"/>
  <c r="E238" i="1"/>
  <c r="D238" i="1"/>
  <c r="C238" i="1"/>
  <c r="B238" i="1"/>
  <c r="BG237" i="1"/>
  <c r="AW237" i="1" s="1"/>
  <c r="BB237" i="1"/>
  <c r="AH237" i="1"/>
  <c r="AA237" i="1"/>
  <c r="K237" i="1"/>
  <c r="H237" i="1"/>
  <c r="G237" i="1"/>
  <c r="I237" i="1" s="1"/>
  <c r="F237" i="1"/>
  <c r="E237" i="1"/>
  <c r="D237" i="1"/>
  <c r="C237" i="1"/>
  <c r="B237" i="1"/>
  <c r="BG236" i="1"/>
  <c r="AW236" i="1" s="1"/>
  <c r="BB236" i="1"/>
  <c r="AH236" i="1"/>
  <c r="AA236" i="1"/>
  <c r="K236" i="1"/>
  <c r="H236" i="1"/>
  <c r="G236" i="1"/>
  <c r="I236" i="1" s="1"/>
  <c r="F236" i="1"/>
  <c r="E236" i="1"/>
  <c r="D236" i="1"/>
  <c r="C236" i="1"/>
  <c r="B236" i="1"/>
  <c r="BG235" i="1"/>
  <c r="AW235" i="1" s="1"/>
  <c r="BB235" i="1"/>
  <c r="AH235" i="1"/>
  <c r="AA235" i="1"/>
  <c r="K235" i="1"/>
  <c r="M235" i="1" s="1"/>
  <c r="H235" i="1"/>
  <c r="G235" i="1"/>
  <c r="I235" i="1" s="1"/>
  <c r="F235" i="1"/>
  <c r="E235" i="1"/>
  <c r="D235" i="1"/>
  <c r="C235" i="1"/>
  <c r="B235" i="1"/>
  <c r="BG234" i="1"/>
  <c r="AW234" i="1" s="1"/>
  <c r="BB234" i="1"/>
  <c r="AH234" i="1"/>
  <c r="AA234" i="1"/>
  <c r="K234" i="1"/>
  <c r="M234" i="1" s="1"/>
  <c r="H234" i="1"/>
  <c r="G234" i="1"/>
  <c r="I234" i="1" s="1"/>
  <c r="F234" i="1"/>
  <c r="E234" i="1"/>
  <c r="D234" i="1"/>
  <c r="C234" i="1"/>
  <c r="B234" i="1"/>
  <c r="BG233" i="1"/>
  <c r="AW233" i="1" s="1"/>
  <c r="BB233" i="1"/>
  <c r="AH233" i="1"/>
  <c r="AA233" i="1"/>
  <c r="K233" i="1"/>
  <c r="H233" i="1"/>
  <c r="G233" i="1"/>
  <c r="I233" i="1" s="1"/>
  <c r="F233" i="1"/>
  <c r="E233" i="1"/>
  <c r="D233" i="1"/>
  <c r="C233" i="1"/>
  <c r="B233" i="1"/>
  <c r="BG232" i="1"/>
  <c r="AW232" i="1" s="1"/>
  <c r="BB232" i="1"/>
  <c r="AH232" i="1"/>
  <c r="AA232" i="1"/>
  <c r="K232" i="1"/>
  <c r="M232" i="1" s="1"/>
  <c r="H232" i="1"/>
  <c r="G232" i="1"/>
  <c r="I232" i="1" s="1"/>
  <c r="F232" i="1"/>
  <c r="E232" i="1"/>
  <c r="D232" i="1"/>
  <c r="C232" i="1"/>
  <c r="B232" i="1"/>
  <c r="BG231" i="1"/>
  <c r="AW231" i="1" s="1"/>
  <c r="BB231" i="1"/>
  <c r="AH231" i="1"/>
  <c r="AA231" i="1"/>
  <c r="K231" i="1"/>
  <c r="H231" i="1"/>
  <c r="G231" i="1"/>
  <c r="I231" i="1" s="1"/>
  <c r="F231" i="1"/>
  <c r="E231" i="1"/>
  <c r="D231" i="1"/>
  <c r="C231" i="1"/>
  <c r="B231" i="1"/>
  <c r="BG230" i="1"/>
  <c r="AW230" i="1" s="1"/>
  <c r="BB230" i="1"/>
  <c r="AH230" i="1"/>
  <c r="AA230" i="1"/>
  <c r="K230" i="1"/>
  <c r="M230" i="1" s="1"/>
  <c r="H230" i="1"/>
  <c r="G230" i="1"/>
  <c r="I230" i="1" s="1"/>
  <c r="F230" i="1"/>
  <c r="E230" i="1"/>
  <c r="D230" i="1"/>
  <c r="C230" i="1"/>
  <c r="B230" i="1"/>
  <c r="BG229" i="1"/>
  <c r="AW229" i="1" s="1"/>
  <c r="BB229" i="1"/>
  <c r="AH229" i="1"/>
  <c r="AA229" i="1"/>
  <c r="K229" i="1"/>
  <c r="H229" i="1"/>
  <c r="G229" i="1"/>
  <c r="I229" i="1" s="1"/>
  <c r="F229" i="1"/>
  <c r="E229" i="1"/>
  <c r="D229" i="1"/>
  <c r="C229" i="1"/>
  <c r="B229" i="1"/>
  <c r="BG228" i="1"/>
  <c r="AW228" i="1" s="1"/>
  <c r="BB228" i="1"/>
  <c r="AH228" i="1"/>
  <c r="AA228" i="1"/>
  <c r="K228" i="1"/>
  <c r="N228" i="1" s="1"/>
  <c r="H228" i="1"/>
  <c r="G228" i="1"/>
  <c r="I228" i="1" s="1"/>
  <c r="F228" i="1"/>
  <c r="E228" i="1"/>
  <c r="D228" i="1"/>
  <c r="C228" i="1"/>
  <c r="B228" i="1"/>
  <c r="BG227" i="1"/>
  <c r="AW227" i="1" s="1"/>
  <c r="BB227" i="1"/>
  <c r="AH227" i="1"/>
  <c r="AA227" i="1"/>
  <c r="K227" i="1"/>
  <c r="H227" i="1"/>
  <c r="G227" i="1"/>
  <c r="I227" i="1" s="1"/>
  <c r="F227" i="1"/>
  <c r="E227" i="1"/>
  <c r="D227" i="1"/>
  <c r="C227" i="1"/>
  <c r="B227" i="1"/>
  <c r="BG226" i="1"/>
  <c r="AW226" i="1" s="1"/>
  <c r="BB226" i="1"/>
  <c r="AH226" i="1"/>
  <c r="AA226" i="1"/>
  <c r="K226" i="1"/>
  <c r="N226" i="1" s="1"/>
  <c r="H226" i="1"/>
  <c r="G226" i="1"/>
  <c r="I226" i="1" s="1"/>
  <c r="F226" i="1"/>
  <c r="E226" i="1"/>
  <c r="D226" i="1"/>
  <c r="C226" i="1"/>
  <c r="B226" i="1"/>
  <c r="BG225" i="1"/>
  <c r="AW225" i="1" s="1"/>
  <c r="BB225" i="1"/>
  <c r="AH225" i="1"/>
  <c r="AA225" i="1"/>
  <c r="K225" i="1"/>
  <c r="H225" i="1"/>
  <c r="G225" i="1"/>
  <c r="I225" i="1" s="1"/>
  <c r="F225" i="1"/>
  <c r="E225" i="1"/>
  <c r="D225" i="1"/>
  <c r="C225" i="1"/>
  <c r="B225" i="1"/>
  <c r="BG224" i="1"/>
  <c r="AW224" i="1" s="1"/>
  <c r="BB224" i="1"/>
  <c r="AH224" i="1"/>
  <c r="AA224" i="1"/>
  <c r="K224" i="1"/>
  <c r="M224" i="1" s="1"/>
  <c r="H224" i="1"/>
  <c r="G224" i="1"/>
  <c r="I224" i="1" s="1"/>
  <c r="F224" i="1"/>
  <c r="E224" i="1"/>
  <c r="D224" i="1"/>
  <c r="C224" i="1"/>
  <c r="B224" i="1"/>
  <c r="BG223" i="1"/>
  <c r="AW223" i="1" s="1"/>
  <c r="BB223" i="1"/>
  <c r="AH223" i="1"/>
  <c r="AA223" i="1"/>
  <c r="K223" i="1"/>
  <c r="M223" i="1" s="1"/>
  <c r="H223" i="1"/>
  <c r="G223" i="1"/>
  <c r="I223" i="1" s="1"/>
  <c r="F223" i="1"/>
  <c r="E223" i="1"/>
  <c r="D223" i="1"/>
  <c r="C223" i="1"/>
  <c r="B223" i="1"/>
  <c r="BG222" i="1"/>
  <c r="AW222" i="1" s="1"/>
  <c r="BB222" i="1"/>
  <c r="AH222" i="1"/>
  <c r="AA222" i="1"/>
  <c r="K222" i="1"/>
  <c r="M222" i="1" s="1"/>
  <c r="H222" i="1"/>
  <c r="G222" i="1"/>
  <c r="I222" i="1" s="1"/>
  <c r="F222" i="1"/>
  <c r="E222" i="1"/>
  <c r="D222" i="1"/>
  <c r="C222" i="1"/>
  <c r="B222" i="1"/>
  <c r="BG221" i="1"/>
  <c r="AW221" i="1" s="1"/>
  <c r="BB221" i="1"/>
  <c r="AH221" i="1"/>
  <c r="AA221" i="1"/>
  <c r="K221" i="1"/>
  <c r="H221" i="1"/>
  <c r="G221" i="1"/>
  <c r="I221" i="1" s="1"/>
  <c r="F221" i="1"/>
  <c r="E221" i="1"/>
  <c r="D221" i="1"/>
  <c r="C221" i="1"/>
  <c r="B221" i="1"/>
  <c r="BG220" i="1"/>
  <c r="AW220" i="1" s="1"/>
  <c r="BB220" i="1"/>
  <c r="AH220" i="1"/>
  <c r="AA220" i="1"/>
  <c r="K220" i="1"/>
  <c r="H220" i="1"/>
  <c r="G220" i="1"/>
  <c r="I220" i="1" s="1"/>
  <c r="F220" i="1"/>
  <c r="E220" i="1"/>
  <c r="D220" i="1"/>
  <c r="C220" i="1"/>
  <c r="B220" i="1"/>
  <c r="BG219" i="1"/>
  <c r="AW219" i="1" s="1"/>
  <c r="BB219" i="1"/>
  <c r="AH219" i="1"/>
  <c r="AA219" i="1"/>
  <c r="K219" i="1"/>
  <c r="M219" i="1" s="1"/>
  <c r="H219" i="1"/>
  <c r="G219" i="1"/>
  <c r="I219" i="1" s="1"/>
  <c r="F219" i="1"/>
  <c r="E219" i="1"/>
  <c r="D219" i="1"/>
  <c r="C219" i="1"/>
  <c r="B219" i="1"/>
  <c r="BG218" i="1"/>
  <c r="AW218" i="1" s="1"/>
  <c r="BB218" i="1"/>
  <c r="AH218" i="1"/>
  <c r="AA218" i="1"/>
  <c r="K218" i="1"/>
  <c r="H218" i="1"/>
  <c r="G218" i="1"/>
  <c r="I218" i="1" s="1"/>
  <c r="F218" i="1"/>
  <c r="E218" i="1"/>
  <c r="D218" i="1"/>
  <c r="C218" i="1"/>
  <c r="B218" i="1"/>
  <c r="BG217" i="1"/>
  <c r="AW217" i="1" s="1"/>
  <c r="BB217" i="1"/>
  <c r="AH217" i="1"/>
  <c r="AA217" i="1"/>
  <c r="K217" i="1"/>
  <c r="H217" i="1"/>
  <c r="G217" i="1"/>
  <c r="I217" i="1" s="1"/>
  <c r="F217" i="1"/>
  <c r="E217" i="1"/>
  <c r="D217" i="1"/>
  <c r="C217" i="1"/>
  <c r="B217" i="1"/>
  <c r="BG216" i="1"/>
  <c r="AW216" i="1" s="1"/>
  <c r="BB216" i="1"/>
  <c r="AH216" i="1"/>
  <c r="AA216" i="1"/>
  <c r="K216" i="1"/>
  <c r="M216" i="1" s="1"/>
  <c r="H216" i="1"/>
  <c r="G216" i="1"/>
  <c r="I216" i="1" s="1"/>
  <c r="F216" i="1"/>
  <c r="E216" i="1"/>
  <c r="D216" i="1"/>
  <c r="C216" i="1"/>
  <c r="B216" i="1"/>
  <c r="BG215" i="1"/>
  <c r="AW215" i="1" s="1"/>
  <c r="BB215" i="1"/>
  <c r="AH215" i="1"/>
  <c r="AA215" i="1"/>
  <c r="K215" i="1"/>
  <c r="M215" i="1" s="1"/>
  <c r="H215" i="1"/>
  <c r="G215" i="1"/>
  <c r="I215" i="1" s="1"/>
  <c r="F215" i="1"/>
  <c r="E215" i="1"/>
  <c r="D215" i="1"/>
  <c r="C215" i="1"/>
  <c r="B215" i="1"/>
  <c r="BG214" i="1"/>
  <c r="AW214" i="1" s="1"/>
  <c r="BB214" i="1"/>
  <c r="AH214" i="1"/>
  <c r="AA214" i="1"/>
  <c r="K214" i="1"/>
  <c r="H214" i="1"/>
  <c r="G214" i="1"/>
  <c r="I214" i="1" s="1"/>
  <c r="F214" i="1"/>
  <c r="E214" i="1"/>
  <c r="D214" i="1"/>
  <c r="C214" i="1"/>
  <c r="B214" i="1"/>
  <c r="BG213" i="1"/>
  <c r="AW213" i="1" s="1"/>
  <c r="BB213" i="1"/>
  <c r="AH213" i="1"/>
  <c r="AA213" i="1"/>
  <c r="K213" i="1"/>
  <c r="H213" i="1"/>
  <c r="G213" i="1"/>
  <c r="I213" i="1" s="1"/>
  <c r="F213" i="1"/>
  <c r="E213" i="1"/>
  <c r="D213" i="1"/>
  <c r="C213" i="1"/>
  <c r="B213" i="1"/>
  <c r="BG212" i="1"/>
  <c r="AW212" i="1" s="1"/>
  <c r="BB212" i="1"/>
  <c r="AH212" i="1"/>
  <c r="AA212" i="1"/>
  <c r="K212" i="1"/>
  <c r="H212" i="1"/>
  <c r="G212" i="1"/>
  <c r="I212" i="1" s="1"/>
  <c r="F212" i="1"/>
  <c r="E212" i="1"/>
  <c r="D212" i="1"/>
  <c r="C212" i="1"/>
  <c r="B212" i="1"/>
  <c r="BG211" i="1"/>
  <c r="AW211" i="1" s="1"/>
  <c r="BB211" i="1"/>
  <c r="AH211" i="1"/>
  <c r="AA211" i="1"/>
  <c r="K211" i="1"/>
  <c r="M211" i="1" s="1"/>
  <c r="H211" i="1"/>
  <c r="G211" i="1"/>
  <c r="I211" i="1" s="1"/>
  <c r="F211" i="1"/>
  <c r="E211" i="1"/>
  <c r="D211" i="1"/>
  <c r="C211" i="1"/>
  <c r="B211" i="1"/>
  <c r="BG210" i="1"/>
  <c r="AW210" i="1" s="1"/>
  <c r="BB210" i="1"/>
  <c r="AH210" i="1"/>
  <c r="AA210" i="1"/>
  <c r="K210" i="1"/>
  <c r="H210" i="1"/>
  <c r="G210" i="1"/>
  <c r="I210" i="1" s="1"/>
  <c r="F210" i="1"/>
  <c r="E210" i="1"/>
  <c r="D210" i="1"/>
  <c r="C210" i="1"/>
  <c r="B210" i="1"/>
  <c r="BG209" i="1"/>
  <c r="AW209" i="1" s="1"/>
  <c r="BB209" i="1"/>
  <c r="AH209" i="1"/>
  <c r="AA209" i="1"/>
  <c r="K209" i="1"/>
  <c r="M209" i="1" s="1"/>
  <c r="H209" i="1"/>
  <c r="G209" i="1"/>
  <c r="I209" i="1" s="1"/>
  <c r="F209" i="1"/>
  <c r="E209" i="1"/>
  <c r="D209" i="1"/>
  <c r="C209" i="1"/>
  <c r="B209" i="1"/>
  <c r="BG208" i="1"/>
  <c r="AW208" i="1" s="1"/>
  <c r="BB208" i="1"/>
  <c r="AH208" i="1"/>
  <c r="AA208" i="1"/>
  <c r="K208" i="1"/>
  <c r="H208" i="1"/>
  <c r="G208" i="1"/>
  <c r="I208" i="1" s="1"/>
  <c r="F208" i="1"/>
  <c r="E208" i="1"/>
  <c r="D208" i="1"/>
  <c r="C208" i="1"/>
  <c r="B208" i="1"/>
  <c r="BG207" i="1"/>
  <c r="AW207" i="1" s="1"/>
  <c r="BB207" i="1"/>
  <c r="AH207" i="1"/>
  <c r="AA207" i="1"/>
  <c r="K207" i="1"/>
  <c r="M207" i="1" s="1"/>
  <c r="H207" i="1"/>
  <c r="G207" i="1"/>
  <c r="I207" i="1" s="1"/>
  <c r="F207" i="1"/>
  <c r="E207" i="1"/>
  <c r="D207" i="1"/>
  <c r="C207" i="1"/>
  <c r="B207" i="1"/>
  <c r="BG206" i="1"/>
  <c r="AW206" i="1" s="1"/>
  <c r="BB206" i="1"/>
  <c r="AH206" i="1"/>
  <c r="AA206" i="1"/>
  <c r="K206" i="1"/>
  <c r="M206" i="1" s="1"/>
  <c r="H206" i="1"/>
  <c r="G206" i="1"/>
  <c r="I206" i="1" s="1"/>
  <c r="F206" i="1"/>
  <c r="E206" i="1"/>
  <c r="D206" i="1"/>
  <c r="C206" i="1"/>
  <c r="B206" i="1"/>
  <c r="BG205" i="1"/>
  <c r="AW205" i="1" s="1"/>
  <c r="BB205" i="1"/>
  <c r="AH205" i="1"/>
  <c r="AA205" i="1"/>
  <c r="K205" i="1"/>
  <c r="M205" i="1" s="1"/>
  <c r="H205" i="1"/>
  <c r="G205" i="1"/>
  <c r="I205" i="1" s="1"/>
  <c r="F205" i="1"/>
  <c r="E205" i="1"/>
  <c r="D205" i="1"/>
  <c r="C205" i="1"/>
  <c r="B205" i="1"/>
  <c r="BG204" i="1"/>
  <c r="AW204" i="1" s="1"/>
  <c r="BB204" i="1"/>
  <c r="AH204" i="1"/>
  <c r="AA204" i="1"/>
  <c r="K204" i="1"/>
  <c r="H204" i="1"/>
  <c r="G204" i="1"/>
  <c r="I204" i="1" s="1"/>
  <c r="F204" i="1"/>
  <c r="E204" i="1"/>
  <c r="D204" i="1"/>
  <c r="C204" i="1"/>
  <c r="B204" i="1"/>
  <c r="BG203" i="1"/>
  <c r="AW203" i="1" s="1"/>
  <c r="BB203" i="1"/>
  <c r="AH203" i="1"/>
  <c r="AA203" i="1"/>
  <c r="K203" i="1"/>
  <c r="M203" i="1" s="1"/>
  <c r="H203" i="1"/>
  <c r="G203" i="1"/>
  <c r="I203" i="1" s="1"/>
  <c r="F203" i="1"/>
  <c r="E203" i="1"/>
  <c r="D203" i="1"/>
  <c r="C203" i="1"/>
  <c r="B203" i="1"/>
  <c r="BG202" i="1"/>
  <c r="AW202" i="1" s="1"/>
  <c r="BB202" i="1"/>
  <c r="AH202" i="1"/>
  <c r="AA202" i="1"/>
  <c r="K202" i="1"/>
  <c r="M202" i="1" s="1"/>
  <c r="H202" i="1"/>
  <c r="G202" i="1"/>
  <c r="I202" i="1" s="1"/>
  <c r="F202" i="1"/>
  <c r="E202" i="1"/>
  <c r="D202" i="1"/>
  <c r="C202" i="1"/>
  <c r="B202" i="1"/>
  <c r="BG201" i="1"/>
  <c r="AW201" i="1" s="1"/>
  <c r="BB201" i="1"/>
  <c r="AH201" i="1"/>
  <c r="AA201" i="1"/>
  <c r="K201" i="1"/>
  <c r="N201" i="1" s="1"/>
  <c r="H201" i="1"/>
  <c r="G201" i="1"/>
  <c r="I201" i="1" s="1"/>
  <c r="F201" i="1"/>
  <c r="E201" i="1"/>
  <c r="D201" i="1"/>
  <c r="C201" i="1"/>
  <c r="B201" i="1"/>
  <c r="BG200" i="1"/>
  <c r="AW200" i="1" s="1"/>
  <c r="BB200" i="1"/>
  <c r="AH200" i="1"/>
  <c r="AA200" i="1"/>
  <c r="K200" i="1"/>
  <c r="M200" i="1" s="1"/>
  <c r="H200" i="1"/>
  <c r="G200" i="1"/>
  <c r="I200" i="1" s="1"/>
  <c r="F200" i="1"/>
  <c r="E200" i="1"/>
  <c r="D200" i="1"/>
  <c r="C200" i="1"/>
  <c r="B200" i="1"/>
  <c r="BG199" i="1"/>
  <c r="AW199" i="1" s="1"/>
  <c r="BB199" i="1"/>
  <c r="AH199" i="1"/>
  <c r="AA199" i="1"/>
  <c r="K199" i="1"/>
  <c r="N199" i="1" s="1"/>
  <c r="H199" i="1"/>
  <c r="G199" i="1"/>
  <c r="I199" i="1" s="1"/>
  <c r="F199" i="1"/>
  <c r="E199" i="1"/>
  <c r="D199" i="1"/>
  <c r="C199" i="1"/>
  <c r="B199" i="1"/>
  <c r="BG198" i="1"/>
  <c r="AW198" i="1" s="1"/>
  <c r="BB198" i="1"/>
  <c r="AH198" i="1"/>
  <c r="AA198" i="1"/>
  <c r="K198" i="1"/>
  <c r="H198" i="1"/>
  <c r="G198" i="1"/>
  <c r="I198" i="1" s="1"/>
  <c r="F198" i="1"/>
  <c r="E198" i="1"/>
  <c r="D198" i="1"/>
  <c r="C198" i="1"/>
  <c r="B198" i="1"/>
  <c r="BG197" i="1"/>
  <c r="AW197" i="1" s="1"/>
  <c r="BB197" i="1"/>
  <c r="AH197" i="1"/>
  <c r="AA197" i="1"/>
  <c r="K197" i="1"/>
  <c r="H197" i="1"/>
  <c r="G197" i="1"/>
  <c r="I197" i="1" s="1"/>
  <c r="F197" i="1"/>
  <c r="E197" i="1"/>
  <c r="D197" i="1"/>
  <c r="C197" i="1"/>
  <c r="B197" i="1"/>
  <c r="BG196" i="1"/>
  <c r="AW196" i="1" s="1"/>
  <c r="BB196" i="1"/>
  <c r="AH196" i="1"/>
  <c r="AA196" i="1"/>
  <c r="K196" i="1"/>
  <c r="M196" i="1" s="1"/>
  <c r="H196" i="1"/>
  <c r="G196" i="1"/>
  <c r="I196" i="1" s="1"/>
  <c r="F196" i="1"/>
  <c r="E196" i="1"/>
  <c r="D196" i="1"/>
  <c r="C196" i="1"/>
  <c r="B196" i="1"/>
  <c r="BG195" i="1"/>
  <c r="AW195" i="1" s="1"/>
  <c r="BB195" i="1"/>
  <c r="AH195" i="1"/>
  <c r="AA195" i="1"/>
  <c r="K195" i="1"/>
  <c r="M195" i="1" s="1"/>
  <c r="H195" i="1"/>
  <c r="G195" i="1"/>
  <c r="I195" i="1" s="1"/>
  <c r="F195" i="1"/>
  <c r="E195" i="1"/>
  <c r="D195" i="1"/>
  <c r="C195" i="1"/>
  <c r="B195" i="1"/>
  <c r="BG194" i="1"/>
  <c r="AW194" i="1" s="1"/>
  <c r="BB194" i="1"/>
  <c r="AH194" i="1"/>
  <c r="AA194" i="1"/>
  <c r="K194" i="1"/>
  <c r="H194" i="1"/>
  <c r="G194" i="1"/>
  <c r="I194" i="1" s="1"/>
  <c r="F194" i="1"/>
  <c r="E194" i="1"/>
  <c r="D194" i="1"/>
  <c r="C194" i="1"/>
  <c r="B194" i="1"/>
  <c r="BG193" i="1"/>
  <c r="AW193" i="1" s="1"/>
  <c r="BB193" i="1"/>
  <c r="AH193" i="1"/>
  <c r="AA193" i="1"/>
  <c r="K193" i="1"/>
  <c r="N193" i="1" s="1"/>
  <c r="H193" i="1"/>
  <c r="G193" i="1"/>
  <c r="I193" i="1" s="1"/>
  <c r="F193" i="1"/>
  <c r="E193" i="1"/>
  <c r="D193" i="1"/>
  <c r="C193" i="1"/>
  <c r="B193" i="1"/>
  <c r="BG192" i="1"/>
  <c r="AW192" i="1" s="1"/>
  <c r="BB192" i="1"/>
  <c r="AH192" i="1"/>
  <c r="AA192" i="1"/>
  <c r="K192" i="1"/>
  <c r="H192" i="1"/>
  <c r="G192" i="1"/>
  <c r="I192" i="1" s="1"/>
  <c r="F192" i="1"/>
  <c r="E192" i="1"/>
  <c r="D192" i="1"/>
  <c r="C192" i="1"/>
  <c r="B192" i="1"/>
  <c r="BG191" i="1"/>
  <c r="AW191" i="1" s="1"/>
  <c r="BB191" i="1"/>
  <c r="AH191" i="1"/>
  <c r="AA191" i="1"/>
  <c r="K191" i="1"/>
  <c r="H191" i="1"/>
  <c r="G191" i="1"/>
  <c r="I191" i="1" s="1"/>
  <c r="F191" i="1"/>
  <c r="E191" i="1"/>
  <c r="D191" i="1"/>
  <c r="C191" i="1"/>
  <c r="B191" i="1"/>
  <c r="BG190" i="1"/>
  <c r="AW190" i="1" s="1"/>
  <c r="BB190" i="1"/>
  <c r="AH190" i="1"/>
  <c r="AA190" i="1"/>
  <c r="K190" i="1"/>
  <c r="M190" i="1" s="1"/>
  <c r="H190" i="1"/>
  <c r="G190" i="1"/>
  <c r="I190" i="1" s="1"/>
  <c r="F190" i="1"/>
  <c r="E190" i="1"/>
  <c r="D190" i="1"/>
  <c r="C190" i="1"/>
  <c r="B190" i="1"/>
  <c r="BG189" i="1"/>
  <c r="AW189" i="1" s="1"/>
  <c r="BB189" i="1"/>
  <c r="AH189" i="1"/>
  <c r="AA189" i="1"/>
  <c r="K189" i="1"/>
  <c r="M189" i="1" s="1"/>
  <c r="H189" i="1"/>
  <c r="G189" i="1"/>
  <c r="I189" i="1" s="1"/>
  <c r="F189" i="1"/>
  <c r="E189" i="1"/>
  <c r="D189" i="1"/>
  <c r="C189" i="1"/>
  <c r="B189" i="1"/>
  <c r="BG188" i="1"/>
  <c r="AW188" i="1" s="1"/>
  <c r="BB188" i="1"/>
  <c r="AH188" i="1"/>
  <c r="AA188" i="1"/>
  <c r="K188" i="1"/>
  <c r="M188" i="1" s="1"/>
  <c r="H188" i="1"/>
  <c r="G188" i="1"/>
  <c r="I188" i="1" s="1"/>
  <c r="F188" i="1"/>
  <c r="E188" i="1"/>
  <c r="D188" i="1"/>
  <c r="C188" i="1"/>
  <c r="B188" i="1"/>
  <c r="BG187" i="1"/>
  <c r="AW187" i="1" s="1"/>
  <c r="BB187" i="1"/>
  <c r="AH187" i="1"/>
  <c r="AA187" i="1"/>
  <c r="K187" i="1"/>
  <c r="N187" i="1" s="1"/>
  <c r="H187" i="1"/>
  <c r="G187" i="1"/>
  <c r="I187" i="1" s="1"/>
  <c r="F187" i="1"/>
  <c r="E187" i="1"/>
  <c r="D187" i="1"/>
  <c r="C187" i="1"/>
  <c r="B187" i="1"/>
  <c r="BG186" i="1"/>
  <c r="AW186" i="1" s="1"/>
  <c r="BB186" i="1"/>
  <c r="AH186" i="1"/>
  <c r="AA186" i="1"/>
  <c r="K186" i="1"/>
  <c r="M186" i="1" s="1"/>
  <c r="H186" i="1"/>
  <c r="G186" i="1"/>
  <c r="I186" i="1" s="1"/>
  <c r="F186" i="1"/>
  <c r="E186" i="1"/>
  <c r="D186" i="1"/>
  <c r="C186" i="1"/>
  <c r="B186" i="1"/>
  <c r="BG185" i="1"/>
  <c r="AW185" i="1" s="1"/>
  <c r="BB185" i="1"/>
  <c r="AH185" i="1"/>
  <c r="AA185" i="1"/>
  <c r="K185" i="1"/>
  <c r="H185" i="1"/>
  <c r="G185" i="1"/>
  <c r="I185" i="1" s="1"/>
  <c r="F185" i="1"/>
  <c r="E185" i="1"/>
  <c r="D185" i="1"/>
  <c r="C185" i="1"/>
  <c r="B185" i="1"/>
  <c r="BG184" i="1"/>
  <c r="AW184" i="1" s="1"/>
  <c r="BB184" i="1"/>
  <c r="AH184" i="1"/>
  <c r="AA184" i="1"/>
  <c r="K184" i="1"/>
  <c r="H184" i="1"/>
  <c r="G184" i="1"/>
  <c r="I184" i="1" s="1"/>
  <c r="F184" i="1"/>
  <c r="E184" i="1"/>
  <c r="D184" i="1"/>
  <c r="C184" i="1"/>
  <c r="B184" i="1"/>
  <c r="BG183" i="1"/>
  <c r="AW183" i="1" s="1"/>
  <c r="BB183" i="1"/>
  <c r="AH183" i="1"/>
  <c r="AA183" i="1"/>
  <c r="K183" i="1"/>
  <c r="H183" i="1"/>
  <c r="G183" i="1"/>
  <c r="I183" i="1" s="1"/>
  <c r="F183" i="1"/>
  <c r="E183" i="1"/>
  <c r="D183" i="1"/>
  <c r="C183" i="1"/>
  <c r="B183" i="1"/>
  <c r="BG182" i="1"/>
  <c r="AW182" i="1" s="1"/>
  <c r="BB182" i="1"/>
  <c r="AH182" i="1"/>
  <c r="AA182" i="1"/>
  <c r="K182" i="1"/>
  <c r="M182" i="1" s="1"/>
  <c r="H182" i="1"/>
  <c r="G182" i="1"/>
  <c r="I182" i="1" s="1"/>
  <c r="F182" i="1"/>
  <c r="E182" i="1"/>
  <c r="D182" i="1"/>
  <c r="C182" i="1"/>
  <c r="B182" i="1"/>
  <c r="BG181" i="1"/>
  <c r="AW181" i="1" s="1"/>
  <c r="BB181" i="1"/>
  <c r="AH181" i="1"/>
  <c r="AA181" i="1"/>
  <c r="K181" i="1"/>
  <c r="H181" i="1"/>
  <c r="G181" i="1"/>
  <c r="I181" i="1" s="1"/>
  <c r="F181" i="1"/>
  <c r="E181" i="1"/>
  <c r="D181" i="1"/>
  <c r="C181" i="1"/>
  <c r="B181" i="1"/>
  <c r="BG180" i="1"/>
  <c r="AW180" i="1" s="1"/>
  <c r="BB180" i="1"/>
  <c r="AH180" i="1"/>
  <c r="AA180" i="1"/>
  <c r="K180" i="1"/>
  <c r="H180" i="1"/>
  <c r="G180" i="1"/>
  <c r="I180" i="1" s="1"/>
  <c r="F180" i="1"/>
  <c r="E180" i="1"/>
  <c r="D180" i="1"/>
  <c r="C180" i="1"/>
  <c r="B180" i="1"/>
  <c r="BG179" i="1"/>
  <c r="AW179" i="1" s="1"/>
  <c r="BB179" i="1"/>
  <c r="AH179" i="1"/>
  <c r="AA179" i="1"/>
  <c r="K179" i="1"/>
  <c r="H179" i="1"/>
  <c r="G179" i="1"/>
  <c r="I179" i="1" s="1"/>
  <c r="F179" i="1"/>
  <c r="E179" i="1"/>
  <c r="D179" i="1"/>
  <c r="C179" i="1"/>
  <c r="B179" i="1"/>
  <c r="BG178" i="1"/>
  <c r="AW178" i="1" s="1"/>
  <c r="BB178" i="1"/>
  <c r="AH178" i="1"/>
  <c r="AA178" i="1"/>
  <c r="K178" i="1"/>
  <c r="M178" i="1" s="1"/>
  <c r="H178" i="1"/>
  <c r="G178" i="1"/>
  <c r="I178" i="1" s="1"/>
  <c r="F178" i="1"/>
  <c r="E178" i="1"/>
  <c r="D178" i="1"/>
  <c r="C178" i="1"/>
  <c r="B178" i="1"/>
  <c r="BG177" i="1"/>
  <c r="AW177" i="1" s="1"/>
  <c r="BB177" i="1"/>
  <c r="AH177" i="1"/>
  <c r="AA177" i="1"/>
  <c r="K177" i="1"/>
  <c r="M177" i="1" s="1"/>
  <c r="H177" i="1"/>
  <c r="G177" i="1"/>
  <c r="I177" i="1" s="1"/>
  <c r="F177" i="1"/>
  <c r="E177" i="1"/>
  <c r="D177" i="1"/>
  <c r="C177" i="1"/>
  <c r="B177" i="1"/>
  <c r="BG176" i="1"/>
  <c r="AW176" i="1" s="1"/>
  <c r="BB176" i="1"/>
  <c r="AH176" i="1"/>
  <c r="AA176" i="1"/>
  <c r="K176" i="1"/>
  <c r="M176" i="1" s="1"/>
  <c r="H176" i="1"/>
  <c r="G176" i="1"/>
  <c r="I176" i="1" s="1"/>
  <c r="F176" i="1"/>
  <c r="E176" i="1"/>
  <c r="D176" i="1"/>
  <c r="C176" i="1"/>
  <c r="B176" i="1"/>
  <c r="BG175" i="1"/>
  <c r="AW175" i="1" s="1"/>
  <c r="BB175" i="1"/>
  <c r="AH175" i="1"/>
  <c r="AA175" i="1"/>
  <c r="K175" i="1"/>
  <c r="H175" i="1"/>
  <c r="G175" i="1"/>
  <c r="I175" i="1" s="1"/>
  <c r="F175" i="1"/>
  <c r="E175" i="1"/>
  <c r="D175" i="1"/>
  <c r="C175" i="1"/>
  <c r="B175" i="1"/>
  <c r="BG174" i="1"/>
  <c r="AW174" i="1" s="1"/>
  <c r="BB174" i="1"/>
  <c r="AH174" i="1"/>
  <c r="AA174" i="1"/>
  <c r="K174" i="1"/>
  <c r="M174" i="1" s="1"/>
  <c r="H174" i="1"/>
  <c r="G174" i="1"/>
  <c r="I174" i="1" s="1"/>
  <c r="F174" i="1"/>
  <c r="E174" i="1"/>
  <c r="D174" i="1"/>
  <c r="C174" i="1"/>
  <c r="B174" i="1"/>
  <c r="BG173" i="1"/>
  <c r="AW173" i="1" s="1"/>
  <c r="BB173" i="1"/>
  <c r="AH173" i="1"/>
  <c r="AA173" i="1"/>
  <c r="K173" i="1"/>
  <c r="N173" i="1" s="1"/>
  <c r="H173" i="1"/>
  <c r="G173" i="1"/>
  <c r="I173" i="1" s="1"/>
  <c r="F173" i="1"/>
  <c r="E173" i="1"/>
  <c r="D173" i="1"/>
  <c r="C173" i="1"/>
  <c r="B173" i="1"/>
  <c r="BG172" i="1"/>
  <c r="AW172" i="1" s="1"/>
  <c r="BB172" i="1"/>
  <c r="AH172" i="1"/>
  <c r="AA172" i="1"/>
  <c r="K172" i="1"/>
  <c r="H172" i="1"/>
  <c r="G172" i="1"/>
  <c r="I172" i="1" s="1"/>
  <c r="F172" i="1"/>
  <c r="E172" i="1"/>
  <c r="D172" i="1"/>
  <c r="C172" i="1"/>
  <c r="B172" i="1"/>
  <c r="BG171" i="1"/>
  <c r="AW171" i="1" s="1"/>
  <c r="BB171" i="1"/>
  <c r="AH171" i="1"/>
  <c r="AA171" i="1"/>
  <c r="K171" i="1"/>
  <c r="N171" i="1" s="1"/>
  <c r="H171" i="1"/>
  <c r="G171" i="1"/>
  <c r="I171" i="1" s="1"/>
  <c r="F171" i="1"/>
  <c r="E171" i="1"/>
  <c r="D171" i="1"/>
  <c r="C171" i="1"/>
  <c r="B171" i="1"/>
  <c r="BG170" i="1"/>
  <c r="AW170" i="1" s="1"/>
  <c r="BB170" i="1"/>
  <c r="AH170" i="1"/>
  <c r="AA170" i="1"/>
  <c r="K170" i="1"/>
  <c r="N170" i="1" s="1"/>
  <c r="H170" i="1"/>
  <c r="G170" i="1"/>
  <c r="I170" i="1" s="1"/>
  <c r="F170" i="1"/>
  <c r="E170" i="1"/>
  <c r="D170" i="1"/>
  <c r="C170" i="1"/>
  <c r="B170" i="1"/>
  <c r="BG169" i="1"/>
  <c r="AW169" i="1" s="1"/>
  <c r="BB169" i="1"/>
  <c r="AH169" i="1"/>
  <c r="AA169" i="1"/>
  <c r="K169" i="1"/>
  <c r="H169" i="1"/>
  <c r="G169" i="1"/>
  <c r="I169" i="1" s="1"/>
  <c r="F169" i="1"/>
  <c r="E169" i="1"/>
  <c r="D169" i="1"/>
  <c r="C169" i="1"/>
  <c r="B169" i="1"/>
  <c r="BG168" i="1"/>
  <c r="AW168" i="1" s="1"/>
  <c r="BB168" i="1"/>
  <c r="AH168" i="1"/>
  <c r="AA168" i="1"/>
  <c r="K168" i="1"/>
  <c r="H168" i="1"/>
  <c r="G168" i="1"/>
  <c r="I168" i="1" s="1"/>
  <c r="F168" i="1"/>
  <c r="E168" i="1"/>
  <c r="D168" i="1"/>
  <c r="C168" i="1"/>
  <c r="B168" i="1"/>
  <c r="BG167" i="1"/>
  <c r="AW167" i="1" s="1"/>
  <c r="BB167" i="1"/>
  <c r="AH167" i="1"/>
  <c r="AA167" i="1"/>
  <c r="K167" i="1"/>
  <c r="N167" i="1" s="1"/>
  <c r="H167" i="1"/>
  <c r="G167" i="1"/>
  <c r="I167" i="1" s="1"/>
  <c r="F167" i="1"/>
  <c r="E167" i="1"/>
  <c r="D167" i="1"/>
  <c r="C167" i="1"/>
  <c r="B167" i="1"/>
  <c r="BG166" i="1"/>
  <c r="AW166" i="1" s="1"/>
  <c r="BB166" i="1"/>
  <c r="AH166" i="1"/>
  <c r="AA166" i="1"/>
  <c r="K166" i="1"/>
  <c r="H166" i="1"/>
  <c r="G166" i="1"/>
  <c r="I166" i="1" s="1"/>
  <c r="F166" i="1"/>
  <c r="E166" i="1"/>
  <c r="D166" i="1"/>
  <c r="C166" i="1"/>
  <c r="B166" i="1"/>
  <c r="BG165" i="1"/>
  <c r="AW165" i="1" s="1"/>
  <c r="BB165" i="1"/>
  <c r="AH165" i="1"/>
  <c r="AA165" i="1"/>
  <c r="K165" i="1"/>
  <c r="H165" i="1"/>
  <c r="G165" i="1"/>
  <c r="I165" i="1" s="1"/>
  <c r="F165" i="1"/>
  <c r="E165" i="1"/>
  <c r="D165" i="1"/>
  <c r="C165" i="1"/>
  <c r="B165" i="1"/>
  <c r="BG164" i="1"/>
  <c r="AW164" i="1" s="1"/>
  <c r="BB164" i="1"/>
  <c r="AH164" i="1"/>
  <c r="AA164" i="1"/>
  <c r="K164" i="1"/>
  <c r="H164" i="1"/>
  <c r="G164" i="1"/>
  <c r="I164" i="1" s="1"/>
  <c r="F164" i="1"/>
  <c r="E164" i="1"/>
  <c r="D164" i="1"/>
  <c r="C164" i="1"/>
  <c r="B164" i="1"/>
  <c r="BG163" i="1"/>
  <c r="AW163" i="1" s="1"/>
  <c r="BB163" i="1"/>
  <c r="AH163" i="1"/>
  <c r="AA163" i="1"/>
  <c r="K163" i="1"/>
  <c r="H163" i="1"/>
  <c r="G163" i="1"/>
  <c r="I163" i="1" s="1"/>
  <c r="F163" i="1"/>
  <c r="E163" i="1"/>
  <c r="D163" i="1"/>
  <c r="C163" i="1"/>
  <c r="B163" i="1"/>
  <c r="BG162" i="1"/>
  <c r="AW162" i="1" s="1"/>
  <c r="BB162" i="1"/>
  <c r="AH162" i="1"/>
  <c r="AA162" i="1"/>
  <c r="K162" i="1"/>
  <c r="H162" i="1"/>
  <c r="G162" i="1"/>
  <c r="I162" i="1" s="1"/>
  <c r="F162" i="1"/>
  <c r="E162" i="1"/>
  <c r="D162" i="1"/>
  <c r="C162" i="1"/>
  <c r="B162" i="1"/>
  <c r="BG161" i="1"/>
  <c r="AW161" i="1" s="1"/>
  <c r="BB161" i="1"/>
  <c r="AH161" i="1"/>
  <c r="AA161" i="1"/>
  <c r="K161" i="1"/>
  <c r="H161" i="1"/>
  <c r="G161" i="1"/>
  <c r="I161" i="1" s="1"/>
  <c r="F161" i="1"/>
  <c r="E161" i="1"/>
  <c r="D161" i="1"/>
  <c r="C161" i="1"/>
  <c r="B161" i="1"/>
  <c r="BG160" i="1"/>
  <c r="AW160" i="1" s="1"/>
  <c r="BB160" i="1"/>
  <c r="AH160" i="1"/>
  <c r="AA160" i="1"/>
  <c r="K160" i="1"/>
  <c r="H160" i="1"/>
  <c r="G160" i="1"/>
  <c r="I160" i="1" s="1"/>
  <c r="F160" i="1"/>
  <c r="E160" i="1"/>
  <c r="D160" i="1"/>
  <c r="C160" i="1"/>
  <c r="B160" i="1"/>
  <c r="BG159" i="1"/>
  <c r="AW159" i="1" s="1"/>
  <c r="BB159" i="1"/>
  <c r="AH159" i="1"/>
  <c r="AA159" i="1"/>
  <c r="K159" i="1"/>
  <c r="H159" i="1"/>
  <c r="G159" i="1"/>
  <c r="I159" i="1" s="1"/>
  <c r="F159" i="1"/>
  <c r="E159" i="1"/>
  <c r="D159" i="1"/>
  <c r="C159" i="1"/>
  <c r="B159" i="1"/>
  <c r="BG158" i="1"/>
  <c r="AW158" i="1" s="1"/>
  <c r="BB158" i="1"/>
  <c r="AH158" i="1"/>
  <c r="AA158" i="1"/>
  <c r="K158" i="1"/>
  <c r="H158" i="1"/>
  <c r="G158" i="1"/>
  <c r="I158" i="1" s="1"/>
  <c r="F158" i="1"/>
  <c r="E158" i="1"/>
  <c r="D158" i="1"/>
  <c r="C158" i="1"/>
  <c r="B158" i="1"/>
  <c r="BG157" i="1"/>
  <c r="AW157" i="1" s="1"/>
  <c r="BB157" i="1"/>
  <c r="AH157" i="1"/>
  <c r="AA157" i="1"/>
  <c r="K157" i="1"/>
  <c r="H157" i="1"/>
  <c r="G157" i="1"/>
  <c r="I157" i="1" s="1"/>
  <c r="F157" i="1"/>
  <c r="E157" i="1"/>
  <c r="D157" i="1"/>
  <c r="C157" i="1"/>
  <c r="B157" i="1"/>
  <c r="BG156" i="1"/>
  <c r="AW156" i="1" s="1"/>
  <c r="BB156" i="1"/>
  <c r="AH156" i="1"/>
  <c r="AA156" i="1"/>
  <c r="K156" i="1"/>
  <c r="H156" i="1"/>
  <c r="G156" i="1"/>
  <c r="I156" i="1" s="1"/>
  <c r="F156" i="1"/>
  <c r="E156" i="1"/>
  <c r="D156" i="1"/>
  <c r="C156" i="1"/>
  <c r="B156" i="1"/>
  <c r="BG155" i="1"/>
  <c r="AW155" i="1" s="1"/>
  <c r="BB155" i="1"/>
  <c r="AH155" i="1"/>
  <c r="AA155" i="1"/>
  <c r="K155" i="1"/>
  <c r="H155" i="1"/>
  <c r="G155" i="1"/>
  <c r="I155" i="1" s="1"/>
  <c r="F155" i="1"/>
  <c r="E155" i="1"/>
  <c r="D155" i="1"/>
  <c r="C155" i="1"/>
  <c r="B155" i="1"/>
  <c r="BG154" i="1"/>
  <c r="AW154" i="1" s="1"/>
  <c r="BB154" i="1"/>
  <c r="AH154" i="1"/>
  <c r="AA154" i="1"/>
  <c r="K154" i="1"/>
  <c r="H154" i="1"/>
  <c r="G154" i="1"/>
  <c r="I154" i="1" s="1"/>
  <c r="F154" i="1"/>
  <c r="E154" i="1"/>
  <c r="D154" i="1"/>
  <c r="C154" i="1"/>
  <c r="B154" i="1"/>
  <c r="BG153" i="1"/>
  <c r="AW153" i="1" s="1"/>
  <c r="BB153" i="1"/>
  <c r="AH153" i="1"/>
  <c r="AA153" i="1"/>
  <c r="K153" i="1"/>
  <c r="H153" i="1"/>
  <c r="G153" i="1"/>
  <c r="I153" i="1" s="1"/>
  <c r="F153" i="1"/>
  <c r="E153" i="1"/>
  <c r="D153" i="1"/>
  <c r="C153" i="1"/>
  <c r="B153" i="1"/>
  <c r="BG152" i="1"/>
  <c r="AW152" i="1" s="1"/>
  <c r="BB152" i="1"/>
  <c r="AH152" i="1"/>
  <c r="AA152" i="1"/>
  <c r="K152" i="1"/>
  <c r="H152" i="1"/>
  <c r="G152" i="1"/>
  <c r="I152" i="1" s="1"/>
  <c r="F152" i="1"/>
  <c r="E152" i="1"/>
  <c r="D152" i="1"/>
  <c r="C152" i="1"/>
  <c r="B152" i="1"/>
  <c r="BG151" i="1"/>
  <c r="AW151" i="1" s="1"/>
  <c r="BB151" i="1"/>
  <c r="AH151" i="1"/>
  <c r="AA151" i="1"/>
  <c r="K151" i="1"/>
  <c r="H151" i="1"/>
  <c r="G151" i="1"/>
  <c r="I151" i="1" s="1"/>
  <c r="F151" i="1"/>
  <c r="E151" i="1"/>
  <c r="D151" i="1"/>
  <c r="C151" i="1"/>
  <c r="B151" i="1"/>
  <c r="BG150" i="1"/>
  <c r="AW150" i="1" s="1"/>
  <c r="BB150" i="1"/>
  <c r="AH150" i="1"/>
  <c r="AA150" i="1"/>
  <c r="K150" i="1"/>
  <c r="N150" i="1" s="1"/>
  <c r="H150" i="1"/>
  <c r="G150" i="1"/>
  <c r="I150" i="1" s="1"/>
  <c r="F150" i="1"/>
  <c r="E150" i="1"/>
  <c r="D150" i="1"/>
  <c r="C150" i="1"/>
  <c r="B150" i="1"/>
  <c r="BG149" i="1"/>
  <c r="AW149" i="1" s="1"/>
  <c r="BB149" i="1"/>
  <c r="AH149" i="1"/>
  <c r="AA149" i="1"/>
  <c r="K149" i="1"/>
  <c r="M149" i="1" s="1"/>
  <c r="H149" i="1"/>
  <c r="G149" i="1"/>
  <c r="I149" i="1" s="1"/>
  <c r="F149" i="1"/>
  <c r="E149" i="1"/>
  <c r="D149" i="1"/>
  <c r="C149" i="1"/>
  <c r="B149" i="1"/>
  <c r="BG148" i="1"/>
  <c r="AW148" i="1" s="1"/>
  <c r="BB148" i="1"/>
  <c r="AH148" i="1"/>
  <c r="AA148" i="1"/>
  <c r="K148" i="1"/>
  <c r="M148" i="1" s="1"/>
  <c r="H148" i="1"/>
  <c r="G148" i="1"/>
  <c r="I148" i="1" s="1"/>
  <c r="F148" i="1"/>
  <c r="E148" i="1"/>
  <c r="D148" i="1"/>
  <c r="C148" i="1"/>
  <c r="B148" i="1"/>
  <c r="BG147" i="1"/>
  <c r="AW147" i="1" s="1"/>
  <c r="BB147" i="1"/>
  <c r="AH147" i="1"/>
  <c r="AA147" i="1"/>
  <c r="K147" i="1"/>
  <c r="H147" i="1"/>
  <c r="G147" i="1"/>
  <c r="I147" i="1" s="1"/>
  <c r="F147" i="1"/>
  <c r="E147" i="1"/>
  <c r="D147" i="1"/>
  <c r="C147" i="1"/>
  <c r="B147" i="1"/>
  <c r="BG146" i="1"/>
  <c r="AW146" i="1" s="1"/>
  <c r="BB146" i="1"/>
  <c r="AH146" i="1"/>
  <c r="AA146" i="1"/>
  <c r="K146" i="1"/>
  <c r="M146" i="1" s="1"/>
  <c r="H146" i="1"/>
  <c r="G146" i="1"/>
  <c r="I146" i="1" s="1"/>
  <c r="F146" i="1"/>
  <c r="E146" i="1"/>
  <c r="D146" i="1"/>
  <c r="C146" i="1"/>
  <c r="B146" i="1"/>
  <c r="BG145" i="1"/>
  <c r="AW145" i="1" s="1"/>
  <c r="BB145" i="1"/>
  <c r="AH145" i="1"/>
  <c r="AA145" i="1"/>
  <c r="K145" i="1"/>
  <c r="H145" i="1"/>
  <c r="G145" i="1"/>
  <c r="I145" i="1" s="1"/>
  <c r="F145" i="1"/>
  <c r="E145" i="1"/>
  <c r="D145" i="1"/>
  <c r="C145" i="1"/>
  <c r="B145" i="1"/>
  <c r="BG144" i="1"/>
  <c r="AW144" i="1" s="1"/>
  <c r="BB144" i="1"/>
  <c r="AH144" i="1"/>
  <c r="AA144" i="1"/>
  <c r="K144" i="1"/>
  <c r="H144" i="1"/>
  <c r="G144" i="1"/>
  <c r="I144" i="1" s="1"/>
  <c r="F144" i="1"/>
  <c r="E144" i="1"/>
  <c r="D144" i="1"/>
  <c r="C144" i="1"/>
  <c r="B144" i="1"/>
  <c r="BG143" i="1"/>
  <c r="AW143" i="1" s="1"/>
  <c r="BB143" i="1"/>
  <c r="AH143" i="1"/>
  <c r="AA143" i="1"/>
  <c r="K143" i="1"/>
  <c r="H143" i="1"/>
  <c r="G143" i="1"/>
  <c r="I143" i="1" s="1"/>
  <c r="F143" i="1"/>
  <c r="E143" i="1"/>
  <c r="D143" i="1"/>
  <c r="C143" i="1"/>
  <c r="B143" i="1"/>
  <c r="BG142" i="1"/>
  <c r="AW142" i="1" s="1"/>
  <c r="BB142" i="1"/>
  <c r="AH142" i="1"/>
  <c r="AA142" i="1"/>
  <c r="K142" i="1"/>
  <c r="M142" i="1" s="1"/>
  <c r="H142" i="1"/>
  <c r="G142" i="1"/>
  <c r="I142" i="1" s="1"/>
  <c r="F142" i="1"/>
  <c r="E142" i="1"/>
  <c r="D142" i="1"/>
  <c r="C142" i="1"/>
  <c r="B142" i="1"/>
  <c r="BG141" i="1"/>
  <c r="AW141" i="1" s="1"/>
  <c r="BB141" i="1"/>
  <c r="AH141" i="1"/>
  <c r="AA141" i="1"/>
  <c r="K141" i="1"/>
  <c r="M141" i="1" s="1"/>
  <c r="H141" i="1"/>
  <c r="G141" i="1"/>
  <c r="I141" i="1" s="1"/>
  <c r="F141" i="1"/>
  <c r="E141" i="1"/>
  <c r="D141" i="1"/>
  <c r="C141" i="1"/>
  <c r="B141" i="1"/>
  <c r="BG140" i="1"/>
  <c r="AW140" i="1" s="1"/>
  <c r="BB140" i="1"/>
  <c r="AH140" i="1"/>
  <c r="AA140" i="1"/>
  <c r="K140" i="1"/>
  <c r="M140" i="1" s="1"/>
  <c r="H140" i="1"/>
  <c r="G140" i="1"/>
  <c r="I140" i="1" s="1"/>
  <c r="F140" i="1"/>
  <c r="E140" i="1"/>
  <c r="D140" i="1"/>
  <c r="C140" i="1"/>
  <c r="B140" i="1"/>
  <c r="BG139" i="1"/>
  <c r="AW139" i="1" s="1"/>
  <c r="BB139" i="1"/>
  <c r="AH139" i="1"/>
  <c r="AA139" i="1"/>
  <c r="K139" i="1"/>
  <c r="N139" i="1" s="1"/>
  <c r="H139" i="1"/>
  <c r="G139" i="1"/>
  <c r="I139" i="1" s="1"/>
  <c r="F139" i="1"/>
  <c r="E139" i="1"/>
  <c r="D139" i="1"/>
  <c r="C139" i="1"/>
  <c r="B139" i="1"/>
  <c r="BG138" i="1"/>
  <c r="AW138" i="1" s="1"/>
  <c r="BB138" i="1"/>
  <c r="AH138" i="1"/>
  <c r="AA138" i="1"/>
  <c r="K138" i="1"/>
  <c r="M138" i="1" s="1"/>
  <c r="H138" i="1"/>
  <c r="G138" i="1"/>
  <c r="I138" i="1" s="1"/>
  <c r="F138" i="1"/>
  <c r="E138" i="1"/>
  <c r="D138" i="1"/>
  <c r="C138" i="1"/>
  <c r="B138" i="1"/>
  <c r="BG137" i="1"/>
  <c r="AW137" i="1" s="1"/>
  <c r="BB137" i="1"/>
  <c r="AH137" i="1"/>
  <c r="AA137" i="1"/>
  <c r="K137" i="1"/>
  <c r="N137" i="1" s="1"/>
  <c r="H137" i="1"/>
  <c r="G137" i="1"/>
  <c r="I137" i="1" s="1"/>
  <c r="F137" i="1"/>
  <c r="E137" i="1"/>
  <c r="D137" i="1"/>
  <c r="C137" i="1"/>
  <c r="B137" i="1"/>
  <c r="BG136" i="1"/>
  <c r="AW136" i="1" s="1"/>
  <c r="BB136" i="1"/>
  <c r="AH136" i="1"/>
  <c r="AA136" i="1"/>
  <c r="K136" i="1"/>
  <c r="M136" i="1" s="1"/>
  <c r="H136" i="1"/>
  <c r="G136" i="1"/>
  <c r="I136" i="1" s="1"/>
  <c r="F136" i="1"/>
  <c r="E136" i="1"/>
  <c r="D136" i="1"/>
  <c r="C136" i="1"/>
  <c r="B136" i="1"/>
  <c r="BG135" i="1"/>
  <c r="AW135" i="1" s="1"/>
  <c r="BB135" i="1"/>
  <c r="AH135" i="1"/>
  <c r="AA135" i="1"/>
  <c r="K135" i="1"/>
  <c r="M135" i="1" s="1"/>
  <c r="H135" i="1"/>
  <c r="G135" i="1"/>
  <c r="I135" i="1" s="1"/>
  <c r="F135" i="1"/>
  <c r="E135" i="1"/>
  <c r="D135" i="1"/>
  <c r="C135" i="1"/>
  <c r="B135" i="1"/>
  <c r="BG134" i="1"/>
  <c r="AW134" i="1" s="1"/>
  <c r="BB134" i="1"/>
  <c r="AH134" i="1"/>
  <c r="AA134" i="1"/>
  <c r="K134" i="1"/>
  <c r="M134" i="1" s="1"/>
  <c r="H134" i="1"/>
  <c r="G134" i="1"/>
  <c r="I134" i="1" s="1"/>
  <c r="F134" i="1"/>
  <c r="E134" i="1"/>
  <c r="D134" i="1"/>
  <c r="C134" i="1"/>
  <c r="B134" i="1"/>
  <c r="BG133" i="1"/>
  <c r="AW133" i="1" s="1"/>
  <c r="BB133" i="1"/>
  <c r="AH133" i="1"/>
  <c r="AA133" i="1"/>
  <c r="K133" i="1"/>
  <c r="M133" i="1" s="1"/>
  <c r="H133" i="1"/>
  <c r="G133" i="1"/>
  <c r="I133" i="1" s="1"/>
  <c r="F133" i="1"/>
  <c r="E133" i="1"/>
  <c r="D133" i="1"/>
  <c r="C133" i="1"/>
  <c r="B133" i="1"/>
  <c r="BG132" i="1"/>
  <c r="AW132" i="1" s="1"/>
  <c r="BB132" i="1"/>
  <c r="AH132" i="1"/>
  <c r="AA132" i="1"/>
  <c r="K132" i="1"/>
  <c r="H132" i="1"/>
  <c r="G132" i="1"/>
  <c r="I132" i="1" s="1"/>
  <c r="F132" i="1"/>
  <c r="E132" i="1"/>
  <c r="D132" i="1"/>
  <c r="C132" i="1"/>
  <c r="B132" i="1"/>
  <c r="BG131" i="1"/>
  <c r="AW131" i="1" s="1"/>
  <c r="BB131" i="1"/>
  <c r="AH131" i="1"/>
  <c r="AA131" i="1"/>
  <c r="K131" i="1"/>
  <c r="M131" i="1" s="1"/>
  <c r="H131" i="1"/>
  <c r="G131" i="1"/>
  <c r="I131" i="1" s="1"/>
  <c r="F131" i="1"/>
  <c r="E131" i="1"/>
  <c r="D131" i="1"/>
  <c r="C131" i="1"/>
  <c r="B131" i="1"/>
  <c r="BG130" i="1"/>
  <c r="AW130" i="1" s="1"/>
  <c r="BB130" i="1"/>
  <c r="AH130" i="1"/>
  <c r="AA130" i="1"/>
  <c r="K130" i="1"/>
  <c r="M130" i="1" s="1"/>
  <c r="H130" i="1"/>
  <c r="G130" i="1"/>
  <c r="I130" i="1" s="1"/>
  <c r="F130" i="1"/>
  <c r="E130" i="1"/>
  <c r="D130" i="1"/>
  <c r="C130" i="1"/>
  <c r="B130" i="1"/>
  <c r="BG129" i="1"/>
  <c r="AW129" i="1" s="1"/>
  <c r="BB129" i="1"/>
  <c r="AH129" i="1"/>
  <c r="AA129" i="1"/>
  <c r="K129" i="1"/>
  <c r="M129" i="1" s="1"/>
  <c r="H129" i="1"/>
  <c r="G129" i="1"/>
  <c r="I129" i="1" s="1"/>
  <c r="F129" i="1"/>
  <c r="E129" i="1"/>
  <c r="D129" i="1"/>
  <c r="C129" i="1"/>
  <c r="B129" i="1"/>
  <c r="BG128" i="1"/>
  <c r="AW128" i="1" s="1"/>
  <c r="BB128" i="1"/>
  <c r="AH128" i="1"/>
  <c r="AA128" i="1"/>
  <c r="K128" i="1"/>
  <c r="M128" i="1" s="1"/>
  <c r="H128" i="1"/>
  <c r="G128" i="1"/>
  <c r="I128" i="1" s="1"/>
  <c r="F128" i="1"/>
  <c r="E128" i="1"/>
  <c r="D128" i="1"/>
  <c r="C128" i="1"/>
  <c r="B128" i="1"/>
  <c r="BG127" i="1"/>
  <c r="AW127" i="1" s="1"/>
  <c r="BB127" i="1"/>
  <c r="AH127" i="1"/>
  <c r="AA127" i="1"/>
  <c r="K127" i="1"/>
  <c r="M127" i="1" s="1"/>
  <c r="H127" i="1"/>
  <c r="G127" i="1"/>
  <c r="I127" i="1" s="1"/>
  <c r="F127" i="1"/>
  <c r="E127" i="1"/>
  <c r="D127" i="1"/>
  <c r="C127" i="1"/>
  <c r="B127" i="1"/>
  <c r="BG126" i="1"/>
  <c r="AW126" i="1" s="1"/>
  <c r="BB126" i="1"/>
  <c r="AH126" i="1"/>
  <c r="AA126" i="1"/>
  <c r="K126" i="1"/>
  <c r="H126" i="1"/>
  <c r="G126" i="1"/>
  <c r="I126" i="1" s="1"/>
  <c r="F126" i="1"/>
  <c r="E126" i="1"/>
  <c r="D126" i="1"/>
  <c r="C126" i="1"/>
  <c r="B126" i="1"/>
  <c r="BG125" i="1"/>
  <c r="AW125" i="1" s="1"/>
  <c r="BB125" i="1"/>
  <c r="AH125" i="1"/>
  <c r="AA125" i="1"/>
  <c r="K125" i="1"/>
  <c r="M125" i="1" s="1"/>
  <c r="H125" i="1"/>
  <c r="G125" i="1"/>
  <c r="I125" i="1" s="1"/>
  <c r="F125" i="1"/>
  <c r="E125" i="1"/>
  <c r="D125" i="1"/>
  <c r="C125" i="1"/>
  <c r="B125" i="1"/>
  <c r="BG124" i="1"/>
  <c r="AW124" i="1" s="1"/>
  <c r="BB124" i="1"/>
  <c r="AH124" i="1"/>
  <c r="AA124" i="1"/>
  <c r="K124" i="1"/>
  <c r="N124" i="1" s="1"/>
  <c r="H124" i="1"/>
  <c r="G124" i="1"/>
  <c r="I124" i="1" s="1"/>
  <c r="F124" i="1"/>
  <c r="E124" i="1"/>
  <c r="D124" i="1"/>
  <c r="C124" i="1"/>
  <c r="B124" i="1"/>
  <c r="BG123" i="1"/>
  <c r="AW123" i="1" s="1"/>
  <c r="BB123" i="1"/>
  <c r="AH123" i="1"/>
  <c r="AA123" i="1"/>
  <c r="K123" i="1"/>
  <c r="N123" i="1" s="1"/>
  <c r="H123" i="1"/>
  <c r="G123" i="1"/>
  <c r="I123" i="1" s="1"/>
  <c r="F123" i="1"/>
  <c r="E123" i="1"/>
  <c r="D123" i="1"/>
  <c r="C123" i="1"/>
  <c r="B123" i="1"/>
  <c r="BG122" i="1"/>
  <c r="AW122" i="1" s="1"/>
  <c r="BB122" i="1"/>
  <c r="AH122" i="1"/>
  <c r="AA122" i="1"/>
  <c r="K122" i="1"/>
  <c r="H122" i="1"/>
  <c r="G122" i="1"/>
  <c r="I122" i="1" s="1"/>
  <c r="F122" i="1"/>
  <c r="E122" i="1"/>
  <c r="D122" i="1"/>
  <c r="C122" i="1"/>
  <c r="B122" i="1"/>
  <c r="BG121" i="1"/>
  <c r="AW121" i="1" s="1"/>
  <c r="BB121" i="1"/>
  <c r="AH121" i="1"/>
  <c r="AA121" i="1"/>
  <c r="K121" i="1"/>
  <c r="M121" i="1" s="1"/>
  <c r="H121" i="1"/>
  <c r="G121" i="1"/>
  <c r="I121" i="1" s="1"/>
  <c r="F121" i="1"/>
  <c r="E121" i="1"/>
  <c r="D121" i="1"/>
  <c r="C121" i="1"/>
  <c r="B121" i="1"/>
  <c r="BG120" i="1"/>
  <c r="AW120" i="1" s="1"/>
  <c r="BB120" i="1"/>
  <c r="AH120" i="1"/>
  <c r="AA120" i="1"/>
  <c r="K120" i="1"/>
  <c r="M120" i="1" s="1"/>
  <c r="H120" i="1"/>
  <c r="G120" i="1"/>
  <c r="I120" i="1" s="1"/>
  <c r="F120" i="1"/>
  <c r="E120" i="1"/>
  <c r="D120" i="1"/>
  <c r="C120" i="1"/>
  <c r="B120" i="1"/>
  <c r="BG119" i="1"/>
  <c r="AW119" i="1" s="1"/>
  <c r="BB119" i="1"/>
  <c r="AH119" i="1"/>
  <c r="AA119" i="1"/>
  <c r="K119" i="1"/>
  <c r="M119" i="1" s="1"/>
  <c r="H119" i="1"/>
  <c r="G119" i="1"/>
  <c r="I119" i="1" s="1"/>
  <c r="F119" i="1"/>
  <c r="E119" i="1"/>
  <c r="D119" i="1"/>
  <c r="C119" i="1"/>
  <c r="B119" i="1"/>
  <c r="BG118" i="1"/>
  <c r="AW118" i="1" s="1"/>
  <c r="BB118" i="1"/>
  <c r="AH118" i="1"/>
  <c r="AA118" i="1"/>
  <c r="K118" i="1"/>
  <c r="M118" i="1" s="1"/>
  <c r="H118" i="1"/>
  <c r="G118" i="1"/>
  <c r="I118" i="1" s="1"/>
  <c r="F118" i="1"/>
  <c r="E118" i="1"/>
  <c r="D118" i="1"/>
  <c r="C118" i="1"/>
  <c r="B118" i="1"/>
  <c r="BG117" i="1"/>
  <c r="AW117" i="1" s="1"/>
  <c r="BB117" i="1"/>
  <c r="AH117" i="1"/>
  <c r="AA117" i="1"/>
  <c r="K117" i="1"/>
  <c r="H117" i="1"/>
  <c r="G117" i="1"/>
  <c r="I117" i="1" s="1"/>
  <c r="F117" i="1"/>
  <c r="E117" i="1"/>
  <c r="D117" i="1"/>
  <c r="C117" i="1"/>
  <c r="B117" i="1"/>
  <c r="BG116" i="1"/>
  <c r="AW116" i="1" s="1"/>
  <c r="BB116" i="1"/>
  <c r="AH116" i="1"/>
  <c r="AA116" i="1"/>
  <c r="K116" i="1"/>
  <c r="N116" i="1" s="1"/>
  <c r="H116" i="1"/>
  <c r="G116" i="1"/>
  <c r="I116" i="1" s="1"/>
  <c r="F116" i="1"/>
  <c r="E116" i="1"/>
  <c r="D116" i="1"/>
  <c r="C116" i="1"/>
  <c r="B116" i="1"/>
  <c r="BG115" i="1"/>
  <c r="AW115" i="1" s="1"/>
  <c r="BB115" i="1"/>
  <c r="AH115" i="1"/>
  <c r="AA115" i="1"/>
  <c r="K115" i="1"/>
  <c r="H115" i="1"/>
  <c r="G115" i="1"/>
  <c r="I115" i="1" s="1"/>
  <c r="F115" i="1"/>
  <c r="E115" i="1"/>
  <c r="D115" i="1"/>
  <c r="C115" i="1"/>
  <c r="B115" i="1"/>
  <c r="BG114" i="1"/>
  <c r="AW114" i="1" s="1"/>
  <c r="BB114" i="1"/>
  <c r="AH114" i="1"/>
  <c r="AA114" i="1"/>
  <c r="K114" i="1"/>
  <c r="M114" i="1" s="1"/>
  <c r="H114" i="1"/>
  <c r="G114" i="1"/>
  <c r="I114" i="1" s="1"/>
  <c r="E114" i="1"/>
  <c r="D114" i="1"/>
  <c r="C114" i="1"/>
  <c r="B114" i="1"/>
  <c r="BG113" i="1"/>
  <c r="AW113" i="1" s="1"/>
  <c r="BB113" i="1"/>
  <c r="AH113" i="1"/>
  <c r="AA113" i="1"/>
  <c r="K113" i="1"/>
  <c r="M113" i="1" s="1"/>
  <c r="H113" i="1"/>
  <c r="G113" i="1"/>
  <c r="I113" i="1" s="1"/>
  <c r="F113" i="1"/>
  <c r="E113" i="1"/>
  <c r="D113" i="1"/>
  <c r="C113" i="1"/>
  <c r="B113" i="1"/>
  <c r="BG112" i="1"/>
  <c r="AW112" i="1" s="1"/>
  <c r="BB112" i="1"/>
  <c r="AH112" i="1"/>
  <c r="AA112" i="1"/>
  <c r="K112" i="1"/>
  <c r="H112" i="1"/>
  <c r="G112" i="1"/>
  <c r="I112" i="1" s="1"/>
  <c r="F112" i="1"/>
  <c r="E112" i="1"/>
  <c r="D112" i="1"/>
  <c r="C112" i="1"/>
  <c r="B112" i="1"/>
  <c r="BG111" i="1"/>
  <c r="AW111" i="1" s="1"/>
  <c r="BB111" i="1"/>
  <c r="AH111" i="1"/>
  <c r="AA111" i="1"/>
  <c r="K111" i="1"/>
  <c r="N111" i="1" s="1"/>
  <c r="H111" i="1"/>
  <c r="G111" i="1"/>
  <c r="I111" i="1" s="1"/>
  <c r="F111" i="1"/>
  <c r="E111" i="1"/>
  <c r="D111" i="1"/>
  <c r="C111" i="1"/>
  <c r="B111" i="1"/>
  <c r="BG110" i="1"/>
  <c r="AW110" i="1" s="1"/>
  <c r="BB110" i="1"/>
  <c r="AH110" i="1"/>
  <c r="AA110" i="1"/>
  <c r="K110" i="1"/>
  <c r="M110" i="1" s="1"/>
  <c r="H110" i="1"/>
  <c r="G110" i="1"/>
  <c r="I110" i="1" s="1"/>
  <c r="F110" i="1"/>
  <c r="E110" i="1"/>
  <c r="D110" i="1"/>
  <c r="C110" i="1"/>
  <c r="B110" i="1"/>
  <c r="BG109" i="1"/>
  <c r="AW109" i="1" s="1"/>
  <c r="BB109" i="1"/>
  <c r="AH109" i="1"/>
  <c r="AA109" i="1"/>
  <c r="K109" i="1"/>
  <c r="M109" i="1" s="1"/>
  <c r="H109" i="1"/>
  <c r="G109" i="1"/>
  <c r="I109" i="1" s="1"/>
  <c r="F109" i="1"/>
  <c r="E109" i="1"/>
  <c r="D109" i="1"/>
  <c r="C109" i="1"/>
  <c r="B109" i="1"/>
  <c r="BG108" i="1"/>
  <c r="AW108" i="1" s="1"/>
  <c r="BB108" i="1"/>
  <c r="AH108" i="1"/>
  <c r="AA108" i="1"/>
  <c r="K108" i="1"/>
  <c r="M108" i="1" s="1"/>
  <c r="H108" i="1"/>
  <c r="G108" i="1"/>
  <c r="I108" i="1" s="1"/>
  <c r="F108" i="1"/>
  <c r="E108" i="1"/>
  <c r="D108" i="1"/>
  <c r="C108" i="1"/>
  <c r="B108" i="1"/>
  <c r="BG107" i="1"/>
  <c r="AW107" i="1" s="1"/>
  <c r="BB107" i="1"/>
  <c r="AH107" i="1"/>
  <c r="AA107" i="1"/>
  <c r="K107" i="1"/>
  <c r="M107" i="1" s="1"/>
  <c r="H107" i="1"/>
  <c r="G107" i="1"/>
  <c r="I107" i="1" s="1"/>
  <c r="F107" i="1"/>
  <c r="E107" i="1"/>
  <c r="D107" i="1"/>
  <c r="C107" i="1"/>
  <c r="B107" i="1"/>
  <c r="BG106" i="1"/>
  <c r="AW106" i="1" s="1"/>
  <c r="BB106" i="1"/>
  <c r="AH106" i="1"/>
  <c r="AA106" i="1"/>
  <c r="K106" i="1"/>
  <c r="M106" i="1" s="1"/>
  <c r="H106" i="1"/>
  <c r="G106" i="1"/>
  <c r="I106" i="1" s="1"/>
  <c r="F106" i="1"/>
  <c r="E106" i="1"/>
  <c r="D106" i="1"/>
  <c r="C106" i="1"/>
  <c r="B106" i="1"/>
  <c r="BG105" i="1"/>
  <c r="AW105" i="1" s="1"/>
  <c r="BB105" i="1"/>
  <c r="AH105" i="1"/>
  <c r="AA105" i="1"/>
  <c r="K105" i="1"/>
  <c r="M105" i="1" s="1"/>
  <c r="H105" i="1"/>
  <c r="G105" i="1"/>
  <c r="I105" i="1" s="1"/>
  <c r="F105" i="1"/>
  <c r="E105" i="1"/>
  <c r="D105" i="1"/>
  <c r="C105" i="1"/>
  <c r="B105" i="1"/>
  <c r="BG104" i="1"/>
  <c r="AW104" i="1" s="1"/>
  <c r="BB104" i="1"/>
  <c r="AH104" i="1"/>
  <c r="AA104" i="1"/>
  <c r="K104" i="1"/>
  <c r="N104" i="1" s="1"/>
  <c r="H104" i="1"/>
  <c r="G104" i="1"/>
  <c r="I104" i="1" s="1"/>
  <c r="F104" i="1"/>
  <c r="E104" i="1"/>
  <c r="D104" i="1"/>
  <c r="C104" i="1"/>
  <c r="B104" i="1"/>
  <c r="BG103" i="1"/>
  <c r="AW103" i="1" s="1"/>
  <c r="BB103" i="1"/>
  <c r="AH103" i="1"/>
  <c r="AA103" i="1"/>
  <c r="K103" i="1"/>
  <c r="M103" i="1" s="1"/>
  <c r="H103" i="1"/>
  <c r="G103" i="1"/>
  <c r="I103" i="1" s="1"/>
  <c r="F103" i="1"/>
  <c r="E103" i="1"/>
  <c r="D103" i="1"/>
  <c r="C103" i="1"/>
  <c r="B103" i="1"/>
  <c r="BG102" i="1"/>
  <c r="AW102" i="1" s="1"/>
  <c r="BB102" i="1"/>
  <c r="AH102" i="1"/>
  <c r="AA102" i="1"/>
  <c r="K102" i="1"/>
  <c r="H102" i="1"/>
  <c r="G102" i="1"/>
  <c r="I102" i="1" s="1"/>
  <c r="F102" i="1"/>
  <c r="E102" i="1"/>
  <c r="D102" i="1"/>
  <c r="C102" i="1"/>
  <c r="B102" i="1"/>
  <c r="BG101" i="1"/>
  <c r="AW101" i="1" s="1"/>
  <c r="BB101" i="1"/>
  <c r="AH101" i="1"/>
  <c r="AA101" i="1"/>
  <c r="K101" i="1"/>
  <c r="M101" i="1" s="1"/>
  <c r="H101" i="1"/>
  <c r="G101" i="1"/>
  <c r="I101" i="1" s="1"/>
  <c r="F101" i="1"/>
  <c r="E101" i="1"/>
  <c r="D101" i="1"/>
  <c r="C101" i="1"/>
  <c r="B101" i="1"/>
  <c r="BG100" i="1"/>
  <c r="AW100" i="1" s="1"/>
  <c r="BB100" i="1"/>
  <c r="AH100" i="1"/>
  <c r="AA100" i="1"/>
  <c r="K100" i="1"/>
  <c r="N100" i="1" s="1"/>
  <c r="H100" i="1"/>
  <c r="G100" i="1"/>
  <c r="I100" i="1" s="1"/>
  <c r="F100" i="1"/>
  <c r="E100" i="1"/>
  <c r="D100" i="1"/>
  <c r="C100" i="1"/>
  <c r="B100" i="1"/>
  <c r="BG99" i="1"/>
  <c r="AW99" i="1" s="1"/>
  <c r="BB99" i="1"/>
  <c r="AH99" i="1"/>
  <c r="AA99" i="1"/>
  <c r="K99" i="1"/>
  <c r="N99" i="1" s="1"/>
  <c r="H99" i="1"/>
  <c r="G99" i="1"/>
  <c r="I99" i="1" s="1"/>
  <c r="F99" i="1"/>
  <c r="E99" i="1"/>
  <c r="D99" i="1"/>
  <c r="C99" i="1"/>
  <c r="B99" i="1"/>
  <c r="BG98" i="1"/>
  <c r="AW98" i="1" s="1"/>
  <c r="BB98" i="1"/>
  <c r="AH98" i="1"/>
  <c r="AA98" i="1"/>
  <c r="K98" i="1"/>
  <c r="M98" i="1" s="1"/>
  <c r="H98" i="1"/>
  <c r="G98" i="1"/>
  <c r="I98" i="1" s="1"/>
  <c r="F98" i="1"/>
  <c r="E98" i="1"/>
  <c r="D98" i="1"/>
  <c r="C98" i="1"/>
  <c r="B98" i="1"/>
  <c r="BG97" i="1"/>
  <c r="AW97" i="1" s="1"/>
  <c r="BB97" i="1"/>
  <c r="AH97" i="1"/>
  <c r="AA97" i="1"/>
  <c r="K97" i="1"/>
  <c r="M97" i="1" s="1"/>
  <c r="H97" i="1"/>
  <c r="G97" i="1"/>
  <c r="I97" i="1" s="1"/>
  <c r="F97" i="1"/>
  <c r="E97" i="1"/>
  <c r="D97" i="1"/>
  <c r="C97" i="1"/>
  <c r="B97" i="1"/>
  <c r="BG96" i="1"/>
  <c r="AW96" i="1" s="1"/>
  <c r="BB96" i="1"/>
  <c r="AH96" i="1"/>
  <c r="AA96" i="1"/>
  <c r="K96" i="1"/>
  <c r="H96" i="1"/>
  <c r="G96" i="1"/>
  <c r="I96" i="1" s="1"/>
  <c r="F96" i="1"/>
  <c r="E96" i="1"/>
  <c r="D96" i="1"/>
  <c r="C96" i="1"/>
  <c r="B96" i="1"/>
  <c r="BG95" i="1"/>
  <c r="AW95" i="1" s="1"/>
  <c r="BB95" i="1"/>
  <c r="AH95" i="1"/>
  <c r="AA95" i="1"/>
  <c r="K95" i="1"/>
  <c r="H95" i="1"/>
  <c r="G95" i="1"/>
  <c r="I95" i="1" s="1"/>
  <c r="F95" i="1"/>
  <c r="E95" i="1"/>
  <c r="D95" i="1"/>
  <c r="C95" i="1"/>
  <c r="B95" i="1"/>
  <c r="BG94" i="1"/>
  <c r="AW94" i="1" s="1"/>
  <c r="BB94" i="1"/>
  <c r="AH94" i="1"/>
  <c r="AA94" i="1"/>
  <c r="K94" i="1"/>
  <c r="H94" i="1"/>
  <c r="G94" i="1"/>
  <c r="I94" i="1" s="1"/>
  <c r="F94" i="1"/>
  <c r="E94" i="1"/>
  <c r="D94" i="1"/>
  <c r="C94" i="1"/>
  <c r="B94" i="1"/>
  <c r="BG93" i="1"/>
  <c r="AW93" i="1" s="1"/>
  <c r="BB93" i="1"/>
  <c r="AH93" i="1"/>
  <c r="AA93" i="1"/>
  <c r="K93" i="1"/>
  <c r="M93" i="1" s="1"/>
  <c r="H93" i="1"/>
  <c r="G93" i="1"/>
  <c r="I93" i="1" s="1"/>
  <c r="F93" i="1"/>
  <c r="E93" i="1"/>
  <c r="D93" i="1"/>
  <c r="C93" i="1"/>
  <c r="B93" i="1"/>
  <c r="BG92" i="1"/>
  <c r="AW92" i="1" s="1"/>
  <c r="BB92" i="1"/>
  <c r="AH92" i="1"/>
  <c r="AA92" i="1"/>
  <c r="K92" i="1"/>
  <c r="H92" i="1"/>
  <c r="G92" i="1"/>
  <c r="I92" i="1" s="1"/>
  <c r="F92" i="1"/>
  <c r="E92" i="1"/>
  <c r="D92" i="1"/>
  <c r="C92" i="1"/>
  <c r="B92" i="1"/>
  <c r="BG91" i="1"/>
  <c r="AW91" i="1" s="1"/>
  <c r="BB91" i="1"/>
  <c r="AH91" i="1"/>
  <c r="AA91" i="1"/>
  <c r="K91" i="1"/>
  <c r="N91" i="1" s="1"/>
  <c r="H91" i="1"/>
  <c r="G91" i="1"/>
  <c r="I91" i="1" s="1"/>
  <c r="F91" i="1"/>
  <c r="E91" i="1"/>
  <c r="D91" i="1"/>
  <c r="C91" i="1"/>
  <c r="B91" i="1"/>
  <c r="BG90" i="1"/>
  <c r="AW90" i="1" s="1"/>
  <c r="BB90" i="1"/>
  <c r="AH90" i="1"/>
  <c r="AA90" i="1"/>
  <c r="K90" i="1"/>
  <c r="H90" i="1"/>
  <c r="G90" i="1"/>
  <c r="I90" i="1" s="1"/>
  <c r="F90" i="1"/>
  <c r="E90" i="1"/>
  <c r="D90" i="1"/>
  <c r="C90" i="1"/>
  <c r="B90" i="1"/>
  <c r="BG89" i="1"/>
  <c r="AW89" i="1" s="1"/>
  <c r="BB89" i="1"/>
  <c r="AH89" i="1"/>
  <c r="AA89" i="1"/>
  <c r="K89" i="1"/>
  <c r="H89" i="1"/>
  <c r="G89" i="1"/>
  <c r="I89" i="1" s="1"/>
  <c r="F89" i="1"/>
  <c r="E89" i="1"/>
  <c r="D89" i="1"/>
  <c r="C89" i="1"/>
  <c r="B89" i="1"/>
  <c r="BG88" i="1"/>
  <c r="AW88" i="1" s="1"/>
  <c r="BB88" i="1"/>
  <c r="AH88" i="1"/>
  <c r="AA88" i="1"/>
  <c r="K88" i="1"/>
  <c r="M88" i="1" s="1"/>
  <c r="H88" i="1"/>
  <c r="G88" i="1"/>
  <c r="I88" i="1" s="1"/>
  <c r="F88" i="1"/>
  <c r="E88" i="1"/>
  <c r="D88" i="1"/>
  <c r="C88" i="1"/>
  <c r="B88" i="1"/>
  <c r="BG87" i="1"/>
  <c r="AW87" i="1" s="1"/>
  <c r="BB87" i="1"/>
  <c r="AH87" i="1"/>
  <c r="AA87" i="1"/>
  <c r="K87" i="1"/>
  <c r="M87" i="1" s="1"/>
  <c r="H87" i="1"/>
  <c r="G87" i="1"/>
  <c r="I87" i="1" s="1"/>
  <c r="F87" i="1"/>
  <c r="E87" i="1"/>
  <c r="D87" i="1"/>
  <c r="C87" i="1"/>
  <c r="B87" i="1"/>
  <c r="BG86" i="1"/>
  <c r="AW86" i="1" s="1"/>
  <c r="BB86" i="1"/>
  <c r="AH86" i="1"/>
  <c r="AA86" i="1"/>
  <c r="K86" i="1"/>
  <c r="M86" i="1" s="1"/>
  <c r="H86" i="1"/>
  <c r="G86" i="1"/>
  <c r="I86" i="1" s="1"/>
  <c r="F86" i="1"/>
  <c r="E86" i="1"/>
  <c r="D86" i="1"/>
  <c r="C86" i="1"/>
  <c r="B86" i="1"/>
  <c r="BG85" i="1"/>
  <c r="BB85" i="1"/>
  <c r="AH85" i="1"/>
  <c r="AA85" i="1"/>
  <c r="K85" i="1"/>
  <c r="M85" i="1" s="1"/>
  <c r="H85" i="1"/>
  <c r="G85" i="1"/>
  <c r="I85" i="1" s="1"/>
  <c r="F85" i="1"/>
  <c r="E85" i="1"/>
  <c r="D85" i="1"/>
  <c r="C85" i="1"/>
  <c r="B85" i="1"/>
  <c r="BG84" i="1"/>
  <c r="BB84" i="1"/>
  <c r="AH84" i="1"/>
  <c r="AA84" i="1"/>
  <c r="K84" i="1"/>
  <c r="M84" i="1" s="1"/>
  <c r="H84" i="1"/>
  <c r="G84" i="1"/>
  <c r="I84" i="1" s="1"/>
  <c r="F84" i="1"/>
  <c r="E84" i="1"/>
  <c r="D84" i="1"/>
  <c r="C84" i="1"/>
  <c r="B84" i="1"/>
  <c r="BG83" i="1"/>
  <c r="BB83" i="1"/>
  <c r="AH83" i="1"/>
  <c r="AA83" i="1"/>
  <c r="K83" i="1"/>
  <c r="M83" i="1" s="1"/>
  <c r="H83" i="1"/>
  <c r="G83" i="1"/>
  <c r="I83" i="1" s="1"/>
  <c r="F83" i="1"/>
  <c r="E83" i="1"/>
  <c r="D83" i="1"/>
  <c r="C83" i="1"/>
  <c r="B83" i="1"/>
  <c r="BG82" i="1"/>
  <c r="BB82" i="1"/>
  <c r="AH82" i="1"/>
  <c r="AA82" i="1"/>
  <c r="K82" i="1"/>
  <c r="M82" i="1" s="1"/>
  <c r="H82" i="1"/>
  <c r="G82" i="1"/>
  <c r="I82" i="1" s="1"/>
  <c r="F82" i="1"/>
  <c r="E82" i="1"/>
  <c r="D82" i="1"/>
  <c r="C82" i="1"/>
  <c r="B82" i="1"/>
  <c r="BG81" i="1"/>
  <c r="BI81" i="1" s="1"/>
  <c r="BB81" i="1"/>
  <c r="AH81" i="1"/>
  <c r="AA81" i="1"/>
  <c r="K81" i="1"/>
  <c r="H81" i="1"/>
  <c r="G81" i="1"/>
  <c r="I81" i="1" s="1"/>
  <c r="F81" i="1"/>
  <c r="E81" i="1"/>
  <c r="D81" i="1"/>
  <c r="C81" i="1"/>
  <c r="B81" i="1"/>
  <c r="BG80" i="1"/>
  <c r="BI80" i="1" s="1"/>
  <c r="BB80" i="1"/>
  <c r="AH80" i="1"/>
  <c r="AA80" i="1"/>
  <c r="K80" i="1"/>
  <c r="H80" i="1"/>
  <c r="G80" i="1"/>
  <c r="I80" i="1" s="1"/>
  <c r="F80" i="1"/>
  <c r="E80" i="1"/>
  <c r="D80" i="1"/>
  <c r="C80" i="1"/>
  <c r="B80" i="1"/>
  <c r="BG79" i="1"/>
  <c r="BB79" i="1"/>
  <c r="AH79" i="1"/>
  <c r="AA79" i="1"/>
  <c r="K79" i="1"/>
  <c r="H79" i="1"/>
  <c r="G79" i="1"/>
  <c r="I79" i="1" s="1"/>
  <c r="F79" i="1"/>
  <c r="E79" i="1"/>
  <c r="D79" i="1"/>
  <c r="C79" i="1"/>
  <c r="B79" i="1"/>
  <c r="BG78" i="1"/>
  <c r="BB78" i="1"/>
  <c r="AH78" i="1"/>
  <c r="AA78" i="1"/>
  <c r="K78" i="1"/>
  <c r="H78" i="1"/>
  <c r="G78" i="1"/>
  <c r="I78" i="1" s="1"/>
  <c r="F78" i="1"/>
  <c r="E78" i="1"/>
  <c r="D78" i="1"/>
  <c r="C78" i="1"/>
  <c r="B78" i="1"/>
  <c r="BG77" i="1"/>
  <c r="BI77" i="1" s="1"/>
  <c r="BB77" i="1"/>
  <c r="AH77" i="1"/>
  <c r="AA77" i="1"/>
  <c r="K77" i="1"/>
  <c r="N77" i="1" s="1"/>
  <c r="H77" i="1"/>
  <c r="G77" i="1"/>
  <c r="I77" i="1" s="1"/>
  <c r="F77" i="1"/>
  <c r="E77" i="1"/>
  <c r="D77" i="1"/>
  <c r="C77" i="1"/>
  <c r="B77" i="1"/>
  <c r="BG76" i="1"/>
  <c r="BI76" i="1" s="1"/>
  <c r="BB76" i="1"/>
  <c r="AH76" i="1"/>
  <c r="AA76" i="1"/>
  <c r="K76" i="1"/>
  <c r="N76" i="1" s="1"/>
  <c r="H76" i="1"/>
  <c r="G76" i="1"/>
  <c r="I76" i="1" s="1"/>
  <c r="F76" i="1"/>
  <c r="E76" i="1"/>
  <c r="D76" i="1"/>
  <c r="C76" i="1"/>
  <c r="B76" i="1"/>
  <c r="BG75" i="1"/>
  <c r="BI75" i="1" s="1"/>
  <c r="BB75" i="1"/>
  <c r="AH75" i="1"/>
  <c r="AA75" i="1"/>
  <c r="K75" i="1"/>
  <c r="N75" i="1" s="1"/>
  <c r="H75" i="1"/>
  <c r="G75" i="1"/>
  <c r="I75" i="1" s="1"/>
  <c r="F75" i="1"/>
  <c r="E75" i="1"/>
  <c r="D75" i="1"/>
  <c r="C75" i="1"/>
  <c r="B75" i="1"/>
  <c r="BG74" i="1"/>
  <c r="BB74" i="1"/>
  <c r="AH74" i="1"/>
  <c r="AA74" i="1"/>
  <c r="K74" i="1"/>
  <c r="N74" i="1" s="1"/>
  <c r="H74" i="1"/>
  <c r="G74" i="1"/>
  <c r="I74" i="1" s="1"/>
  <c r="F74" i="1"/>
  <c r="E74" i="1"/>
  <c r="D74" i="1"/>
  <c r="C74" i="1"/>
  <c r="B74" i="1"/>
  <c r="BG73" i="1"/>
  <c r="BI73" i="1" s="1"/>
  <c r="BB73" i="1"/>
  <c r="AH73" i="1"/>
  <c r="AA73" i="1"/>
  <c r="K73" i="1"/>
  <c r="N73" i="1" s="1"/>
  <c r="H73" i="1"/>
  <c r="G73" i="1"/>
  <c r="I73" i="1" s="1"/>
  <c r="F73" i="1"/>
  <c r="E73" i="1"/>
  <c r="D73" i="1"/>
  <c r="C73" i="1"/>
  <c r="B73" i="1"/>
  <c r="BG72" i="1"/>
  <c r="BB72" i="1"/>
  <c r="AH72" i="1"/>
  <c r="AA72" i="1"/>
  <c r="K72" i="1"/>
  <c r="N72" i="1" s="1"/>
  <c r="H72" i="1"/>
  <c r="G72" i="1"/>
  <c r="I72" i="1" s="1"/>
  <c r="F72" i="1"/>
  <c r="E72" i="1"/>
  <c r="D72" i="1"/>
  <c r="C72" i="1"/>
  <c r="B72" i="1"/>
  <c r="BG71" i="1"/>
  <c r="BB71" i="1"/>
  <c r="AH71" i="1"/>
  <c r="AA71" i="1"/>
  <c r="K71" i="1"/>
  <c r="N71" i="1" s="1"/>
  <c r="H71" i="1"/>
  <c r="G71" i="1"/>
  <c r="I71" i="1" s="1"/>
  <c r="F71" i="1"/>
  <c r="E71" i="1"/>
  <c r="D71" i="1"/>
  <c r="C71" i="1"/>
  <c r="B71" i="1"/>
  <c r="BG70" i="1"/>
  <c r="BI70" i="1" s="1"/>
  <c r="BB70" i="1"/>
  <c r="AH70" i="1"/>
  <c r="AA70" i="1"/>
  <c r="K70" i="1"/>
  <c r="N70" i="1" s="1"/>
  <c r="H70" i="1"/>
  <c r="G70" i="1"/>
  <c r="I70" i="1" s="1"/>
  <c r="F70" i="1"/>
  <c r="E70" i="1"/>
  <c r="D70" i="1"/>
  <c r="C70" i="1"/>
  <c r="B70" i="1"/>
  <c r="BG69" i="1"/>
  <c r="BB69" i="1"/>
  <c r="AH69" i="1"/>
  <c r="AA69" i="1"/>
  <c r="K69" i="1"/>
  <c r="H69" i="1"/>
  <c r="G69" i="1"/>
  <c r="I69" i="1" s="1"/>
  <c r="F69" i="1"/>
  <c r="E69" i="1"/>
  <c r="D69" i="1"/>
  <c r="C69" i="1"/>
  <c r="B69" i="1"/>
  <c r="BG68" i="1"/>
  <c r="BI68" i="1" s="1"/>
  <c r="BB68" i="1"/>
  <c r="AH68" i="1"/>
  <c r="AA68" i="1"/>
  <c r="K68" i="1"/>
  <c r="N68" i="1" s="1"/>
  <c r="H68" i="1"/>
  <c r="G68" i="1"/>
  <c r="I68" i="1" s="1"/>
  <c r="F68" i="1"/>
  <c r="E68" i="1"/>
  <c r="D68" i="1"/>
  <c r="C68" i="1"/>
  <c r="B68" i="1"/>
  <c r="BG67" i="1"/>
  <c r="BI67" i="1" s="1"/>
  <c r="BB67" i="1"/>
  <c r="AH67" i="1"/>
  <c r="AA67" i="1"/>
  <c r="K67" i="1"/>
  <c r="N67" i="1" s="1"/>
  <c r="H67" i="1"/>
  <c r="G67" i="1"/>
  <c r="I67" i="1" s="1"/>
  <c r="F67" i="1"/>
  <c r="E67" i="1"/>
  <c r="D67" i="1"/>
  <c r="C67" i="1"/>
  <c r="B67" i="1"/>
  <c r="BG66" i="1"/>
  <c r="BI66" i="1" s="1"/>
  <c r="BB66" i="1"/>
  <c r="AH66" i="1"/>
  <c r="AA66" i="1"/>
  <c r="K66" i="1"/>
  <c r="N66" i="1" s="1"/>
  <c r="H66" i="1"/>
  <c r="G66" i="1"/>
  <c r="I66" i="1" s="1"/>
  <c r="F66" i="1"/>
  <c r="E66" i="1"/>
  <c r="D66" i="1"/>
  <c r="C66" i="1"/>
  <c r="B66" i="1"/>
  <c r="BG65" i="1"/>
  <c r="BI65" i="1" s="1"/>
  <c r="BB65" i="1"/>
  <c r="AH65" i="1"/>
  <c r="AA65" i="1"/>
  <c r="K65" i="1"/>
  <c r="N65" i="1" s="1"/>
  <c r="H65" i="1"/>
  <c r="G65" i="1"/>
  <c r="I65" i="1" s="1"/>
  <c r="F65" i="1"/>
  <c r="E65" i="1"/>
  <c r="D65" i="1"/>
  <c r="C65" i="1"/>
  <c r="B65" i="1"/>
  <c r="BG64" i="1"/>
  <c r="BI64" i="1" s="1"/>
  <c r="BB64" i="1"/>
  <c r="AH64" i="1"/>
  <c r="AA64" i="1"/>
  <c r="K64" i="1"/>
  <c r="N64" i="1" s="1"/>
  <c r="H64" i="1"/>
  <c r="G64" i="1"/>
  <c r="I64" i="1" s="1"/>
  <c r="F64" i="1"/>
  <c r="E64" i="1"/>
  <c r="D64" i="1"/>
  <c r="C64" i="1"/>
  <c r="B64" i="1"/>
  <c r="BG63" i="1"/>
  <c r="BI63" i="1" s="1"/>
  <c r="BB63" i="1"/>
  <c r="AH63" i="1"/>
  <c r="AA63" i="1"/>
  <c r="K63" i="1"/>
  <c r="N63" i="1" s="1"/>
  <c r="H63" i="1"/>
  <c r="G63" i="1"/>
  <c r="I63" i="1" s="1"/>
  <c r="F63" i="1"/>
  <c r="E63" i="1"/>
  <c r="D63" i="1"/>
  <c r="C63" i="1"/>
  <c r="B63" i="1"/>
  <c r="BG62" i="1"/>
  <c r="BI62" i="1" s="1"/>
  <c r="BB62" i="1"/>
  <c r="AH62" i="1"/>
  <c r="AA62" i="1"/>
  <c r="K62" i="1"/>
  <c r="H62" i="1"/>
  <c r="G62" i="1"/>
  <c r="I62" i="1" s="1"/>
  <c r="F62" i="1"/>
  <c r="E62" i="1"/>
  <c r="D62" i="1"/>
  <c r="C62" i="1"/>
  <c r="B62" i="1"/>
  <c r="BG61" i="1"/>
  <c r="BI61" i="1" s="1"/>
  <c r="BB61" i="1"/>
  <c r="AH61" i="1"/>
  <c r="AA61" i="1"/>
  <c r="K61" i="1"/>
  <c r="N61" i="1" s="1"/>
  <c r="H61" i="1"/>
  <c r="G61" i="1"/>
  <c r="I61" i="1" s="1"/>
  <c r="F61" i="1"/>
  <c r="E61" i="1"/>
  <c r="D61" i="1"/>
  <c r="C61" i="1"/>
  <c r="B61" i="1"/>
  <c r="BG60" i="1"/>
  <c r="BI60" i="1" s="1"/>
  <c r="BB60" i="1"/>
  <c r="AH60" i="1"/>
  <c r="AA60" i="1"/>
  <c r="K60" i="1"/>
  <c r="N60" i="1" s="1"/>
  <c r="H60" i="1"/>
  <c r="G60" i="1"/>
  <c r="I60" i="1" s="1"/>
  <c r="F60" i="1"/>
  <c r="E60" i="1"/>
  <c r="D60" i="1"/>
  <c r="C60" i="1"/>
  <c r="B60" i="1"/>
  <c r="BG59" i="1"/>
  <c r="BI59" i="1" s="1"/>
  <c r="BB59" i="1"/>
  <c r="AH59" i="1"/>
  <c r="AA59" i="1"/>
  <c r="K59" i="1"/>
  <c r="N59" i="1" s="1"/>
  <c r="H59" i="1"/>
  <c r="G59" i="1"/>
  <c r="I59" i="1" s="1"/>
  <c r="F59" i="1"/>
  <c r="E59" i="1"/>
  <c r="D59" i="1"/>
  <c r="C59" i="1"/>
  <c r="B59" i="1"/>
  <c r="BG58" i="1"/>
  <c r="BB58" i="1"/>
  <c r="AH58" i="1"/>
  <c r="AA58" i="1"/>
  <c r="K58" i="1"/>
  <c r="H58" i="1"/>
  <c r="G58" i="1"/>
  <c r="I58" i="1" s="1"/>
  <c r="F58" i="1"/>
  <c r="E58" i="1"/>
  <c r="D58" i="1"/>
  <c r="C58" i="1"/>
  <c r="B58" i="1"/>
  <c r="BG57" i="1"/>
  <c r="BI57" i="1" s="1"/>
  <c r="BB57" i="1"/>
  <c r="AH57" i="1"/>
  <c r="AA57" i="1"/>
  <c r="K57" i="1"/>
  <c r="N57" i="1" s="1"/>
  <c r="H57" i="1"/>
  <c r="G57" i="1"/>
  <c r="I57" i="1" s="1"/>
  <c r="F57" i="1"/>
  <c r="E57" i="1"/>
  <c r="D57" i="1"/>
  <c r="C57" i="1"/>
  <c r="B57" i="1"/>
  <c r="BG56" i="1"/>
  <c r="BB56" i="1"/>
  <c r="AH56" i="1"/>
  <c r="AA56" i="1"/>
  <c r="K56" i="1"/>
  <c r="N56" i="1" s="1"/>
  <c r="H56" i="1"/>
  <c r="G56" i="1"/>
  <c r="I56" i="1" s="1"/>
  <c r="F56" i="1"/>
  <c r="E56" i="1"/>
  <c r="D56" i="1"/>
  <c r="C56" i="1"/>
  <c r="B56" i="1"/>
  <c r="BG55" i="1"/>
  <c r="BB55" i="1"/>
  <c r="AH55" i="1"/>
  <c r="AA55" i="1"/>
  <c r="K55" i="1"/>
  <c r="N55" i="1" s="1"/>
  <c r="H55" i="1"/>
  <c r="G55" i="1"/>
  <c r="I55" i="1" s="1"/>
  <c r="F55" i="1"/>
  <c r="E55" i="1"/>
  <c r="D55" i="1"/>
  <c r="C55" i="1"/>
  <c r="B55" i="1"/>
  <c r="BG54" i="1"/>
  <c r="BB54" i="1"/>
  <c r="AH54" i="1"/>
  <c r="AA54" i="1"/>
  <c r="K54" i="1"/>
  <c r="H54" i="1"/>
  <c r="G54" i="1"/>
  <c r="I54" i="1" s="1"/>
  <c r="F54" i="1"/>
  <c r="E54" i="1"/>
  <c r="D54" i="1"/>
  <c r="C54" i="1"/>
  <c r="B54" i="1"/>
  <c r="BG53" i="1"/>
  <c r="AW53" i="1" s="1"/>
  <c r="BB53" i="1"/>
  <c r="AH53" i="1"/>
  <c r="AA53" i="1"/>
  <c r="K53" i="1"/>
  <c r="M53" i="1" s="1"/>
  <c r="H53" i="1"/>
  <c r="G53" i="1"/>
  <c r="I53" i="1" s="1"/>
  <c r="F53" i="1"/>
  <c r="E53" i="1"/>
  <c r="D53" i="1"/>
  <c r="C53" i="1"/>
  <c r="B53" i="1"/>
  <c r="BG52" i="1"/>
  <c r="BB52" i="1"/>
  <c r="AH52" i="1"/>
  <c r="AA52" i="1"/>
  <c r="K52" i="1"/>
  <c r="M52" i="1" s="1"/>
  <c r="H52" i="1"/>
  <c r="G52" i="1"/>
  <c r="I52" i="1" s="1"/>
  <c r="F52" i="1"/>
  <c r="E52" i="1"/>
  <c r="D52" i="1"/>
  <c r="C52" i="1"/>
  <c r="B52" i="1"/>
  <c r="BG51" i="1"/>
  <c r="BI51" i="1" s="1"/>
  <c r="BB51" i="1"/>
  <c r="AH51" i="1"/>
  <c r="AA51" i="1"/>
  <c r="K51" i="1"/>
  <c r="M51" i="1" s="1"/>
  <c r="H51" i="1"/>
  <c r="G51" i="1"/>
  <c r="I51" i="1" s="1"/>
  <c r="F51" i="1"/>
  <c r="E51" i="1"/>
  <c r="D51" i="1"/>
  <c r="C51" i="1"/>
  <c r="B51" i="1"/>
  <c r="BG50" i="1"/>
  <c r="BI50" i="1" s="1"/>
  <c r="BB50" i="1"/>
  <c r="AH50" i="1"/>
  <c r="AA50" i="1"/>
  <c r="K50" i="1"/>
  <c r="M50" i="1" s="1"/>
  <c r="H50" i="1"/>
  <c r="G50" i="1"/>
  <c r="I50" i="1" s="1"/>
  <c r="F50" i="1"/>
  <c r="E50" i="1"/>
  <c r="D50" i="1"/>
  <c r="C50" i="1"/>
  <c r="B50" i="1"/>
  <c r="BG49" i="1"/>
  <c r="BB49" i="1"/>
  <c r="AH49" i="1"/>
  <c r="AA49" i="1"/>
  <c r="K49" i="1"/>
  <c r="M49" i="1" s="1"/>
  <c r="H49" i="1"/>
  <c r="G49" i="1"/>
  <c r="I49" i="1" s="1"/>
  <c r="F49" i="1"/>
  <c r="E49" i="1"/>
  <c r="D49" i="1"/>
  <c r="C49" i="1"/>
  <c r="B49" i="1"/>
  <c r="BG48" i="1"/>
  <c r="BI48" i="1" s="1"/>
  <c r="BB48" i="1"/>
  <c r="AH48" i="1"/>
  <c r="AA48" i="1"/>
  <c r="K48" i="1"/>
  <c r="M48" i="1" s="1"/>
  <c r="H48" i="1"/>
  <c r="G48" i="1"/>
  <c r="I48" i="1" s="1"/>
  <c r="F48" i="1"/>
  <c r="E48" i="1"/>
  <c r="D48" i="1"/>
  <c r="C48" i="1"/>
  <c r="B48" i="1"/>
  <c r="BG47" i="1"/>
  <c r="BI47" i="1" s="1"/>
  <c r="BB47" i="1"/>
  <c r="AH47" i="1"/>
  <c r="AA47" i="1"/>
  <c r="K47" i="1"/>
  <c r="M47" i="1" s="1"/>
  <c r="H47" i="1"/>
  <c r="G47" i="1"/>
  <c r="I47" i="1" s="1"/>
  <c r="F47" i="1"/>
  <c r="E47" i="1"/>
  <c r="D47" i="1"/>
  <c r="C47" i="1"/>
  <c r="B47" i="1"/>
  <c r="BG46" i="1"/>
  <c r="BI46" i="1" s="1"/>
  <c r="BB46" i="1"/>
  <c r="AH46" i="1"/>
  <c r="AA46" i="1"/>
  <c r="K46" i="1"/>
  <c r="N46" i="1" s="1"/>
  <c r="H46" i="1"/>
  <c r="G46" i="1"/>
  <c r="I46" i="1" s="1"/>
  <c r="F46" i="1"/>
  <c r="E46" i="1"/>
  <c r="D46" i="1"/>
  <c r="C46" i="1"/>
  <c r="B46" i="1"/>
  <c r="BG45" i="1"/>
  <c r="BI45" i="1" s="1"/>
  <c r="BB45" i="1"/>
  <c r="AH45" i="1"/>
  <c r="AA45" i="1"/>
  <c r="K45" i="1"/>
  <c r="N45" i="1" s="1"/>
  <c r="H45" i="1"/>
  <c r="G45" i="1"/>
  <c r="I45" i="1" s="1"/>
  <c r="F45" i="1"/>
  <c r="E45" i="1"/>
  <c r="D45" i="1"/>
  <c r="C45" i="1"/>
  <c r="B45" i="1"/>
  <c r="BG44" i="1"/>
  <c r="BI44" i="1" s="1"/>
  <c r="BB44" i="1"/>
  <c r="AH44" i="1"/>
  <c r="AA44" i="1"/>
  <c r="K44" i="1"/>
  <c r="N44" i="1" s="1"/>
  <c r="H44" i="1"/>
  <c r="G44" i="1"/>
  <c r="I44" i="1" s="1"/>
  <c r="F44" i="1"/>
  <c r="E44" i="1"/>
  <c r="D44" i="1"/>
  <c r="C44" i="1"/>
  <c r="B44" i="1"/>
  <c r="BG43" i="1"/>
  <c r="BI43" i="1" s="1"/>
  <c r="BB43" i="1"/>
  <c r="AH43" i="1"/>
  <c r="AA43" i="1"/>
  <c r="K43" i="1"/>
  <c r="N43" i="1" s="1"/>
  <c r="H43" i="1"/>
  <c r="G43" i="1"/>
  <c r="I43" i="1" s="1"/>
  <c r="F43" i="1"/>
  <c r="E43" i="1"/>
  <c r="D43" i="1"/>
  <c r="C43" i="1"/>
  <c r="B43" i="1"/>
  <c r="BG42" i="1"/>
  <c r="BI42" i="1" s="1"/>
  <c r="BB42" i="1"/>
  <c r="AH42" i="1"/>
  <c r="AA42" i="1"/>
  <c r="K42" i="1"/>
  <c r="N42" i="1" s="1"/>
  <c r="H42" i="1"/>
  <c r="G42" i="1"/>
  <c r="I42" i="1" s="1"/>
  <c r="F42" i="1"/>
  <c r="E42" i="1"/>
  <c r="D42" i="1"/>
  <c r="C42" i="1"/>
  <c r="B42" i="1"/>
  <c r="BG41" i="1"/>
  <c r="BI41" i="1" s="1"/>
  <c r="BB41" i="1"/>
  <c r="AH41" i="1"/>
  <c r="AA41" i="1"/>
  <c r="K41" i="1"/>
  <c r="N41" i="1" s="1"/>
  <c r="H41" i="1"/>
  <c r="G41" i="1"/>
  <c r="I41" i="1" s="1"/>
  <c r="F41" i="1"/>
  <c r="E41" i="1"/>
  <c r="D41" i="1"/>
  <c r="C41" i="1"/>
  <c r="B41" i="1"/>
  <c r="BG40" i="1"/>
  <c r="BI40" i="1" s="1"/>
  <c r="BB40" i="1"/>
  <c r="AH40" i="1"/>
  <c r="AA40" i="1"/>
  <c r="K40" i="1"/>
  <c r="N40" i="1" s="1"/>
  <c r="H40" i="1"/>
  <c r="G40" i="1"/>
  <c r="I40" i="1" s="1"/>
  <c r="F40" i="1"/>
  <c r="E40" i="1"/>
  <c r="D40" i="1"/>
  <c r="C40" i="1"/>
  <c r="B40" i="1"/>
  <c r="BG39" i="1"/>
  <c r="BI39" i="1" s="1"/>
  <c r="BB39" i="1"/>
  <c r="AH39" i="1"/>
  <c r="AA39" i="1"/>
  <c r="K39" i="1"/>
  <c r="N39" i="1" s="1"/>
  <c r="H39" i="1"/>
  <c r="G39" i="1"/>
  <c r="I39" i="1" s="1"/>
  <c r="F39" i="1"/>
  <c r="E39" i="1"/>
  <c r="D39" i="1"/>
  <c r="C39" i="1"/>
  <c r="B39" i="1"/>
  <c r="BG38" i="1"/>
  <c r="BI38" i="1" s="1"/>
  <c r="BB38" i="1"/>
  <c r="AH38" i="1"/>
  <c r="AA38" i="1"/>
  <c r="K38" i="1"/>
  <c r="N38" i="1" s="1"/>
  <c r="H38" i="1"/>
  <c r="G38" i="1"/>
  <c r="I38" i="1" s="1"/>
  <c r="F38" i="1"/>
  <c r="E38" i="1"/>
  <c r="D38" i="1"/>
  <c r="C38" i="1"/>
  <c r="B38" i="1"/>
  <c r="BG37" i="1"/>
  <c r="BI37" i="1" s="1"/>
  <c r="BB37" i="1"/>
  <c r="AH37" i="1"/>
  <c r="AA37" i="1"/>
  <c r="K37" i="1"/>
  <c r="N37" i="1" s="1"/>
  <c r="H37" i="1"/>
  <c r="G37" i="1"/>
  <c r="I37" i="1" s="1"/>
  <c r="F37" i="1"/>
  <c r="E37" i="1"/>
  <c r="D37" i="1"/>
  <c r="C37" i="1"/>
  <c r="B37" i="1"/>
  <c r="BG36" i="1"/>
  <c r="BI36" i="1" s="1"/>
  <c r="BB36" i="1"/>
  <c r="AH36" i="1"/>
  <c r="AA36" i="1"/>
  <c r="K36" i="1"/>
  <c r="N36" i="1" s="1"/>
  <c r="H36" i="1"/>
  <c r="G36" i="1"/>
  <c r="I36" i="1" s="1"/>
  <c r="F36" i="1"/>
  <c r="E36" i="1"/>
  <c r="D36" i="1"/>
  <c r="C36" i="1"/>
  <c r="B36" i="1"/>
  <c r="BG35" i="1"/>
  <c r="AW35" i="1" s="1"/>
  <c r="BB35" i="1"/>
  <c r="AH35" i="1"/>
  <c r="AA35" i="1"/>
  <c r="K35" i="1"/>
  <c r="N35" i="1" s="1"/>
  <c r="H35" i="1"/>
  <c r="G35" i="1"/>
  <c r="F35" i="1"/>
  <c r="E35" i="1"/>
  <c r="D35" i="1"/>
  <c r="C35" i="1"/>
  <c r="B35" i="1"/>
  <c r="BG34" i="1"/>
  <c r="AW34" i="1" s="1"/>
  <c r="BB34" i="1"/>
  <c r="AH34" i="1"/>
  <c r="AA34" i="1"/>
  <c r="K34" i="1"/>
  <c r="N34" i="1" s="1"/>
  <c r="H34" i="1"/>
  <c r="G34" i="1"/>
  <c r="I34" i="1" s="1"/>
  <c r="F34" i="1"/>
  <c r="E34" i="1"/>
  <c r="D34" i="1"/>
  <c r="C34" i="1"/>
  <c r="B34" i="1"/>
  <c r="BG33" i="1"/>
  <c r="AW33" i="1" s="1"/>
  <c r="BB33" i="1"/>
  <c r="AH33" i="1"/>
  <c r="AA33" i="1"/>
  <c r="K33" i="1"/>
  <c r="H33" i="1"/>
  <c r="G33" i="1"/>
  <c r="I33" i="1" s="1"/>
  <c r="F33" i="1"/>
  <c r="E33" i="1"/>
  <c r="D33" i="1"/>
  <c r="C33" i="1"/>
  <c r="B33" i="1"/>
  <c r="BG32" i="1"/>
  <c r="BI32" i="1" s="1"/>
  <c r="BB32" i="1"/>
  <c r="AH32" i="1"/>
  <c r="AA32" i="1"/>
  <c r="K32" i="1"/>
  <c r="H32" i="1"/>
  <c r="G32" i="1"/>
  <c r="I32" i="1" s="1"/>
  <c r="F32" i="1"/>
  <c r="E32" i="1"/>
  <c r="D32" i="1"/>
  <c r="C32" i="1"/>
  <c r="B32" i="1"/>
  <c r="BG31" i="1"/>
  <c r="BI31" i="1" s="1"/>
  <c r="BB31" i="1"/>
  <c r="AH31" i="1"/>
  <c r="AA31" i="1"/>
  <c r="K31" i="1"/>
  <c r="N31" i="1" s="1"/>
  <c r="H31" i="1"/>
  <c r="G31" i="1"/>
  <c r="I31" i="1" s="1"/>
  <c r="F31" i="1"/>
  <c r="E31" i="1"/>
  <c r="D31" i="1"/>
  <c r="C31" i="1"/>
  <c r="B31" i="1"/>
  <c r="BG30" i="1"/>
  <c r="BI30" i="1" s="1"/>
  <c r="BB30" i="1"/>
  <c r="AH30" i="1"/>
  <c r="AA30" i="1"/>
  <c r="K30" i="1"/>
  <c r="N30" i="1" s="1"/>
  <c r="H30" i="1"/>
  <c r="G30" i="1"/>
  <c r="I30" i="1" s="1"/>
  <c r="F30" i="1"/>
  <c r="E30" i="1"/>
  <c r="D30" i="1"/>
  <c r="C30" i="1"/>
  <c r="B30" i="1"/>
  <c r="BG29" i="1"/>
  <c r="BI29" i="1" s="1"/>
  <c r="BB29" i="1"/>
  <c r="AH29" i="1"/>
  <c r="AA29" i="1"/>
  <c r="K29" i="1"/>
  <c r="N29" i="1" s="1"/>
  <c r="H29" i="1"/>
  <c r="G29" i="1"/>
  <c r="I29" i="1" s="1"/>
  <c r="F29" i="1"/>
  <c r="E29" i="1"/>
  <c r="D29" i="1"/>
  <c r="C29" i="1"/>
  <c r="B29" i="1"/>
  <c r="BG28" i="1"/>
  <c r="BI28" i="1" s="1"/>
  <c r="BB28" i="1"/>
  <c r="AH28" i="1"/>
  <c r="AA28" i="1"/>
  <c r="K28" i="1"/>
  <c r="N28" i="1" s="1"/>
  <c r="H28" i="1"/>
  <c r="G28" i="1"/>
  <c r="I28" i="1" s="1"/>
  <c r="F28" i="1"/>
  <c r="E28" i="1"/>
  <c r="D28" i="1"/>
  <c r="C28" i="1"/>
  <c r="B28" i="1"/>
  <c r="BG27" i="1"/>
  <c r="BI27" i="1" s="1"/>
  <c r="BB27" i="1"/>
  <c r="AH27" i="1"/>
  <c r="AA27" i="1"/>
  <c r="K27" i="1"/>
  <c r="N27" i="1" s="1"/>
  <c r="H27" i="1"/>
  <c r="G27" i="1"/>
  <c r="I27" i="1" s="1"/>
  <c r="F27" i="1"/>
  <c r="E27" i="1"/>
  <c r="D27" i="1"/>
  <c r="C27" i="1"/>
  <c r="B27" i="1"/>
  <c r="BG26" i="1"/>
  <c r="BI26" i="1" s="1"/>
  <c r="BB26" i="1"/>
  <c r="AH26" i="1"/>
  <c r="AA26" i="1"/>
  <c r="K26" i="1"/>
  <c r="M26" i="1" s="1"/>
  <c r="H26" i="1"/>
  <c r="G26" i="1"/>
  <c r="I26" i="1" s="1"/>
  <c r="F26" i="1"/>
  <c r="E26" i="1"/>
  <c r="D26" i="1"/>
  <c r="C26" i="1"/>
  <c r="B26" i="1"/>
  <c r="BG25" i="1"/>
  <c r="BI25" i="1" s="1"/>
  <c r="BB25" i="1"/>
  <c r="AH25" i="1"/>
  <c r="AA25" i="1"/>
  <c r="K25" i="1"/>
  <c r="M25" i="1" s="1"/>
  <c r="H25" i="1"/>
  <c r="G25" i="1"/>
  <c r="I25" i="1" s="1"/>
  <c r="F25" i="1"/>
  <c r="E25" i="1"/>
  <c r="D25" i="1"/>
  <c r="C25" i="1"/>
  <c r="B25" i="1"/>
  <c r="BG24" i="1"/>
  <c r="BI24" i="1" s="1"/>
  <c r="BB24" i="1"/>
  <c r="AH24" i="1"/>
  <c r="AA24" i="1"/>
  <c r="K24" i="1"/>
  <c r="M24" i="1" s="1"/>
  <c r="H24" i="1"/>
  <c r="G24" i="1"/>
  <c r="I24" i="1" s="1"/>
  <c r="F24" i="1"/>
  <c r="E24" i="1"/>
  <c r="D24" i="1"/>
  <c r="C24" i="1"/>
  <c r="B24" i="1"/>
  <c r="BG23" i="1"/>
  <c r="BI23" i="1" s="1"/>
  <c r="BB23" i="1"/>
  <c r="AH23" i="1"/>
  <c r="AA23" i="1"/>
  <c r="K23" i="1"/>
  <c r="N23" i="1" s="1"/>
  <c r="H23" i="1"/>
  <c r="G23" i="1"/>
  <c r="I23" i="1" s="1"/>
  <c r="F23" i="1"/>
  <c r="E23" i="1"/>
  <c r="D23" i="1"/>
  <c r="C23" i="1"/>
  <c r="B23" i="1"/>
  <c r="BG22" i="1"/>
  <c r="BB22" i="1"/>
  <c r="AH22" i="1"/>
  <c r="AA22" i="1"/>
  <c r="K22" i="1"/>
  <c r="N22" i="1" s="1"/>
  <c r="H22" i="1"/>
  <c r="G22" i="1"/>
  <c r="I22" i="1" s="1"/>
  <c r="F22" i="1"/>
  <c r="E22" i="1"/>
  <c r="D22" i="1"/>
  <c r="C22" i="1"/>
  <c r="B22" i="1"/>
  <c r="BG21" i="1"/>
  <c r="BI21" i="1" s="1"/>
  <c r="BB21" i="1"/>
  <c r="AH21" i="1"/>
  <c r="AA21" i="1"/>
  <c r="K21" i="1"/>
  <c r="N21" i="1" s="1"/>
  <c r="H21" i="1"/>
  <c r="G21" i="1"/>
  <c r="I21" i="1" s="1"/>
  <c r="F21" i="1"/>
  <c r="E21" i="1"/>
  <c r="D21" i="1"/>
  <c r="C21" i="1"/>
  <c r="B21" i="1"/>
  <c r="BG20" i="1"/>
  <c r="BI20" i="1" s="1"/>
  <c r="BB20" i="1"/>
  <c r="AH20" i="1"/>
  <c r="AA20" i="1"/>
  <c r="K20" i="1"/>
  <c r="N20" i="1" s="1"/>
  <c r="H20" i="1"/>
  <c r="G20" i="1"/>
  <c r="I20" i="1" s="1"/>
  <c r="F20" i="1"/>
  <c r="E20" i="1"/>
  <c r="D20" i="1"/>
  <c r="C20" i="1"/>
  <c r="B20" i="1"/>
  <c r="BG19" i="1"/>
  <c r="BI19" i="1" s="1"/>
  <c r="BB19" i="1"/>
  <c r="AH19" i="1"/>
  <c r="AA19" i="1"/>
  <c r="K19" i="1"/>
  <c r="N19" i="1" s="1"/>
  <c r="H19" i="1"/>
  <c r="G19" i="1"/>
  <c r="I19" i="1" s="1"/>
  <c r="F19" i="1"/>
  <c r="E19" i="1"/>
  <c r="D19" i="1"/>
  <c r="C19" i="1"/>
  <c r="B19" i="1"/>
  <c r="BG18" i="1"/>
  <c r="BI18" i="1" s="1"/>
  <c r="BB18" i="1"/>
  <c r="AH18" i="1"/>
  <c r="AA18" i="1"/>
  <c r="K18" i="1"/>
  <c r="M18" i="1" s="1"/>
  <c r="H18" i="1"/>
  <c r="G18" i="1"/>
  <c r="I18" i="1" s="1"/>
  <c r="F18" i="1"/>
  <c r="E18" i="1"/>
  <c r="D18" i="1"/>
  <c r="C18" i="1"/>
  <c r="B18" i="1"/>
  <c r="BG17" i="1"/>
  <c r="BI17" i="1" s="1"/>
  <c r="BB17" i="1"/>
  <c r="AH17" i="1"/>
  <c r="AA17" i="1"/>
  <c r="K17" i="1"/>
  <c r="N17" i="1" s="1"/>
  <c r="H17" i="1"/>
  <c r="G17" i="1"/>
  <c r="I17" i="1" s="1"/>
  <c r="F17" i="1"/>
  <c r="E17" i="1"/>
  <c r="D17" i="1"/>
  <c r="C17" i="1"/>
  <c r="B17" i="1"/>
  <c r="BG16" i="1"/>
  <c r="BI16" i="1" s="1"/>
  <c r="BB16" i="1"/>
  <c r="AH16" i="1"/>
  <c r="AA16" i="1"/>
  <c r="K16" i="1"/>
  <c r="N16" i="1" s="1"/>
  <c r="H16" i="1"/>
  <c r="G16" i="1"/>
  <c r="I16" i="1" s="1"/>
  <c r="F16" i="1"/>
  <c r="E16" i="1"/>
  <c r="D16" i="1"/>
  <c r="C16" i="1"/>
  <c r="B16" i="1"/>
  <c r="BG15" i="1"/>
  <c r="BI15" i="1" s="1"/>
  <c r="BB15" i="1"/>
  <c r="AH15" i="1"/>
  <c r="AA15" i="1"/>
  <c r="K15" i="1"/>
  <c r="N15" i="1" s="1"/>
  <c r="H15" i="1"/>
  <c r="G15" i="1"/>
  <c r="I15" i="1" s="1"/>
  <c r="F15" i="1"/>
  <c r="E15" i="1"/>
  <c r="D15" i="1"/>
  <c r="C15" i="1"/>
  <c r="B15" i="1"/>
  <c r="BG14" i="1"/>
  <c r="BI14" i="1" s="1"/>
  <c r="BB14" i="1"/>
  <c r="AH14" i="1"/>
  <c r="AA14" i="1"/>
  <c r="K14" i="1"/>
  <c r="M14" i="1" s="1"/>
  <c r="H14" i="1"/>
  <c r="G14" i="1"/>
  <c r="I14" i="1" s="1"/>
  <c r="F14" i="1"/>
  <c r="E14" i="1"/>
  <c r="D14" i="1"/>
  <c r="C14" i="1"/>
  <c r="B14" i="1"/>
  <c r="BG13" i="1"/>
  <c r="BI13" i="1" s="1"/>
  <c r="BB13" i="1"/>
  <c r="AH13" i="1"/>
  <c r="AA13" i="1"/>
  <c r="K13" i="1"/>
  <c r="N13" i="1" s="1"/>
  <c r="H13" i="1"/>
  <c r="G13" i="1"/>
  <c r="I13" i="1" s="1"/>
  <c r="F13" i="1"/>
  <c r="E13" i="1"/>
  <c r="D13" i="1"/>
  <c r="C13" i="1"/>
  <c r="B13" i="1"/>
  <c r="BG12" i="1"/>
  <c r="BI12" i="1" s="1"/>
  <c r="BB12" i="1"/>
  <c r="AH12" i="1"/>
  <c r="AA12" i="1"/>
  <c r="K12" i="1"/>
  <c r="N12" i="1" s="1"/>
  <c r="H12" i="1"/>
  <c r="G12" i="1"/>
  <c r="I12" i="1" s="1"/>
  <c r="F12" i="1"/>
  <c r="E12" i="1"/>
  <c r="D12" i="1"/>
  <c r="C12" i="1"/>
  <c r="B12" i="1"/>
  <c r="BG11" i="1"/>
  <c r="BI11" i="1" s="1"/>
  <c r="BB11" i="1"/>
  <c r="AH11" i="1"/>
  <c r="AA11" i="1"/>
  <c r="K11" i="1"/>
  <c r="N11" i="1" s="1"/>
  <c r="H11" i="1"/>
  <c r="G11" i="1"/>
  <c r="I11" i="1" s="1"/>
  <c r="F11" i="1"/>
  <c r="E11" i="1"/>
  <c r="D11" i="1"/>
  <c r="C11" i="1"/>
  <c r="B11" i="1"/>
  <c r="BG10" i="1"/>
  <c r="BI10" i="1" s="1"/>
  <c r="BB10" i="1"/>
  <c r="AH10" i="1"/>
  <c r="AA10" i="1"/>
  <c r="K10" i="1"/>
  <c r="N10" i="1" s="1"/>
  <c r="H10" i="1"/>
  <c r="G10" i="1"/>
  <c r="I10" i="1" s="1"/>
  <c r="F10" i="1"/>
  <c r="E10" i="1"/>
  <c r="D10" i="1"/>
  <c r="C10" i="1"/>
  <c r="B10" i="1"/>
  <c r="BG9" i="1"/>
  <c r="BI9" i="1" s="1"/>
  <c r="BB9" i="1"/>
  <c r="AH9" i="1"/>
  <c r="AA9" i="1"/>
  <c r="K9" i="1"/>
  <c r="N9" i="1" s="1"/>
  <c r="H9" i="1"/>
  <c r="G9" i="1"/>
  <c r="I9" i="1" s="1"/>
  <c r="F9" i="1"/>
  <c r="E9" i="1"/>
  <c r="D9" i="1"/>
  <c r="C9" i="1"/>
  <c r="B9" i="1"/>
  <c r="BG8" i="1"/>
  <c r="BI8" i="1" s="1"/>
  <c r="BB8" i="1"/>
  <c r="AH8" i="1"/>
  <c r="AA8" i="1"/>
  <c r="K8" i="1"/>
  <c r="N8" i="1" s="1"/>
  <c r="H8" i="1"/>
  <c r="G8" i="1"/>
  <c r="I8" i="1" s="1"/>
  <c r="F8" i="1"/>
  <c r="E8" i="1"/>
  <c r="D8" i="1"/>
  <c r="C8" i="1"/>
  <c r="B8" i="1"/>
  <c r="BG7" i="1"/>
  <c r="AW7" i="1" s="1"/>
  <c r="BB7" i="1"/>
  <c r="AH7" i="1"/>
  <c r="AA7" i="1"/>
  <c r="K7" i="1"/>
  <c r="M7" i="1" s="1"/>
  <c r="H7" i="1"/>
  <c r="G7" i="1"/>
  <c r="I7" i="1" s="1"/>
  <c r="F7" i="1"/>
  <c r="E7" i="1"/>
  <c r="D7" i="1"/>
  <c r="C7" i="1"/>
  <c r="B7" i="1"/>
  <c r="BG6" i="1"/>
  <c r="AW6" i="1" s="1"/>
  <c r="BB6" i="1"/>
  <c r="AH6" i="1"/>
  <c r="AA6" i="1"/>
  <c r="K6" i="1"/>
  <c r="M6" i="1" s="1"/>
  <c r="H6" i="1"/>
  <c r="G6" i="1"/>
  <c r="I6" i="1" s="1"/>
  <c r="F6" i="1"/>
  <c r="E6" i="1"/>
  <c r="D6" i="1"/>
  <c r="C6" i="1"/>
  <c r="B6" i="1"/>
  <c r="BG5" i="1"/>
  <c r="AW5" i="1" s="1"/>
  <c r="BB5" i="1"/>
  <c r="AH5" i="1"/>
  <c r="AA5" i="1"/>
  <c r="K5" i="1"/>
  <c r="M5" i="1" s="1"/>
  <c r="H5" i="1"/>
  <c r="G5" i="1"/>
  <c r="I5" i="1" s="1"/>
  <c r="F5" i="1"/>
  <c r="E5" i="1"/>
  <c r="D5" i="1"/>
  <c r="C5" i="1"/>
  <c r="B5" i="1"/>
  <c r="BG4" i="1"/>
  <c r="BB4" i="1"/>
  <c r="AH4" i="1"/>
  <c r="AA4" i="1"/>
  <c r="K4" i="1"/>
  <c r="M4" i="1" s="1"/>
  <c r="H4" i="1"/>
  <c r="G4" i="1"/>
  <c r="I4" i="1" s="1"/>
  <c r="F4" i="1"/>
  <c r="E4" i="1"/>
  <c r="D4" i="1"/>
  <c r="C4" i="1"/>
  <c r="B4" i="1"/>
  <c r="BG3" i="1"/>
  <c r="BI3" i="1" s="1"/>
  <c r="BB3" i="1"/>
  <c r="AX3" i="1"/>
  <c r="P3" i="1"/>
  <c r="N3" i="1"/>
  <c r="O3" i="1" s="1"/>
  <c r="H3" i="1"/>
  <c r="G3" i="1"/>
  <c r="I3" i="1" s="1"/>
  <c r="F3" i="1"/>
  <c r="E3" i="1"/>
  <c r="D3" i="1"/>
  <c r="C3" i="1"/>
  <c r="B3" i="1"/>
  <c r="BG2" i="1"/>
  <c r="BI2" i="1" s="1"/>
  <c r="BB2" i="1"/>
  <c r="AX2" i="1"/>
  <c r="P2" i="1"/>
  <c r="N2" i="1"/>
  <c r="M2" i="1"/>
  <c r="O2" i="1" s="1"/>
  <c r="H2" i="1"/>
  <c r="G2" i="1"/>
  <c r="I2" i="1" s="1"/>
  <c r="F2" i="1"/>
  <c r="E2" i="1"/>
  <c r="D2" i="1"/>
  <c r="C2" i="1"/>
  <c r="B2" i="1"/>
  <c r="AI349" i="1" l="1"/>
  <c r="AO349" i="1" s="1"/>
  <c r="AI272" i="1"/>
  <c r="AO272" i="1" s="1"/>
  <c r="AP272" i="1" s="1"/>
  <c r="AQ272" i="1" s="1"/>
  <c r="BF272" i="1" s="1"/>
  <c r="AR272" i="1" s="1"/>
  <c r="AT272" i="1" s="1"/>
  <c r="AS351" i="1"/>
  <c r="AI331" i="1"/>
  <c r="AO331" i="1" s="1"/>
  <c r="AP331" i="1" s="1"/>
  <c r="AQ331" i="1" s="1"/>
  <c r="BF331" i="1" s="1"/>
  <c r="AR331" i="1" s="1"/>
  <c r="AT331" i="1" s="1"/>
  <c r="AI73" i="1"/>
  <c r="AO73" i="1" s="1"/>
  <c r="AP73" i="1" s="1"/>
  <c r="AQ73" i="1" s="1"/>
  <c r="AI277" i="1"/>
  <c r="AO277" i="1" s="1"/>
  <c r="AP277" i="1" s="1"/>
  <c r="AQ277" i="1" s="1"/>
  <c r="BF277" i="1" s="1"/>
  <c r="AR277" i="1" s="1"/>
  <c r="AT277" i="1" s="1"/>
  <c r="CK9" i="10"/>
  <c r="CL9" i="10"/>
  <c r="AI16" i="1"/>
  <c r="AO16" i="1" s="1"/>
  <c r="AP16" i="1" s="1"/>
  <c r="AQ16" i="1" s="1"/>
  <c r="N257" i="1"/>
  <c r="O257" i="1" s="1"/>
  <c r="M278" i="1"/>
  <c r="O278" i="1" s="1"/>
  <c r="M66" i="1"/>
  <c r="O66" i="1" s="1"/>
  <c r="N106" i="1"/>
  <c r="O106" i="1" s="1"/>
  <c r="BB351" i="1"/>
  <c r="AI33" i="1"/>
  <c r="AO33" i="1" s="1"/>
  <c r="AP33" i="1" s="1"/>
  <c r="AQ33" i="1" s="1"/>
  <c r="BF33" i="1" s="1"/>
  <c r="AR33" i="1" s="1"/>
  <c r="AT33" i="1" s="1"/>
  <c r="BI33" i="1"/>
  <c r="BI35" i="1"/>
  <c r="AW36" i="1"/>
  <c r="AW37" i="1"/>
  <c r="AW38" i="1"/>
  <c r="AW39" i="1"/>
  <c r="AW40" i="1"/>
  <c r="AW41" i="1"/>
  <c r="AW42" i="1"/>
  <c r="AW43" i="1"/>
  <c r="AW44" i="1"/>
  <c r="AW45" i="1"/>
  <c r="AW46" i="1"/>
  <c r="N202" i="1"/>
  <c r="O202" i="1" s="1"/>
  <c r="N222" i="1"/>
  <c r="O222" i="1" s="1"/>
  <c r="AI239" i="1"/>
  <c r="AO239" i="1" s="1"/>
  <c r="AP239" i="1" s="1"/>
  <c r="AQ239" i="1" s="1"/>
  <c r="BF239" i="1" s="1"/>
  <c r="AR239" i="1" s="1"/>
  <c r="AT239" i="1" s="1"/>
  <c r="M282" i="1"/>
  <c r="O282" i="1" s="1"/>
  <c r="N294" i="1"/>
  <c r="O294" i="1" s="1"/>
  <c r="AI138" i="1"/>
  <c r="AO138" i="1" s="1"/>
  <c r="AP138" i="1" s="1"/>
  <c r="AQ138" i="1" s="1"/>
  <c r="BF138" i="1" s="1"/>
  <c r="AR138" i="1" s="1"/>
  <c r="AT138" i="1" s="1"/>
  <c r="N178" i="1"/>
  <c r="O178" i="1" s="1"/>
  <c r="N206" i="1"/>
  <c r="O206" i="1" s="1"/>
  <c r="M287" i="1"/>
  <c r="O287" i="1" s="1"/>
  <c r="AI30" i="1"/>
  <c r="AO30" i="1" s="1"/>
  <c r="AP30" i="1" s="1"/>
  <c r="AQ30" i="1" s="1"/>
  <c r="BF30" i="1" s="1"/>
  <c r="AR30" i="1" s="1"/>
  <c r="AT30" i="1" s="1"/>
  <c r="N235" i="1"/>
  <c r="O235" i="1" s="1"/>
  <c r="N301" i="1"/>
  <c r="O301" i="1" s="1"/>
  <c r="AI303" i="1"/>
  <c r="AO303" i="1" s="1"/>
  <c r="AP303" i="1" s="1"/>
  <c r="AQ303" i="1" s="1"/>
  <c r="AI95" i="1"/>
  <c r="AO95" i="1" s="1"/>
  <c r="AP95" i="1" s="1"/>
  <c r="AQ95" i="1" s="1"/>
  <c r="BF95" i="1" s="1"/>
  <c r="AR95" i="1" s="1"/>
  <c r="AT95" i="1" s="1"/>
  <c r="AI99" i="1"/>
  <c r="AO99" i="1" s="1"/>
  <c r="AP99" i="1" s="1"/>
  <c r="AQ99" i="1" s="1"/>
  <c r="BF99" i="1" s="1"/>
  <c r="AR99" i="1" s="1"/>
  <c r="AT99" i="1" s="1"/>
  <c r="AI177" i="1"/>
  <c r="AO177" i="1" s="1"/>
  <c r="AP177" i="1" s="1"/>
  <c r="AQ177" i="1" s="1"/>
  <c r="BF177" i="1" s="1"/>
  <c r="AR177" i="1" s="1"/>
  <c r="AT177" i="1" s="1"/>
  <c r="N288" i="1"/>
  <c r="O288" i="1" s="1"/>
  <c r="N25" i="1"/>
  <c r="O25" i="1" s="1"/>
  <c r="AI104" i="1"/>
  <c r="AO104" i="1" s="1"/>
  <c r="AP104" i="1" s="1"/>
  <c r="AQ104" i="1" s="1"/>
  <c r="BF104" i="1" s="1"/>
  <c r="AR104" i="1" s="1"/>
  <c r="AT104" i="1" s="1"/>
  <c r="M111" i="1"/>
  <c r="O111" i="1" s="1"/>
  <c r="AI143" i="1"/>
  <c r="AO143" i="1" s="1"/>
  <c r="AP143" i="1" s="1"/>
  <c r="AQ143" i="1" s="1"/>
  <c r="BF143" i="1" s="1"/>
  <c r="AR143" i="1" s="1"/>
  <c r="AT143" i="1" s="1"/>
  <c r="AI158" i="1"/>
  <c r="AO158" i="1" s="1"/>
  <c r="AP158" i="1" s="1"/>
  <c r="AQ158" i="1" s="1"/>
  <c r="BF158" i="1" s="1"/>
  <c r="AR158" i="1" s="1"/>
  <c r="AT158" i="1" s="1"/>
  <c r="AI160" i="1"/>
  <c r="AO160" i="1" s="1"/>
  <c r="AP160" i="1" s="1"/>
  <c r="AQ160" i="1" s="1"/>
  <c r="BF160" i="1" s="1"/>
  <c r="AR160" i="1" s="1"/>
  <c r="AT160" i="1" s="1"/>
  <c r="N186" i="1"/>
  <c r="O186" i="1" s="1"/>
  <c r="AI244" i="1"/>
  <c r="AO244" i="1" s="1"/>
  <c r="AP244" i="1" s="1"/>
  <c r="AQ244" i="1" s="1"/>
  <c r="BF244" i="1" s="1"/>
  <c r="AR244" i="1" s="1"/>
  <c r="N297" i="1"/>
  <c r="O297" i="1" s="1"/>
  <c r="AI311" i="1"/>
  <c r="AO311" i="1" s="1"/>
  <c r="AP311" i="1" s="1"/>
  <c r="AQ311" i="1" s="1"/>
  <c r="BF311" i="1" s="1"/>
  <c r="AR311" i="1" s="1"/>
  <c r="AT311" i="1" s="1"/>
  <c r="AI315" i="1"/>
  <c r="AO315" i="1" s="1"/>
  <c r="AP315" i="1" s="1"/>
  <c r="AQ315" i="1" s="1"/>
  <c r="BF315" i="1" s="1"/>
  <c r="AR315" i="1" s="1"/>
  <c r="AT315" i="1" s="1"/>
  <c r="N4" i="1"/>
  <c r="O4" i="1" s="1"/>
  <c r="N6" i="1"/>
  <c r="O6" i="1" s="1"/>
  <c r="N83" i="1"/>
  <c r="O83" i="1" s="1"/>
  <c r="N141" i="1"/>
  <c r="O141" i="1" s="1"/>
  <c r="AI167" i="1"/>
  <c r="AO167" i="1" s="1"/>
  <c r="AP167" i="1" s="1"/>
  <c r="AQ167" i="1" s="1"/>
  <c r="BF167" i="1" s="1"/>
  <c r="AR167" i="1" s="1"/>
  <c r="AT167" i="1" s="1"/>
  <c r="N182" i="1"/>
  <c r="O182" i="1" s="1"/>
  <c r="N230" i="1"/>
  <c r="O230" i="1" s="1"/>
  <c r="AI266" i="1"/>
  <c r="AO266" i="1" s="1"/>
  <c r="AP266" i="1" s="1"/>
  <c r="AQ266" i="1" s="1"/>
  <c r="BF266" i="1" s="1"/>
  <c r="AR266" i="1" s="1"/>
  <c r="AT266" i="1" s="1"/>
  <c r="M289" i="1"/>
  <c r="O289" i="1" s="1"/>
  <c r="N292" i="1"/>
  <c r="O292" i="1" s="1"/>
  <c r="AI299" i="1"/>
  <c r="AO299" i="1" s="1"/>
  <c r="AP299" i="1" s="1"/>
  <c r="AQ299" i="1" s="1"/>
  <c r="BF299" i="1" s="1"/>
  <c r="AR299" i="1" s="1"/>
  <c r="AT299" i="1" s="1"/>
  <c r="M304" i="1"/>
  <c r="O304" i="1" s="1"/>
  <c r="AI281" i="1"/>
  <c r="AO281" i="1" s="1"/>
  <c r="AP281" i="1" s="1"/>
  <c r="AQ281" i="1" s="1"/>
  <c r="BF281" i="1" s="1"/>
  <c r="AR281" i="1" s="1"/>
  <c r="AT281" i="1" s="1"/>
  <c r="N290" i="1"/>
  <c r="O290" i="1" s="1"/>
  <c r="AW11" i="1"/>
  <c r="AI18" i="1"/>
  <c r="AO18" i="1" s="1"/>
  <c r="AP18" i="1" s="1"/>
  <c r="AQ18" i="1" s="1"/>
  <c r="BF18" i="1" s="1"/>
  <c r="AR18" i="1" s="1"/>
  <c r="AT18" i="1" s="1"/>
  <c r="AI22" i="1"/>
  <c r="AO22" i="1" s="1"/>
  <c r="AP22" i="1" s="1"/>
  <c r="AQ22" i="1" s="1"/>
  <c r="BF22" i="1" s="1"/>
  <c r="AR22" i="1" s="1"/>
  <c r="AT22" i="1" s="1"/>
  <c r="N24" i="1"/>
  <c r="O24" i="1" s="1"/>
  <c r="M57" i="1"/>
  <c r="O57" i="1" s="1"/>
  <c r="AW57" i="1"/>
  <c r="M61" i="1"/>
  <c r="O61" i="1" s="1"/>
  <c r="AW61" i="1"/>
  <c r="M74" i="1"/>
  <c r="O74" i="1" s="1"/>
  <c r="AI131" i="1"/>
  <c r="AO131" i="1" s="1"/>
  <c r="AP131" i="1" s="1"/>
  <c r="AQ131" i="1" s="1"/>
  <c r="BF131" i="1" s="1"/>
  <c r="AR131" i="1" s="1"/>
  <c r="AT131" i="1" s="1"/>
  <c r="AI134" i="1"/>
  <c r="AO134" i="1" s="1"/>
  <c r="AP134" i="1" s="1"/>
  <c r="AQ134" i="1" s="1"/>
  <c r="BF134" i="1" s="1"/>
  <c r="AR134" i="1" s="1"/>
  <c r="AT134" i="1" s="1"/>
  <c r="AI176" i="1"/>
  <c r="AO176" i="1" s="1"/>
  <c r="AP176" i="1" s="1"/>
  <c r="AQ176" i="1" s="1"/>
  <c r="N189" i="1"/>
  <c r="O189" i="1" s="1"/>
  <c r="M201" i="1"/>
  <c r="O201" i="1" s="1"/>
  <c r="AI208" i="1"/>
  <c r="AO208" i="1" s="1"/>
  <c r="AP208" i="1" s="1"/>
  <c r="AQ208" i="1" s="1"/>
  <c r="BF208" i="1" s="1"/>
  <c r="AR208" i="1" s="1"/>
  <c r="AT208" i="1" s="1"/>
  <c r="N216" i="1"/>
  <c r="O216" i="1" s="1"/>
  <c r="AI220" i="1"/>
  <c r="AO220" i="1" s="1"/>
  <c r="AP220" i="1" s="1"/>
  <c r="AQ220" i="1" s="1"/>
  <c r="BF220" i="1" s="1"/>
  <c r="AR220" i="1" s="1"/>
  <c r="AT220" i="1" s="1"/>
  <c r="M226" i="1"/>
  <c r="O226" i="1" s="1"/>
  <c r="AI228" i="1"/>
  <c r="AO228" i="1" s="1"/>
  <c r="AP228" i="1" s="1"/>
  <c r="AQ228" i="1" s="1"/>
  <c r="BF228" i="1" s="1"/>
  <c r="AR228" i="1" s="1"/>
  <c r="AT228" i="1" s="1"/>
  <c r="M241" i="1"/>
  <c r="O241" i="1" s="1"/>
  <c r="M253" i="1"/>
  <c r="O253" i="1" s="1"/>
  <c r="AI290" i="1"/>
  <c r="AO290" i="1" s="1"/>
  <c r="AP290" i="1" s="1"/>
  <c r="AQ290" i="1" s="1"/>
  <c r="BF290" i="1" s="1"/>
  <c r="AR290" i="1" s="1"/>
  <c r="AT290" i="1" s="1"/>
  <c r="N293" i="1"/>
  <c r="O293" i="1" s="1"/>
  <c r="N14" i="1"/>
  <c r="O14" i="1" s="1"/>
  <c r="N26" i="1"/>
  <c r="O26" i="1" s="1"/>
  <c r="AI76" i="1"/>
  <c r="AO76" i="1" s="1"/>
  <c r="AP76" i="1" s="1"/>
  <c r="AQ76" i="1" s="1"/>
  <c r="BF76" i="1" s="1"/>
  <c r="AR76" i="1" s="1"/>
  <c r="AT76" i="1" s="1"/>
  <c r="AI83" i="1"/>
  <c r="AO83" i="1" s="1"/>
  <c r="AP83" i="1" s="1"/>
  <c r="AQ83" i="1" s="1"/>
  <c r="BF83" i="1" s="1"/>
  <c r="AR83" i="1" s="1"/>
  <c r="AT83" i="1" s="1"/>
  <c r="M91" i="1"/>
  <c r="O91" i="1" s="1"/>
  <c r="M99" i="1"/>
  <c r="O99" i="1" s="1"/>
  <c r="M100" i="1"/>
  <c r="O100" i="1" s="1"/>
  <c r="AI101" i="1"/>
  <c r="AO101" i="1" s="1"/>
  <c r="AP101" i="1" s="1"/>
  <c r="AQ101" i="1" s="1"/>
  <c r="BF101" i="1" s="1"/>
  <c r="AR101" i="1" s="1"/>
  <c r="AT101" i="1" s="1"/>
  <c r="N105" i="1"/>
  <c r="O105" i="1" s="1"/>
  <c r="AI116" i="1"/>
  <c r="AO116" i="1" s="1"/>
  <c r="AP116" i="1" s="1"/>
  <c r="AQ116" i="1" s="1"/>
  <c r="AI130" i="1"/>
  <c r="AO130" i="1" s="1"/>
  <c r="AP130" i="1" s="1"/>
  <c r="AQ130" i="1" s="1"/>
  <c r="BF130" i="1" s="1"/>
  <c r="AR130" i="1" s="1"/>
  <c r="AT130" i="1" s="1"/>
  <c r="M170" i="1"/>
  <c r="O170" i="1" s="1"/>
  <c r="AI171" i="1"/>
  <c r="AO171" i="1" s="1"/>
  <c r="AP171" i="1" s="1"/>
  <c r="AQ171" i="1" s="1"/>
  <c r="BF171" i="1" s="1"/>
  <c r="AR171" i="1" s="1"/>
  <c r="AT171" i="1" s="1"/>
  <c r="M173" i="1"/>
  <c r="O173" i="1" s="1"/>
  <c r="N174" i="1"/>
  <c r="O174" i="1" s="1"/>
  <c r="AI191" i="1"/>
  <c r="AO191" i="1" s="1"/>
  <c r="AP191" i="1" s="1"/>
  <c r="AQ191" i="1" s="1"/>
  <c r="BF191" i="1" s="1"/>
  <c r="AR191" i="1" s="1"/>
  <c r="AT191" i="1" s="1"/>
  <c r="M193" i="1"/>
  <c r="O193" i="1" s="1"/>
  <c r="AI204" i="1"/>
  <c r="AO204" i="1" s="1"/>
  <c r="AP204" i="1" s="1"/>
  <c r="AQ204" i="1" s="1"/>
  <c r="BF204" i="1" s="1"/>
  <c r="AR204" i="1" s="1"/>
  <c r="AT204" i="1" s="1"/>
  <c r="AI216" i="1"/>
  <c r="AO216" i="1" s="1"/>
  <c r="AP216" i="1" s="1"/>
  <c r="AQ216" i="1" s="1"/>
  <c r="BF216" i="1" s="1"/>
  <c r="AR216" i="1" s="1"/>
  <c r="AT216" i="1" s="1"/>
  <c r="AI223" i="1"/>
  <c r="AO223" i="1" s="1"/>
  <c r="AP223" i="1" s="1"/>
  <c r="AQ223" i="1" s="1"/>
  <c r="BF223" i="1" s="1"/>
  <c r="AR223" i="1" s="1"/>
  <c r="AT223" i="1" s="1"/>
  <c r="AI226" i="1"/>
  <c r="AO226" i="1" s="1"/>
  <c r="AP226" i="1" s="1"/>
  <c r="AQ226" i="1" s="1"/>
  <c r="BF226" i="1" s="1"/>
  <c r="AR226" i="1" s="1"/>
  <c r="AT226" i="1" s="1"/>
  <c r="M228" i="1"/>
  <c r="O228" i="1" s="1"/>
  <c r="N247" i="1"/>
  <c r="O247" i="1" s="1"/>
  <c r="AI253" i="1"/>
  <c r="AO253" i="1" s="1"/>
  <c r="AP253" i="1" s="1"/>
  <c r="AQ253" i="1" s="1"/>
  <c r="BF253" i="1" s="1"/>
  <c r="AR253" i="1" s="1"/>
  <c r="AT253" i="1" s="1"/>
  <c r="M255" i="1"/>
  <c r="O255" i="1" s="1"/>
  <c r="N256" i="1"/>
  <c r="O256" i="1" s="1"/>
  <c r="AI323" i="1"/>
  <c r="AO323" i="1" s="1"/>
  <c r="AP323" i="1" s="1"/>
  <c r="AQ323" i="1" s="1"/>
  <c r="BF323" i="1" s="1"/>
  <c r="AR323" i="1" s="1"/>
  <c r="AT323" i="1" s="1"/>
  <c r="AI334" i="1"/>
  <c r="AO334" i="1" s="1"/>
  <c r="AP334" i="1" s="1"/>
  <c r="AQ334" i="1" s="1"/>
  <c r="BF334" i="1" s="1"/>
  <c r="AR334" i="1" s="1"/>
  <c r="AT334" i="1" s="1"/>
  <c r="AI10" i="1"/>
  <c r="AO10" i="1" s="1"/>
  <c r="AP10" i="1" s="1"/>
  <c r="AQ10" i="1" s="1"/>
  <c r="BF10" i="1" s="1"/>
  <c r="AR10" i="1" s="1"/>
  <c r="AT10" i="1" s="1"/>
  <c r="M15" i="1"/>
  <c r="O15" i="1" s="1"/>
  <c r="M27" i="1"/>
  <c r="O27" i="1" s="1"/>
  <c r="AW50" i="1"/>
  <c r="AI56" i="1"/>
  <c r="AO56" i="1" s="1"/>
  <c r="AP56" i="1" s="1"/>
  <c r="AQ56" i="1" s="1"/>
  <c r="BF56" i="1" s="1"/>
  <c r="AR56" i="1" s="1"/>
  <c r="AT56" i="1" s="1"/>
  <c r="AW59" i="1"/>
  <c r="AW60" i="1"/>
  <c r="M65" i="1"/>
  <c r="O65" i="1" s="1"/>
  <c r="AW65" i="1"/>
  <c r="AW67" i="1"/>
  <c r="AW68" i="1"/>
  <c r="N84" i="1"/>
  <c r="O84" i="1" s="1"/>
  <c r="AI94" i="1"/>
  <c r="AO94" i="1" s="1"/>
  <c r="AP94" i="1" s="1"/>
  <c r="AQ94" i="1" s="1"/>
  <c r="BF94" i="1" s="1"/>
  <c r="AR94" i="1" s="1"/>
  <c r="AT94" i="1" s="1"/>
  <c r="N95" i="1"/>
  <c r="M95" i="1"/>
  <c r="M104" i="1"/>
  <c r="O104" i="1" s="1"/>
  <c r="M124" i="1"/>
  <c r="O124" i="1" s="1"/>
  <c r="AI125" i="1"/>
  <c r="AO125" i="1" s="1"/>
  <c r="AP125" i="1" s="1"/>
  <c r="AQ125" i="1" s="1"/>
  <c r="BF125" i="1" s="1"/>
  <c r="AR125" i="1" s="1"/>
  <c r="AT125" i="1" s="1"/>
  <c r="M171" i="1"/>
  <c r="O171" i="1" s="1"/>
  <c r="N176" i="1"/>
  <c r="O176" i="1" s="1"/>
  <c r="AI178" i="1"/>
  <c r="AO178" i="1" s="1"/>
  <c r="AP178" i="1" s="1"/>
  <c r="AQ178" i="1" s="1"/>
  <c r="BF178" i="1" s="1"/>
  <c r="AR178" i="1" s="1"/>
  <c r="AT178" i="1" s="1"/>
  <c r="M187" i="1"/>
  <c r="O187" i="1" s="1"/>
  <c r="N188" i="1"/>
  <c r="O188" i="1" s="1"/>
  <c r="M191" i="1"/>
  <c r="N191" i="1"/>
  <c r="N195" i="1"/>
  <c r="O195" i="1" s="1"/>
  <c r="AI199" i="1"/>
  <c r="AO199" i="1" s="1"/>
  <c r="AP199" i="1" s="1"/>
  <c r="AQ199" i="1" s="1"/>
  <c r="BF199" i="1" s="1"/>
  <c r="AR199" i="1" s="1"/>
  <c r="AT199" i="1" s="1"/>
  <c r="N205" i="1"/>
  <c r="O205" i="1" s="1"/>
  <c r="N209" i="1"/>
  <c r="O209" i="1" s="1"/>
  <c r="N223" i="1"/>
  <c r="O223" i="1" s="1"/>
  <c r="N224" i="1"/>
  <c r="O224" i="1" s="1"/>
  <c r="N231" i="1"/>
  <c r="M231" i="1"/>
  <c r="O231" i="1" s="1"/>
  <c r="AI235" i="1"/>
  <c r="AO235" i="1" s="1"/>
  <c r="AP235" i="1" s="1"/>
  <c r="AQ235" i="1" s="1"/>
  <c r="BF235" i="1" s="1"/>
  <c r="AR235" i="1" s="1"/>
  <c r="AT235" i="1" s="1"/>
  <c r="AI249" i="1"/>
  <c r="AO249" i="1" s="1"/>
  <c r="AP249" i="1" s="1"/>
  <c r="AQ249" i="1" s="1"/>
  <c r="BF249" i="1" s="1"/>
  <c r="AR249" i="1" s="1"/>
  <c r="AT249" i="1" s="1"/>
  <c r="M251" i="1"/>
  <c r="O251" i="1" s="1"/>
  <c r="AI259" i="1"/>
  <c r="AO259" i="1" s="1"/>
  <c r="AP259" i="1" s="1"/>
  <c r="AQ259" i="1" s="1"/>
  <c r="BF259" i="1" s="1"/>
  <c r="AR259" i="1" s="1"/>
  <c r="AT259" i="1" s="1"/>
  <c r="AI267" i="1"/>
  <c r="AO267" i="1" s="1"/>
  <c r="AP267" i="1" s="1"/>
  <c r="AQ267" i="1" s="1"/>
  <c r="BF267" i="1" s="1"/>
  <c r="AR267" i="1" s="1"/>
  <c r="AT267" i="1" s="1"/>
  <c r="M268" i="1"/>
  <c r="N268" i="1"/>
  <c r="AI273" i="1"/>
  <c r="AO273" i="1" s="1"/>
  <c r="AP273" i="1" s="1"/>
  <c r="AQ273" i="1" s="1"/>
  <c r="BF273" i="1" s="1"/>
  <c r="AR273" i="1" s="1"/>
  <c r="AT273" i="1" s="1"/>
  <c r="M296" i="1"/>
  <c r="O296" i="1" s="1"/>
  <c r="AP2" i="1"/>
  <c r="AQ2" i="1" s="1"/>
  <c r="P351" i="1"/>
  <c r="M126" i="1"/>
  <c r="N126" i="1"/>
  <c r="M156" i="1"/>
  <c r="N156" i="1"/>
  <c r="N175" i="1"/>
  <c r="M175" i="1"/>
  <c r="N197" i="1"/>
  <c r="M197" i="1"/>
  <c r="O197" i="1" s="1"/>
  <c r="N274" i="1"/>
  <c r="M274" i="1"/>
  <c r="N300" i="1"/>
  <c r="M300" i="1"/>
  <c r="O300" i="1" s="1"/>
  <c r="N308" i="1"/>
  <c r="O308" i="1" s="1"/>
  <c r="AI15" i="1"/>
  <c r="AO15" i="1" s="1"/>
  <c r="AP15" i="1" s="1"/>
  <c r="AQ15" i="1" s="1"/>
  <c r="BF15" i="1" s="1"/>
  <c r="AR15" i="1" s="1"/>
  <c r="AT15" i="1" s="1"/>
  <c r="AW16" i="1"/>
  <c r="AI32" i="1"/>
  <c r="AO32" i="1" s="1"/>
  <c r="AP32" i="1" s="1"/>
  <c r="AQ32" i="1" s="1"/>
  <c r="BF32" i="1" s="1"/>
  <c r="AR32" i="1" s="1"/>
  <c r="AT32" i="1" s="1"/>
  <c r="AW62" i="1"/>
  <c r="AI65" i="1"/>
  <c r="AO65" i="1" s="1"/>
  <c r="AP65" i="1" s="1"/>
  <c r="AQ65" i="1" s="1"/>
  <c r="BF65" i="1" s="1"/>
  <c r="AR65" i="1" s="1"/>
  <c r="AT65" i="1" s="1"/>
  <c r="AI68" i="1"/>
  <c r="AO68" i="1" s="1"/>
  <c r="AP68" i="1" s="1"/>
  <c r="AQ68" i="1" s="1"/>
  <c r="BF68" i="1" s="1"/>
  <c r="AR68" i="1" s="1"/>
  <c r="AT68" i="1" s="1"/>
  <c r="AI69" i="1"/>
  <c r="AO69" i="1" s="1"/>
  <c r="AP69" i="1" s="1"/>
  <c r="AQ69" i="1" s="1"/>
  <c r="BF69" i="1" s="1"/>
  <c r="AR69" i="1" s="1"/>
  <c r="AT69" i="1" s="1"/>
  <c r="AW70" i="1"/>
  <c r="AW80" i="1"/>
  <c r="N82" i="1"/>
  <c r="O82" i="1" s="1"/>
  <c r="N86" i="1"/>
  <c r="O86" i="1" s="1"/>
  <c r="N97" i="1"/>
  <c r="O97" i="1" s="1"/>
  <c r="M102" i="1"/>
  <c r="O102" i="1" s="1"/>
  <c r="N102" i="1"/>
  <c r="AI107" i="1"/>
  <c r="AO107" i="1" s="1"/>
  <c r="AP107" i="1" s="1"/>
  <c r="AQ107" i="1" s="1"/>
  <c r="BF107" i="1" s="1"/>
  <c r="AR107" i="1" s="1"/>
  <c r="AT107" i="1" s="1"/>
  <c r="N113" i="1"/>
  <c r="O113" i="1" s="1"/>
  <c r="N138" i="1"/>
  <c r="O138" i="1" s="1"/>
  <c r="N145" i="1"/>
  <c r="M145" i="1"/>
  <c r="O145" i="1" s="1"/>
  <c r="AI151" i="1"/>
  <c r="AO151" i="1" s="1"/>
  <c r="AP151" i="1" s="1"/>
  <c r="AQ151" i="1" s="1"/>
  <c r="BF151" i="1" s="1"/>
  <c r="AR151" i="1" s="1"/>
  <c r="AT151" i="1" s="1"/>
  <c r="N155" i="1"/>
  <c r="M155" i="1"/>
  <c r="AI161" i="1"/>
  <c r="AO161" i="1" s="1"/>
  <c r="AP161" i="1" s="1"/>
  <c r="AQ161" i="1" s="1"/>
  <c r="BF161" i="1" s="1"/>
  <c r="AR161" i="1" s="1"/>
  <c r="AT161" i="1" s="1"/>
  <c r="M167" i="1"/>
  <c r="O167" i="1" s="1"/>
  <c r="M169" i="1"/>
  <c r="O169" i="1" s="1"/>
  <c r="N169" i="1"/>
  <c r="AI180" i="1"/>
  <c r="AO180" i="1" s="1"/>
  <c r="AP180" i="1" s="1"/>
  <c r="AQ180" i="1" s="1"/>
  <c r="BF180" i="1" s="1"/>
  <c r="AR180" i="1" s="1"/>
  <c r="AT180" i="1" s="1"/>
  <c r="AI183" i="1"/>
  <c r="AO183" i="1" s="1"/>
  <c r="AP183" i="1" s="1"/>
  <c r="AQ183" i="1" s="1"/>
  <c r="BF183" i="1" s="1"/>
  <c r="AR183" i="1" s="1"/>
  <c r="AT183" i="1" s="1"/>
  <c r="M192" i="1"/>
  <c r="O192" i="1" s="1"/>
  <c r="N192" i="1"/>
  <c r="M199" i="1"/>
  <c r="O199" i="1" s="1"/>
  <c r="AI214" i="1"/>
  <c r="AO214" i="1" s="1"/>
  <c r="AP214" i="1" s="1"/>
  <c r="AQ214" i="1" s="1"/>
  <c r="BF214" i="1" s="1"/>
  <c r="AR214" i="1" s="1"/>
  <c r="AT214" i="1" s="1"/>
  <c r="AI231" i="1"/>
  <c r="AO231" i="1" s="1"/>
  <c r="AP231" i="1" s="1"/>
  <c r="AQ231" i="1" s="1"/>
  <c r="BF231" i="1" s="1"/>
  <c r="AR231" i="1" s="1"/>
  <c r="AT231" i="1" s="1"/>
  <c r="M243" i="1"/>
  <c r="O243" i="1" s="1"/>
  <c r="AI246" i="1"/>
  <c r="AO246" i="1" s="1"/>
  <c r="AP246" i="1" s="1"/>
  <c r="AQ246" i="1" s="1"/>
  <c r="BF246" i="1" s="1"/>
  <c r="AR246" i="1" s="1"/>
  <c r="AT246" i="1" s="1"/>
  <c r="M249" i="1"/>
  <c r="O249" i="1" s="1"/>
  <c r="AI260" i="1"/>
  <c r="AO260" i="1" s="1"/>
  <c r="AP260" i="1" s="1"/>
  <c r="AQ260" i="1" s="1"/>
  <c r="BF260" i="1" s="1"/>
  <c r="AR260" i="1" s="1"/>
  <c r="AT260" i="1" s="1"/>
  <c r="M262" i="1"/>
  <c r="O262" i="1" s="1"/>
  <c r="N263" i="1"/>
  <c r="O263" i="1" s="1"/>
  <c r="AI264" i="1"/>
  <c r="AO264" i="1" s="1"/>
  <c r="AP264" i="1" s="1"/>
  <c r="AQ264" i="1" s="1"/>
  <c r="BF264" i="1" s="1"/>
  <c r="AR264" i="1" s="1"/>
  <c r="AT264" i="1" s="1"/>
  <c r="N267" i="1"/>
  <c r="M267" i="1"/>
  <c r="AI274" i="1"/>
  <c r="AO274" i="1" s="1"/>
  <c r="AP274" i="1" s="1"/>
  <c r="AQ274" i="1" s="1"/>
  <c r="BF274" i="1" s="1"/>
  <c r="AR274" i="1" s="1"/>
  <c r="AT274" i="1" s="1"/>
  <c r="M283" i="1"/>
  <c r="O283" i="1" s="1"/>
  <c r="AI304" i="1"/>
  <c r="AO304" i="1" s="1"/>
  <c r="AP304" i="1" s="1"/>
  <c r="AQ304" i="1" s="1"/>
  <c r="BF304" i="1" s="1"/>
  <c r="AR304" i="1" s="1"/>
  <c r="AT304" i="1" s="1"/>
  <c r="M8" i="1"/>
  <c r="O8" i="1" s="1"/>
  <c r="AI14" i="1"/>
  <c r="AO14" i="1" s="1"/>
  <c r="AP14" i="1" s="1"/>
  <c r="AQ14" i="1" s="1"/>
  <c r="AI26" i="1"/>
  <c r="AO26" i="1" s="1"/>
  <c r="AP26" i="1" s="1"/>
  <c r="AQ26" i="1" s="1"/>
  <c r="BF26" i="1" s="1"/>
  <c r="AR26" i="1" s="1"/>
  <c r="AT26" i="1" s="1"/>
  <c r="N52" i="1"/>
  <c r="O52" i="1" s="1"/>
  <c r="M73" i="1"/>
  <c r="O73" i="1" s="1"/>
  <c r="AW73" i="1"/>
  <c r="AW75" i="1"/>
  <c r="AW76" i="1"/>
  <c r="N85" i="1"/>
  <c r="O85" i="1" s="1"/>
  <c r="N88" i="1"/>
  <c r="O88" i="1" s="1"/>
  <c r="M96" i="1"/>
  <c r="N96" i="1"/>
  <c r="M112" i="1"/>
  <c r="N112" i="1"/>
  <c r="N128" i="1"/>
  <c r="O128" i="1" s="1"/>
  <c r="N129" i="1"/>
  <c r="O129" i="1" s="1"/>
  <c r="M198" i="1"/>
  <c r="N198" i="1"/>
  <c r="N269" i="1"/>
  <c r="M269" i="1"/>
  <c r="AI81" i="1"/>
  <c r="AO81" i="1" s="1"/>
  <c r="AP81" i="1" s="1"/>
  <c r="AQ81" i="1" s="1"/>
  <c r="BF81" i="1" s="1"/>
  <c r="AR81" i="1" s="1"/>
  <c r="AT81" i="1" s="1"/>
  <c r="AI87" i="1"/>
  <c r="AO87" i="1" s="1"/>
  <c r="AP87" i="1" s="1"/>
  <c r="AQ87" i="1" s="1"/>
  <c r="BF87" i="1" s="1"/>
  <c r="AR87" i="1" s="1"/>
  <c r="AT87" i="1" s="1"/>
  <c r="AI113" i="1"/>
  <c r="AO113" i="1" s="1"/>
  <c r="AP113" i="1" s="1"/>
  <c r="AQ113" i="1" s="1"/>
  <c r="BF113" i="1" s="1"/>
  <c r="AR113" i="1" s="1"/>
  <c r="AT113" i="1" s="1"/>
  <c r="AI147" i="1"/>
  <c r="AO147" i="1" s="1"/>
  <c r="AP147" i="1" s="1"/>
  <c r="AQ147" i="1" s="1"/>
  <c r="BF147" i="1" s="1"/>
  <c r="AR147" i="1" s="1"/>
  <c r="AT147" i="1" s="1"/>
  <c r="AI152" i="1"/>
  <c r="AO152" i="1" s="1"/>
  <c r="AP152" i="1" s="1"/>
  <c r="AQ152" i="1" s="1"/>
  <c r="BF152" i="1" s="1"/>
  <c r="AR152" i="1" s="1"/>
  <c r="AT152" i="1" s="1"/>
  <c r="AI182" i="1"/>
  <c r="AO182" i="1" s="1"/>
  <c r="AP182" i="1" s="1"/>
  <c r="AQ182" i="1" s="1"/>
  <c r="AI188" i="1"/>
  <c r="AO188" i="1" s="1"/>
  <c r="AP188" i="1" s="1"/>
  <c r="AQ188" i="1" s="1"/>
  <c r="BF188" i="1" s="1"/>
  <c r="AR188" i="1" s="1"/>
  <c r="AT188" i="1" s="1"/>
  <c r="AI200" i="1"/>
  <c r="AO200" i="1" s="1"/>
  <c r="AP200" i="1" s="1"/>
  <c r="AQ200" i="1" s="1"/>
  <c r="BF200" i="1" s="1"/>
  <c r="AR200" i="1" s="1"/>
  <c r="AT200" i="1" s="1"/>
  <c r="AI229" i="1"/>
  <c r="AO229" i="1" s="1"/>
  <c r="AP229" i="1" s="1"/>
  <c r="AQ229" i="1" s="1"/>
  <c r="BF229" i="1" s="1"/>
  <c r="AR229" i="1" s="1"/>
  <c r="AT229" i="1" s="1"/>
  <c r="AI232" i="1"/>
  <c r="AO232" i="1" s="1"/>
  <c r="AP232" i="1" s="1"/>
  <c r="AQ232" i="1" s="1"/>
  <c r="AI243" i="1"/>
  <c r="AO243" i="1" s="1"/>
  <c r="AP243" i="1" s="1"/>
  <c r="AQ243" i="1" s="1"/>
  <c r="BF243" i="1" s="1"/>
  <c r="AR243" i="1" s="1"/>
  <c r="AT243" i="1" s="1"/>
  <c r="AI251" i="1"/>
  <c r="AO251" i="1" s="1"/>
  <c r="AP251" i="1" s="1"/>
  <c r="AQ251" i="1" s="1"/>
  <c r="BF251" i="1" s="1"/>
  <c r="AR251" i="1" s="1"/>
  <c r="AT251" i="1" s="1"/>
  <c r="AI262" i="1"/>
  <c r="AO262" i="1" s="1"/>
  <c r="AP262" i="1" s="1"/>
  <c r="AQ262" i="1" s="1"/>
  <c r="BF262" i="1" s="1"/>
  <c r="AR262" i="1" s="1"/>
  <c r="AT262" i="1" s="1"/>
  <c r="AI302" i="1"/>
  <c r="AO302" i="1" s="1"/>
  <c r="AP302" i="1" s="1"/>
  <c r="AQ302" i="1" s="1"/>
  <c r="AI306" i="1"/>
  <c r="AO306" i="1" s="1"/>
  <c r="AP306" i="1" s="1"/>
  <c r="AQ306" i="1" s="1"/>
  <c r="BF306" i="1" s="1"/>
  <c r="AR306" i="1" s="1"/>
  <c r="AT306" i="1" s="1"/>
  <c r="AI314" i="1"/>
  <c r="AO314" i="1" s="1"/>
  <c r="AP314" i="1" s="1"/>
  <c r="AQ314" i="1" s="1"/>
  <c r="BF314" i="1" s="1"/>
  <c r="AR314" i="1" s="1"/>
  <c r="AT314" i="1" s="1"/>
  <c r="AI347" i="1"/>
  <c r="AO347" i="1" s="1"/>
  <c r="AP347" i="1" s="1"/>
  <c r="AQ347" i="1" s="1"/>
  <c r="BF347" i="1" s="1"/>
  <c r="AR347" i="1" s="1"/>
  <c r="AT347" i="1" s="1"/>
  <c r="M349" i="1"/>
  <c r="AI312" i="1"/>
  <c r="AO312" i="1" s="1"/>
  <c r="AP312" i="1" s="1"/>
  <c r="AQ312" i="1" s="1"/>
  <c r="N329" i="1"/>
  <c r="O329" i="1" s="1"/>
  <c r="AI330" i="1"/>
  <c r="AO330" i="1" s="1"/>
  <c r="AP330" i="1" s="1"/>
  <c r="AQ330" i="1" s="1"/>
  <c r="BF330" i="1" s="1"/>
  <c r="AR330" i="1" s="1"/>
  <c r="AT330" i="1" s="1"/>
  <c r="M333" i="1"/>
  <c r="O333" i="1" s="1"/>
  <c r="AI340" i="1"/>
  <c r="AO340" i="1" s="1"/>
  <c r="AP340" i="1" s="1"/>
  <c r="AQ340" i="1" s="1"/>
  <c r="BF340" i="1" s="1"/>
  <c r="AR340" i="1" s="1"/>
  <c r="AT340" i="1" s="1"/>
  <c r="AI345" i="1"/>
  <c r="AO345" i="1" s="1"/>
  <c r="AP345" i="1" s="1"/>
  <c r="AQ345" i="1" s="1"/>
  <c r="BF345" i="1" s="1"/>
  <c r="AR345" i="1" s="1"/>
  <c r="AW2" i="1"/>
  <c r="Q3" i="1"/>
  <c r="AW10" i="1"/>
  <c r="AI19" i="1"/>
  <c r="AO19" i="1" s="1"/>
  <c r="AP19" i="1" s="1"/>
  <c r="AQ19" i="1" s="1"/>
  <c r="BF19" i="1" s="1"/>
  <c r="AR19" i="1" s="1"/>
  <c r="AT19" i="1" s="1"/>
  <c r="AI27" i="1"/>
  <c r="AO27" i="1" s="1"/>
  <c r="AP27" i="1" s="1"/>
  <c r="AQ27" i="1" s="1"/>
  <c r="BF27" i="1" s="1"/>
  <c r="AR27" i="1" s="1"/>
  <c r="AT27" i="1" s="1"/>
  <c r="AW30" i="1"/>
  <c r="M32" i="1"/>
  <c r="N32" i="1"/>
  <c r="BI49" i="1"/>
  <c r="AW49" i="1"/>
  <c r="M54" i="1"/>
  <c r="N54" i="1"/>
  <c r="BI55" i="1"/>
  <c r="AW55" i="1"/>
  <c r="N58" i="1"/>
  <c r="M58" i="1"/>
  <c r="AI123" i="1"/>
  <c r="AO123" i="1" s="1"/>
  <c r="AP123" i="1" s="1"/>
  <c r="AQ123" i="1" s="1"/>
  <c r="BF123" i="1" s="1"/>
  <c r="AR123" i="1" s="1"/>
  <c r="AT123" i="1" s="1"/>
  <c r="N143" i="1"/>
  <c r="M143" i="1"/>
  <c r="O143" i="1" s="1"/>
  <c r="N204" i="1"/>
  <c r="M204" i="1"/>
  <c r="N239" i="1"/>
  <c r="M239" i="1"/>
  <c r="O239" i="1" s="1"/>
  <c r="BI69" i="1"/>
  <c r="AW69" i="1"/>
  <c r="BI74" i="1"/>
  <c r="AW74" i="1"/>
  <c r="BI78" i="1"/>
  <c r="AW78" i="1"/>
  <c r="BI82" i="1"/>
  <c r="AW82" i="1"/>
  <c r="N151" i="1"/>
  <c r="M151" i="1"/>
  <c r="N158" i="1"/>
  <c r="M158" i="1"/>
  <c r="O158" i="1" s="1"/>
  <c r="N161" i="1"/>
  <c r="M161" i="1"/>
  <c r="M220" i="1"/>
  <c r="N220" i="1"/>
  <c r="M252" i="1"/>
  <c r="O252" i="1" s="1"/>
  <c r="N252" i="1"/>
  <c r="N260" i="1"/>
  <c r="M260" i="1"/>
  <c r="O260" i="1" s="1"/>
  <c r="N277" i="1"/>
  <c r="M277" i="1"/>
  <c r="AI8" i="1"/>
  <c r="AO8" i="1" s="1"/>
  <c r="AP8" i="1" s="1"/>
  <c r="AQ8" i="1" s="1"/>
  <c r="BF8" i="1" s="1"/>
  <c r="AR8" i="1" s="1"/>
  <c r="AT8" i="1" s="1"/>
  <c r="AW12" i="1"/>
  <c r="N18" i="1"/>
  <c r="O18" i="1" s="1"/>
  <c r="M19" i="1"/>
  <c r="O19" i="1" s="1"/>
  <c r="BI22" i="1"/>
  <c r="AW22" i="1"/>
  <c r="N48" i="1"/>
  <c r="O48" i="1" s="1"/>
  <c r="N49" i="1"/>
  <c r="O49" i="1" s="1"/>
  <c r="N53" i="1"/>
  <c r="O53" i="1" s="1"/>
  <c r="AW54" i="1"/>
  <c r="BI54" i="1"/>
  <c r="BI56" i="1"/>
  <c r="AW56" i="1"/>
  <c r="BI58" i="1"/>
  <c r="AW58" i="1"/>
  <c r="AW63" i="1"/>
  <c r="AW64" i="1"/>
  <c r="AW66" i="1"/>
  <c r="M70" i="1"/>
  <c r="O70" i="1" s="1"/>
  <c r="BI71" i="1"/>
  <c r="AW71" i="1"/>
  <c r="M77" i="1"/>
  <c r="O77" i="1" s="1"/>
  <c r="AW77" i="1"/>
  <c r="N144" i="1"/>
  <c r="M144" i="1"/>
  <c r="N160" i="1"/>
  <c r="M160" i="1"/>
  <c r="M210" i="1"/>
  <c r="N210" i="1"/>
  <c r="M217" i="1"/>
  <c r="N217" i="1"/>
  <c r="N259" i="1"/>
  <c r="M259" i="1"/>
  <c r="N271" i="1"/>
  <c r="M271" i="1"/>
  <c r="N273" i="1"/>
  <c r="M273" i="1"/>
  <c r="Q2" i="1"/>
  <c r="AI7" i="1"/>
  <c r="AO7" i="1" s="1"/>
  <c r="AP7" i="1" s="1"/>
  <c r="AQ7" i="1" s="1"/>
  <c r="BF7" i="1" s="1"/>
  <c r="AR7" i="1" s="1"/>
  <c r="AT7" i="1" s="1"/>
  <c r="N33" i="1"/>
  <c r="M33" i="1"/>
  <c r="O33" i="1" s="1"/>
  <c r="N69" i="1"/>
  <c r="M69" i="1"/>
  <c r="BI79" i="1"/>
  <c r="AW79" i="1"/>
  <c r="N90" i="1"/>
  <c r="M90" i="1"/>
  <c r="N92" i="1"/>
  <c r="M92" i="1"/>
  <c r="O92" i="1" s="1"/>
  <c r="N152" i="1"/>
  <c r="M152" i="1"/>
  <c r="M159" i="1"/>
  <c r="N159" i="1"/>
  <c r="M165" i="1"/>
  <c r="N165" i="1"/>
  <c r="M185" i="1"/>
  <c r="N185" i="1"/>
  <c r="M229" i="1"/>
  <c r="N229" i="1"/>
  <c r="N115" i="1"/>
  <c r="M115" i="1"/>
  <c r="AI120" i="1"/>
  <c r="AO120" i="1" s="1"/>
  <c r="AP120" i="1" s="1"/>
  <c r="AQ120" i="1" s="1"/>
  <c r="BF120" i="1" s="1"/>
  <c r="AR120" i="1" s="1"/>
  <c r="AT120" i="1" s="1"/>
  <c r="N122" i="1"/>
  <c r="M122" i="1"/>
  <c r="AI135" i="1"/>
  <c r="AO135" i="1" s="1"/>
  <c r="AP135" i="1" s="1"/>
  <c r="AQ135" i="1" s="1"/>
  <c r="BF135" i="1" s="1"/>
  <c r="AR135" i="1" s="1"/>
  <c r="AT135" i="1" s="1"/>
  <c r="AI154" i="1"/>
  <c r="AO154" i="1" s="1"/>
  <c r="AP154" i="1" s="1"/>
  <c r="AQ154" i="1" s="1"/>
  <c r="BF154" i="1" s="1"/>
  <c r="AR154" i="1" s="1"/>
  <c r="AT154" i="1" s="1"/>
  <c r="N163" i="1"/>
  <c r="M163" i="1"/>
  <c r="N168" i="1"/>
  <c r="M168" i="1"/>
  <c r="O168" i="1" s="1"/>
  <c r="M179" i="1"/>
  <c r="O179" i="1" s="1"/>
  <c r="N179" i="1"/>
  <c r="AI195" i="1"/>
  <c r="AO195" i="1" s="1"/>
  <c r="AP195" i="1" s="1"/>
  <c r="AQ195" i="1" s="1"/>
  <c r="BF195" i="1" s="1"/>
  <c r="AR195" i="1" s="1"/>
  <c r="AT195" i="1" s="1"/>
  <c r="N200" i="1"/>
  <c r="O200" i="1" s="1"/>
  <c r="N214" i="1"/>
  <c r="M214" i="1"/>
  <c r="M225" i="1"/>
  <c r="N225" i="1"/>
  <c r="M248" i="1"/>
  <c r="O248" i="1" s="1"/>
  <c r="N248" i="1"/>
  <c r="N284" i="1"/>
  <c r="O284" i="1" s="1"/>
  <c r="M306" i="1"/>
  <c r="O306" i="1" s="1"/>
  <c r="AI91" i="1"/>
  <c r="AO91" i="1" s="1"/>
  <c r="AP91" i="1" s="1"/>
  <c r="AQ91" i="1" s="1"/>
  <c r="BF91" i="1" s="1"/>
  <c r="AR91" i="1" s="1"/>
  <c r="AT91" i="1" s="1"/>
  <c r="N94" i="1"/>
  <c r="M94" i="1"/>
  <c r="O94" i="1" s="1"/>
  <c r="AI100" i="1"/>
  <c r="AO100" i="1" s="1"/>
  <c r="AP100" i="1" s="1"/>
  <c r="AQ100" i="1" s="1"/>
  <c r="BF100" i="1" s="1"/>
  <c r="AR100" i="1" s="1"/>
  <c r="AI112" i="1"/>
  <c r="AO112" i="1" s="1"/>
  <c r="AP112" i="1" s="1"/>
  <c r="AQ112" i="1" s="1"/>
  <c r="BF112" i="1" s="1"/>
  <c r="AR112" i="1" s="1"/>
  <c r="AT112" i="1" s="1"/>
  <c r="AI115" i="1"/>
  <c r="AO115" i="1" s="1"/>
  <c r="AP115" i="1" s="1"/>
  <c r="AQ115" i="1" s="1"/>
  <c r="BF115" i="1" s="1"/>
  <c r="AR115" i="1" s="1"/>
  <c r="M117" i="1"/>
  <c r="N117" i="1"/>
  <c r="AI122" i="1"/>
  <c r="AO122" i="1" s="1"/>
  <c r="AP122" i="1" s="1"/>
  <c r="AQ122" i="1" s="1"/>
  <c r="BF122" i="1" s="1"/>
  <c r="AR122" i="1" s="1"/>
  <c r="AT122" i="1" s="1"/>
  <c r="AI124" i="1"/>
  <c r="AO124" i="1" s="1"/>
  <c r="AP124" i="1" s="1"/>
  <c r="AQ124" i="1" s="1"/>
  <c r="BF124" i="1" s="1"/>
  <c r="AR124" i="1" s="1"/>
  <c r="AT124" i="1" s="1"/>
  <c r="N154" i="1"/>
  <c r="M154" i="1"/>
  <c r="O154" i="1" s="1"/>
  <c r="AI156" i="1"/>
  <c r="AO156" i="1" s="1"/>
  <c r="AP156" i="1" s="1"/>
  <c r="AQ156" i="1" s="1"/>
  <c r="BF156" i="1" s="1"/>
  <c r="AR156" i="1" s="1"/>
  <c r="AT156" i="1" s="1"/>
  <c r="AI163" i="1"/>
  <c r="AO163" i="1" s="1"/>
  <c r="AP163" i="1" s="1"/>
  <c r="AQ163" i="1" s="1"/>
  <c r="BF163" i="1" s="1"/>
  <c r="AR163" i="1" s="1"/>
  <c r="AT163" i="1" s="1"/>
  <c r="M164" i="1"/>
  <c r="N164" i="1"/>
  <c r="AI168" i="1"/>
  <c r="AO168" i="1" s="1"/>
  <c r="AP168" i="1" s="1"/>
  <c r="AQ168" i="1" s="1"/>
  <c r="BF168" i="1" s="1"/>
  <c r="AR168" i="1" s="1"/>
  <c r="AT168" i="1" s="1"/>
  <c r="AI170" i="1"/>
  <c r="AO170" i="1" s="1"/>
  <c r="AP170" i="1" s="1"/>
  <c r="AQ170" i="1" s="1"/>
  <c r="BF170" i="1" s="1"/>
  <c r="AR170" i="1" s="1"/>
  <c r="AT170" i="1" s="1"/>
  <c r="AI175" i="1"/>
  <c r="AO175" i="1" s="1"/>
  <c r="AP175" i="1" s="1"/>
  <c r="AQ175" i="1" s="1"/>
  <c r="BF175" i="1" s="1"/>
  <c r="AR175" i="1" s="1"/>
  <c r="AT175" i="1" s="1"/>
  <c r="AI202" i="1"/>
  <c r="AO202" i="1" s="1"/>
  <c r="AP202" i="1" s="1"/>
  <c r="AQ202" i="1" s="1"/>
  <c r="BF202" i="1" s="1"/>
  <c r="AR202" i="1" s="1"/>
  <c r="AT202" i="1" s="1"/>
  <c r="N208" i="1"/>
  <c r="M208" i="1"/>
  <c r="AI218" i="1"/>
  <c r="AO218" i="1" s="1"/>
  <c r="AP218" i="1" s="1"/>
  <c r="AQ218" i="1" s="1"/>
  <c r="BF218" i="1" s="1"/>
  <c r="AR218" i="1" s="1"/>
  <c r="AT218" i="1" s="1"/>
  <c r="AI222" i="1"/>
  <c r="AO222" i="1" s="1"/>
  <c r="AP222" i="1" s="1"/>
  <c r="AQ222" i="1" s="1"/>
  <c r="BF222" i="1" s="1"/>
  <c r="AR222" i="1" s="1"/>
  <c r="AT222" i="1" s="1"/>
  <c r="AI248" i="1"/>
  <c r="AO248" i="1" s="1"/>
  <c r="AP248" i="1" s="1"/>
  <c r="AQ248" i="1" s="1"/>
  <c r="BF248" i="1" s="1"/>
  <c r="AR248" i="1" s="1"/>
  <c r="AT248" i="1" s="1"/>
  <c r="AI257" i="1"/>
  <c r="AO257" i="1" s="1"/>
  <c r="AP257" i="1" s="1"/>
  <c r="AQ257" i="1" s="1"/>
  <c r="BF257" i="1" s="1"/>
  <c r="AR257" i="1" s="1"/>
  <c r="AT257" i="1" s="1"/>
  <c r="AI269" i="1"/>
  <c r="AO269" i="1" s="1"/>
  <c r="AP269" i="1" s="1"/>
  <c r="AQ269" i="1" s="1"/>
  <c r="BF269" i="1" s="1"/>
  <c r="AR269" i="1" s="1"/>
  <c r="AT269" i="1" s="1"/>
  <c r="N280" i="1"/>
  <c r="M280" i="1"/>
  <c r="AI289" i="1"/>
  <c r="AO289" i="1" s="1"/>
  <c r="AP289" i="1" s="1"/>
  <c r="AQ289" i="1" s="1"/>
  <c r="BF289" i="1" s="1"/>
  <c r="AR289" i="1" s="1"/>
  <c r="AT289" i="1" s="1"/>
  <c r="M295" i="1"/>
  <c r="N295" i="1"/>
  <c r="AI57" i="1"/>
  <c r="AO57" i="1" s="1"/>
  <c r="AP57" i="1" s="1"/>
  <c r="AQ57" i="1" s="1"/>
  <c r="BF57" i="1" s="1"/>
  <c r="AR57" i="1" s="1"/>
  <c r="AT57" i="1" s="1"/>
  <c r="AI60" i="1"/>
  <c r="AO60" i="1" s="1"/>
  <c r="AP60" i="1" s="1"/>
  <c r="AQ60" i="1" s="1"/>
  <c r="BF60" i="1" s="1"/>
  <c r="AR60" i="1" s="1"/>
  <c r="AT60" i="1" s="1"/>
  <c r="N62" i="1"/>
  <c r="M62" i="1"/>
  <c r="O62" i="1" s="1"/>
  <c r="AI72" i="1"/>
  <c r="AO72" i="1" s="1"/>
  <c r="AP72" i="1" s="1"/>
  <c r="AQ72" i="1" s="1"/>
  <c r="BF72" i="1" s="1"/>
  <c r="AR72" i="1" s="1"/>
  <c r="AT72" i="1" s="1"/>
  <c r="BI72" i="1"/>
  <c r="AW72" i="1"/>
  <c r="N87" i="1"/>
  <c r="O87" i="1" s="1"/>
  <c r="AI90" i="1"/>
  <c r="AO90" i="1" s="1"/>
  <c r="AP90" i="1" s="1"/>
  <c r="AQ90" i="1" s="1"/>
  <c r="BF90" i="1" s="1"/>
  <c r="AR90" i="1" s="1"/>
  <c r="AT90" i="1" s="1"/>
  <c r="AI96" i="1"/>
  <c r="AO96" i="1" s="1"/>
  <c r="AP96" i="1" s="1"/>
  <c r="AQ96" i="1" s="1"/>
  <c r="BF96" i="1" s="1"/>
  <c r="AR96" i="1" s="1"/>
  <c r="AT96" i="1" s="1"/>
  <c r="N101" i="1"/>
  <c r="O101" i="1" s="1"/>
  <c r="AI105" i="1"/>
  <c r="AO105" i="1" s="1"/>
  <c r="AP105" i="1" s="1"/>
  <c r="AQ105" i="1" s="1"/>
  <c r="BF105" i="1" s="1"/>
  <c r="AR105" i="1" s="1"/>
  <c r="AT105" i="1" s="1"/>
  <c r="AI109" i="1"/>
  <c r="AO109" i="1" s="1"/>
  <c r="AP109" i="1" s="1"/>
  <c r="AQ109" i="1" s="1"/>
  <c r="BF109" i="1" s="1"/>
  <c r="AR109" i="1" s="1"/>
  <c r="AT109" i="1" s="1"/>
  <c r="AI111" i="1"/>
  <c r="AO111" i="1" s="1"/>
  <c r="AP111" i="1" s="1"/>
  <c r="AQ111" i="1" s="1"/>
  <c r="BF111" i="1" s="1"/>
  <c r="AR111" i="1" s="1"/>
  <c r="AT111" i="1" s="1"/>
  <c r="M116" i="1"/>
  <c r="O116" i="1" s="1"/>
  <c r="M123" i="1"/>
  <c r="O123" i="1" s="1"/>
  <c r="N125" i="1"/>
  <c r="O125" i="1" s="1"/>
  <c r="AI127" i="1"/>
  <c r="AO127" i="1" s="1"/>
  <c r="AP127" i="1" s="1"/>
  <c r="AQ127" i="1" s="1"/>
  <c r="BF127" i="1" s="1"/>
  <c r="AR127" i="1" s="1"/>
  <c r="AT127" i="1" s="1"/>
  <c r="M132" i="1"/>
  <c r="N132" i="1"/>
  <c r="N140" i="1"/>
  <c r="O140" i="1" s="1"/>
  <c r="AI145" i="1"/>
  <c r="AO145" i="1" s="1"/>
  <c r="AP145" i="1" s="1"/>
  <c r="AQ145" i="1" s="1"/>
  <c r="BF145" i="1" s="1"/>
  <c r="AR145" i="1" s="1"/>
  <c r="AT145" i="1" s="1"/>
  <c r="N147" i="1"/>
  <c r="M147" i="1"/>
  <c r="O147" i="1" s="1"/>
  <c r="N148" i="1"/>
  <c r="O148" i="1" s="1"/>
  <c r="M150" i="1"/>
  <c r="O150" i="1" s="1"/>
  <c r="M153" i="1"/>
  <c r="N153" i="1"/>
  <c r="N177" i="1"/>
  <c r="O177" i="1" s="1"/>
  <c r="N180" i="1"/>
  <c r="M180" i="1"/>
  <c r="AI189" i="1"/>
  <c r="AO189" i="1" s="1"/>
  <c r="AP189" i="1" s="1"/>
  <c r="AQ189" i="1" s="1"/>
  <c r="BF189" i="1" s="1"/>
  <c r="AR189" i="1" s="1"/>
  <c r="AT189" i="1" s="1"/>
  <c r="AI197" i="1"/>
  <c r="AO197" i="1" s="1"/>
  <c r="AP197" i="1" s="1"/>
  <c r="AQ197" i="1" s="1"/>
  <c r="BF197" i="1" s="1"/>
  <c r="AR197" i="1" s="1"/>
  <c r="AT197" i="1" s="1"/>
  <c r="AI201" i="1"/>
  <c r="AO201" i="1" s="1"/>
  <c r="AP201" i="1" s="1"/>
  <c r="AQ201" i="1" s="1"/>
  <c r="BF201" i="1" s="1"/>
  <c r="AR201" i="1" s="1"/>
  <c r="AT201" i="1" s="1"/>
  <c r="AI206" i="1"/>
  <c r="AO206" i="1" s="1"/>
  <c r="AP206" i="1" s="1"/>
  <c r="AQ206" i="1" s="1"/>
  <c r="BF206" i="1" s="1"/>
  <c r="AR206" i="1" s="1"/>
  <c r="AI210" i="1"/>
  <c r="AO210" i="1" s="1"/>
  <c r="AP210" i="1" s="1"/>
  <c r="AQ210" i="1" s="1"/>
  <c r="BF210" i="1" s="1"/>
  <c r="AR210" i="1" s="1"/>
  <c r="AT210" i="1" s="1"/>
  <c r="M233" i="1"/>
  <c r="O233" i="1" s="1"/>
  <c r="N233" i="1"/>
  <c r="M238" i="1"/>
  <c r="N238" i="1"/>
  <c r="M264" i="1"/>
  <c r="O264" i="1" s="1"/>
  <c r="AI271" i="1"/>
  <c r="AO271" i="1" s="1"/>
  <c r="AP271" i="1" s="1"/>
  <c r="AQ271" i="1" s="1"/>
  <c r="BF271" i="1" s="1"/>
  <c r="AR271" i="1" s="1"/>
  <c r="AT271" i="1" s="1"/>
  <c r="AZ271" i="1" s="1"/>
  <c r="N272" i="1"/>
  <c r="M272" i="1"/>
  <c r="O272" i="1" s="1"/>
  <c r="M285" i="1"/>
  <c r="O285" i="1" s="1"/>
  <c r="N286" i="1"/>
  <c r="O286" i="1" s="1"/>
  <c r="N298" i="1"/>
  <c r="M298" i="1"/>
  <c r="O298" i="1" s="1"/>
  <c r="AI300" i="1"/>
  <c r="AO300" i="1" s="1"/>
  <c r="AP300" i="1" s="1"/>
  <c r="AQ300" i="1" s="1"/>
  <c r="BF300" i="1" s="1"/>
  <c r="AR300" i="1" s="1"/>
  <c r="AT300" i="1" s="1"/>
  <c r="AI307" i="1"/>
  <c r="AO307" i="1" s="1"/>
  <c r="AP307" i="1" s="1"/>
  <c r="AQ307" i="1" s="1"/>
  <c r="BF307" i="1" s="1"/>
  <c r="AR307" i="1" s="1"/>
  <c r="AT307" i="1" s="1"/>
  <c r="AI13" i="1"/>
  <c r="AO13" i="1" s="1"/>
  <c r="AP13" i="1" s="1"/>
  <c r="AQ13" i="1" s="1"/>
  <c r="BF13" i="1" s="1"/>
  <c r="AR13" i="1" s="1"/>
  <c r="AT13" i="1" s="1"/>
  <c r="AI17" i="1"/>
  <c r="AO17" i="1" s="1"/>
  <c r="AP17" i="1" s="1"/>
  <c r="AQ17" i="1" s="1"/>
  <c r="BF17" i="1" s="1"/>
  <c r="AR17" i="1" s="1"/>
  <c r="AT17" i="1" s="1"/>
  <c r="AI23" i="1"/>
  <c r="AO23" i="1" s="1"/>
  <c r="AP23" i="1" s="1"/>
  <c r="AQ23" i="1" s="1"/>
  <c r="BF23" i="1" s="1"/>
  <c r="AR23" i="1" s="1"/>
  <c r="AT23" i="1" s="1"/>
  <c r="AI31" i="1"/>
  <c r="AO31" i="1" s="1"/>
  <c r="AP31" i="1" s="1"/>
  <c r="AQ31" i="1" s="1"/>
  <c r="BF31" i="1" s="1"/>
  <c r="AR31" i="1" s="1"/>
  <c r="AT31" i="1" s="1"/>
  <c r="AI61" i="1"/>
  <c r="AO61" i="1" s="1"/>
  <c r="AP61" i="1" s="1"/>
  <c r="AQ61" i="1" s="1"/>
  <c r="BF61" i="1" s="1"/>
  <c r="AR61" i="1" s="1"/>
  <c r="AT61" i="1" s="1"/>
  <c r="AI64" i="1"/>
  <c r="AO64" i="1" s="1"/>
  <c r="AP64" i="1" s="1"/>
  <c r="AQ64" i="1" s="1"/>
  <c r="BF64" i="1" s="1"/>
  <c r="AR64" i="1" s="1"/>
  <c r="AI77" i="1"/>
  <c r="AO77" i="1" s="1"/>
  <c r="AP77" i="1" s="1"/>
  <c r="AQ77" i="1" s="1"/>
  <c r="BF77" i="1" s="1"/>
  <c r="AR77" i="1" s="1"/>
  <c r="AT77" i="1" s="1"/>
  <c r="AI84" i="1"/>
  <c r="AO84" i="1" s="1"/>
  <c r="AP84" i="1" s="1"/>
  <c r="AQ84" i="1" s="1"/>
  <c r="BF84" i="1" s="1"/>
  <c r="AR84" i="1" s="1"/>
  <c r="AT84" i="1" s="1"/>
  <c r="AI85" i="1"/>
  <c r="AO85" i="1" s="1"/>
  <c r="AP85" i="1" s="1"/>
  <c r="AQ85" i="1" s="1"/>
  <c r="BF85" i="1" s="1"/>
  <c r="AR85" i="1" s="1"/>
  <c r="AT85" i="1" s="1"/>
  <c r="AI86" i="1"/>
  <c r="AO86" i="1" s="1"/>
  <c r="AP86" i="1" s="1"/>
  <c r="AQ86" i="1" s="1"/>
  <c r="BF86" i="1" s="1"/>
  <c r="AR86" i="1" s="1"/>
  <c r="AT86" i="1" s="1"/>
  <c r="AI92" i="1"/>
  <c r="AO92" i="1" s="1"/>
  <c r="AP92" i="1" s="1"/>
  <c r="AQ92" i="1" s="1"/>
  <c r="BF92" i="1" s="1"/>
  <c r="AR92" i="1" s="1"/>
  <c r="AT92" i="1" s="1"/>
  <c r="AI141" i="1"/>
  <c r="AO141" i="1" s="1"/>
  <c r="AP141" i="1" s="1"/>
  <c r="AQ141" i="1" s="1"/>
  <c r="BF141" i="1" s="1"/>
  <c r="AR141" i="1" s="1"/>
  <c r="AT141" i="1" s="1"/>
  <c r="AI144" i="1"/>
  <c r="AO144" i="1" s="1"/>
  <c r="AP144" i="1" s="1"/>
  <c r="AQ144" i="1" s="1"/>
  <c r="BF144" i="1" s="1"/>
  <c r="AR144" i="1" s="1"/>
  <c r="AT144" i="1" s="1"/>
  <c r="AI148" i="1"/>
  <c r="AO148" i="1" s="1"/>
  <c r="AP148" i="1" s="1"/>
  <c r="AQ148" i="1" s="1"/>
  <c r="BF148" i="1" s="1"/>
  <c r="AR148" i="1" s="1"/>
  <c r="AT148" i="1" s="1"/>
  <c r="AI150" i="1"/>
  <c r="AO150" i="1" s="1"/>
  <c r="AP150" i="1" s="1"/>
  <c r="AQ150" i="1" s="1"/>
  <c r="AI155" i="1"/>
  <c r="AO155" i="1" s="1"/>
  <c r="AP155" i="1" s="1"/>
  <c r="AQ155" i="1" s="1"/>
  <c r="BF155" i="1" s="1"/>
  <c r="AR155" i="1" s="1"/>
  <c r="AT155" i="1" s="1"/>
  <c r="AI165" i="1"/>
  <c r="AO165" i="1" s="1"/>
  <c r="AP165" i="1" s="1"/>
  <c r="AQ165" i="1" s="1"/>
  <c r="BF165" i="1" s="1"/>
  <c r="AR165" i="1" s="1"/>
  <c r="AI173" i="1"/>
  <c r="AO173" i="1" s="1"/>
  <c r="AP173" i="1" s="1"/>
  <c r="AQ173" i="1" s="1"/>
  <c r="BF173" i="1" s="1"/>
  <c r="AR173" i="1" s="1"/>
  <c r="AT173" i="1" s="1"/>
  <c r="AI193" i="1"/>
  <c r="AO193" i="1" s="1"/>
  <c r="AP193" i="1" s="1"/>
  <c r="AQ193" i="1" s="1"/>
  <c r="BF193" i="1" s="1"/>
  <c r="AR193" i="1" s="1"/>
  <c r="AT193" i="1" s="1"/>
  <c r="AI211" i="1"/>
  <c r="AO211" i="1" s="1"/>
  <c r="AP211" i="1" s="1"/>
  <c r="AQ211" i="1" s="1"/>
  <c r="BF211" i="1" s="1"/>
  <c r="AR211" i="1" s="1"/>
  <c r="AT211" i="1" s="1"/>
  <c r="N213" i="1"/>
  <c r="M213" i="1"/>
  <c r="O213" i="1" s="1"/>
  <c r="N218" i="1"/>
  <c r="M218" i="1"/>
  <c r="AI241" i="1"/>
  <c r="AO241" i="1" s="1"/>
  <c r="AP241" i="1" s="1"/>
  <c r="AQ241" i="1" s="1"/>
  <c r="BF241" i="1" s="1"/>
  <c r="AR241" i="1" s="1"/>
  <c r="AT241" i="1" s="1"/>
  <c r="M242" i="1"/>
  <c r="N242" i="1"/>
  <c r="N246" i="1"/>
  <c r="M246" i="1"/>
  <c r="N266" i="1"/>
  <c r="M266" i="1"/>
  <c r="AI310" i="1"/>
  <c r="AO310" i="1" s="1"/>
  <c r="AP310" i="1" s="1"/>
  <c r="AQ310" i="1" s="1"/>
  <c r="BF310" i="1" s="1"/>
  <c r="AR310" i="1" s="1"/>
  <c r="AT310" i="1" s="1"/>
  <c r="AI219" i="1"/>
  <c r="AO219" i="1" s="1"/>
  <c r="AP219" i="1" s="1"/>
  <c r="AQ219" i="1" s="1"/>
  <c r="BF219" i="1" s="1"/>
  <c r="AR219" i="1" s="1"/>
  <c r="AT219" i="1" s="1"/>
  <c r="AI224" i="1"/>
  <c r="AO224" i="1" s="1"/>
  <c r="AP224" i="1" s="1"/>
  <c r="AQ224" i="1" s="1"/>
  <c r="BF224" i="1" s="1"/>
  <c r="AR224" i="1" s="1"/>
  <c r="AT224" i="1" s="1"/>
  <c r="AI234" i="1"/>
  <c r="AO234" i="1" s="1"/>
  <c r="AP234" i="1" s="1"/>
  <c r="AQ234" i="1" s="1"/>
  <c r="BF234" i="1" s="1"/>
  <c r="AR234" i="1" s="1"/>
  <c r="AT234" i="1" s="1"/>
  <c r="AI237" i="1"/>
  <c r="AO237" i="1" s="1"/>
  <c r="AP237" i="1" s="1"/>
  <c r="AQ237" i="1" s="1"/>
  <c r="BF237" i="1" s="1"/>
  <c r="AR237" i="1" s="1"/>
  <c r="AT237" i="1" s="1"/>
  <c r="AI255" i="1"/>
  <c r="AO255" i="1" s="1"/>
  <c r="AP255" i="1" s="1"/>
  <c r="AQ255" i="1" s="1"/>
  <c r="BF255" i="1" s="1"/>
  <c r="AR255" i="1" s="1"/>
  <c r="AT255" i="1" s="1"/>
  <c r="AI278" i="1"/>
  <c r="AO278" i="1" s="1"/>
  <c r="AP278" i="1" s="1"/>
  <c r="AQ278" i="1" s="1"/>
  <c r="BF278" i="1" s="1"/>
  <c r="AR278" i="1" s="1"/>
  <c r="AT278" i="1" s="1"/>
  <c r="AI280" i="1"/>
  <c r="AO280" i="1" s="1"/>
  <c r="AP280" i="1" s="1"/>
  <c r="AQ280" i="1" s="1"/>
  <c r="BF280" i="1" s="1"/>
  <c r="AR280" i="1" s="1"/>
  <c r="AT280" i="1" s="1"/>
  <c r="AI283" i="1"/>
  <c r="AO283" i="1" s="1"/>
  <c r="AP283" i="1" s="1"/>
  <c r="AQ283" i="1" s="1"/>
  <c r="BF283" i="1" s="1"/>
  <c r="AR283" i="1" s="1"/>
  <c r="AT283" i="1" s="1"/>
  <c r="AI286" i="1"/>
  <c r="AO286" i="1" s="1"/>
  <c r="AP286" i="1" s="1"/>
  <c r="AQ286" i="1" s="1"/>
  <c r="BF286" i="1" s="1"/>
  <c r="AR286" i="1" s="1"/>
  <c r="AT286" i="1" s="1"/>
  <c r="AI287" i="1"/>
  <c r="AO287" i="1" s="1"/>
  <c r="AP287" i="1" s="1"/>
  <c r="AQ287" i="1" s="1"/>
  <c r="BF287" i="1" s="1"/>
  <c r="AR287" i="1" s="1"/>
  <c r="AT287" i="1" s="1"/>
  <c r="AI288" i="1"/>
  <c r="AO288" i="1" s="1"/>
  <c r="AP288" i="1" s="1"/>
  <c r="AQ288" i="1" s="1"/>
  <c r="BF288" i="1" s="1"/>
  <c r="AR288" i="1" s="1"/>
  <c r="AT288" i="1" s="1"/>
  <c r="AI291" i="1"/>
  <c r="AO291" i="1" s="1"/>
  <c r="AP291" i="1" s="1"/>
  <c r="AQ291" i="1" s="1"/>
  <c r="BF291" i="1" s="1"/>
  <c r="AR291" i="1" s="1"/>
  <c r="AT291" i="1" s="1"/>
  <c r="AI292" i="1"/>
  <c r="AO292" i="1" s="1"/>
  <c r="AP292" i="1" s="1"/>
  <c r="AQ292" i="1" s="1"/>
  <c r="BF292" i="1" s="1"/>
  <c r="AR292" i="1" s="1"/>
  <c r="AT292" i="1" s="1"/>
  <c r="AI293" i="1"/>
  <c r="AO293" i="1" s="1"/>
  <c r="AP293" i="1" s="1"/>
  <c r="AQ293" i="1" s="1"/>
  <c r="BF293" i="1" s="1"/>
  <c r="AR293" i="1" s="1"/>
  <c r="AT293" i="1" s="1"/>
  <c r="AI294" i="1"/>
  <c r="AO294" i="1" s="1"/>
  <c r="AP294" i="1" s="1"/>
  <c r="AQ294" i="1" s="1"/>
  <c r="BF294" i="1" s="1"/>
  <c r="AR294" i="1" s="1"/>
  <c r="AT294" i="1" s="1"/>
  <c r="AI301" i="1"/>
  <c r="AO301" i="1" s="1"/>
  <c r="AP301" i="1" s="1"/>
  <c r="AQ301" i="1" s="1"/>
  <c r="BF301" i="1" s="1"/>
  <c r="AR301" i="1" s="1"/>
  <c r="AT301" i="1" s="1"/>
  <c r="AI308" i="1"/>
  <c r="AO308" i="1" s="1"/>
  <c r="AP308" i="1" s="1"/>
  <c r="AQ308" i="1" s="1"/>
  <c r="BF308" i="1" s="1"/>
  <c r="AR308" i="1" s="1"/>
  <c r="AT308" i="1" s="1"/>
  <c r="AI313" i="1"/>
  <c r="AO313" i="1" s="1"/>
  <c r="AP313" i="1" s="1"/>
  <c r="AQ313" i="1" s="1"/>
  <c r="BF313" i="1" s="1"/>
  <c r="AR313" i="1" s="1"/>
  <c r="AT313" i="1" s="1"/>
  <c r="N315" i="1"/>
  <c r="AI316" i="1"/>
  <c r="AO316" i="1" s="1"/>
  <c r="AP316" i="1" s="1"/>
  <c r="AQ316" i="1" s="1"/>
  <c r="BF316" i="1" s="1"/>
  <c r="AR316" i="1" s="1"/>
  <c r="AT316" i="1" s="1"/>
  <c r="N319" i="1"/>
  <c r="AI321" i="1"/>
  <c r="AO321" i="1" s="1"/>
  <c r="AP321" i="1" s="1"/>
  <c r="AQ321" i="1" s="1"/>
  <c r="BF321" i="1" s="1"/>
  <c r="AR321" i="1" s="1"/>
  <c r="AT321" i="1" s="1"/>
  <c r="AI327" i="1"/>
  <c r="AO327" i="1" s="1"/>
  <c r="AP327" i="1" s="1"/>
  <c r="AQ327" i="1" s="1"/>
  <c r="BF327" i="1" s="1"/>
  <c r="AR327" i="1" s="1"/>
  <c r="AT327" i="1" s="1"/>
  <c r="M336" i="1"/>
  <c r="O336" i="1" s="1"/>
  <c r="N337" i="1"/>
  <c r="O337" i="1" s="1"/>
  <c r="M338" i="1"/>
  <c r="O338" i="1" s="1"/>
  <c r="M340" i="1"/>
  <c r="O340" i="1" s="1"/>
  <c r="M341" i="1"/>
  <c r="O341" i="1" s="1"/>
  <c r="AI341" i="1"/>
  <c r="AO341" i="1" s="1"/>
  <c r="AP341" i="1" s="1"/>
  <c r="AQ341" i="1" s="1"/>
  <c r="BF341" i="1" s="1"/>
  <c r="AR341" i="1" s="1"/>
  <c r="AT341" i="1" s="1"/>
  <c r="AI343" i="1"/>
  <c r="AO343" i="1" s="1"/>
  <c r="AP343" i="1" s="1"/>
  <c r="AQ343" i="1" s="1"/>
  <c r="BF343" i="1" s="1"/>
  <c r="AR343" i="1" s="1"/>
  <c r="AT343" i="1" s="1"/>
  <c r="M345" i="1"/>
  <c r="O345" i="1" s="1"/>
  <c r="N314" i="1"/>
  <c r="O314" i="1" s="1"/>
  <c r="M318" i="1"/>
  <c r="M320" i="1"/>
  <c r="M323" i="1"/>
  <c r="O323" i="1" s="1"/>
  <c r="N324" i="1"/>
  <c r="O324" i="1" s="1"/>
  <c r="M325" i="1"/>
  <c r="O325" i="1" s="1"/>
  <c r="AI325" i="1"/>
  <c r="AO325" i="1" s="1"/>
  <c r="AP325" i="1" s="1"/>
  <c r="AQ325" i="1" s="1"/>
  <c r="BF325" i="1" s="1"/>
  <c r="AR325" i="1" s="1"/>
  <c r="AT325" i="1" s="1"/>
  <c r="AI333" i="1"/>
  <c r="AO333" i="1" s="1"/>
  <c r="AP333" i="1" s="1"/>
  <c r="AQ333" i="1" s="1"/>
  <c r="BF333" i="1" s="1"/>
  <c r="AR333" i="1" s="1"/>
  <c r="M335" i="1"/>
  <c r="O335" i="1" s="1"/>
  <c r="AI318" i="1"/>
  <c r="AO318" i="1" s="1"/>
  <c r="AP318" i="1" s="1"/>
  <c r="AQ318" i="1" s="1"/>
  <c r="BF318" i="1" s="1"/>
  <c r="AR318" i="1" s="1"/>
  <c r="AT318" i="1" s="1"/>
  <c r="M327" i="1"/>
  <c r="O327" i="1" s="1"/>
  <c r="N328" i="1"/>
  <c r="O328" i="1" s="1"/>
  <c r="AI329" i="1"/>
  <c r="AO329" i="1" s="1"/>
  <c r="AP329" i="1" s="1"/>
  <c r="AQ329" i="1" s="1"/>
  <c r="BF329" i="1" s="1"/>
  <c r="AR329" i="1" s="1"/>
  <c r="AT329" i="1" s="1"/>
  <c r="M334" i="1"/>
  <c r="O334" i="1" s="1"/>
  <c r="AI335" i="1"/>
  <c r="AO335" i="1" s="1"/>
  <c r="AP335" i="1" s="1"/>
  <c r="AQ335" i="1" s="1"/>
  <c r="BF335" i="1" s="1"/>
  <c r="AR335" i="1" s="1"/>
  <c r="AT335" i="1" s="1"/>
  <c r="AI336" i="1"/>
  <c r="AO336" i="1" s="1"/>
  <c r="AP336" i="1" s="1"/>
  <c r="AQ336" i="1" s="1"/>
  <c r="BF336" i="1" s="1"/>
  <c r="AR336" i="1" s="1"/>
  <c r="AT336" i="1" s="1"/>
  <c r="AI338" i="1"/>
  <c r="AO338" i="1" s="1"/>
  <c r="AP338" i="1" s="1"/>
  <c r="AQ338" i="1" s="1"/>
  <c r="BF338" i="1" s="1"/>
  <c r="AR338" i="1" s="1"/>
  <c r="AT338" i="1" s="1"/>
  <c r="M343" i="1"/>
  <c r="O343" i="1" s="1"/>
  <c r="AP349" i="1"/>
  <c r="AQ349" i="1" s="1"/>
  <c r="BF349" i="1" s="1"/>
  <c r="AR349" i="1" s="1"/>
  <c r="AT349" i="1" s="1"/>
  <c r="AP3" i="1"/>
  <c r="AQ3" i="1" s="1"/>
  <c r="AA351" i="1"/>
  <c r="N5" i="1"/>
  <c r="O5" i="1" s="1"/>
  <c r="N7" i="1"/>
  <c r="O7" i="1" s="1"/>
  <c r="M9" i="1"/>
  <c r="O9" i="1" s="1"/>
  <c r="AI9" i="1"/>
  <c r="AO9" i="1" s="1"/>
  <c r="AP9" i="1" s="1"/>
  <c r="AQ9" i="1" s="1"/>
  <c r="BF9" i="1" s="1"/>
  <c r="AR9" i="1" s="1"/>
  <c r="AT9" i="1" s="1"/>
  <c r="M10" i="1"/>
  <c r="O10" i="1" s="1"/>
  <c r="AW13" i="1"/>
  <c r="M16" i="1"/>
  <c r="O16" i="1" s="1"/>
  <c r="AW17" i="1"/>
  <c r="M20" i="1"/>
  <c r="O20" i="1" s="1"/>
  <c r="AI20" i="1"/>
  <c r="AO20" i="1" s="1"/>
  <c r="AP20" i="1" s="1"/>
  <c r="AQ20" i="1" s="1"/>
  <c r="BF20" i="1" s="1"/>
  <c r="AR20" i="1" s="1"/>
  <c r="AT20" i="1" s="1"/>
  <c r="M21" i="1"/>
  <c r="O21" i="1" s="1"/>
  <c r="AI21" i="1"/>
  <c r="AO21" i="1" s="1"/>
  <c r="AP21" i="1" s="1"/>
  <c r="AQ21" i="1" s="1"/>
  <c r="BF21" i="1" s="1"/>
  <c r="AR21" i="1" s="1"/>
  <c r="AT21" i="1" s="1"/>
  <c r="M22" i="1"/>
  <c r="O22" i="1" s="1"/>
  <c r="AW23" i="1"/>
  <c r="AW24" i="1"/>
  <c r="AW25" i="1"/>
  <c r="M28" i="1"/>
  <c r="O28" i="1" s="1"/>
  <c r="AI28" i="1"/>
  <c r="AO28" i="1" s="1"/>
  <c r="AP28" i="1" s="1"/>
  <c r="AQ28" i="1" s="1"/>
  <c r="BF28" i="1" s="1"/>
  <c r="AR28" i="1" s="1"/>
  <c r="AT28" i="1" s="1"/>
  <c r="M29" i="1"/>
  <c r="O29" i="1" s="1"/>
  <c r="AI29" i="1"/>
  <c r="AO29" i="1" s="1"/>
  <c r="AP29" i="1" s="1"/>
  <c r="AQ29" i="1" s="1"/>
  <c r="BF29" i="1" s="1"/>
  <c r="AR29" i="1" s="1"/>
  <c r="AT29" i="1" s="1"/>
  <c r="M30" i="1"/>
  <c r="O30" i="1" s="1"/>
  <c r="AW31" i="1"/>
  <c r="AW32" i="1"/>
  <c r="M34" i="1"/>
  <c r="O34" i="1" s="1"/>
  <c r="AI34" i="1"/>
  <c r="AO34" i="1" s="1"/>
  <c r="AP34" i="1" s="1"/>
  <c r="AQ34" i="1" s="1"/>
  <c r="BF34" i="1" s="1"/>
  <c r="AR34" i="1" s="1"/>
  <c r="AT34" i="1" s="1"/>
  <c r="BI34" i="1"/>
  <c r="M36" i="1"/>
  <c r="O36" i="1" s="1"/>
  <c r="AI36" i="1"/>
  <c r="AO36" i="1" s="1"/>
  <c r="AP36" i="1" s="1"/>
  <c r="AQ36" i="1" s="1"/>
  <c r="BF36" i="1" s="1"/>
  <c r="AR36" i="1" s="1"/>
  <c r="AT36" i="1" s="1"/>
  <c r="M37" i="1"/>
  <c r="O37" i="1" s="1"/>
  <c r="AI37" i="1"/>
  <c r="AO37" i="1" s="1"/>
  <c r="AP37" i="1" s="1"/>
  <c r="AQ37" i="1" s="1"/>
  <c r="BF37" i="1" s="1"/>
  <c r="AR37" i="1" s="1"/>
  <c r="AT37" i="1" s="1"/>
  <c r="M38" i="1"/>
  <c r="O38" i="1" s="1"/>
  <c r="AI38" i="1"/>
  <c r="AO38" i="1" s="1"/>
  <c r="AP38" i="1" s="1"/>
  <c r="AQ38" i="1" s="1"/>
  <c r="BF38" i="1" s="1"/>
  <c r="AR38" i="1" s="1"/>
  <c r="AT38" i="1" s="1"/>
  <c r="M39" i="1"/>
  <c r="O39" i="1" s="1"/>
  <c r="AI39" i="1"/>
  <c r="AO39" i="1" s="1"/>
  <c r="AP39" i="1" s="1"/>
  <c r="AQ39" i="1" s="1"/>
  <c r="BF39" i="1" s="1"/>
  <c r="AR39" i="1" s="1"/>
  <c r="AT39" i="1" s="1"/>
  <c r="M40" i="1"/>
  <c r="O40" i="1" s="1"/>
  <c r="AI40" i="1"/>
  <c r="AO40" i="1" s="1"/>
  <c r="AP40" i="1" s="1"/>
  <c r="AQ40" i="1" s="1"/>
  <c r="BF40" i="1" s="1"/>
  <c r="AR40" i="1" s="1"/>
  <c r="AT40" i="1" s="1"/>
  <c r="M41" i="1"/>
  <c r="O41" i="1" s="1"/>
  <c r="AI41" i="1"/>
  <c r="AO41" i="1" s="1"/>
  <c r="AP41" i="1" s="1"/>
  <c r="AQ41" i="1" s="1"/>
  <c r="BF41" i="1" s="1"/>
  <c r="AR41" i="1" s="1"/>
  <c r="AT41" i="1" s="1"/>
  <c r="M42" i="1"/>
  <c r="O42" i="1" s="1"/>
  <c r="AI42" i="1"/>
  <c r="AO42" i="1" s="1"/>
  <c r="AP42" i="1" s="1"/>
  <c r="AQ42" i="1" s="1"/>
  <c r="BF42" i="1" s="1"/>
  <c r="AR42" i="1" s="1"/>
  <c r="M43" i="1"/>
  <c r="O43" i="1" s="1"/>
  <c r="AI43" i="1"/>
  <c r="AO43" i="1" s="1"/>
  <c r="AP43" i="1" s="1"/>
  <c r="AQ43" i="1" s="1"/>
  <c r="BF43" i="1" s="1"/>
  <c r="AR43" i="1" s="1"/>
  <c r="AT43" i="1" s="1"/>
  <c r="M44" i="1"/>
  <c r="O44" i="1" s="1"/>
  <c r="AI44" i="1"/>
  <c r="AO44" i="1" s="1"/>
  <c r="AP44" i="1" s="1"/>
  <c r="AQ44" i="1" s="1"/>
  <c r="BF44" i="1" s="1"/>
  <c r="AR44" i="1" s="1"/>
  <c r="AT44" i="1" s="1"/>
  <c r="M45" i="1"/>
  <c r="O45" i="1" s="1"/>
  <c r="AI45" i="1"/>
  <c r="AO45" i="1" s="1"/>
  <c r="AP45" i="1" s="1"/>
  <c r="AQ45" i="1" s="1"/>
  <c r="BF45" i="1" s="1"/>
  <c r="AR45" i="1" s="1"/>
  <c r="AT45" i="1" s="1"/>
  <c r="M46" i="1"/>
  <c r="O46" i="1" s="1"/>
  <c r="N47" i="1"/>
  <c r="O47" i="1" s="1"/>
  <c r="AW48" i="1"/>
  <c r="N51" i="1"/>
  <c r="O51" i="1" s="1"/>
  <c r="AI55" i="1"/>
  <c r="AO55" i="1" s="1"/>
  <c r="AP55" i="1" s="1"/>
  <c r="AQ55" i="1" s="1"/>
  <c r="BF55" i="1" s="1"/>
  <c r="AR55" i="1" s="1"/>
  <c r="AT55" i="1" s="1"/>
  <c r="M56" i="1"/>
  <c r="O56" i="1" s="1"/>
  <c r="AI59" i="1"/>
  <c r="AO59" i="1" s="1"/>
  <c r="AP59" i="1" s="1"/>
  <c r="AQ59" i="1" s="1"/>
  <c r="BF59" i="1" s="1"/>
  <c r="AR59" i="1" s="1"/>
  <c r="M60" i="1"/>
  <c r="O60" i="1" s="1"/>
  <c r="AI63" i="1"/>
  <c r="AO63" i="1" s="1"/>
  <c r="AP63" i="1" s="1"/>
  <c r="AQ63" i="1" s="1"/>
  <c r="BF63" i="1" s="1"/>
  <c r="AR63" i="1" s="1"/>
  <c r="M64" i="1"/>
  <c r="O64" i="1" s="1"/>
  <c r="AI67" i="1"/>
  <c r="AO67" i="1" s="1"/>
  <c r="AP67" i="1" s="1"/>
  <c r="AQ67" i="1" s="1"/>
  <c r="BF67" i="1" s="1"/>
  <c r="AR67" i="1" s="1"/>
  <c r="M68" i="1"/>
  <c r="O68" i="1" s="1"/>
  <c r="AI71" i="1"/>
  <c r="AO71" i="1" s="1"/>
  <c r="AP71" i="1" s="1"/>
  <c r="AQ71" i="1" s="1"/>
  <c r="BF71" i="1" s="1"/>
  <c r="AR71" i="1" s="1"/>
  <c r="M72" i="1"/>
  <c r="O72" i="1" s="1"/>
  <c r="AI75" i="1"/>
  <c r="AO75" i="1" s="1"/>
  <c r="AP75" i="1" s="1"/>
  <c r="AQ75" i="1" s="1"/>
  <c r="BF75" i="1" s="1"/>
  <c r="AR75" i="1" s="1"/>
  <c r="M76" i="1"/>
  <c r="O76" i="1" s="1"/>
  <c r="AW81" i="1"/>
  <c r="BF2" i="1"/>
  <c r="AR2" i="1" s="1"/>
  <c r="AT2" i="1" s="1"/>
  <c r="BI4" i="1"/>
  <c r="AW4" i="1"/>
  <c r="AI6" i="1"/>
  <c r="AO6" i="1" s="1"/>
  <c r="AP6" i="1" s="1"/>
  <c r="AQ6" i="1" s="1"/>
  <c r="BF6" i="1" s="1"/>
  <c r="AR6" i="1" s="1"/>
  <c r="AT6" i="1" s="1"/>
  <c r="BI6" i="1"/>
  <c r="BI7" i="1"/>
  <c r="M11" i="1"/>
  <c r="O11" i="1" s="1"/>
  <c r="AI11" i="1"/>
  <c r="AO11" i="1" s="1"/>
  <c r="AP11" i="1" s="1"/>
  <c r="AQ11" i="1" s="1"/>
  <c r="BF11" i="1" s="1"/>
  <c r="AR11" i="1" s="1"/>
  <c r="AT11" i="1" s="1"/>
  <c r="M12" i="1"/>
  <c r="O12" i="1" s="1"/>
  <c r="AI12" i="1"/>
  <c r="AO12" i="1" s="1"/>
  <c r="AP12" i="1" s="1"/>
  <c r="AQ12" i="1" s="1"/>
  <c r="BF12" i="1" s="1"/>
  <c r="AR12" i="1" s="1"/>
  <c r="AT12" i="1" s="1"/>
  <c r="M13" i="1"/>
  <c r="O13" i="1" s="1"/>
  <c r="AW14" i="1"/>
  <c r="M17" i="1"/>
  <c r="O17" i="1" s="1"/>
  <c r="AW18" i="1"/>
  <c r="M23" i="1"/>
  <c r="O23" i="1" s="1"/>
  <c r="AW26" i="1"/>
  <c r="M31" i="1"/>
  <c r="O31" i="1" s="1"/>
  <c r="M35" i="1"/>
  <c r="O35" i="1" s="1"/>
  <c r="AI35" i="1"/>
  <c r="AO35" i="1" s="1"/>
  <c r="AP35" i="1" s="1"/>
  <c r="AQ35" i="1" s="1"/>
  <c r="BF35" i="1" s="1"/>
  <c r="AR35" i="1" s="1"/>
  <c r="AT35" i="1" s="1"/>
  <c r="AW47" i="1"/>
  <c r="N50" i="1"/>
  <c r="O50" i="1" s="1"/>
  <c r="AW51" i="1"/>
  <c r="AW52" i="1"/>
  <c r="BI52" i="1"/>
  <c r="AI53" i="1"/>
  <c r="AO53" i="1" s="1"/>
  <c r="AP53" i="1" s="1"/>
  <c r="AQ53" i="1" s="1"/>
  <c r="BF53" i="1" s="1"/>
  <c r="AR53" i="1" s="1"/>
  <c r="AT53" i="1" s="1"/>
  <c r="BI53" i="1"/>
  <c r="M55" i="1"/>
  <c r="O55" i="1" s="1"/>
  <c r="AI58" i="1"/>
  <c r="AO58" i="1" s="1"/>
  <c r="AP58" i="1" s="1"/>
  <c r="AQ58" i="1" s="1"/>
  <c r="BF58" i="1" s="1"/>
  <c r="AR58" i="1" s="1"/>
  <c r="AT58" i="1" s="1"/>
  <c r="M59" i="1"/>
  <c r="O59" i="1" s="1"/>
  <c r="AI62" i="1"/>
  <c r="AO62" i="1" s="1"/>
  <c r="AP62" i="1" s="1"/>
  <c r="AQ62" i="1" s="1"/>
  <c r="BF62" i="1" s="1"/>
  <c r="AR62" i="1" s="1"/>
  <c r="AT62" i="1" s="1"/>
  <c r="M63" i="1"/>
  <c r="O63" i="1" s="1"/>
  <c r="AI66" i="1"/>
  <c r="AO66" i="1" s="1"/>
  <c r="AP66" i="1" s="1"/>
  <c r="AQ66" i="1" s="1"/>
  <c r="BF66" i="1" s="1"/>
  <c r="AR66" i="1" s="1"/>
  <c r="AT66" i="1" s="1"/>
  <c r="M67" i="1"/>
  <c r="O67" i="1" s="1"/>
  <c r="AI70" i="1"/>
  <c r="AO70" i="1" s="1"/>
  <c r="AP70" i="1" s="1"/>
  <c r="AQ70" i="1" s="1"/>
  <c r="BF70" i="1" s="1"/>
  <c r="AR70" i="1" s="1"/>
  <c r="AT70" i="1" s="1"/>
  <c r="M71" i="1"/>
  <c r="O71" i="1" s="1"/>
  <c r="AI74" i="1"/>
  <c r="AO74" i="1" s="1"/>
  <c r="AP74" i="1" s="1"/>
  <c r="AQ74" i="1" s="1"/>
  <c r="BF74" i="1" s="1"/>
  <c r="AR74" i="1" s="1"/>
  <c r="AT74" i="1" s="1"/>
  <c r="M75" i="1"/>
  <c r="O75" i="1" s="1"/>
  <c r="M78" i="1"/>
  <c r="N78" i="1"/>
  <c r="M80" i="1"/>
  <c r="N80" i="1"/>
  <c r="BI83" i="1"/>
  <c r="AW83" i="1"/>
  <c r="BI84" i="1"/>
  <c r="AW84" i="1"/>
  <c r="BI85" i="1"/>
  <c r="AW85" i="1"/>
  <c r="BF3" i="1"/>
  <c r="AR3" i="1" s="1"/>
  <c r="AT3" i="1" s="1"/>
  <c r="AU3" i="1" s="1"/>
  <c r="AW8" i="1"/>
  <c r="AW9" i="1"/>
  <c r="AW15" i="1"/>
  <c r="AW19" i="1"/>
  <c r="AW20" i="1"/>
  <c r="AW21" i="1"/>
  <c r="AI24" i="1"/>
  <c r="AO24" i="1" s="1"/>
  <c r="AP24" i="1" s="1"/>
  <c r="AQ24" i="1" s="1"/>
  <c r="BF24" i="1" s="1"/>
  <c r="AR24" i="1" s="1"/>
  <c r="AT24" i="1" s="1"/>
  <c r="AI25" i="1"/>
  <c r="AO25" i="1" s="1"/>
  <c r="AP25" i="1" s="1"/>
  <c r="AQ25" i="1" s="1"/>
  <c r="BF25" i="1" s="1"/>
  <c r="AR25" i="1" s="1"/>
  <c r="AT25" i="1" s="1"/>
  <c r="AW27" i="1"/>
  <c r="AW28" i="1"/>
  <c r="AW29" i="1"/>
  <c r="M89" i="1"/>
  <c r="N89" i="1"/>
  <c r="AW3" i="1"/>
  <c r="AI5" i="1"/>
  <c r="AO5" i="1" s="1"/>
  <c r="AP5" i="1" s="1"/>
  <c r="AQ5" i="1" s="1"/>
  <c r="BF5" i="1" s="1"/>
  <c r="AR5" i="1" s="1"/>
  <c r="AT5" i="1" s="1"/>
  <c r="BI5" i="1"/>
  <c r="M79" i="1"/>
  <c r="O79" i="1" s="1"/>
  <c r="N79" i="1"/>
  <c r="M81" i="1"/>
  <c r="N81" i="1"/>
  <c r="AI46" i="1"/>
  <c r="AO46" i="1" s="1"/>
  <c r="AP46" i="1" s="1"/>
  <c r="AQ46" i="1" s="1"/>
  <c r="BF46" i="1" s="1"/>
  <c r="AR46" i="1" s="1"/>
  <c r="AT46" i="1" s="1"/>
  <c r="AI47" i="1"/>
  <c r="AO47" i="1" s="1"/>
  <c r="AP47" i="1" s="1"/>
  <c r="AQ47" i="1" s="1"/>
  <c r="BF47" i="1" s="1"/>
  <c r="AR47" i="1" s="1"/>
  <c r="AI48" i="1"/>
  <c r="AO48" i="1" s="1"/>
  <c r="AP48" i="1" s="1"/>
  <c r="AQ48" i="1" s="1"/>
  <c r="BF48" i="1" s="1"/>
  <c r="AR48" i="1" s="1"/>
  <c r="AT48" i="1" s="1"/>
  <c r="AI49" i="1"/>
  <c r="AO49" i="1" s="1"/>
  <c r="AP49" i="1" s="1"/>
  <c r="AQ49" i="1" s="1"/>
  <c r="BF49" i="1" s="1"/>
  <c r="AR49" i="1" s="1"/>
  <c r="AT49" i="1" s="1"/>
  <c r="AI50" i="1"/>
  <c r="AO50" i="1" s="1"/>
  <c r="AP50" i="1" s="1"/>
  <c r="AQ50" i="1" s="1"/>
  <c r="BF50" i="1" s="1"/>
  <c r="AR50" i="1" s="1"/>
  <c r="AT50" i="1" s="1"/>
  <c r="AI51" i="1"/>
  <c r="AO51" i="1" s="1"/>
  <c r="AP51" i="1" s="1"/>
  <c r="AQ51" i="1" s="1"/>
  <c r="BF51" i="1" s="1"/>
  <c r="AR51" i="1" s="1"/>
  <c r="AI52" i="1"/>
  <c r="AO52" i="1" s="1"/>
  <c r="AP52" i="1" s="1"/>
  <c r="AQ52" i="1" s="1"/>
  <c r="BF52" i="1" s="1"/>
  <c r="AR52" i="1" s="1"/>
  <c r="AT52" i="1" s="1"/>
  <c r="AI54" i="1"/>
  <c r="AO54" i="1" s="1"/>
  <c r="AP54" i="1" s="1"/>
  <c r="AQ54" i="1" s="1"/>
  <c r="BF54" i="1" s="1"/>
  <c r="AR54" i="1" s="1"/>
  <c r="AT54" i="1" s="1"/>
  <c r="BF73" i="1"/>
  <c r="AR73" i="1" s="1"/>
  <c r="AT73" i="1" s="1"/>
  <c r="AI82" i="1"/>
  <c r="AO82" i="1" s="1"/>
  <c r="AP82" i="1" s="1"/>
  <c r="AQ82" i="1" s="1"/>
  <c r="AI88" i="1"/>
  <c r="AO88" i="1" s="1"/>
  <c r="AP88" i="1" s="1"/>
  <c r="AQ88" i="1" s="1"/>
  <c r="N93" i="1"/>
  <c r="O93" i="1" s="1"/>
  <c r="AI97" i="1"/>
  <c r="AO97" i="1" s="1"/>
  <c r="AP97" i="1" s="1"/>
  <c r="AQ97" i="1" s="1"/>
  <c r="N98" i="1"/>
  <c r="O98" i="1" s="1"/>
  <c r="AI102" i="1"/>
  <c r="AO102" i="1" s="1"/>
  <c r="AP102" i="1" s="1"/>
  <c r="AQ102" i="1" s="1"/>
  <c r="BF102" i="1" s="1"/>
  <c r="AR102" i="1" s="1"/>
  <c r="N103" i="1"/>
  <c r="O103" i="1" s="1"/>
  <c r="AI106" i="1"/>
  <c r="AO106" i="1" s="1"/>
  <c r="AP106" i="1" s="1"/>
  <c r="AQ106" i="1" s="1"/>
  <c r="BF106" i="1" s="1"/>
  <c r="AR106" i="1" s="1"/>
  <c r="AT106" i="1" s="1"/>
  <c r="N107" i="1"/>
  <c r="O107" i="1" s="1"/>
  <c r="N108" i="1"/>
  <c r="O108" i="1" s="1"/>
  <c r="N109" i="1"/>
  <c r="O109" i="1" s="1"/>
  <c r="N110" i="1"/>
  <c r="O110" i="1" s="1"/>
  <c r="N114" i="1"/>
  <c r="O114" i="1" s="1"/>
  <c r="AI117" i="1"/>
  <c r="AO117" i="1" s="1"/>
  <c r="AP117" i="1" s="1"/>
  <c r="AQ117" i="1" s="1"/>
  <c r="BF117" i="1" s="1"/>
  <c r="AR117" i="1" s="1"/>
  <c r="AT117" i="1" s="1"/>
  <c r="N118" i="1"/>
  <c r="O118" i="1" s="1"/>
  <c r="N119" i="1"/>
  <c r="O119" i="1" s="1"/>
  <c r="N120" i="1"/>
  <c r="O120" i="1" s="1"/>
  <c r="N121" i="1"/>
  <c r="O121" i="1" s="1"/>
  <c r="AI126" i="1"/>
  <c r="AO126" i="1" s="1"/>
  <c r="AP126" i="1" s="1"/>
  <c r="AQ126" i="1" s="1"/>
  <c r="BF126" i="1" s="1"/>
  <c r="AR126" i="1" s="1"/>
  <c r="AT126" i="1" s="1"/>
  <c r="N127" i="1"/>
  <c r="O127" i="1" s="1"/>
  <c r="AI128" i="1"/>
  <c r="AO128" i="1" s="1"/>
  <c r="AP128" i="1" s="1"/>
  <c r="AQ128" i="1" s="1"/>
  <c r="BF128" i="1" s="1"/>
  <c r="AR128" i="1" s="1"/>
  <c r="AT128" i="1" s="1"/>
  <c r="AI129" i="1"/>
  <c r="AO129" i="1" s="1"/>
  <c r="AP129" i="1" s="1"/>
  <c r="AQ129" i="1" s="1"/>
  <c r="BF129" i="1" s="1"/>
  <c r="AR129" i="1" s="1"/>
  <c r="AT129" i="1" s="1"/>
  <c r="N130" i="1"/>
  <c r="O130" i="1" s="1"/>
  <c r="N131" i="1"/>
  <c r="O131" i="1" s="1"/>
  <c r="AI132" i="1"/>
  <c r="AO132" i="1" s="1"/>
  <c r="AP132" i="1" s="1"/>
  <c r="AQ132" i="1" s="1"/>
  <c r="BF132" i="1" s="1"/>
  <c r="AR132" i="1" s="1"/>
  <c r="AT132" i="1" s="1"/>
  <c r="N133" i="1"/>
  <c r="O133" i="1" s="1"/>
  <c r="N134" i="1"/>
  <c r="O134" i="1" s="1"/>
  <c r="N135" i="1"/>
  <c r="O135" i="1" s="1"/>
  <c r="N136" i="1"/>
  <c r="O136" i="1" s="1"/>
  <c r="M139" i="1"/>
  <c r="O139" i="1" s="1"/>
  <c r="N142" i="1"/>
  <c r="O142" i="1" s="1"/>
  <c r="M157" i="1"/>
  <c r="O157" i="1" s="1"/>
  <c r="N157" i="1"/>
  <c r="M227" i="1"/>
  <c r="N227" i="1"/>
  <c r="M172" i="1"/>
  <c r="O172" i="1" s="1"/>
  <c r="N172" i="1"/>
  <c r="M184" i="1"/>
  <c r="N184" i="1"/>
  <c r="M221" i="1"/>
  <c r="O221" i="1" s="1"/>
  <c r="N221" i="1"/>
  <c r="M250" i="1"/>
  <c r="N250" i="1"/>
  <c r="M137" i="1"/>
  <c r="O137" i="1" s="1"/>
  <c r="AI137" i="1"/>
  <c r="AO137" i="1" s="1"/>
  <c r="AP137" i="1" s="1"/>
  <c r="AQ137" i="1" s="1"/>
  <c r="BF137" i="1" s="1"/>
  <c r="AR137" i="1" s="1"/>
  <c r="AT137" i="1" s="1"/>
  <c r="M162" i="1"/>
  <c r="N162" i="1"/>
  <c r="M183" i="1"/>
  <c r="O183" i="1" s="1"/>
  <c r="N183" i="1"/>
  <c r="M194" i="1"/>
  <c r="N194" i="1"/>
  <c r="M240" i="1"/>
  <c r="O240" i="1" s="1"/>
  <c r="N240" i="1"/>
  <c r="M258" i="1"/>
  <c r="N258" i="1"/>
  <c r="AI78" i="1"/>
  <c r="AO78" i="1" s="1"/>
  <c r="AP78" i="1" s="1"/>
  <c r="AQ78" i="1" s="1"/>
  <c r="BF78" i="1" s="1"/>
  <c r="AR78" i="1" s="1"/>
  <c r="AT78" i="1" s="1"/>
  <c r="AI79" i="1"/>
  <c r="AO79" i="1" s="1"/>
  <c r="AP79" i="1" s="1"/>
  <c r="AQ79" i="1" s="1"/>
  <c r="BF79" i="1" s="1"/>
  <c r="AR79" i="1" s="1"/>
  <c r="AT79" i="1" s="1"/>
  <c r="AI80" i="1"/>
  <c r="AO80" i="1" s="1"/>
  <c r="AP80" i="1" s="1"/>
  <c r="AQ80" i="1" s="1"/>
  <c r="BF80" i="1" s="1"/>
  <c r="AR80" i="1" s="1"/>
  <c r="AT80" i="1" s="1"/>
  <c r="AI89" i="1"/>
  <c r="AO89" i="1" s="1"/>
  <c r="AP89" i="1" s="1"/>
  <c r="AQ89" i="1" s="1"/>
  <c r="BF89" i="1" s="1"/>
  <c r="AR89" i="1" s="1"/>
  <c r="AT89" i="1" s="1"/>
  <c r="AI93" i="1"/>
  <c r="AO93" i="1" s="1"/>
  <c r="AP93" i="1" s="1"/>
  <c r="AQ93" i="1" s="1"/>
  <c r="BF93" i="1" s="1"/>
  <c r="AR93" i="1" s="1"/>
  <c r="AT93" i="1" s="1"/>
  <c r="AI98" i="1"/>
  <c r="AO98" i="1" s="1"/>
  <c r="AP98" i="1" s="1"/>
  <c r="AQ98" i="1" s="1"/>
  <c r="BF98" i="1" s="1"/>
  <c r="AR98" i="1" s="1"/>
  <c r="AT98" i="1" s="1"/>
  <c r="AI103" i="1"/>
  <c r="AO103" i="1" s="1"/>
  <c r="AP103" i="1" s="1"/>
  <c r="AQ103" i="1" s="1"/>
  <c r="BF103" i="1" s="1"/>
  <c r="AR103" i="1" s="1"/>
  <c r="AT103" i="1" s="1"/>
  <c r="AI108" i="1"/>
  <c r="AO108" i="1" s="1"/>
  <c r="AP108" i="1" s="1"/>
  <c r="AQ108" i="1" s="1"/>
  <c r="BF108" i="1" s="1"/>
  <c r="AR108" i="1" s="1"/>
  <c r="AI110" i="1"/>
  <c r="AO110" i="1" s="1"/>
  <c r="AP110" i="1" s="1"/>
  <c r="AQ110" i="1" s="1"/>
  <c r="BF110" i="1" s="1"/>
  <c r="AR110" i="1" s="1"/>
  <c r="AT110" i="1" s="1"/>
  <c r="AI114" i="1"/>
  <c r="AO114" i="1" s="1"/>
  <c r="AP114" i="1" s="1"/>
  <c r="AQ114" i="1" s="1"/>
  <c r="BF114" i="1" s="1"/>
  <c r="AR114" i="1" s="1"/>
  <c r="AT114" i="1" s="1"/>
  <c r="AI118" i="1"/>
  <c r="AO118" i="1" s="1"/>
  <c r="AP118" i="1" s="1"/>
  <c r="AQ118" i="1" s="1"/>
  <c r="BF118" i="1" s="1"/>
  <c r="AR118" i="1" s="1"/>
  <c r="AI119" i="1"/>
  <c r="AO119" i="1" s="1"/>
  <c r="AP119" i="1" s="1"/>
  <c r="AQ119" i="1" s="1"/>
  <c r="BF119" i="1" s="1"/>
  <c r="AR119" i="1" s="1"/>
  <c r="AT119" i="1" s="1"/>
  <c r="AI121" i="1"/>
  <c r="AO121" i="1" s="1"/>
  <c r="AP121" i="1" s="1"/>
  <c r="AQ121" i="1" s="1"/>
  <c r="BF121" i="1" s="1"/>
  <c r="AR121" i="1" s="1"/>
  <c r="AT121" i="1" s="1"/>
  <c r="AI133" i="1"/>
  <c r="AO133" i="1" s="1"/>
  <c r="AP133" i="1" s="1"/>
  <c r="AQ133" i="1" s="1"/>
  <c r="BF133" i="1" s="1"/>
  <c r="AR133" i="1" s="1"/>
  <c r="AI136" i="1"/>
  <c r="AO136" i="1" s="1"/>
  <c r="AP136" i="1" s="1"/>
  <c r="AQ136" i="1" s="1"/>
  <c r="BF136" i="1" s="1"/>
  <c r="AR136" i="1" s="1"/>
  <c r="AI139" i="1"/>
  <c r="AO139" i="1" s="1"/>
  <c r="AP139" i="1" s="1"/>
  <c r="AQ139" i="1" s="1"/>
  <c r="BF139" i="1" s="1"/>
  <c r="AR139" i="1" s="1"/>
  <c r="AT139" i="1" s="1"/>
  <c r="N146" i="1"/>
  <c r="O146" i="1" s="1"/>
  <c r="N149" i="1"/>
  <c r="O149" i="1" s="1"/>
  <c r="M166" i="1"/>
  <c r="N166" i="1"/>
  <c r="M181" i="1"/>
  <c r="O181" i="1" s="1"/>
  <c r="N181" i="1"/>
  <c r="M212" i="1"/>
  <c r="N212" i="1"/>
  <c r="M244" i="1"/>
  <c r="O244" i="1" s="1"/>
  <c r="N244" i="1"/>
  <c r="M254" i="1"/>
  <c r="N254" i="1"/>
  <c r="AI140" i="1"/>
  <c r="AO140" i="1" s="1"/>
  <c r="AP140" i="1" s="1"/>
  <c r="AQ140" i="1" s="1"/>
  <c r="BF140" i="1" s="1"/>
  <c r="AR140" i="1" s="1"/>
  <c r="AT140" i="1" s="1"/>
  <c r="AI146" i="1"/>
  <c r="AO146" i="1" s="1"/>
  <c r="AP146" i="1" s="1"/>
  <c r="AQ146" i="1" s="1"/>
  <c r="BF146" i="1" s="1"/>
  <c r="AR146" i="1" s="1"/>
  <c r="AT146" i="1" s="1"/>
  <c r="AI153" i="1"/>
  <c r="AO153" i="1" s="1"/>
  <c r="AP153" i="1" s="1"/>
  <c r="AQ153" i="1" s="1"/>
  <c r="BF153" i="1" s="1"/>
  <c r="AR153" i="1" s="1"/>
  <c r="AT153" i="1" s="1"/>
  <c r="AI159" i="1"/>
  <c r="AO159" i="1" s="1"/>
  <c r="AP159" i="1" s="1"/>
  <c r="AQ159" i="1" s="1"/>
  <c r="BF159" i="1" s="1"/>
  <c r="AR159" i="1" s="1"/>
  <c r="AI164" i="1"/>
  <c r="AO164" i="1" s="1"/>
  <c r="AP164" i="1" s="1"/>
  <c r="AQ164" i="1" s="1"/>
  <c r="BF164" i="1" s="1"/>
  <c r="AR164" i="1" s="1"/>
  <c r="AT164" i="1" s="1"/>
  <c r="AI169" i="1"/>
  <c r="AO169" i="1" s="1"/>
  <c r="AP169" i="1" s="1"/>
  <c r="AQ169" i="1" s="1"/>
  <c r="BF169" i="1" s="1"/>
  <c r="AR169" i="1" s="1"/>
  <c r="AT169" i="1" s="1"/>
  <c r="AI174" i="1"/>
  <c r="AO174" i="1" s="1"/>
  <c r="AP174" i="1" s="1"/>
  <c r="AQ174" i="1" s="1"/>
  <c r="BF174" i="1" s="1"/>
  <c r="AR174" i="1" s="1"/>
  <c r="AI179" i="1"/>
  <c r="AO179" i="1" s="1"/>
  <c r="AP179" i="1" s="1"/>
  <c r="AQ179" i="1" s="1"/>
  <c r="BF179" i="1" s="1"/>
  <c r="AR179" i="1" s="1"/>
  <c r="AT179" i="1" s="1"/>
  <c r="AI185" i="1"/>
  <c r="AO185" i="1" s="1"/>
  <c r="AP185" i="1" s="1"/>
  <c r="AQ185" i="1" s="1"/>
  <c r="BF185" i="1" s="1"/>
  <c r="AR185" i="1" s="1"/>
  <c r="AT185" i="1" s="1"/>
  <c r="N190" i="1"/>
  <c r="O190" i="1" s="1"/>
  <c r="N196" i="1"/>
  <c r="O196" i="1" s="1"/>
  <c r="N203" i="1"/>
  <c r="O203" i="1" s="1"/>
  <c r="N207" i="1"/>
  <c r="O207" i="1" s="1"/>
  <c r="N211" i="1"/>
  <c r="O211" i="1" s="1"/>
  <c r="AI213" i="1"/>
  <c r="AO213" i="1" s="1"/>
  <c r="AP213" i="1" s="1"/>
  <c r="AQ213" i="1" s="1"/>
  <c r="BF213" i="1" s="1"/>
  <c r="AR213" i="1" s="1"/>
  <c r="AT213" i="1" s="1"/>
  <c r="N215" i="1"/>
  <c r="O215" i="1" s="1"/>
  <c r="N219" i="1"/>
  <c r="O219" i="1" s="1"/>
  <c r="N232" i="1"/>
  <c r="O232" i="1" s="1"/>
  <c r="N234" i="1"/>
  <c r="O234" i="1" s="1"/>
  <c r="M245" i="1"/>
  <c r="N245" i="1"/>
  <c r="AI142" i="1"/>
  <c r="AO142" i="1" s="1"/>
  <c r="AP142" i="1" s="1"/>
  <c r="AQ142" i="1" s="1"/>
  <c r="BF142" i="1" s="1"/>
  <c r="AR142" i="1" s="1"/>
  <c r="AT142" i="1" s="1"/>
  <c r="AI149" i="1"/>
  <c r="AO149" i="1" s="1"/>
  <c r="AP149" i="1" s="1"/>
  <c r="AQ149" i="1" s="1"/>
  <c r="BF149" i="1" s="1"/>
  <c r="AR149" i="1" s="1"/>
  <c r="AI157" i="1"/>
  <c r="AO157" i="1" s="1"/>
  <c r="AP157" i="1" s="1"/>
  <c r="AQ157" i="1" s="1"/>
  <c r="BF157" i="1" s="1"/>
  <c r="AR157" i="1" s="1"/>
  <c r="AI162" i="1"/>
  <c r="AO162" i="1" s="1"/>
  <c r="AP162" i="1" s="1"/>
  <c r="AQ162" i="1" s="1"/>
  <c r="BF162" i="1" s="1"/>
  <c r="AR162" i="1" s="1"/>
  <c r="AT162" i="1" s="1"/>
  <c r="AI166" i="1"/>
  <c r="AO166" i="1" s="1"/>
  <c r="AP166" i="1" s="1"/>
  <c r="AQ166" i="1" s="1"/>
  <c r="BF166" i="1" s="1"/>
  <c r="AR166" i="1" s="1"/>
  <c r="AT166" i="1" s="1"/>
  <c r="AI172" i="1"/>
  <c r="AO172" i="1" s="1"/>
  <c r="AP172" i="1" s="1"/>
  <c r="AQ172" i="1" s="1"/>
  <c r="BF172" i="1" s="1"/>
  <c r="AR172" i="1" s="1"/>
  <c r="AI181" i="1"/>
  <c r="AO181" i="1" s="1"/>
  <c r="AP181" i="1" s="1"/>
  <c r="AQ181" i="1" s="1"/>
  <c r="BF181" i="1" s="1"/>
  <c r="AR181" i="1" s="1"/>
  <c r="AT181" i="1" s="1"/>
  <c r="AU181" i="1" s="1"/>
  <c r="AI184" i="1"/>
  <c r="AO184" i="1" s="1"/>
  <c r="AP184" i="1" s="1"/>
  <c r="AQ184" i="1" s="1"/>
  <c r="BF184" i="1" s="1"/>
  <c r="AR184" i="1" s="1"/>
  <c r="AT184" i="1" s="1"/>
  <c r="AI187" i="1"/>
  <c r="AO187" i="1" s="1"/>
  <c r="AP187" i="1" s="1"/>
  <c r="AQ187" i="1" s="1"/>
  <c r="BF187" i="1" s="1"/>
  <c r="AR187" i="1" s="1"/>
  <c r="AT187" i="1" s="1"/>
  <c r="M236" i="1"/>
  <c r="N236" i="1"/>
  <c r="N237" i="1"/>
  <c r="M237" i="1"/>
  <c r="AI194" i="1"/>
  <c r="AO194" i="1" s="1"/>
  <c r="AP194" i="1" s="1"/>
  <c r="AQ194" i="1" s="1"/>
  <c r="BF194" i="1" s="1"/>
  <c r="AR194" i="1" s="1"/>
  <c r="AT194" i="1" s="1"/>
  <c r="AI196" i="1"/>
  <c r="AO196" i="1" s="1"/>
  <c r="AP196" i="1" s="1"/>
  <c r="AQ196" i="1" s="1"/>
  <c r="BF196" i="1" s="1"/>
  <c r="AR196" i="1" s="1"/>
  <c r="AT196" i="1" s="1"/>
  <c r="AI198" i="1"/>
  <c r="AO198" i="1" s="1"/>
  <c r="AP198" i="1" s="1"/>
  <c r="AQ198" i="1" s="1"/>
  <c r="BF198" i="1" s="1"/>
  <c r="AR198" i="1" s="1"/>
  <c r="AT198" i="1" s="1"/>
  <c r="AI205" i="1"/>
  <c r="AO205" i="1" s="1"/>
  <c r="AP205" i="1" s="1"/>
  <c r="AQ205" i="1" s="1"/>
  <c r="BF205" i="1" s="1"/>
  <c r="AR205" i="1" s="1"/>
  <c r="AT205" i="1" s="1"/>
  <c r="AI209" i="1"/>
  <c r="AO209" i="1" s="1"/>
  <c r="AP209" i="1" s="1"/>
  <c r="AQ209" i="1" s="1"/>
  <c r="BF209" i="1" s="1"/>
  <c r="AR209" i="1" s="1"/>
  <c r="AT209" i="1" s="1"/>
  <c r="AI215" i="1"/>
  <c r="AO215" i="1" s="1"/>
  <c r="AP215" i="1" s="1"/>
  <c r="AQ215" i="1" s="1"/>
  <c r="BF215" i="1" s="1"/>
  <c r="AR215" i="1" s="1"/>
  <c r="AT215" i="1" s="1"/>
  <c r="AI221" i="1"/>
  <c r="AO221" i="1" s="1"/>
  <c r="AP221" i="1" s="1"/>
  <c r="AQ221" i="1" s="1"/>
  <c r="BF221" i="1" s="1"/>
  <c r="AR221" i="1" s="1"/>
  <c r="AT221" i="1" s="1"/>
  <c r="AI227" i="1"/>
  <c r="AO227" i="1" s="1"/>
  <c r="AP227" i="1" s="1"/>
  <c r="AQ227" i="1" s="1"/>
  <c r="BF227" i="1" s="1"/>
  <c r="AR227" i="1" s="1"/>
  <c r="AT227" i="1" s="1"/>
  <c r="AI233" i="1"/>
  <c r="AO233" i="1" s="1"/>
  <c r="AP233" i="1" s="1"/>
  <c r="AQ233" i="1" s="1"/>
  <c r="BF233" i="1" s="1"/>
  <c r="AR233" i="1" s="1"/>
  <c r="AT233" i="1" s="1"/>
  <c r="AI186" i="1"/>
  <c r="AO186" i="1" s="1"/>
  <c r="AP186" i="1" s="1"/>
  <c r="AQ186" i="1" s="1"/>
  <c r="BF186" i="1" s="1"/>
  <c r="AR186" i="1" s="1"/>
  <c r="AT186" i="1" s="1"/>
  <c r="AI190" i="1"/>
  <c r="AO190" i="1" s="1"/>
  <c r="AP190" i="1" s="1"/>
  <c r="AQ190" i="1" s="1"/>
  <c r="BF190" i="1" s="1"/>
  <c r="AR190" i="1" s="1"/>
  <c r="AT190" i="1" s="1"/>
  <c r="AI192" i="1"/>
  <c r="AO192" i="1" s="1"/>
  <c r="AP192" i="1" s="1"/>
  <c r="AQ192" i="1" s="1"/>
  <c r="BF192" i="1" s="1"/>
  <c r="AR192" i="1" s="1"/>
  <c r="AT192" i="1" s="1"/>
  <c r="AI203" i="1"/>
  <c r="AO203" i="1" s="1"/>
  <c r="AP203" i="1" s="1"/>
  <c r="AQ203" i="1" s="1"/>
  <c r="BF203" i="1" s="1"/>
  <c r="AR203" i="1" s="1"/>
  <c r="AT203" i="1" s="1"/>
  <c r="AI207" i="1"/>
  <c r="AO207" i="1" s="1"/>
  <c r="AP207" i="1" s="1"/>
  <c r="AQ207" i="1" s="1"/>
  <c r="BF207" i="1" s="1"/>
  <c r="AR207" i="1" s="1"/>
  <c r="AT207" i="1" s="1"/>
  <c r="AI212" i="1"/>
  <c r="AO212" i="1" s="1"/>
  <c r="AP212" i="1" s="1"/>
  <c r="AQ212" i="1" s="1"/>
  <c r="BF212" i="1" s="1"/>
  <c r="AR212" i="1" s="1"/>
  <c r="AT212" i="1" s="1"/>
  <c r="AI217" i="1"/>
  <c r="AO217" i="1" s="1"/>
  <c r="AP217" i="1" s="1"/>
  <c r="AQ217" i="1" s="1"/>
  <c r="BF217" i="1" s="1"/>
  <c r="AR217" i="1" s="1"/>
  <c r="AT217" i="1" s="1"/>
  <c r="AI225" i="1"/>
  <c r="AO225" i="1" s="1"/>
  <c r="AP225" i="1" s="1"/>
  <c r="AQ225" i="1" s="1"/>
  <c r="BF225" i="1" s="1"/>
  <c r="AR225" i="1" s="1"/>
  <c r="AT225" i="1" s="1"/>
  <c r="AI230" i="1"/>
  <c r="AO230" i="1" s="1"/>
  <c r="AP230" i="1" s="1"/>
  <c r="AQ230" i="1" s="1"/>
  <c r="BF230" i="1" s="1"/>
  <c r="AR230" i="1" s="1"/>
  <c r="AT230" i="1" s="1"/>
  <c r="AI238" i="1"/>
  <c r="AO238" i="1" s="1"/>
  <c r="AP238" i="1" s="1"/>
  <c r="AQ238" i="1" s="1"/>
  <c r="BF238" i="1" s="1"/>
  <c r="AR238" i="1" s="1"/>
  <c r="AT238" i="1" s="1"/>
  <c r="AI242" i="1"/>
  <c r="AO242" i="1" s="1"/>
  <c r="AP242" i="1" s="1"/>
  <c r="AQ242" i="1" s="1"/>
  <c r="BF242" i="1" s="1"/>
  <c r="AR242" i="1" s="1"/>
  <c r="AT242" i="1" s="1"/>
  <c r="AI247" i="1"/>
  <c r="AO247" i="1" s="1"/>
  <c r="AP247" i="1" s="1"/>
  <c r="AQ247" i="1" s="1"/>
  <c r="BF247" i="1" s="1"/>
  <c r="AR247" i="1" s="1"/>
  <c r="AT247" i="1" s="1"/>
  <c r="AI252" i="1"/>
  <c r="AO252" i="1" s="1"/>
  <c r="AP252" i="1" s="1"/>
  <c r="AQ252" i="1" s="1"/>
  <c r="BF252" i="1" s="1"/>
  <c r="AR252" i="1" s="1"/>
  <c r="AI256" i="1"/>
  <c r="AO256" i="1" s="1"/>
  <c r="AP256" i="1" s="1"/>
  <c r="AQ256" i="1" s="1"/>
  <c r="BF256" i="1" s="1"/>
  <c r="AR256" i="1" s="1"/>
  <c r="AT256" i="1" s="1"/>
  <c r="M261" i="1"/>
  <c r="O261" i="1" s="1"/>
  <c r="AI261" i="1"/>
  <c r="AO261" i="1" s="1"/>
  <c r="AP261" i="1" s="1"/>
  <c r="AQ261" i="1" s="1"/>
  <c r="M265" i="1"/>
  <c r="O265" i="1" s="1"/>
  <c r="AI265" i="1"/>
  <c r="AO265" i="1" s="1"/>
  <c r="AP265" i="1" s="1"/>
  <c r="AQ265" i="1" s="1"/>
  <c r="BF265" i="1" s="1"/>
  <c r="AR265" i="1" s="1"/>
  <c r="AT265" i="1" s="1"/>
  <c r="M270" i="1"/>
  <c r="O270" i="1" s="1"/>
  <c r="AI270" i="1"/>
  <c r="AO270" i="1" s="1"/>
  <c r="AP270" i="1" s="1"/>
  <c r="AQ270" i="1" s="1"/>
  <c r="BF270" i="1" s="1"/>
  <c r="AR270" i="1" s="1"/>
  <c r="AT270" i="1" s="1"/>
  <c r="M275" i="1"/>
  <c r="O275" i="1" s="1"/>
  <c r="AI275" i="1"/>
  <c r="AO275" i="1" s="1"/>
  <c r="AP275" i="1" s="1"/>
  <c r="AQ275" i="1" s="1"/>
  <c r="BF275" i="1" s="1"/>
  <c r="AR275" i="1" s="1"/>
  <c r="AT275" i="1" s="1"/>
  <c r="M276" i="1"/>
  <c r="O276" i="1" s="1"/>
  <c r="AI276" i="1"/>
  <c r="AO276" i="1" s="1"/>
  <c r="AP276" i="1" s="1"/>
  <c r="AQ276" i="1" s="1"/>
  <c r="BF276" i="1" s="1"/>
  <c r="AR276" i="1" s="1"/>
  <c r="AT276" i="1" s="1"/>
  <c r="M279" i="1"/>
  <c r="O279" i="1" s="1"/>
  <c r="AI279" i="1"/>
  <c r="AO279" i="1" s="1"/>
  <c r="AP279" i="1" s="1"/>
  <c r="AQ279" i="1" s="1"/>
  <c r="BF279" i="1" s="1"/>
  <c r="AR279" i="1" s="1"/>
  <c r="AT279" i="1" s="1"/>
  <c r="AI285" i="1"/>
  <c r="AO285" i="1" s="1"/>
  <c r="AP285" i="1" s="1"/>
  <c r="AQ285" i="1" s="1"/>
  <c r="BF285" i="1" s="1"/>
  <c r="AR285" i="1" s="1"/>
  <c r="AT285" i="1" s="1"/>
  <c r="M291" i="1"/>
  <c r="O291" i="1" s="1"/>
  <c r="AI296" i="1"/>
  <c r="AO296" i="1" s="1"/>
  <c r="AP296" i="1" s="1"/>
  <c r="AQ296" i="1" s="1"/>
  <c r="BF296" i="1" s="1"/>
  <c r="AR296" i="1" s="1"/>
  <c r="AT296" i="1" s="1"/>
  <c r="M299" i="1"/>
  <c r="O299" i="1" s="1"/>
  <c r="M302" i="1"/>
  <c r="O302" i="1" s="1"/>
  <c r="M303" i="1"/>
  <c r="O303" i="1" s="1"/>
  <c r="N305" i="1"/>
  <c r="O305" i="1" s="1"/>
  <c r="M307" i="1"/>
  <c r="O307" i="1" s="1"/>
  <c r="N309" i="1"/>
  <c r="O309" i="1" s="1"/>
  <c r="AI236" i="1"/>
  <c r="AO236" i="1" s="1"/>
  <c r="AP236" i="1" s="1"/>
  <c r="AQ236" i="1" s="1"/>
  <c r="BF236" i="1" s="1"/>
  <c r="AR236" i="1" s="1"/>
  <c r="AI240" i="1"/>
  <c r="AO240" i="1" s="1"/>
  <c r="AP240" i="1" s="1"/>
  <c r="AQ240" i="1" s="1"/>
  <c r="BF240" i="1" s="1"/>
  <c r="AR240" i="1" s="1"/>
  <c r="AT240" i="1" s="1"/>
  <c r="AI245" i="1"/>
  <c r="AO245" i="1" s="1"/>
  <c r="AP245" i="1" s="1"/>
  <c r="AQ245" i="1" s="1"/>
  <c r="BF245" i="1" s="1"/>
  <c r="AR245" i="1" s="1"/>
  <c r="AT245" i="1" s="1"/>
  <c r="AI250" i="1"/>
  <c r="AO250" i="1" s="1"/>
  <c r="AP250" i="1" s="1"/>
  <c r="AQ250" i="1" s="1"/>
  <c r="BF250" i="1" s="1"/>
  <c r="AR250" i="1" s="1"/>
  <c r="AT250" i="1" s="1"/>
  <c r="AI254" i="1"/>
  <c r="AO254" i="1" s="1"/>
  <c r="AP254" i="1" s="1"/>
  <c r="AQ254" i="1" s="1"/>
  <c r="BF254" i="1" s="1"/>
  <c r="AR254" i="1" s="1"/>
  <c r="AT254" i="1" s="1"/>
  <c r="AI258" i="1"/>
  <c r="AO258" i="1" s="1"/>
  <c r="AP258" i="1" s="1"/>
  <c r="AQ258" i="1" s="1"/>
  <c r="BF258" i="1" s="1"/>
  <c r="AR258" i="1" s="1"/>
  <c r="AT258" i="1" s="1"/>
  <c r="AI263" i="1"/>
  <c r="AO263" i="1" s="1"/>
  <c r="AP263" i="1" s="1"/>
  <c r="AQ263" i="1" s="1"/>
  <c r="BF263" i="1" s="1"/>
  <c r="AR263" i="1" s="1"/>
  <c r="AI268" i="1"/>
  <c r="AO268" i="1" s="1"/>
  <c r="AP268" i="1" s="1"/>
  <c r="AQ268" i="1" s="1"/>
  <c r="BF268" i="1" s="1"/>
  <c r="AR268" i="1" s="1"/>
  <c r="AT268" i="1" s="1"/>
  <c r="M281" i="1"/>
  <c r="O281" i="1" s="1"/>
  <c r="AI282" i="1"/>
  <c r="AO282" i="1" s="1"/>
  <c r="AP282" i="1" s="1"/>
  <c r="AQ282" i="1" s="1"/>
  <c r="BF282" i="1" s="1"/>
  <c r="AR282" i="1" s="1"/>
  <c r="AT282" i="1" s="1"/>
  <c r="AI298" i="1"/>
  <c r="AO298" i="1" s="1"/>
  <c r="AP298" i="1" s="1"/>
  <c r="AQ298" i="1" s="1"/>
  <c r="BF298" i="1" s="1"/>
  <c r="AR298" i="1" s="1"/>
  <c r="M310" i="1"/>
  <c r="O310" i="1" s="1"/>
  <c r="N311" i="1"/>
  <c r="AI284" i="1"/>
  <c r="AO284" i="1" s="1"/>
  <c r="AP284" i="1" s="1"/>
  <c r="AQ284" i="1" s="1"/>
  <c r="BF284" i="1" s="1"/>
  <c r="AR284" i="1" s="1"/>
  <c r="AT284" i="1" s="1"/>
  <c r="AI295" i="1"/>
  <c r="AO295" i="1" s="1"/>
  <c r="AP295" i="1" s="1"/>
  <c r="AQ295" i="1" s="1"/>
  <c r="BF295" i="1" s="1"/>
  <c r="AR295" i="1" s="1"/>
  <c r="AT295" i="1" s="1"/>
  <c r="AI297" i="1"/>
  <c r="AO297" i="1" s="1"/>
  <c r="AP297" i="1" s="1"/>
  <c r="AQ297" i="1" s="1"/>
  <c r="BF297" i="1" s="1"/>
  <c r="AR297" i="1" s="1"/>
  <c r="AT297" i="1" s="1"/>
  <c r="AI309" i="1"/>
  <c r="AO309" i="1" s="1"/>
  <c r="AP309" i="1" s="1"/>
  <c r="AQ309" i="1" s="1"/>
  <c r="BF309" i="1" s="1"/>
  <c r="AR309" i="1" s="1"/>
  <c r="AT309" i="1" s="1"/>
  <c r="M312" i="1"/>
  <c r="AI324" i="1"/>
  <c r="AO324" i="1" s="1"/>
  <c r="AP324" i="1" s="1"/>
  <c r="AQ324" i="1" s="1"/>
  <c r="BF324" i="1" s="1"/>
  <c r="AR324" i="1" s="1"/>
  <c r="AT324" i="1" s="1"/>
  <c r="AI328" i="1"/>
  <c r="AO328" i="1" s="1"/>
  <c r="AP328" i="1" s="1"/>
  <c r="AQ328" i="1" s="1"/>
  <c r="BF328" i="1" s="1"/>
  <c r="AR328" i="1" s="1"/>
  <c r="AT328" i="1" s="1"/>
  <c r="AI337" i="1"/>
  <c r="AO337" i="1" s="1"/>
  <c r="AP337" i="1" s="1"/>
  <c r="AQ337" i="1" s="1"/>
  <c r="BF337" i="1" s="1"/>
  <c r="AR337" i="1" s="1"/>
  <c r="AT337" i="1" s="1"/>
  <c r="M342" i="1"/>
  <c r="O342" i="1" s="1"/>
  <c r="AI342" i="1"/>
  <c r="AO342" i="1" s="1"/>
  <c r="AP342" i="1" s="1"/>
  <c r="AQ342" i="1" s="1"/>
  <c r="BF342" i="1" s="1"/>
  <c r="AR342" i="1" s="1"/>
  <c r="AT342" i="1" s="1"/>
  <c r="M346" i="1"/>
  <c r="O346" i="1" s="1"/>
  <c r="AI346" i="1"/>
  <c r="AO346" i="1" s="1"/>
  <c r="AP346" i="1" s="1"/>
  <c r="AQ346" i="1" s="1"/>
  <c r="BF346" i="1" s="1"/>
  <c r="AR346" i="1" s="1"/>
  <c r="AT346" i="1" s="1"/>
  <c r="N347" i="1"/>
  <c r="O347" i="1" s="1"/>
  <c r="M317" i="1"/>
  <c r="AI319" i="1"/>
  <c r="AO319" i="1" s="1"/>
  <c r="AP319" i="1" s="1"/>
  <c r="AQ319" i="1" s="1"/>
  <c r="BF319" i="1" s="1"/>
  <c r="AR319" i="1" s="1"/>
  <c r="AT319" i="1" s="1"/>
  <c r="M321" i="1"/>
  <c r="M313" i="1"/>
  <c r="M316" i="1"/>
  <c r="AI320" i="1"/>
  <c r="AO320" i="1" s="1"/>
  <c r="AP320" i="1" s="1"/>
  <c r="AQ320" i="1" s="1"/>
  <c r="BF320" i="1" s="1"/>
  <c r="AR320" i="1" s="1"/>
  <c r="AT320" i="1" s="1"/>
  <c r="M322" i="1"/>
  <c r="O322" i="1" s="1"/>
  <c r="AI322" i="1"/>
  <c r="AO322" i="1" s="1"/>
  <c r="AP322" i="1" s="1"/>
  <c r="AQ322" i="1" s="1"/>
  <c r="BF322" i="1" s="1"/>
  <c r="AR322" i="1" s="1"/>
  <c r="AT322" i="1" s="1"/>
  <c r="M326" i="1"/>
  <c r="O326" i="1" s="1"/>
  <c r="AI326" i="1"/>
  <c r="AO326" i="1" s="1"/>
  <c r="AP326" i="1" s="1"/>
  <c r="AQ326" i="1" s="1"/>
  <c r="BF326" i="1" s="1"/>
  <c r="AR326" i="1" s="1"/>
  <c r="M330" i="1"/>
  <c r="O330" i="1" s="1"/>
  <c r="M331" i="1"/>
  <c r="O331" i="1" s="1"/>
  <c r="M332" i="1"/>
  <c r="O332" i="1" s="1"/>
  <c r="AI332" i="1"/>
  <c r="AO332" i="1" s="1"/>
  <c r="AP332" i="1" s="1"/>
  <c r="AQ332" i="1" s="1"/>
  <c r="BF332" i="1" s="1"/>
  <c r="AR332" i="1" s="1"/>
  <c r="AT332" i="1" s="1"/>
  <c r="M339" i="1"/>
  <c r="O339" i="1" s="1"/>
  <c r="AI339" i="1"/>
  <c r="AO339" i="1" s="1"/>
  <c r="AP339" i="1" s="1"/>
  <c r="AQ339" i="1" s="1"/>
  <c r="BF339" i="1" s="1"/>
  <c r="AR339" i="1" s="1"/>
  <c r="M344" i="1"/>
  <c r="O344" i="1" s="1"/>
  <c r="AI344" i="1"/>
  <c r="AO344" i="1" s="1"/>
  <c r="AP344" i="1" s="1"/>
  <c r="AQ344" i="1" s="1"/>
  <c r="BF344" i="1" s="1"/>
  <c r="AR344" i="1" s="1"/>
  <c r="AT344" i="1" s="1"/>
  <c r="M348" i="1"/>
  <c r="O348" i="1" s="1"/>
  <c r="AI348" i="1"/>
  <c r="AO348" i="1" s="1"/>
  <c r="AP348" i="1" s="1"/>
  <c r="AQ348" i="1" s="1"/>
  <c r="BF348" i="1" s="1"/>
  <c r="AR348" i="1" s="1"/>
  <c r="AT348" i="1" s="1"/>
  <c r="M350" i="1"/>
  <c r="O350" i="1" s="1"/>
  <c r="AI350" i="1"/>
  <c r="AO350" i="1" s="1"/>
  <c r="AP350" i="1" s="1"/>
  <c r="AQ350" i="1" s="1"/>
  <c r="BF350" i="1" s="1"/>
  <c r="AR350" i="1" s="1"/>
  <c r="AT350" i="1" s="1"/>
  <c r="AI317" i="1"/>
  <c r="AO317" i="1" s="1"/>
  <c r="AP317" i="1" s="1"/>
  <c r="AQ317" i="1" s="1"/>
  <c r="BF317" i="1" s="1"/>
  <c r="AR317" i="1" s="1"/>
  <c r="BF14" i="1"/>
  <c r="AR14" i="1" s="1"/>
  <c r="AT14" i="1" s="1"/>
  <c r="BF16" i="1"/>
  <c r="AR16" i="1" s="1"/>
  <c r="AT16" i="1" s="1"/>
  <c r="BF176" i="1"/>
  <c r="AR176" i="1" s="1"/>
  <c r="AT176" i="1" s="1"/>
  <c r="BF182" i="1"/>
  <c r="AR182" i="1" s="1"/>
  <c r="AT182" i="1" s="1"/>
  <c r="BF232" i="1"/>
  <c r="AR232" i="1" s="1"/>
  <c r="AT232" i="1" s="1"/>
  <c r="BF302" i="1"/>
  <c r="AR302" i="1" s="1"/>
  <c r="AT302" i="1" s="1"/>
  <c r="BF303" i="1"/>
  <c r="AR303" i="1" s="1"/>
  <c r="AT303" i="1" s="1"/>
  <c r="AI305" i="1"/>
  <c r="AO305" i="1" s="1"/>
  <c r="AP305" i="1" s="1"/>
  <c r="AQ305" i="1" s="1"/>
  <c r="BF305" i="1" s="1"/>
  <c r="AR305" i="1" s="1"/>
  <c r="AT305" i="1" s="1"/>
  <c r="AH351" i="1"/>
  <c r="AI4" i="1"/>
  <c r="CM4" i="10"/>
  <c r="CL4" i="10"/>
  <c r="CK4" i="10"/>
  <c r="CL6" i="10"/>
  <c r="CM6" i="10"/>
  <c r="CK6" i="10"/>
  <c r="CK7" i="10"/>
  <c r="CM7" i="10"/>
  <c r="CL7" i="10"/>
  <c r="CK5" i="10"/>
  <c r="CL5" i="10"/>
  <c r="O185" i="1" l="1"/>
  <c r="O210" i="1"/>
  <c r="O245" i="1"/>
  <c r="O89" i="1"/>
  <c r="O80" i="1"/>
  <c r="O266" i="1"/>
  <c r="O280" i="1"/>
  <c r="O152" i="1"/>
  <c r="O90" i="1"/>
  <c r="O69" i="1"/>
  <c r="O271" i="1"/>
  <c r="O160" i="1"/>
  <c r="O58" i="1"/>
  <c r="O269" i="1"/>
  <c r="O274" i="1"/>
  <c r="O175" i="1"/>
  <c r="O295" i="1"/>
  <c r="O237" i="1"/>
  <c r="O78" i="1"/>
  <c r="O318" i="1"/>
  <c r="Q318" i="1" s="1"/>
  <c r="O246" i="1"/>
  <c r="O238" i="1"/>
  <c r="O180" i="1"/>
  <c r="O153" i="1"/>
  <c r="O132" i="1"/>
  <c r="O164" i="1"/>
  <c r="O117" i="1"/>
  <c r="O225" i="1"/>
  <c r="O115" i="1"/>
  <c r="O273" i="1"/>
  <c r="O259" i="1"/>
  <c r="O144" i="1"/>
  <c r="O220" i="1"/>
  <c r="O349" i="1"/>
  <c r="Q349" i="1" s="1"/>
  <c r="O191" i="1"/>
  <c r="Q316" i="1"/>
  <c r="O316" i="1"/>
  <c r="Q317" i="1"/>
  <c r="O317" i="1"/>
  <c r="Q314" i="1"/>
  <c r="O218" i="1"/>
  <c r="O208" i="1"/>
  <c r="O214" i="1"/>
  <c r="O163" i="1"/>
  <c r="O122" i="1"/>
  <c r="O159" i="1"/>
  <c r="O277" i="1"/>
  <c r="O161" i="1"/>
  <c r="O151" i="1"/>
  <c r="O204" i="1"/>
  <c r="O198" i="1"/>
  <c r="O112" i="1"/>
  <c r="O267" i="1"/>
  <c r="O155" i="1"/>
  <c r="O156" i="1"/>
  <c r="O268" i="1"/>
  <c r="O95" i="1"/>
  <c r="O319" i="1"/>
  <c r="Q319" i="1" s="1"/>
  <c r="O313" i="1"/>
  <c r="Q313" i="1" s="1"/>
  <c r="O312" i="1"/>
  <c r="Q312" i="1" s="1"/>
  <c r="O315" i="1"/>
  <c r="Q315" i="1" s="1"/>
  <c r="O321" i="1"/>
  <c r="Q321" i="1" s="1"/>
  <c r="O236" i="1"/>
  <c r="O254" i="1"/>
  <c r="O212" i="1"/>
  <c r="O166" i="1"/>
  <c r="O258" i="1"/>
  <c r="O194" i="1"/>
  <c r="O162" i="1"/>
  <c r="O250" i="1"/>
  <c r="O184" i="1"/>
  <c r="O227" i="1"/>
  <c r="O81" i="1"/>
  <c r="O320" i="1"/>
  <c r="Q320" i="1" s="1"/>
  <c r="O242" i="1"/>
  <c r="O229" i="1"/>
  <c r="O165" i="1"/>
  <c r="O217" i="1"/>
  <c r="O54" i="1"/>
  <c r="O32" i="1"/>
  <c r="O96" i="1"/>
  <c r="O126" i="1"/>
  <c r="O311" i="1"/>
  <c r="Q311" i="1" s="1"/>
  <c r="Q351" i="1"/>
  <c r="AT157" i="1"/>
  <c r="BF116" i="1"/>
  <c r="AR116" i="1" s="1"/>
  <c r="AT116" i="1" s="1"/>
  <c r="AT64" i="1"/>
  <c r="AZ64" i="1" s="1"/>
  <c r="AT244" i="1"/>
  <c r="AU244" i="1" s="1"/>
  <c r="AT100" i="1"/>
  <c r="AT108" i="1"/>
  <c r="AU108" i="1" s="1"/>
  <c r="AT339" i="1"/>
  <c r="AZ339" i="1" s="1"/>
  <c r="AT263" i="1"/>
  <c r="AZ263" i="1" s="1"/>
  <c r="AT174" i="1"/>
  <c r="BF97" i="1"/>
  <c r="AR97" i="1" s="1"/>
  <c r="AT97" i="1" s="1"/>
  <c r="AT345" i="1"/>
  <c r="AU345" i="1" s="1"/>
  <c r="AU287" i="1"/>
  <c r="AV287" i="1" s="1"/>
  <c r="BF312" i="1"/>
  <c r="AR312" i="1" s="1"/>
  <c r="AT312" i="1" s="1"/>
  <c r="AZ304" i="1"/>
  <c r="AU304" i="1"/>
  <c r="AV304" i="1" s="1"/>
  <c r="AU193" i="1"/>
  <c r="AV193" i="1" s="1"/>
  <c r="AZ193" i="1"/>
  <c r="BF82" i="1"/>
  <c r="AR82" i="1" s="1"/>
  <c r="AT82" i="1" s="1"/>
  <c r="AT133" i="1"/>
  <c r="AZ133" i="1" s="1"/>
  <c r="AT317" i="1"/>
  <c r="AZ317" i="1" s="1"/>
  <c r="AT252" i="1"/>
  <c r="AU252" i="1" s="1"/>
  <c r="AT42" i="1"/>
  <c r="AZ42" i="1" s="1"/>
  <c r="AT165" i="1"/>
  <c r="AZ165" i="1" s="1"/>
  <c r="AT172" i="1"/>
  <c r="AZ172" i="1" s="1"/>
  <c r="AT326" i="1"/>
  <c r="AU326" i="1" s="1"/>
  <c r="AU271" i="1"/>
  <c r="AV271" i="1" s="1"/>
  <c r="AT206" i="1"/>
  <c r="AZ206" i="1" s="1"/>
  <c r="AT149" i="1"/>
  <c r="AU149" i="1" s="1"/>
  <c r="AT71" i="1"/>
  <c r="AU71" i="1" s="1"/>
  <c r="BF150" i="1"/>
  <c r="AR150" i="1" s="1"/>
  <c r="AT150" i="1" s="1"/>
  <c r="AY3" i="1"/>
  <c r="BA3" i="1" s="1"/>
  <c r="AT63" i="1"/>
  <c r="AZ63" i="1" s="1"/>
  <c r="BF261" i="1"/>
  <c r="AR261" i="1" s="1"/>
  <c r="AT261" i="1" s="1"/>
  <c r="AT333" i="1"/>
  <c r="AZ333" i="1" s="1"/>
  <c r="AT115" i="1"/>
  <c r="AZ115" i="1" s="1"/>
  <c r="AT159" i="1"/>
  <c r="AZ159" i="1" s="1"/>
  <c r="AZ189" i="1"/>
  <c r="AU189" i="1"/>
  <c r="AV189" i="1" s="1"/>
  <c r="AZ173" i="1"/>
  <c r="AU173" i="1"/>
  <c r="AY173" i="1" s="1"/>
  <c r="BA173" i="1" s="1"/>
  <c r="AI351" i="1"/>
  <c r="AT102" i="1"/>
  <c r="AZ102" i="1" s="1"/>
  <c r="AT75" i="1"/>
  <c r="AZ75" i="1" s="1"/>
  <c r="AT67" i="1"/>
  <c r="AZ67" i="1" s="1"/>
  <c r="AT59" i="1"/>
  <c r="AZ59" i="1" s="1"/>
  <c r="AT118" i="1"/>
  <c r="AT136" i="1"/>
  <c r="AT298" i="1"/>
  <c r="AU298" i="1" s="1"/>
  <c r="AT236" i="1"/>
  <c r="AU236" i="1" s="1"/>
  <c r="AZ181" i="1"/>
  <c r="AT51" i="1"/>
  <c r="AU51" i="1" s="1"/>
  <c r="AT47" i="1"/>
  <c r="AU47" i="1" s="1"/>
  <c r="AZ3" i="1"/>
  <c r="BF88" i="1"/>
  <c r="AR88" i="1" s="1"/>
  <c r="AT88" i="1" s="1"/>
  <c r="AW351" i="1"/>
  <c r="AV3" i="1"/>
  <c r="AZ152" i="1"/>
  <c r="AU152" i="1"/>
  <c r="AV152" i="1" s="1"/>
  <c r="AZ336" i="1"/>
  <c r="AU336" i="1"/>
  <c r="AV336" i="1" s="1"/>
  <c r="AU185" i="1"/>
  <c r="AY185" i="1" s="1"/>
  <c r="BA185" i="1" s="1"/>
  <c r="AZ185" i="1"/>
  <c r="AU99" i="1"/>
  <c r="AY99" i="1" s="1"/>
  <c r="BA99" i="1" s="1"/>
  <c r="AZ99" i="1"/>
  <c r="AZ16" i="1"/>
  <c r="AU16" i="1"/>
  <c r="AY16" i="1" s="1"/>
  <c r="BA16" i="1" s="1"/>
  <c r="AZ306" i="1"/>
  <c r="AU306" i="1"/>
  <c r="AY306" i="1" s="1"/>
  <c r="BA306" i="1" s="1"/>
  <c r="AU177" i="1"/>
  <c r="AY177" i="1" s="1"/>
  <c r="BA177" i="1" s="1"/>
  <c r="AZ177" i="1"/>
  <c r="AU14" i="1"/>
  <c r="AY14" i="1" s="1"/>
  <c r="BA14" i="1" s="1"/>
  <c r="AZ14" i="1"/>
  <c r="AZ111" i="1"/>
  <c r="AU111" i="1"/>
  <c r="AY111" i="1" s="1"/>
  <c r="BA111" i="1" s="1"/>
  <c r="AZ344" i="1"/>
  <c r="AU344" i="1"/>
  <c r="AU311" i="1"/>
  <c r="AZ311" i="1"/>
  <c r="AZ337" i="1"/>
  <c r="AU337" i="1"/>
  <c r="AU240" i="1"/>
  <c r="AZ240" i="1"/>
  <c r="AZ217" i="1"/>
  <c r="AU217" i="1"/>
  <c r="AZ231" i="1"/>
  <c r="AU231" i="1"/>
  <c r="AZ223" i="1"/>
  <c r="AU223" i="1"/>
  <c r="AZ182" i="1"/>
  <c r="AU182" i="1"/>
  <c r="AZ180" i="1"/>
  <c r="AU180" i="1"/>
  <c r="AZ125" i="1"/>
  <c r="AU125" i="1"/>
  <c r="AZ103" i="1"/>
  <c r="AU103" i="1"/>
  <c r="AZ156" i="1"/>
  <c r="AU156" i="1"/>
  <c r="AZ83" i="1"/>
  <c r="AU83" i="1"/>
  <c r="AZ23" i="1"/>
  <c r="AU23" i="1"/>
  <c r="AZ29" i="1"/>
  <c r="AU29" i="1"/>
  <c r="AU8" i="1"/>
  <c r="AZ8" i="1"/>
  <c r="AZ18" i="1"/>
  <c r="AU18" i="1"/>
  <c r="AU7" i="1"/>
  <c r="AZ7" i="1"/>
  <c r="AZ324" i="1"/>
  <c r="AU324" i="1"/>
  <c r="AU309" i="1"/>
  <c r="AZ309" i="1"/>
  <c r="AU342" i="1"/>
  <c r="AZ342" i="1"/>
  <c r="AZ323" i="1"/>
  <c r="AU323" i="1"/>
  <c r="AU322" i="1"/>
  <c r="AZ322" i="1"/>
  <c r="AZ302" i="1"/>
  <c r="AU302" i="1"/>
  <c r="AZ308" i="1"/>
  <c r="AU308" i="1"/>
  <c r="AU284" i="1"/>
  <c r="AU269" i="1"/>
  <c r="AZ269" i="1"/>
  <c r="AZ295" i="1"/>
  <c r="AU295" i="1"/>
  <c r="AU281" i="1"/>
  <c r="AU277" i="1"/>
  <c r="AZ277" i="1"/>
  <c r="AU256" i="1"/>
  <c r="AZ256" i="1"/>
  <c r="AZ245" i="1"/>
  <c r="AU245" i="1"/>
  <c r="AU224" i="1"/>
  <c r="AZ224" i="1"/>
  <c r="AZ237" i="1"/>
  <c r="AU237" i="1"/>
  <c r="AU232" i="1"/>
  <c r="AZ232" i="1"/>
  <c r="AZ264" i="1"/>
  <c r="AU264" i="1"/>
  <c r="AZ247" i="1"/>
  <c r="AU247" i="1"/>
  <c r="AZ226" i="1"/>
  <c r="AU226" i="1"/>
  <c r="AZ205" i="1"/>
  <c r="AU205" i="1"/>
  <c r="AU183" i="1"/>
  <c r="AZ183" i="1"/>
  <c r="AZ216" i="1"/>
  <c r="AU216" i="1"/>
  <c r="AZ201" i="1"/>
  <c r="AU201" i="1"/>
  <c r="AZ222" i="1"/>
  <c r="AU222" i="1"/>
  <c r="AZ178" i="1"/>
  <c r="AU178" i="1"/>
  <c r="AZ188" i="1"/>
  <c r="AU188" i="1"/>
  <c r="AZ155" i="1"/>
  <c r="AU155" i="1"/>
  <c r="AZ167" i="1"/>
  <c r="AU167" i="1"/>
  <c r="AZ131" i="1"/>
  <c r="AU131" i="1"/>
  <c r="AZ98" i="1"/>
  <c r="AU98" i="1"/>
  <c r="AZ145" i="1"/>
  <c r="AU145" i="1"/>
  <c r="AU101" i="1"/>
  <c r="AZ101" i="1"/>
  <c r="AZ106" i="1"/>
  <c r="AU106" i="1"/>
  <c r="AZ153" i="1"/>
  <c r="AU153" i="1"/>
  <c r="AU87" i="1"/>
  <c r="AZ87" i="1"/>
  <c r="AZ81" i="1"/>
  <c r="AU81" i="1"/>
  <c r="AZ19" i="1"/>
  <c r="AU19" i="1"/>
  <c r="AZ84" i="1"/>
  <c r="AU84" i="1"/>
  <c r="AU35" i="1"/>
  <c r="AZ35" i="1"/>
  <c r="AZ21" i="1"/>
  <c r="AU21" i="1"/>
  <c r="AU5" i="1"/>
  <c r="AZ5" i="1"/>
  <c r="AU6" i="1"/>
  <c r="AZ6" i="1"/>
  <c r="AZ79" i="1"/>
  <c r="AU79" i="1"/>
  <c r="AZ30" i="1"/>
  <c r="AU30" i="1"/>
  <c r="AU36" i="1"/>
  <c r="AZ36" i="1"/>
  <c r="AU285" i="1"/>
  <c r="AZ229" i="1"/>
  <c r="AU229" i="1"/>
  <c r="AU187" i="1"/>
  <c r="AZ187" i="1"/>
  <c r="AZ53" i="1"/>
  <c r="AU53" i="1"/>
  <c r="AZ350" i="1"/>
  <c r="AU350" i="1"/>
  <c r="AZ327" i="1"/>
  <c r="AU327" i="1"/>
  <c r="AZ301" i="1"/>
  <c r="AU301" i="1"/>
  <c r="AZ278" i="1"/>
  <c r="AU278" i="1"/>
  <c r="AZ276" i="1"/>
  <c r="AU276" i="1"/>
  <c r="AZ265" i="1"/>
  <c r="AU265" i="1"/>
  <c r="AZ227" i="1"/>
  <c r="AU227" i="1"/>
  <c r="AZ221" i="1"/>
  <c r="AU221" i="1"/>
  <c r="AZ253" i="1"/>
  <c r="AU253" i="1"/>
  <c r="AU248" i="1"/>
  <c r="AZ248" i="1"/>
  <c r="AZ230" i="1"/>
  <c r="AU230" i="1"/>
  <c r="AU203" i="1"/>
  <c r="AZ203" i="1"/>
  <c r="AZ194" i="1"/>
  <c r="AU194" i="1"/>
  <c r="AU179" i="1"/>
  <c r="AZ179" i="1"/>
  <c r="AZ209" i="1"/>
  <c r="AU209" i="1"/>
  <c r="AU199" i="1"/>
  <c r="AZ199" i="1"/>
  <c r="AZ204" i="1"/>
  <c r="AU204" i="1"/>
  <c r="AZ210" i="1"/>
  <c r="AU210" i="1"/>
  <c r="AZ198" i="1"/>
  <c r="AU198" i="1"/>
  <c r="AZ202" i="1"/>
  <c r="AU202" i="1"/>
  <c r="AU130" i="1"/>
  <c r="AZ130" i="1"/>
  <c r="AZ129" i="1"/>
  <c r="AU129" i="1"/>
  <c r="AZ110" i="1"/>
  <c r="AU110" i="1"/>
  <c r="AU95" i="1"/>
  <c r="AZ95" i="1"/>
  <c r="AZ114" i="1"/>
  <c r="AU114" i="1"/>
  <c r="AZ96" i="1"/>
  <c r="AU96" i="1"/>
  <c r="AZ25" i="1"/>
  <c r="AU25" i="1"/>
  <c r="AZ90" i="1"/>
  <c r="AU90" i="1"/>
  <c r="AU12" i="1"/>
  <c r="AZ12" i="1"/>
  <c r="AZ55" i="1"/>
  <c r="AU55" i="1"/>
  <c r="AU15" i="1"/>
  <c r="AZ15" i="1"/>
  <c r="AZ26" i="1"/>
  <c r="AU26" i="1"/>
  <c r="AZ332" i="1"/>
  <c r="AU332" i="1"/>
  <c r="AZ328" i="1"/>
  <c r="AU328" i="1"/>
  <c r="AU346" i="1"/>
  <c r="AZ346" i="1"/>
  <c r="AZ259" i="1"/>
  <c r="AU259" i="1"/>
  <c r="AZ250" i="1"/>
  <c r="AU250" i="1"/>
  <c r="AZ258" i="1"/>
  <c r="AU258" i="1"/>
  <c r="AZ196" i="1"/>
  <c r="AU196" i="1"/>
  <c r="AZ218" i="1"/>
  <c r="AU218" i="1"/>
  <c r="AZ139" i="1"/>
  <c r="AU139" i="1"/>
  <c r="AZ117" i="1"/>
  <c r="AU117" i="1"/>
  <c r="AZ161" i="1"/>
  <c r="AU161" i="1"/>
  <c r="AU91" i="1"/>
  <c r="AZ91" i="1"/>
  <c r="AU11" i="1"/>
  <c r="AZ11" i="1"/>
  <c r="AU334" i="1"/>
  <c r="AZ334" i="1"/>
  <c r="AU303" i="1"/>
  <c r="AZ303" i="1"/>
  <c r="AU299" i="1"/>
  <c r="AZ299" i="1"/>
  <c r="AZ325" i="1"/>
  <c r="AU325" i="1"/>
  <c r="AZ268" i="1"/>
  <c r="AU268" i="1"/>
  <c r="AZ347" i="1"/>
  <c r="AU347" i="1"/>
  <c r="AZ331" i="1"/>
  <c r="AU331" i="1"/>
  <c r="AZ315" i="1"/>
  <c r="AU315" i="1"/>
  <c r="AU320" i="1"/>
  <c r="AZ320" i="1"/>
  <c r="AZ318" i="1"/>
  <c r="AU318" i="1"/>
  <c r="AZ321" i="1"/>
  <c r="AU321" i="1"/>
  <c r="AZ313" i="1"/>
  <c r="AU313" i="1"/>
  <c r="AZ279" i="1"/>
  <c r="AU279" i="1"/>
  <c r="AZ291" i="1"/>
  <c r="AU291" i="1"/>
  <c r="AZ275" i="1"/>
  <c r="AU275" i="1"/>
  <c r="AU283" i="1"/>
  <c r="AZ267" i="1"/>
  <c r="AU267" i="1"/>
  <c r="AZ260" i="1"/>
  <c r="AU260" i="1"/>
  <c r="AZ243" i="1"/>
  <c r="AU243" i="1"/>
  <c r="AZ280" i="1"/>
  <c r="AU280" i="1"/>
  <c r="AZ255" i="1"/>
  <c r="AU255" i="1"/>
  <c r="AU220" i="1"/>
  <c r="AZ220" i="1"/>
  <c r="AZ246" i="1"/>
  <c r="AU246" i="1"/>
  <c r="AZ225" i="1"/>
  <c r="AU225" i="1"/>
  <c r="AU175" i="1"/>
  <c r="AZ175" i="1"/>
  <c r="AZ208" i="1"/>
  <c r="AU208" i="1"/>
  <c r="AZ192" i="1"/>
  <c r="AU192" i="1"/>
  <c r="AZ197" i="1"/>
  <c r="AU197" i="1"/>
  <c r="AZ186" i="1"/>
  <c r="AU186" i="1"/>
  <c r="AU123" i="1"/>
  <c r="AZ123" i="1"/>
  <c r="AZ119" i="1"/>
  <c r="AU119" i="1"/>
  <c r="AU105" i="1"/>
  <c r="AZ105" i="1"/>
  <c r="AZ128" i="1"/>
  <c r="AU128" i="1"/>
  <c r="AZ164" i="1"/>
  <c r="AU164" i="1"/>
  <c r="AU93" i="1"/>
  <c r="AZ93" i="1"/>
  <c r="AZ104" i="1"/>
  <c r="AU104" i="1"/>
  <c r="AZ85" i="1"/>
  <c r="AU85" i="1"/>
  <c r="AZ17" i="1"/>
  <c r="AU17" i="1"/>
  <c r="AZ31" i="1"/>
  <c r="AU31" i="1"/>
  <c r="AZ54" i="1"/>
  <c r="AU54" i="1"/>
  <c r="AU33" i="1"/>
  <c r="AZ33" i="1"/>
  <c r="AU13" i="1"/>
  <c r="AZ13" i="1"/>
  <c r="AZ27" i="1"/>
  <c r="AU27" i="1"/>
  <c r="AZ22" i="1"/>
  <c r="AU22" i="1"/>
  <c r="AU9" i="1"/>
  <c r="AZ9" i="1"/>
  <c r="AZ345" i="1"/>
  <c r="AZ348" i="1"/>
  <c r="AU348" i="1"/>
  <c r="AZ310" i="1"/>
  <c r="AU310" i="1"/>
  <c r="AU286" i="1"/>
  <c r="AZ294" i="1"/>
  <c r="AU294" i="1"/>
  <c r="AZ249" i="1"/>
  <c r="AU249" i="1"/>
  <c r="AZ233" i="1"/>
  <c r="AU233" i="1"/>
  <c r="AU171" i="1"/>
  <c r="AZ171" i="1"/>
  <c r="AU207" i="1"/>
  <c r="AZ207" i="1"/>
  <c r="AU191" i="1"/>
  <c r="AZ191" i="1"/>
  <c r="AZ168" i="1"/>
  <c r="AU168" i="1"/>
  <c r="AZ127" i="1"/>
  <c r="AU127" i="1"/>
  <c r="AU154" i="1"/>
  <c r="AZ154" i="1"/>
  <c r="AU138" i="1"/>
  <c r="AZ138" i="1"/>
  <c r="AZ151" i="1"/>
  <c r="AU151" i="1"/>
  <c r="AU134" i="1"/>
  <c r="AZ134" i="1"/>
  <c r="AU120" i="1"/>
  <c r="AZ120" i="1"/>
  <c r="AU109" i="1"/>
  <c r="AZ109" i="1"/>
  <c r="AZ122" i="1"/>
  <c r="AU122" i="1"/>
  <c r="AU50" i="1"/>
  <c r="AZ50" i="1"/>
  <c r="AU46" i="1"/>
  <c r="AZ46" i="1"/>
  <c r="AU38" i="1"/>
  <c r="AZ38" i="1"/>
  <c r="AZ24" i="1"/>
  <c r="AU24" i="1"/>
  <c r="AZ86" i="1"/>
  <c r="AU86" i="1"/>
  <c r="AZ343" i="1"/>
  <c r="AU343" i="1"/>
  <c r="AU316" i="1"/>
  <c r="AZ316" i="1"/>
  <c r="AZ341" i="1"/>
  <c r="AU341" i="1"/>
  <c r="AU296" i="1"/>
  <c r="AZ296" i="1"/>
  <c r="AZ297" i="1"/>
  <c r="AU297" i="1"/>
  <c r="AZ290" i="1"/>
  <c r="AU290" i="1"/>
  <c r="AZ239" i="1"/>
  <c r="AU239" i="1"/>
  <c r="AZ257" i="1"/>
  <c r="AU257" i="1"/>
  <c r="AZ251" i="1"/>
  <c r="AU251" i="1"/>
  <c r="AZ241" i="1"/>
  <c r="AU241" i="1"/>
  <c r="AZ235" i="1"/>
  <c r="AU235" i="1"/>
  <c r="AU195" i="1"/>
  <c r="AZ195" i="1"/>
  <c r="AZ214" i="1"/>
  <c r="AU214" i="1"/>
  <c r="AU211" i="1"/>
  <c r="AZ211" i="1"/>
  <c r="AZ184" i="1"/>
  <c r="AU184" i="1"/>
  <c r="AZ163" i="1"/>
  <c r="AU163" i="1"/>
  <c r="AY181" i="1"/>
  <c r="BA181" i="1" s="1"/>
  <c r="AV181" i="1"/>
  <c r="AU169" i="1"/>
  <c r="AZ169" i="1"/>
  <c r="AZ143" i="1"/>
  <c r="AU143" i="1"/>
  <c r="AU126" i="1"/>
  <c r="AZ126" i="1"/>
  <c r="AZ137" i="1"/>
  <c r="AU137" i="1"/>
  <c r="AZ148" i="1"/>
  <c r="AU148" i="1"/>
  <c r="AZ141" i="1"/>
  <c r="AU141" i="1"/>
  <c r="AZ100" i="1"/>
  <c r="AU100" i="1"/>
  <c r="AZ112" i="1"/>
  <c r="AU112" i="1"/>
  <c r="AU49" i="1"/>
  <c r="AZ49" i="1"/>
  <c r="AU45" i="1"/>
  <c r="AZ45" i="1"/>
  <c r="AU41" i="1"/>
  <c r="AZ41" i="1"/>
  <c r="AU37" i="1"/>
  <c r="AZ37" i="1"/>
  <c r="AZ20" i="1"/>
  <c r="AU20" i="1"/>
  <c r="AZ94" i="1"/>
  <c r="AU94" i="1"/>
  <c r="AZ92" i="1"/>
  <c r="AU92" i="1"/>
  <c r="AZ78" i="1"/>
  <c r="AU78" i="1"/>
  <c r="AZ74" i="1"/>
  <c r="AU74" i="1"/>
  <c r="AZ70" i="1"/>
  <c r="AU70" i="1"/>
  <c r="AZ66" i="1"/>
  <c r="AU66" i="1"/>
  <c r="AZ62" i="1"/>
  <c r="AU62" i="1"/>
  <c r="AZ58" i="1"/>
  <c r="AU58" i="1"/>
  <c r="AZ2" i="1"/>
  <c r="AU2" i="1"/>
  <c r="AU338" i="1"/>
  <c r="AZ338" i="1"/>
  <c r="AZ335" i="1"/>
  <c r="AU335" i="1"/>
  <c r="AU330" i="1"/>
  <c r="AZ330" i="1"/>
  <c r="AZ349" i="1"/>
  <c r="AU349" i="1"/>
  <c r="AZ329" i="1"/>
  <c r="AU329" i="1"/>
  <c r="AZ340" i="1"/>
  <c r="AU340" i="1"/>
  <c r="AZ319" i="1"/>
  <c r="AU319" i="1"/>
  <c r="AZ314" i="1"/>
  <c r="AU314" i="1"/>
  <c r="AZ300" i="1"/>
  <c r="AU300" i="1"/>
  <c r="AZ270" i="1"/>
  <c r="AU270" i="1"/>
  <c r="AU282" i="1"/>
  <c r="AU293" i="1"/>
  <c r="AZ293" i="1"/>
  <c r="AU289" i="1"/>
  <c r="AZ289" i="1"/>
  <c r="AZ274" i="1"/>
  <c r="AU274" i="1"/>
  <c r="AZ292" i="1"/>
  <c r="AU292" i="1"/>
  <c r="AU266" i="1"/>
  <c r="AZ266" i="1"/>
  <c r="AZ254" i="1"/>
  <c r="AU254" i="1"/>
  <c r="AZ238" i="1"/>
  <c r="AU238" i="1"/>
  <c r="AU228" i="1"/>
  <c r="AZ228" i="1"/>
  <c r="AU262" i="1"/>
  <c r="AZ262" i="1"/>
  <c r="AZ234" i="1"/>
  <c r="AU234" i="1"/>
  <c r="AZ213" i="1"/>
  <c r="AU213" i="1"/>
  <c r="AU215" i="1"/>
  <c r="AZ215" i="1"/>
  <c r="AZ219" i="1"/>
  <c r="AU219" i="1"/>
  <c r="AZ176" i="1"/>
  <c r="AU176" i="1"/>
  <c r="AU162" i="1"/>
  <c r="AZ162" i="1"/>
  <c r="AZ147" i="1"/>
  <c r="AU147" i="1"/>
  <c r="AU142" i="1"/>
  <c r="AZ142" i="1"/>
  <c r="AZ160" i="1"/>
  <c r="AU160" i="1"/>
  <c r="AU166" i="1"/>
  <c r="AZ166" i="1"/>
  <c r="AZ144" i="1"/>
  <c r="AU144" i="1"/>
  <c r="AZ132" i="1"/>
  <c r="AU132" i="1"/>
  <c r="AU102" i="1"/>
  <c r="AZ140" i="1"/>
  <c r="AU140" i="1"/>
  <c r="AZ121" i="1"/>
  <c r="AU121" i="1"/>
  <c r="AU52" i="1"/>
  <c r="AZ52" i="1"/>
  <c r="AU48" i="1"/>
  <c r="AZ48" i="1"/>
  <c r="AU44" i="1"/>
  <c r="AZ44" i="1"/>
  <c r="AU40" i="1"/>
  <c r="AZ40" i="1"/>
  <c r="AZ32" i="1"/>
  <c r="AU32" i="1"/>
  <c r="AZ107" i="1"/>
  <c r="AU107" i="1"/>
  <c r="AU34" i="1"/>
  <c r="AZ34" i="1"/>
  <c r="AU89" i="1"/>
  <c r="AZ89" i="1"/>
  <c r="AZ80" i="1"/>
  <c r="AU80" i="1"/>
  <c r="AZ77" i="1"/>
  <c r="AU77" i="1"/>
  <c r="AZ73" i="1"/>
  <c r="AU73" i="1"/>
  <c r="AZ69" i="1"/>
  <c r="AU69" i="1"/>
  <c r="AZ65" i="1"/>
  <c r="AU65" i="1"/>
  <c r="AZ61" i="1"/>
  <c r="AU61" i="1"/>
  <c r="AZ57" i="1"/>
  <c r="AU57" i="1"/>
  <c r="AU10" i="1"/>
  <c r="AZ10" i="1"/>
  <c r="AZ307" i="1"/>
  <c r="AU307" i="1"/>
  <c r="AZ288" i="1"/>
  <c r="AU288" i="1"/>
  <c r="AZ272" i="1"/>
  <c r="AU272" i="1"/>
  <c r="AU273" i="1"/>
  <c r="AZ273" i="1"/>
  <c r="AZ242" i="1"/>
  <c r="AU242" i="1"/>
  <c r="AZ212" i="1"/>
  <c r="AU212" i="1"/>
  <c r="AZ200" i="1"/>
  <c r="AU200" i="1"/>
  <c r="AZ190" i="1"/>
  <c r="AU190" i="1"/>
  <c r="AZ174" i="1"/>
  <c r="AU174" i="1"/>
  <c r="AZ157" i="1"/>
  <c r="AU157" i="1"/>
  <c r="AU146" i="1"/>
  <c r="AZ146" i="1"/>
  <c r="AU158" i="1"/>
  <c r="AZ158" i="1"/>
  <c r="AZ170" i="1"/>
  <c r="AU170" i="1"/>
  <c r="AZ135" i="1"/>
  <c r="AU135" i="1"/>
  <c r="AZ124" i="1"/>
  <c r="AU124" i="1"/>
  <c r="AU113" i="1"/>
  <c r="AZ113" i="1"/>
  <c r="AU43" i="1"/>
  <c r="AZ43" i="1"/>
  <c r="AU39" i="1"/>
  <c r="AZ39" i="1"/>
  <c r="AZ28" i="1"/>
  <c r="AU28" i="1"/>
  <c r="AZ76" i="1"/>
  <c r="AU76" i="1"/>
  <c r="AZ72" i="1"/>
  <c r="AU72" i="1"/>
  <c r="AZ68" i="1"/>
  <c r="AU68" i="1"/>
  <c r="AZ60" i="1"/>
  <c r="AU60" i="1"/>
  <c r="AZ56" i="1"/>
  <c r="AU56" i="1"/>
  <c r="AZ305" i="1"/>
  <c r="AU305" i="1"/>
  <c r="AO4" i="1"/>
  <c r="AV111" i="1" l="1"/>
  <c r="AY189" i="1"/>
  <c r="BA189" i="1" s="1"/>
  <c r="AY152" i="1"/>
  <c r="BA152" i="1" s="1"/>
  <c r="AU263" i="1"/>
  <c r="AY263" i="1" s="1"/>
  <c r="BA263" i="1" s="1"/>
  <c r="AU317" i="1"/>
  <c r="AU63" i="1"/>
  <c r="AV16" i="1"/>
  <c r="AU206" i="1"/>
  <c r="AY206" i="1" s="1"/>
  <c r="BA206" i="1" s="1"/>
  <c r="AU339" i="1"/>
  <c r="AZ51" i="1"/>
  <c r="AU115" i="1"/>
  <c r="AV115" i="1" s="1"/>
  <c r="AU165" i="1"/>
  <c r="AY165" i="1" s="1"/>
  <c r="BA165" i="1" s="1"/>
  <c r="AY304" i="1"/>
  <c r="BA304" i="1" s="1"/>
  <c r="AY271" i="1"/>
  <c r="BA271" i="1" s="1"/>
  <c r="AU64" i="1"/>
  <c r="AV64" i="1" s="1"/>
  <c r="AU333" i="1"/>
  <c r="AV333" i="1" s="1"/>
  <c r="AU133" i="1"/>
  <c r="AU59" i="1"/>
  <c r="AV59" i="1" s="1"/>
  <c r="AZ252" i="1"/>
  <c r="AU172" i="1"/>
  <c r="AV172" i="1" s="1"/>
  <c r="AV177" i="1"/>
  <c r="AV185" i="1"/>
  <c r="AV14" i="1"/>
  <c r="AZ108" i="1"/>
  <c r="AU42" i="1"/>
  <c r="AY42" i="1" s="1"/>
  <c r="BA42" i="1" s="1"/>
  <c r="AZ71" i="1"/>
  <c r="AU116" i="1"/>
  <c r="AY116" i="1" s="1"/>
  <c r="BA116" i="1" s="1"/>
  <c r="AZ116" i="1"/>
  <c r="AU159" i="1"/>
  <c r="AZ326" i="1"/>
  <c r="AY193" i="1"/>
  <c r="BA193" i="1" s="1"/>
  <c r="AZ236" i="1"/>
  <c r="AV173" i="1"/>
  <c r="AZ244" i="1"/>
  <c r="AY336" i="1"/>
  <c r="BA336" i="1" s="1"/>
  <c r="AZ97" i="1"/>
  <c r="AU97" i="1"/>
  <c r="AV306" i="1"/>
  <c r="AU67" i="1"/>
  <c r="AY67" i="1" s="1"/>
  <c r="BA67" i="1" s="1"/>
  <c r="AZ82" i="1"/>
  <c r="AU82" i="1"/>
  <c r="AV82" i="1" s="1"/>
  <c r="AZ312" i="1"/>
  <c r="AU312" i="1"/>
  <c r="AV312" i="1" s="1"/>
  <c r="AZ150" i="1"/>
  <c r="AU150" i="1"/>
  <c r="AY150" i="1" s="1"/>
  <c r="BA150" i="1" s="1"/>
  <c r="AZ261" i="1"/>
  <c r="AU261" i="1"/>
  <c r="AV261" i="1" s="1"/>
  <c r="AZ149" i="1"/>
  <c r="AZ88" i="1"/>
  <c r="AU88" i="1"/>
  <c r="AY88" i="1" s="1"/>
  <c r="BA88" i="1" s="1"/>
  <c r="AU136" i="1"/>
  <c r="AZ136" i="1"/>
  <c r="AZ47" i="1"/>
  <c r="AZ298" i="1"/>
  <c r="AU75" i="1"/>
  <c r="AY75" i="1" s="1"/>
  <c r="BA75" i="1" s="1"/>
  <c r="AU118" i="1"/>
  <c r="AZ118" i="1"/>
  <c r="AV99" i="1"/>
  <c r="AY47" i="1"/>
  <c r="BA47" i="1" s="1"/>
  <c r="AV47" i="1"/>
  <c r="AY10" i="1"/>
  <c r="BA10" i="1" s="1"/>
  <c r="AV10" i="1"/>
  <c r="AY40" i="1"/>
  <c r="BA40" i="1" s="1"/>
  <c r="AV40" i="1"/>
  <c r="AV66" i="1"/>
  <c r="AY66" i="1"/>
  <c r="BA66" i="1" s="1"/>
  <c r="AV94" i="1"/>
  <c r="AY94" i="1"/>
  <c r="BA94" i="1" s="1"/>
  <c r="AV184" i="1"/>
  <c r="AY184" i="1"/>
  <c r="BA184" i="1" s="1"/>
  <c r="AV251" i="1"/>
  <c r="AY251" i="1"/>
  <c r="BA251" i="1" s="1"/>
  <c r="AV317" i="1"/>
  <c r="AY317" i="1"/>
  <c r="BA317" i="1" s="1"/>
  <c r="AV24" i="1"/>
  <c r="AY24" i="1"/>
  <c r="BA24" i="1" s="1"/>
  <c r="AV122" i="1"/>
  <c r="AY122" i="1"/>
  <c r="BA122" i="1" s="1"/>
  <c r="AV168" i="1"/>
  <c r="AY168" i="1"/>
  <c r="BA168" i="1" s="1"/>
  <c r="AV286" i="1"/>
  <c r="AV85" i="1"/>
  <c r="AY85" i="1"/>
  <c r="BA85" i="1" s="1"/>
  <c r="AV119" i="1"/>
  <c r="AY119" i="1"/>
  <c r="BA119" i="1" s="1"/>
  <c r="AV192" i="1"/>
  <c r="AY192" i="1"/>
  <c r="BA192" i="1" s="1"/>
  <c r="AV246" i="1"/>
  <c r="AY246" i="1"/>
  <c r="BA246" i="1" s="1"/>
  <c r="AV267" i="1"/>
  <c r="AY267" i="1"/>
  <c r="BA267" i="1" s="1"/>
  <c r="AV321" i="1"/>
  <c r="AY321" i="1"/>
  <c r="BA321" i="1" s="1"/>
  <c r="AV331" i="1"/>
  <c r="AY331" i="1"/>
  <c r="BA331" i="1" s="1"/>
  <c r="AV117" i="1"/>
  <c r="AY117" i="1"/>
  <c r="BA117" i="1" s="1"/>
  <c r="AV258" i="1"/>
  <c r="AY258" i="1"/>
  <c r="BA258" i="1" s="1"/>
  <c r="AV328" i="1"/>
  <c r="AY328" i="1"/>
  <c r="BA328" i="1" s="1"/>
  <c r="AV55" i="1"/>
  <c r="AY55" i="1"/>
  <c r="BA55" i="1" s="1"/>
  <c r="AV96" i="1"/>
  <c r="AY96" i="1"/>
  <c r="BA96" i="1" s="1"/>
  <c r="AV129" i="1"/>
  <c r="AY129" i="1"/>
  <c r="BA129" i="1" s="1"/>
  <c r="AV210" i="1"/>
  <c r="AY210" i="1"/>
  <c r="BA210" i="1" s="1"/>
  <c r="AV265" i="1"/>
  <c r="AY265" i="1"/>
  <c r="BA265" i="1" s="1"/>
  <c r="AV327" i="1"/>
  <c r="AY327" i="1"/>
  <c r="BA327" i="1" s="1"/>
  <c r="AV229" i="1"/>
  <c r="AY229" i="1"/>
  <c r="BA229" i="1" s="1"/>
  <c r="AV145" i="1"/>
  <c r="AY145" i="1"/>
  <c r="BA145" i="1" s="1"/>
  <c r="AV155" i="1"/>
  <c r="AY155" i="1"/>
  <c r="BA155" i="1" s="1"/>
  <c r="AV201" i="1"/>
  <c r="AY201" i="1"/>
  <c r="BA201" i="1" s="1"/>
  <c r="AV226" i="1"/>
  <c r="AY226" i="1"/>
  <c r="BA226" i="1" s="1"/>
  <c r="AV237" i="1"/>
  <c r="AY237" i="1"/>
  <c r="BA237" i="1" s="1"/>
  <c r="AV245" i="1"/>
  <c r="AY245" i="1"/>
  <c r="BA245" i="1" s="1"/>
  <c r="AY295" i="1"/>
  <c r="BA295" i="1" s="1"/>
  <c r="AV295" i="1"/>
  <c r="AV302" i="1"/>
  <c r="AY302" i="1"/>
  <c r="BA302" i="1" s="1"/>
  <c r="AV156" i="1"/>
  <c r="AY156" i="1"/>
  <c r="BA156" i="1" s="1"/>
  <c r="AV182" i="1"/>
  <c r="AY182" i="1"/>
  <c r="BA182" i="1" s="1"/>
  <c r="AV56" i="1"/>
  <c r="AY56" i="1"/>
  <c r="BA56" i="1" s="1"/>
  <c r="AV72" i="1"/>
  <c r="AY72" i="1"/>
  <c r="BA72" i="1" s="1"/>
  <c r="AV28" i="1"/>
  <c r="AY28" i="1"/>
  <c r="BA28" i="1" s="1"/>
  <c r="AV135" i="1"/>
  <c r="AY135" i="1"/>
  <c r="BA135" i="1" s="1"/>
  <c r="AV157" i="1"/>
  <c r="AY157" i="1"/>
  <c r="BA157" i="1" s="1"/>
  <c r="AV190" i="1"/>
  <c r="AY190" i="1"/>
  <c r="BA190" i="1" s="1"/>
  <c r="AV212" i="1"/>
  <c r="AY212" i="1"/>
  <c r="BA212" i="1" s="1"/>
  <c r="AV288" i="1"/>
  <c r="AY288" i="1"/>
  <c r="BA288" i="1" s="1"/>
  <c r="AV57" i="1"/>
  <c r="AY57" i="1"/>
  <c r="BA57" i="1" s="1"/>
  <c r="AV65" i="1"/>
  <c r="AY65" i="1"/>
  <c r="BA65" i="1" s="1"/>
  <c r="AV73" i="1"/>
  <c r="AY73" i="1"/>
  <c r="BA73" i="1" s="1"/>
  <c r="AV80" i="1"/>
  <c r="AY80" i="1"/>
  <c r="BA80" i="1" s="1"/>
  <c r="AV32" i="1"/>
  <c r="AY32" i="1"/>
  <c r="BA32" i="1" s="1"/>
  <c r="AY82" i="1"/>
  <c r="BA82" i="1" s="1"/>
  <c r="AV144" i="1"/>
  <c r="AY144" i="1"/>
  <c r="BA144" i="1" s="1"/>
  <c r="AV160" i="1"/>
  <c r="AY160" i="1"/>
  <c r="BA160" i="1" s="1"/>
  <c r="AV147" i="1"/>
  <c r="AY147" i="1"/>
  <c r="BA147" i="1" s="1"/>
  <c r="AV176" i="1"/>
  <c r="AY176" i="1"/>
  <c r="BA176" i="1" s="1"/>
  <c r="AV234" i="1"/>
  <c r="AY234" i="1"/>
  <c r="BA234" i="1" s="1"/>
  <c r="AV274" i="1"/>
  <c r="AY274" i="1"/>
  <c r="BA274" i="1" s="1"/>
  <c r="AV300" i="1"/>
  <c r="AY300" i="1"/>
  <c r="BA300" i="1" s="1"/>
  <c r="AV314" i="1"/>
  <c r="AY314" i="1"/>
  <c r="BA314" i="1" s="1"/>
  <c r="AV319" i="1"/>
  <c r="AY319" i="1"/>
  <c r="BA319" i="1" s="1"/>
  <c r="AV329" i="1"/>
  <c r="AY329" i="1"/>
  <c r="BA329" i="1" s="1"/>
  <c r="AV2" i="1"/>
  <c r="AY2" i="1"/>
  <c r="AY37" i="1"/>
  <c r="BA37" i="1" s="1"/>
  <c r="AV37" i="1"/>
  <c r="AY45" i="1"/>
  <c r="BA45" i="1" s="1"/>
  <c r="AV45" i="1"/>
  <c r="AV150" i="1"/>
  <c r="AY126" i="1"/>
  <c r="BA126" i="1" s="1"/>
  <c r="AV126" i="1"/>
  <c r="AY169" i="1"/>
  <c r="BA169" i="1" s="1"/>
  <c r="AV169" i="1"/>
  <c r="AY298" i="1"/>
  <c r="BA298" i="1" s="1"/>
  <c r="AV298" i="1"/>
  <c r="AV42" i="1"/>
  <c r="AY50" i="1"/>
  <c r="BA50" i="1" s="1"/>
  <c r="AV50" i="1"/>
  <c r="AY109" i="1"/>
  <c r="BA109" i="1" s="1"/>
  <c r="AV109" i="1"/>
  <c r="AY134" i="1"/>
  <c r="BA134" i="1" s="1"/>
  <c r="AV134" i="1"/>
  <c r="AY138" i="1"/>
  <c r="BA138" i="1" s="1"/>
  <c r="AV138" i="1"/>
  <c r="AY207" i="1"/>
  <c r="BA207" i="1" s="1"/>
  <c r="AV207" i="1"/>
  <c r="AY13" i="1"/>
  <c r="BA13" i="1" s="1"/>
  <c r="AV13" i="1"/>
  <c r="AY93" i="1"/>
  <c r="BA93" i="1" s="1"/>
  <c r="AV93" i="1"/>
  <c r="AY175" i="1"/>
  <c r="BA175" i="1" s="1"/>
  <c r="AV175" i="1"/>
  <c r="AY320" i="1"/>
  <c r="BA320" i="1" s="1"/>
  <c r="AV320" i="1"/>
  <c r="AY299" i="1"/>
  <c r="BA299" i="1" s="1"/>
  <c r="AV299" i="1"/>
  <c r="AY334" i="1"/>
  <c r="BA334" i="1" s="1"/>
  <c r="AV334" i="1"/>
  <c r="AY91" i="1"/>
  <c r="BA91" i="1" s="1"/>
  <c r="AV91" i="1"/>
  <c r="AY95" i="1"/>
  <c r="BA95" i="1" s="1"/>
  <c r="AV95" i="1"/>
  <c r="AY199" i="1"/>
  <c r="BA199" i="1" s="1"/>
  <c r="AV199" i="1"/>
  <c r="AY179" i="1"/>
  <c r="BA179" i="1" s="1"/>
  <c r="AV179" i="1"/>
  <c r="AY203" i="1"/>
  <c r="BA203" i="1" s="1"/>
  <c r="AV203" i="1"/>
  <c r="AY248" i="1"/>
  <c r="BA248" i="1" s="1"/>
  <c r="AV248" i="1"/>
  <c r="AY36" i="1"/>
  <c r="BA36" i="1" s="1"/>
  <c r="AV36" i="1"/>
  <c r="AY5" i="1"/>
  <c r="BA5" i="1" s="1"/>
  <c r="AV5" i="1"/>
  <c r="AY35" i="1"/>
  <c r="BA35" i="1" s="1"/>
  <c r="AV35" i="1"/>
  <c r="AY87" i="1"/>
  <c r="BA87" i="1" s="1"/>
  <c r="AV87" i="1"/>
  <c r="AY183" i="1"/>
  <c r="BA183" i="1" s="1"/>
  <c r="AV183" i="1"/>
  <c r="AY277" i="1"/>
  <c r="BA277" i="1" s="1"/>
  <c r="AV277" i="1"/>
  <c r="AY309" i="1"/>
  <c r="BA309" i="1" s="1"/>
  <c r="AV309" i="1"/>
  <c r="AY7" i="1"/>
  <c r="BA7" i="1" s="1"/>
  <c r="AV7" i="1"/>
  <c r="AY8" i="1"/>
  <c r="BA8" i="1" s="1"/>
  <c r="AV8" i="1"/>
  <c r="AY240" i="1"/>
  <c r="BA240" i="1" s="1"/>
  <c r="AV240" i="1"/>
  <c r="AY311" i="1"/>
  <c r="BA311" i="1" s="1"/>
  <c r="AV311" i="1"/>
  <c r="AY39" i="1"/>
  <c r="BA39" i="1" s="1"/>
  <c r="AV39" i="1"/>
  <c r="AY146" i="1"/>
  <c r="BA146" i="1" s="1"/>
  <c r="AV146" i="1"/>
  <c r="AY289" i="1"/>
  <c r="BA289" i="1" s="1"/>
  <c r="AV289" i="1"/>
  <c r="AV74" i="1"/>
  <c r="AY74" i="1"/>
  <c r="BA74" i="1" s="1"/>
  <c r="AV112" i="1"/>
  <c r="AY112" i="1"/>
  <c r="BA112" i="1" s="1"/>
  <c r="AV148" i="1"/>
  <c r="AY148" i="1"/>
  <c r="BA148" i="1" s="1"/>
  <c r="AV133" i="1"/>
  <c r="AY133" i="1"/>
  <c r="BA133" i="1" s="1"/>
  <c r="AV235" i="1"/>
  <c r="AY235" i="1"/>
  <c r="BA235" i="1" s="1"/>
  <c r="AV297" i="1"/>
  <c r="AY297" i="1"/>
  <c r="BA297" i="1" s="1"/>
  <c r="AV343" i="1"/>
  <c r="AY343" i="1"/>
  <c r="BA343" i="1" s="1"/>
  <c r="AV108" i="1"/>
  <c r="AY108" i="1"/>
  <c r="BA108" i="1" s="1"/>
  <c r="AV249" i="1"/>
  <c r="AY249" i="1"/>
  <c r="BA249" i="1" s="1"/>
  <c r="AV348" i="1"/>
  <c r="AY348" i="1"/>
  <c r="BA348" i="1" s="1"/>
  <c r="AV22" i="1"/>
  <c r="AY22" i="1"/>
  <c r="BA22" i="1" s="1"/>
  <c r="AV31" i="1"/>
  <c r="AY31" i="1"/>
  <c r="BA31" i="1" s="1"/>
  <c r="AV128" i="1"/>
  <c r="AY128" i="1"/>
  <c r="BA128" i="1" s="1"/>
  <c r="AV255" i="1"/>
  <c r="AY255" i="1"/>
  <c r="BA255" i="1" s="1"/>
  <c r="AV275" i="1"/>
  <c r="AY275" i="1"/>
  <c r="BA275" i="1" s="1"/>
  <c r="AV268" i="1"/>
  <c r="AY268" i="1"/>
  <c r="BA268" i="1" s="1"/>
  <c r="AV218" i="1"/>
  <c r="AY218" i="1"/>
  <c r="BA218" i="1" s="1"/>
  <c r="AV259" i="1"/>
  <c r="AY259" i="1"/>
  <c r="BA259" i="1" s="1"/>
  <c r="AV26" i="1"/>
  <c r="AY26" i="1"/>
  <c r="BA26" i="1" s="1"/>
  <c r="AV90" i="1"/>
  <c r="AY90" i="1"/>
  <c r="BA90" i="1" s="1"/>
  <c r="AV202" i="1"/>
  <c r="AY202" i="1"/>
  <c r="BA202" i="1" s="1"/>
  <c r="AV221" i="1"/>
  <c r="AY221" i="1"/>
  <c r="BA221" i="1" s="1"/>
  <c r="AV278" i="1"/>
  <c r="AY278" i="1"/>
  <c r="BA278" i="1" s="1"/>
  <c r="AV53" i="1"/>
  <c r="AY53" i="1"/>
  <c r="BA53" i="1" s="1"/>
  <c r="AV79" i="1"/>
  <c r="AY79" i="1"/>
  <c r="BA79" i="1" s="1"/>
  <c r="AV19" i="1"/>
  <c r="AY19" i="1"/>
  <c r="BA19" i="1" s="1"/>
  <c r="AV106" i="1"/>
  <c r="AY106" i="1"/>
  <c r="BA106" i="1" s="1"/>
  <c r="AV131" i="1"/>
  <c r="AY131" i="1"/>
  <c r="BA131" i="1" s="1"/>
  <c r="AV178" i="1"/>
  <c r="AY178" i="1"/>
  <c r="BA178" i="1" s="1"/>
  <c r="AV264" i="1"/>
  <c r="AY264" i="1"/>
  <c r="BA264" i="1" s="1"/>
  <c r="AV284" i="1"/>
  <c r="AV323" i="1"/>
  <c r="AY323" i="1"/>
  <c r="BA323" i="1" s="1"/>
  <c r="AV23" i="1"/>
  <c r="AY23" i="1"/>
  <c r="BA23" i="1" s="1"/>
  <c r="AV125" i="1"/>
  <c r="AY125" i="1"/>
  <c r="BA125" i="1" s="1"/>
  <c r="AV231" i="1"/>
  <c r="AY231" i="1"/>
  <c r="BA231" i="1" s="1"/>
  <c r="AY43" i="1"/>
  <c r="BA43" i="1" s="1"/>
  <c r="AV43" i="1"/>
  <c r="AY51" i="1"/>
  <c r="BA51" i="1" s="1"/>
  <c r="AV51" i="1"/>
  <c r="AY113" i="1"/>
  <c r="BA113" i="1" s="1"/>
  <c r="AV113" i="1"/>
  <c r="AY158" i="1"/>
  <c r="BA158" i="1" s="1"/>
  <c r="AV158" i="1"/>
  <c r="AY252" i="1"/>
  <c r="BA252" i="1" s="1"/>
  <c r="AV252" i="1"/>
  <c r="AY273" i="1"/>
  <c r="BA273" i="1" s="1"/>
  <c r="AV273" i="1"/>
  <c r="AY34" i="1"/>
  <c r="BA34" i="1" s="1"/>
  <c r="AV34" i="1"/>
  <c r="AY44" i="1"/>
  <c r="BA44" i="1" s="1"/>
  <c r="AV44" i="1"/>
  <c r="AY52" i="1"/>
  <c r="BA52" i="1" s="1"/>
  <c r="AV52" i="1"/>
  <c r="AY142" i="1"/>
  <c r="BA142" i="1" s="1"/>
  <c r="AV142" i="1"/>
  <c r="AY215" i="1"/>
  <c r="BA215" i="1" s="1"/>
  <c r="AV215" i="1"/>
  <c r="AY228" i="1"/>
  <c r="BA228" i="1" s="1"/>
  <c r="AV228" i="1"/>
  <c r="AY244" i="1"/>
  <c r="BA244" i="1" s="1"/>
  <c r="AV244" i="1"/>
  <c r="AY266" i="1"/>
  <c r="BA266" i="1" s="1"/>
  <c r="AV266" i="1"/>
  <c r="AY293" i="1"/>
  <c r="BA293" i="1" s="1"/>
  <c r="AV293" i="1"/>
  <c r="AY330" i="1"/>
  <c r="BA330" i="1" s="1"/>
  <c r="AV330" i="1"/>
  <c r="AY338" i="1"/>
  <c r="BA338" i="1" s="1"/>
  <c r="AV338" i="1"/>
  <c r="AV62" i="1"/>
  <c r="AY62" i="1"/>
  <c r="BA62" i="1" s="1"/>
  <c r="AV70" i="1"/>
  <c r="AY70" i="1"/>
  <c r="BA70" i="1" s="1"/>
  <c r="AV78" i="1"/>
  <c r="AY78" i="1"/>
  <c r="BA78" i="1" s="1"/>
  <c r="AV92" i="1"/>
  <c r="AY92" i="1"/>
  <c r="BA92" i="1" s="1"/>
  <c r="AV20" i="1"/>
  <c r="AY20" i="1"/>
  <c r="BA20" i="1" s="1"/>
  <c r="AV100" i="1"/>
  <c r="AY100" i="1"/>
  <c r="BA100" i="1" s="1"/>
  <c r="AV141" i="1"/>
  <c r="AY141" i="1"/>
  <c r="BA141" i="1" s="1"/>
  <c r="AV137" i="1"/>
  <c r="AY137" i="1"/>
  <c r="BA137" i="1" s="1"/>
  <c r="AV149" i="1"/>
  <c r="AY149" i="1"/>
  <c r="BA149" i="1" s="1"/>
  <c r="AV143" i="1"/>
  <c r="AY143" i="1"/>
  <c r="BA143" i="1" s="1"/>
  <c r="AV163" i="1"/>
  <c r="AY163" i="1"/>
  <c r="BA163" i="1" s="1"/>
  <c r="AV241" i="1"/>
  <c r="AY241" i="1"/>
  <c r="BA241" i="1" s="1"/>
  <c r="AV257" i="1"/>
  <c r="AY257" i="1"/>
  <c r="BA257" i="1" s="1"/>
  <c r="AV290" i="1"/>
  <c r="AY290" i="1"/>
  <c r="BA290" i="1" s="1"/>
  <c r="AV341" i="1"/>
  <c r="AY341" i="1"/>
  <c r="BA341" i="1" s="1"/>
  <c r="AV339" i="1"/>
  <c r="AY339" i="1"/>
  <c r="BA339" i="1" s="1"/>
  <c r="AV63" i="1"/>
  <c r="AY63" i="1"/>
  <c r="BA63" i="1" s="1"/>
  <c r="AV71" i="1"/>
  <c r="AY71" i="1"/>
  <c r="BA71" i="1" s="1"/>
  <c r="AV86" i="1"/>
  <c r="AY86" i="1"/>
  <c r="BA86" i="1" s="1"/>
  <c r="AV151" i="1"/>
  <c r="AY151" i="1"/>
  <c r="BA151" i="1" s="1"/>
  <c r="AV127" i="1"/>
  <c r="AY127" i="1"/>
  <c r="BA127" i="1" s="1"/>
  <c r="AV263" i="1"/>
  <c r="AV233" i="1"/>
  <c r="AY233" i="1"/>
  <c r="BA233" i="1" s="1"/>
  <c r="AV310" i="1"/>
  <c r="AY310" i="1"/>
  <c r="BA310" i="1" s="1"/>
  <c r="AV345" i="1"/>
  <c r="AY345" i="1"/>
  <c r="BA345" i="1" s="1"/>
  <c r="AV27" i="1"/>
  <c r="AY27" i="1"/>
  <c r="BA27" i="1" s="1"/>
  <c r="AV17" i="1"/>
  <c r="AY17" i="1"/>
  <c r="BA17" i="1" s="1"/>
  <c r="AV104" i="1"/>
  <c r="AY104" i="1"/>
  <c r="BA104" i="1" s="1"/>
  <c r="AV164" i="1"/>
  <c r="AY164" i="1"/>
  <c r="BA164" i="1" s="1"/>
  <c r="AV197" i="1"/>
  <c r="AY197" i="1"/>
  <c r="BA197" i="1" s="1"/>
  <c r="AV208" i="1"/>
  <c r="AY208" i="1"/>
  <c r="BA208" i="1" s="1"/>
  <c r="AV225" i="1"/>
  <c r="AY225" i="1"/>
  <c r="BA225" i="1" s="1"/>
  <c r="AV280" i="1"/>
  <c r="AY280" i="1"/>
  <c r="BA280" i="1" s="1"/>
  <c r="AV260" i="1"/>
  <c r="AY260" i="1"/>
  <c r="BA260" i="1" s="1"/>
  <c r="AV283" i="1"/>
  <c r="AV291" i="1"/>
  <c r="AY291" i="1"/>
  <c r="BA291" i="1" s="1"/>
  <c r="AV313" i="1"/>
  <c r="AY313" i="1"/>
  <c r="BA313" i="1" s="1"/>
  <c r="AV318" i="1"/>
  <c r="AY318" i="1"/>
  <c r="BA318" i="1" s="1"/>
  <c r="AV315" i="1"/>
  <c r="AY315" i="1"/>
  <c r="BA315" i="1" s="1"/>
  <c r="AV347" i="1"/>
  <c r="AY347" i="1"/>
  <c r="BA347" i="1" s="1"/>
  <c r="AV325" i="1"/>
  <c r="AY325" i="1"/>
  <c r="BA325" i="1" s="1"/>
  <c r="AV161" i="1"/>
  <c r="AY161" i="1"/>
  <c r="BA161" i="1" s="1"/>
  <c r="AV139" i="1"/>
  <c r="AY139" i="1"/>
  <c r="BA139" i="1" s="1"/>
  <c r="AV196" i="1"/>
  <c r="AY196" i="1"/>
  <c r="BA196" i="1" s="1"/>
  <c r="AV250" i="1"/>
  <c r="AY250" i="1"/>
  <c r="BA250" i="1" s="1"/>
  <c r="AV332" i="1"/>
  <c r="AY332" i="1"/>
  <c r="BA332" i="1" s="1"/>
  <c r="AV25" i="1"/>
  <c r="AY25" i="1"/>
  <c r="BA25" i="1" s="1"/>
  <c r="AV114" i="1"/>
  <c r="AY114" i="1"/>
  <c r="BA114" i="1" s="1"/>
  <c r="AV110" i="1"/>
  <c r="AY110" i="1"/>
  <c r="BA110" i="1" s="1"/>
  <c r="AV198" i="1"/>
  <c r="AY198" i="1"/>
  <c r="BA198" i="1" s="1"/>
  <c r="AV204" i="1"/>
  <c r="AY204" i="1"/>
  <c r="BA204" i="1" s="1"/>
  <c r="AV209" i="1"/>
  <c r="AY209" i="1"/>
  <c r="BA209" i="1" s="1"/>
  <c r="AV194" i="1"/>
  <c r="AY194" i="1"/>
  <c r="BA194" i="1" s="1"/>
  <c r="AV230" i="1"/>
  <c r="AY230" i="1"/>
  <c r="BA230" i="1" s="1"/>
  <c r="AV253" i="1"/>
  <c r="AY253" i="1"/>
  <c r="BA253" i="1" s="1"/>
  <c r="AV227" i="1"/>
  <c r="AY227" i="1"/>
  <c r="BA227" i="1" s="1"/>
  <c r="AV276" i="1"/>
  <c r="AY276" i="1"/>
  <c r="BA276" i="1" s="1"/>
  <c r="AY301" i="1"/>
  <c r="BA301" i="1" s="1"/>
  <c r="AV301" i="1"/>
  <c r="AV350" i="1"/>
  <c r="AY350" i="1"/>
  <c r="BA350" i="1" s="1"/>
  <c r="AV30" i="1"/>
  <c r="AY30" i="1"/>
  <c r="BA30" i="1" s="1"/>
  <c r="AV21" i="1"/>
  <c r="AY21" i="1"/>
  <c r="BA21" i="1" s="1"/>
  <c r="AV84" i="1"/>
  <c r="AY84" i="1"/>
  <c r="BA84" i="1" s="1"/>
  <c r="AV81" i="1"/>
  <c r="AY81" i="1"/>
  <c r="BA81" i="1" s="1"/>
  <c r="AV153" i="1"/>
  <c r="AY153" i="1"/>
  <c r="BA153" i="1" s="1"/>
  <c r="AV98" i="1"/>
  <c r="AY98" i="1"/>
  <c r="BA98" i="1" s="1"/>
  <c r="AV167" i="1"/>
  <c r="AY167" i="1"/>
  <c r="BA167" i="1" s="1"/>
  <c r="AV188" i="1"/>
  <c r="AY188" i="1"/>
  <c r="BA188" i="1" s="1"/>
  <c r="AV222" i="1"/>
  <c r="AY222" i="1"/>
  <c r="BA222" i="1" s="1"/>
  <c r="AV216" i="1"/>
  <c r="AY216" i="1"/>
  <c r="BA216" i="1" s="1"/>
  <c r="AV205" i="1"/>
  <c r="AY205" i="1"/>
  <c r="BA205" i="1" s="1"/>
  <c r="AV247" i="1"/>
  <c r="AY247" i="1"/>
  <c r="BA247" i="1" s="1"/>
  <c r="AV308" i="1"/>
  <c r="AY308" i="1"/>
  <c r="BA308" i="1" s="1"/>
  <c r="AV324" i="1"/>
  <c r="AY324" i="1"/>
  <c r="BA324" i="1" s="1"/>
  <c r="AV18" i="1"/>
  <c r="AY18" i="1"/>
  <c r="BA18" i="1" s="1"/>
  <c r="AV29" i="1"/>
  <c r="AY29" i="1"/>
  <c r="BA29" i="1" s="1"/>
  <c r="AV83" i="1"/>
  <c r="AY83" i="1"/>
  <c r="BA83" i="1" s="1"/>
  <c r="AV103" i="1"/>
  <c r="AY103" i="1"/>
  <c r="BA103" i="1" s="1"/>
  <c r="AV180" i="1"/>
  <c r="AY180" i="1"/>
  <c r="BA180" i="1" s="1"/>
  <c r="AV223" i="1"/>
  <c r="AY223" i="1"/>
  <c r="BA223" i="1" s="1"/>
  <c r="AV217" i="1"/>
  <c r="AY217" i="1"/>
  <c r="BA217" i="1" s="1"/>
  <c r="AV337" i="1"/>
  <c r="AY337" i="1"/>
  <c r="BA337" i="1" s="1"/>
  <c r="AV344" i="1"/>
  <c r="AY344" i="1"/>
  <c r="BA344" i="1" s="1"/>
  <c r="AY236" i="1"/>
  <c r="BA236" i="1" s="1"/>
  <c r="AV236" i="1"/>
  <c r="AY89" i="1"/>
  <c r="BA89" i="1" s="1"/>
  <c r="AV89" i="1"/>
  <c r="AY48" i="1"/>
  <c r="BA48" i="1" s="1"/>
  <c r="AV48" i="1"/>
  <c r="AY166" i="1"/>
  <c r="BA166" i="1" s="1"/>
  <c r="AV166" i="1"/>
  <c r="AY162" i="1"/>
  <c r="BA162" i="1" s="1"/>
  <c r="AV162" i="1"/>
  <c r="AY262" i="1"/>
  <c r="BA262" i="1" s="1"/>
  <c r="AV262" i="1"/>
  <c r="AV58" i="1"/>
  <c r="AY58" i="1"/>
  <c r="BA58" i="1" s="1"/>
  <c r="AV214" i="1"/>
  <c r="AY214" i="1"/>
  <c r="BA214" i="1" s="1"/>
  <c r="AV239" i="1"/>
  <c r="AY239" i="1"/>
  <c r="BA239" i="1" s="1"/>
  <c r="AV294" i="1"/>
  <c r="AY294" i="1"/>
  <c r="BA294" i="1" s="1"/>
  <c r="AV54" i="1"/>
  <c r="AY54" i="1"/>
  <c r="BA54" i="1" s="1"/>
  <c r="AV186" i="1"/>
  <c r="AY186" i="1"/>
  <c r="BA186" i="1" s="1"/>
  <c r="AV243" i="1"/>
  <c r="AY243" i="1"/>
  <c r="BA243" i="1" s="1"/>
  <c r="AV279" i="1"/>
  <c r="AY279" i="1"/>
  <c r="BA279" i="1" s="1"/>
  <c r="AV60" i="1"/>
  <c r="AY60" i="1"/>
  <c r="BA60" i="1" s="1"/>
  <c r="AV68" i="1"/>
  <c r="AY68" i="1"/>
  <c r="BA68" i="1" s="1"/>
  <c r="AV76" i="1"/>
  <c r="AY76" i="1"/>
  <c r="BA76" i="1" s="1"/>
  <c r="AV124" i="1"/>
  <c r="AY124" i="1"/>
  <c r="BA124" i="1" s="1"/>
  <c r="AV170" i="1"/>
  <c r="AY170" i="1"/>
  <c r="BA170" i="1" s="1"/>
  <c r="AV174" i="1"/>
  <c r="AY174" i="1"/>
  <c r="BA174" i="1" s="1"/>
  <c r="AV200" i="1"/>
  <c r="AY200" i="1"/>
  <c r="BA200" i="1" s="1"/>
  <c r="AV242" i="1"/>
  <c r="AY242" i="1"/>
  <c r="BA242" i="1" s="1"/>
  <c r="AV272" i="1"/>
  <c r="AY272" i="1"/>
  <c r="BA272" i="1" s="1"/>
  <c r="AV307" i="1"/>
  <c r="AY307" i="1"/>
  <c r="BA307" i="1" s="1"/>
  <c r="AV61" i="1"/>
  <c r="AY61" i="1"/>
  <c r="BA61" i="1" s="1"/>
  <c r="AV69" i="1"/>
  <c r="AY69" i="1"/>
  <c r="BA69" i="1" s="1"/>
  <c r="AV77" i="1"/>
  <c r="AY77" i="1"/>
  <c r="BA77" i="1" s="1"/>
  <c r="AV107" i="1"/>
  <c r="AY107" i="1"/>
  <c r="BA107" i="1" s="1"/>
  <c r="AV121" i="1"/>
  <c r="AY121" i="1"/>
  <c r="BA121" i="1" s="1"/>
  <c r="AV140" i="1"/>
  <c r="AY140" i="1"/>
  <c r="BA140" i="1" s="1"/>
  <c r="AV102" i="1"/>
  <c r="AY102" i="1"/>
  <c r="BA102" i="1" s="1"/>
  <c r="AV132" i="1"/>
  <c r="AY132" i="1"/>
  <c r="BA132" i="1" s="1"/>
  <c r="AV159" i="1"/>
  <c r="AY159" i="1"/>
  <c r="BA159" i="1" s="1"/>
  <c r="AV219" i="1"/>
  <c r="AY219" i="1"/>
  <c r="BA219" i="1" s="1"/>
  <c r="AV213" i="1"/>
  <c r="AY213" i="1"/>
  <c r="BA213" i="1" s="1"/>
  <c r="AV238" i="1"/>
  <c r="AY238" i="1"/>
  <c r="BA238" i="1" s="1"/>
  <c r="AV254" i="1"/>
  <c r="AY254" i="1"/>
  <c r="BA254" i="1" s="1"/>
  <c r="AV292" i="1"/>
  <c r="AY292" i="1"/>
  <c r="BA292" i="1" s="1"/>
  <c r="AV282" i="1"/>
  <c r="AV270" i="1"/>
  <c r="AY270" i="1"/>
  <c r="BA270" i="1" s="1"/>
  <c r="AV326" i="1"/>
  <c r="AY326" i="1"/>
  <c r="BA326" i="1" s="1"/>
  <c r="AV340" i="1"/>
  <c r="AY340" i="1"/>
  <c r="BA340" i="1" s="1"/>
  <c r="AV349" i="1"/>
  <c r="AY349" i="1"/>
  <c r="BA349" i="1" s="1"/>
  <c r="AV335" i="1"/>
  <c r="AY335" i="1"/>
  <c r="BA335" i="1" s="1"/>
  <c r="AY41" i="1"/>
  <c r="BA41" i="1" s="1"/>
  <c r="AV41" i="1"/>
  <c r="AY49" i="1"/>
  <c r="BA49" i="1" s="1"/>
  <c r="AV49" i="1"/>
  <c r="AY211" i="1"/>
  <c r="BA211" i="1" s="1"/>
  <c r="AV211" i="1"/>
  <c r="AY195" i="1"/>
  <c r="BA195" i="1" s="1"/>
  <c r="AV195" i="1"/>
  <c r="AY296" i="1"/>
  <c r="BA296" i="1" s="1"/>
  <c r="AV296" i="1"/>
  <c r="AY316" i="1"/>
  <c r="BA316" i="1" s="1"/>
  <c r="AV316" i="1"/>
  <c r="AY38" i="1"/>
  <c r="BA38" i="1" s="1"/>
  <c r="AV38" i="1"/>
  <c r="AY46" i="1"/>
  <c r="BA46" i="1" s="1"/>
  <c r="AV46" i="1"/>
  <c r="AY97" i="1"/>
  <c r="BA97" i="1" s="1"/>
  <c r="AV97" i="1"/>
  <c r="AY120" i="1"/>
  <c r="BA120" i="1" s="1"/>
  <c r="AV120" i="1"/>
  <c r="AY154" i="1"/>
  <c r="BA154" i="1" s="1"/>
  <c r="AV154" i="1"/>
  <c r="AY191" i="1"/>
  <c r="BA191" i="1" s="1"/>
  <c r="AV191" i="1"/>
  <c r="AY171" i="1"/>
  <c r="BA171" i="1" s="1"/>
  <c r="AV171" i="1"/>
  <c r="AY9" i="1"/>
  <c r="BA9" i="1" s="1"/>
  <c r="AV9" i="1"/>
  <c r="AV33" i="1"/>
  <c r="AY33" i="1"/>
  <c r="BA33" i="1" s="1"/>
  <c r="AY105" i="1"/>
  <c r="BA105" i="1" s="1"/>
  <c r="AV105" i="1"/>
  <c r="AY123" i="1"/>
  <c r="BA123" i="1" s="1"/>
  <c r="AV123" i="1"/>
  <c r="AY220" i="1"/>
  <c r="BA220" i="1" s="1"/>
  <c r="AV220" i="1"/>
  <c r="AY303" i="1"/>
  <c r="BA303" i="1" s="1"/>
  <c r="AV303" i="1"/>
  <c r="AY11" i="1"/>
  <c r="BA11" i="1" s="1"/>
  <c r="AV11" i="1"/>
  <c r="AY346" i="1"/>
  <c r="BA346" i="1" s="1"/>
  <c r="AV346" i="1"/>
  <c r="AY15" i="1"/>
  <c r="BA15" i="1" s="1"/>
  <c r="AV15" i="1"/>
  <c r="AY12" i="1"/>
  <c r="BA12" i="1" s="1"/>
  <c r="AV12" i="1"/>
  <c r="AY130" i="1"/>
  <c r="BA130" i="1" s="1"/>
  <c r="AV130" i="1"/>
  <c r="AY187" i="1"/>
  <c r="BA187" i="1" s="1"/>
  <c r="AV187" i="1"/>
  <c r="AV285" i="1"/>
  <c r="AY6" i="1"/>
  <c r="BA6" i="1" s="1"/>
  <c r="AV6" i="1"/>
  <c r="AY101" i="1"/>
  <c r="BA101" i="1" s="1"/>
  <c r="AV101" i="1"/>
  <c r="AY232" i="1"/>
  <c r="BA232" i="1" s="1"/>
  <c r="AV232" i="1"/>
  <c r="AY224" i="1"/>
  <c r="BA224" i="1" s="1"/>
  <c r="AV224" i="1"/>
  <c r="AY256" i="1"/>
  <c r="BA256" i="1" s="1"/>
  <c r="AV256" i="1"/>
  <c r="AV281" i="1"/>
  <c r="AY269" i="1"/>
  <c r="BA269" i="1" s="1"/>
  <c r="AV269" i="1"/>
  <c r="AY322" i="1"/>
  <c r="BA322" i="1" s="1"/>
  <c r="AV322" i="1"/>
  <c r="AY342" i="1"/>
  <c r="BA342" i="1" s="1"/>
  <c r="AV342" i="1"/>
  <c r="AV305" i="1"/>
  <c r="AY305" i="1"/>
  <c r="BA305" i="1" s="1"/>
  <c r="AO351" i="1"/>
  <c r="AP4" i="1"/>
  <c r="AV206" i="1" l="1"/>
  <c r="AV165" i="1"/>
  <c r="AV88" i="1"/>
  <c r="AY59" i="1"/>
  <c r="BA59" i="1" s="1"/>
  <c r="AY115" i="1"/>
  <c r="BA115" i="1" s="1"/>
  <c r="AY64" i="1"/>
  <c r="BA64" i="1" s="1"/>
  <c r="AY172" i="1"/>
  <c r="BA172" i="1" s="1"/>
  <c r="AY333" i="1"/>
  <c r="BA333" i="1" s="1"/>
  <c r="AY312" i="1"/>
  <c r="BA312" i="1" s="1"/>
  <c r="AV67" i="1"/>
  <c r="AV116" i="1"/>
  <c r="AV75" i="1"/>
  <c r="AY261" i="1"/>
  <c r="BA261" i="1" s="1"/>
  <c r="AV118" i="1"/>
  <c r="AY118" i="1"/>
  <c r="BA118" i="1" s="1"/>
  <c r="AY136" i="1"/>
  <c r="BA136" i="1" s="1"/>
  <c r="AV136" i="1"/>
  <c r="BA2" i="1"/>
  <c r="AP351" i="1"/>
  <c r="AQ4" i="1"/>
  <c r="AQ351" i="1" l="1"/>
  <c r="BF4" i="1"/>
  <c r="AR4" i="1" s="1"/>
  <c r="AT4" i="1" l="1"/>
  <c r="AT351" i="1" s="1"/>
  <c r="AR351" i="1"/>
  <c r="AZ4" i="1" l="1"/>
  <c r="AU4" i="1"/>
  <c r="AU351" i="1" s="1"/>
  <c r="AY4" i="1" l="1"/>
  <c r="BA4" i="1" s="1"/>
  <c r="AV4" i="1"/>
  <c r="AV351" i="1" s="1"/>
  <c r="AZ286" i="1"/>
  <c r="AZ287" i="1"/>
  <c r="AY284" i="1"/>
  <c r="BA284" i="1" s="1"/>
  <c r="AY281" i="1"/>
  <c r="AZ283" i="1"/>
  <c r="AZ282" i="1"/>
  <c r="AY285" i="1"/>
  <c r="BA285" i="1" s="1"/>
  <c r="AY287" i="1" l="1"/>
  <c r="BA287" i="1" s="1"/>
  <c r="AY283" i="1"/>
  <c r="BA283" i="1" s="1"/>
  <c r="BA281" i="1"/>
  <c r="AX351" i="1"/>
  <c r="AZ284" i="1"/>
  <c r="AY282" i="1"/>
  <c r="BA282" i="1" s="1"/>
  <c r="AZ285" i="1"/>
  <c r="AY286" i="1"/>
  <c r="BA286" i="1" s="1"/>
  <c r="AZ281" i="1"/>
  <c r="AZ351" i="1" l="1"/>
  <c r="AY351" i="1"/>
  <c r="BA351" i="1" s="1"/>
</calcChain>
</file>

<file path=xl/comments1.xml><?xml version="1.0" encoding="utf-8"?>
<comments xmlns="http://schemas.openxmlformats.org/spreadsheetml/2006/main">
  <authors>
    <author>Author</author>
  </authors>
  <commentList>
    <comment ref="BZ71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بدل يوم خصم بالخطأ</t>
        </r>
      </text>
    </comment>
    <comment ref="BZ195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معالجه استقطاع في سبتمبر </t>
        </r>
      </text>
    </comment>
    <comment ref="BZ279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ايام من الشهر السابق # اعاده تعيين</t>
        </r>
      </text>
    </comment>
    <comment ref="B335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لم يتم</t>
        </r>
      </text>
    </comment>
    <comment ref="F335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البيوت المحمية</t>
        </r>
      </text>
    </comment>
    <comment ref="B336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لم يتم</t>
        </r>
      </text>
    </comment>
    <comment ref="F336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الرئاسة</t>
        </r>
      </text>
    </comment>
    <comment ref="B337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لم يتم</t>
        </r>
      </text>
    </comment>
    <comment ref="F337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البيوت المحمية</t>
        </r>
      </text>
    </comment>
  </commentList>
</comments>
</file>

<file path=xl/sharedStrings.xml><?xml version="1.0" encoding="utf-8"?>
<sst xmlns="http://schemas.openxmlformats.org/spreadsheetml/2006/main" count="3397" uniqueCount="1118">
  <si>
    <t>الرقم الوظيفي</t>
  </si>
  <si>
    <t>الاسم</t>
  </si>
  <si>
    <t>المنشأه</t>
  </si>
  <si>
    <t>القسم</t>
  </si>
  <si>
    <t>الوحده</t>
  </si>
  <si>
    <t>الوظيفه</t>
  </si>
  <si>
    <t>تاريخ التعيين</t>
  </si>
  <si>
    <t>اخر العام</t>
  </si>
  <si>
    <t>سنوات الخدمه</t>
  </si>
  <si>
    <t>القيام بواجبه دون توجيه</t>
  </si>
  <si>
    <t>المحافظه علي اوقات العمل</t>
  </si>
  <si>
    <t>القدره علي تدريب غيره</t>
  </si>
  <si>
    <t>قابل للتعلم و التطور</t>
  </si>
  <si>
    <t>امكانيه تحمل مسؤليات اكبر</t>
  </si>
  <si>
    <t>انجاز العمل في الوقت المحدد</t>
  </si>
  <si>
    <t>العمل  بروح الفريق الواحد</t>
  </si>
  <si>
    <t>تنفيذ التوجيه المباشر</t>
  </si>
  <si>
    <t>المجموع</t>
  </si>
  <si>
    <t>التقييد  باللوائح و تنفيذالتوجيه</t>
  </si>
  <si>
    <t>الحضور العام</t>
  </si>
  <si>
    <t>الانذارات</t>
  </si>
  <si>
    <t>الاستيضاحات</t>
  </si>
  <si>
    <t>المحافظه علي اوقات العمل2</t>
  </si>
  <si>
    <t>اتباع اجراءات السلامه</t>
  </si>
  <si>
    <t>المجموع2</t>
  </si>
  <si>
    <t>المجموع3</t>
  </si>
  <si>
    <t>المجموع 1+2</t>
  </si>
  <si>
    <t>مدير القسم المباشر</t>
  </si>
  <si>
    <t>مدير الموارد البشريه</t>
  </si>
  <si>
    <t>مدير المصنع</t>
  </si>
  <si>
    <t>المدير العام</t>
  </si>
  <si>
    <t>الشهور اقل من سنه</t>
  </si>
  <si>
    <t>نسبه سنين الخدمه</t>
  </si>
  <si>
    <t>Total</t>
  </si>
  <si>
    <t>فروقات الحد الادني</t>
  </si>
  <si>
    <t>المؤهل الرئيسي</t>
  </si>
  <si>
    <t>إتقان العمل الموكل اليه</t>
  </si>
  <si>
    <t>التخصص</t>
  </si>
  <si>
    <t>I</t>
  </si>
  <si>
    <t>II</t>
  </si>
  <si>
    <t>III</t>
  </si>
  <si>
    <t>IV</t>
  </si>
  <si>
    <t>V</t>
  </si>
  <si>
    <t>VI</t>
  </si>
  <si>
    <t>VIII</t>
  </si>
  <si>
    <t>IX</t>
  </si>
  <si>
    <t>VII</t>
  </si>
  <si>
    <t>XV</t>
  </si>
  <si>
    <t>L</t>
  </si>
  <si>
    <t>A</t>
  </si>
  <si>
    <t>B</t>
  </si>
  <si>
    <t>A+B</t>
  </si>
  <si>
    <t>X</t>
  </si>
  <si>
    <t>C</t>
  </si>
  <si>
    <t>الدرجه الاكاديميه</t>
  </si>
  <si>
    <t>Column2</t>
  </si>
  <si>
    <t>راتب ديسمبر</t>
  </si>
  <si>
    <t>Column3</t>
  </si>
  <si>
    <t>Column4</t>
  </si>
  <si>
    <t>D</t>
  </si>
  <si>
    <t>E</t>
  </si>
  <si>
    <t>الدرجه</t>
  </si>
  <si>
    <t>الحد الادني</t>
  </si>
  <si>
    <t>عامل</t>
  </si>
  <si>
    <t>السنوات على راتب ديسمبر</t>
  </si>
  <si>
    <t>الزياده</t>
  </si>
  <si>
    <t>نسبه</t>
  </si>
  <si>
    <t>الراتب النهائي</t>
  </si>
  <si>
    <t>Row Labels</t>
  </si>
  <si>
    <t>Grand Total</t>
  </si>
  <si>
    <t>الاداره</t>
  </si>
  <si>
    <t>الالكترونيات</t>
  </si>
  <si>
    <t>الاليات</t>
  </si>
  <si>
    <t>الامن و الحركه</t>
  </si>
  <si>
    <t>الانتاج</t>
  </si>
  <si>
    <t>الجوده</t>
  </si>
  <si>
    <t>الخدمات</t>
  </si>
  <si>
    <t>الرقابه الداخليه</t>
  </si>
  <si>
    <t>الكمبيوتر</t>
  </si>
  <si>
    <t>الكهرباء</t>
  </si>
  <si>
    <t>الماليه</t>
  </si>
  <si>
    <t>المستودعات</t>
  </si>
  <si>
    <t>الموارد البشريه</t>
  </si>
  <si>
    <t>الميكانيكا</t>
  </si>
  <si>
    <t>الوحده العلاجيه</t>
  </si>
  <si>
    <t>Sum of الراتب ديسمبر 2017</t>
  </si>
  <si>
    <t>Values</t>
  </si>
  <si>
    <t>Sum of فروقات الحد الادني</t>
  </si>
  <si>
    <t>Sum of الزياده2</t>
  </si>
  <si>
    <t>Sum of الراتب القترح 2</t>
  </si>
  <si>
    <t>المصنع</t>
  </si>
  <si>
    <t>احمد عبدالرحيم ابوبكر محمد</t>
  </si>
  <si>
    <t>جمال حامد عبد الكريم العبيد</t>
  </si>
  <si>
    <t>فارس حمدان عبدالله فارس</t>
  </si>
  <si>
    <t>هشام عيسى محمد عبدالكريم</t>
  </si>
  <si>
    <t>المبارك محمد ابراهيم</t>
  </si>
  <si>
    <t>عبدالجبار ابراهيم صالح</t>
  </si>
  <si>
    <t>مزمل عبدالله مزمل</t>
  </si>
  <si>
    <t>ماهر ضيف الله سليمان جابر</t>
  </si>
  <si>
    <t>محمد على عبدالرحيم ابوبكر</t>
  </si>
  <si>
    <t>محمد احمد محمد سليمان</t>
  </si>
  <si>
    <t>على احمد على بابكر</t>
  </si>
  <si>
    <t>Average of النسبه</t>
  </si>
  <si>
    <t>المدير الادارى</t>
  </si>
  <si>
    <t>مسئول قسم الاليات</t>
  </si>
  <si>
    <t>مدير الامن و الحركه</t>
  </si>
  <si>
    <t xml:space="preserve"> مدير الانتاج</t>
  </si>
  <si>
    <t>مسئول قسم الجوده</t>
  </si>
  <si>
    <t>مشرف خدمات</t>
  </si>
  <si>
    <t>مراجع</t>
  </si>
  <si>
    <t>مدير الصيانه الكهربائيه</t>
  </si>
  <si>
    <t>محاسب</t>
  </si>
  <si>
    <t>موظف موارد بشريه</t>
  </si>
  <si>
    <t>نائب مدير الموارد المكلف</t>
  </si>
  <si>
    <t>مدير الصيانه الميكانيكيه</t>
  </si>
  <si>
    <t>مدير المستودعات</t>
  </si>
  <si>
    <t>موظف مشتروات</t>
  </si>
  <si>
    <t>علاقات عامه</t>
  </si>
  <si>
    <t>F</t>
  </si>
  <si>
    <t>تقرير كامل للرواتب</t>
  </si>
  <si>
    <t>Sum of مبلغ التقييم النسبي 2017</t>
  </si>
  <si>
    <t>Sum of السنوات على راتب ديسمبر</t>
  </si>
  <si>
    <t>مخلص</t>
  </si>
  <si>
    <t>جبر الرقم</t>
  </si>
  <si>
    <t>التعديل</t>
  </si>
  <si>
    <t>Column1</t>
  </si>
  <si>
    <t>سكرتير تنفيذي</t>
  </si>
  <si>
    <t>سكرتيرة</t>
  </si>
  <si>
    <t>التحصيل</t>
  </si>
  <si>
    <t>العلاقات العامه</t>
  </si>
  <si>
    <t>مستشار</t>
  </si>
  <si>
    <t>مدير قسم الكمبيوتر</t>
  </si>
  <si>
    <t>رئيس حسابات</t>
  </si>
  <si>
    <t>رئيس حسابات المصنع</t>
  </si>
  <si>
    <t>المبيعات</t>
  </si>
  <si>
    <t>مبيعات</t>
  </si>
  <si>
    <t>المشتريات</t>
  </si>
  <si>
    <t>الرئاسه</t>
  </si>
  <si>
    <t xml:space="preserve">كمبال حسن </t>
  </si>
  <si>
    <t>سلافه يونس حسن وقيع الله</t>
  </si>
  <si>
    <t>عمر احمد محمد</t>
  </si>
  <si>
    <t>عثمان سراج</t>
  </si>
  <si>
    <t>سلمى عباس عبدالله</t>
  </si>
  <si>
    <t>مايكل يوهانس</t>
  </si>
  <si>
    <t>محمد مهدى ابو</t>
  </si>
  <si>
    <t>ميرغنى طه سوركتى</t>
  </si>
  <si>
    <t>بله حامد</t>
  </si>
  <si>
    <t>المعز احمد سعيد</t>
  </si>
  <si>
    <t>فايز عوض</t>
  </si>
  <si>
    <t>متولى عبدالرحيم</t>
  </si>
  <si>
    <t>احمد عبدالعزيز</t>
  </si>
  <si>
    <t>معتز عمر مصطفى</t>
  </si>
  <si>
    <t>عبدالله حسن سعيد</t>
  </si>
  <si>
    <t>الطيب امبلى احمد</t>
  </si>
  <si>
    <t>بلال عثمان</t>
  </si>
  <si>
    <t>عفاف الطاهر قرشي</t>
  </si>
  <si>
    <t>عمر العوض حسن</t>
  </si>
  <si>
    <t>ميناس عبدالوهاب</t>
  </si>
  <si>
    <t>نشوه داؤد فرح احمد</t>
  </si>
  <si>
    <t>مجدى شمس الدين</t>
  </si>
  <si>
    <t>احمد محمد سليمان محمد على</t>
  </si>
  <si>
    <t>سيف الدين محمد حسين</t>
  </si>
  <si>
    <t>صبرى الهادى الامين محمد</t>
  </si>
  <si>
    <t>عبدالوكيل الجيلانى الختيم</t>
  </si>
  <si>
    <t>مهندس الكترونيات</t>
  </si>
  <si>
    <t>محمد المرتضى الجودة مرجب احمد</t>
  </si>
  <si>
    <t>تقنى الكترونيات</t>
  </si>
  <si>
    <t>يوسف زكى الصديق محمد</t>
  </si>
  <si>
    <t>فنىالكترونيات</t>
  </si>
  <si>
    <t>الطاهر محمد ابكر علي</t>
  </si>
  <si>
    <t>تقنى ميكانيكا اليات</t>
  </si>
  <si>
    <t>ابوبكر فاروق عوض الله</t>
  </si>
  <si>
    <t>اياد بشير بابكر إبراهيم</t>
  </si>
  <si>
    <t>سائق</t>
  </si>
  <si>
    <t>سبت على جابر اوش</t>
  </si>
  <si>
    <t>صلاح الدين بشير</t>
  </si>
  <si>
    <t>عصام يوسف مقبل سوركتى</t>
  </si>
  <si>
    <t>فرد امن</t>
  </si>
  <si>
    <t>الحاج بليله عمر</t>
  </si>
  <si>
    <t>الضى الساير على جبريل</t>
  </si>
  <si>
    <t>حافظ عبدالقادر ماصع عبد الفراج</t>
  </si>
  <si>
    <t>ضو البيت حسن حسين حمدان</t>
  </si>
  <si>
    <t>علم الدين ابراهيم النور اسحق</t>
  </si>
  <si>
    <t>قاسم عبدالرازق عثمان مرزوق</t>
  </si>
  <si>
    <t>محمد عبداللطيف فضل المولى الغزالى</t>
  </si>
  <si>
    <t>منتصر محمد الامين حسن</t>
  </si>
  <si>
    <t>نادر كافى دلدوم تيه</t>
  </si>
  <si>
    <t>هشام صالح رمضان جمعه</t>
  </si>
  <si>
    <t>فورمان</t>
  </si>
  <si>
    <t>ادم الحسن محمد نور ابراهيم</t>
  </si>
  <si>
    <t xml:space="preserve">زهير محمد محمد صالح </t>
  </si>
  <si>
    <t xml:space="preserve">عبدالسلام عيسى محمد </t>
  </si>
  <si>
    <t>مشرف ورديه</t>
  </si>
  <si>
    <t>التجانى محمد زين</t>
  </si>
  <si>
    <t>عباس عبدالله على بابكر</t>
  </si>
  <si>
    <t>محمد الياس حسين فضل</t>
  </si>
  <si>
    <t>نزار خيرى حسن صالح</t>
  </si>
  <si>
    <t>فني اليات</t>
  </si>
  <si>
    <t>حسين حماد فرح الدور</t>
  </si>
  <si>
    <t>سائق اليات</t>
  </si>
  <si>
    <t>احمد محمد موسى حسن</t>
  </si>
  <si>
    <t>الرفاعى الصادق بشير اسحق</t>
  </si>
  <si>
    <t>ناصر ابراهيم ادريس عشر</t>
  </si>
  <si>
    <t>عبدالحميد حسن على الطائف</t>
  </si>
  <si>
    <t>مصعب اسماعيل الشيخ</t>
  </si>
  <si>
    <t>مساعد مشغل</t>
  </si>
  <si>
    <t>احمد زهير حسن عبدالله</t>
  </si>
  <si>
    <t>مشغل</t>
  </si>
  <si>
    <t>احمد ابكر على محمد</t>
  </si>
  <si>
    <t>الامين صباح الخير محمد احمد</t>
  </si>
  <si>
    <t>بشرى الطيب حسب الله ضوالبيت</t>
  </si>
  <si>
    <t>حسن سند احمد بليله</t>
  </si>
  <si>
    <t>حمدى النور محمد حمد</t>
  </si>
  <si>
    <t>عبدالجبار ابكر عبدالله احمد</t>
  </si>
  <si>
    <t>على محمد على عثمان</t>
  </si>
  <si>
    <t>على يحى بن يحى عبدالله</t>
  </si>
  <si>
    <t>محمد يوسف محمد يوسف</t>
  </si>
  <si>
    <t>ميسره ابراهيم المبارك محمد</t>
  </si>
  <si>
    <t>مشغل مميز</t>
  </si>
  <si>
    <t>ابكر اسحق ابكر فضل</t>
  </si>
  <si>
    <t>على بشير الزين بشير</t>
  </si>
  <si>
    <t>حداد</t>
  </si>
  <si>
    <t>سراج الدين محمد خميس</t>
  </si>
  <si>
    <t>موسى صالح موسى زائد</t>
  </si>
  <si>
    <t>مدخل بيانات</t>
  </si>
  <si>
    <t xml:space="preserve">مزاهر ابراهيم </t>
  </si>
  <si>
    <t>ابراهيم عبدالماجد جاد الله</t>
  </si>
  <si>
    <t>ابراهيم عثمان الحاج محمد</t>
  </si>
  <si>
    <t>ادم عبدالشافع امام محمد</t>
  </si>
  <si>
    <t>الفاتح على عبدالله الامين</t>
  </si>
  <si>
    <t>الهادى على مصطفى عجبنا</t>
  </si>
  <si>
    <t xml:space="preserve">جعفر مصطفى على </t>
  </si>
  <si>
    <t>حافظ يعقوب ادريس</t>
  </si>
  <si>
    <t>خلف الله عبدالصادق محمد احمد</t>
  </si>
  <si>
    <t>دفع الله سعيد محمد احمد</t>
  </si>
  <si>
    <t>سعيد احمد محمد سعيد</t>
  </si>
  <si>
    <t>سفيان يوسف مختار</t>
  </si>
  <si>
    <t>صابر عبده الجيلى شايب</t>
  </si>
  <si>
    <t>عادل ضوالبيت ادم ضوالبيت</t>
  </si>
  <si>
    <t>عبدالحليم صالح احمد موسى</t>
  </si>
  <si>
    <t>عبدالرحمن اسماعيل محمد</t>
  </si>
  <si>
    <t>عبدالظاهر الرشيد محمد عثمان</t>
  </si>
  <si>
    <t xml:space="preserve">عبدالمنعم مصطفى ابراهيم </t>
  </si>
  <si>
    <t>عثمان سليمان حمد</t>
  </si>
  <si>
    <t>على احمد موسى</t>
  </si>
  <si>
    <t>على الامين محمد على</t>
  </si>
  <si>
    <t>فتحى عبدالوهاب الطيب محمد</t>
  </si>
  <si>
    <t>محمد احمد عبدالرحمن عبدالمحمود</t>
  </si>
  <si>
    <t>محمد الامين حامد الامين</t>
  </si>
  <si>
    <t>محمد عبدالله محمد الطاهر</t>
  </si>
  <si>
    <t>محمد عبدالمنعم عطا الفضيل</t>
  </si>
  <si>
    <t>مشاور قسم الله عبدالله</t>
  </si>
  <si>
    <t>مصطفى جاروط مصطفى جاروط</t>
  </si>
  <si>
    <t>معاذ مجذوب بشير</t>
  </si>
  <si>
    <t>مقبول حماد كمريا توتو</t>
  </si>
  <si>
    <t>موسى محمد حماد ماهل</t>
  </si>
  <si>
    <t>نزار عوض حسين محمد</t>
  </si>
  <si>
    <t>يوسف دفع الله الحسين</t>
  </si>
  <si>
    <t>مشغل كرين</t>
  </si>
  <si>
    <t>السر كباشى احمد ازرق</t>
  </si>
  <si>
    <t>بريمه اسماعيل جوده توتو</t>
  </si>
  <si>
    <t>رانى عمر الامين</t>
  </si>
  <si>
    <t>زاهر عبدالله حميد</t>
  </si>
  <si>
    <t>على محمد المهدى سعيد</t>
  </si>
  <si>
    <t>عيسي احمد المهدى</t>
  </si>
  <si>
    <t>محمد عبيد الله على حامد</t>
  </si>
  <si>
    <t>مدثر على النور اسماعيل</t>
  </si>
  <si>
    <t>يوسف شرف الدين احمد محمد</t>
  </si>
  <si>
    <t>حيدر جمال عبد الله</t>
  </si>
  <si>
    <t>خليل فرح احمد</t>
  </si>
  <si>
    <t>احمد البشرى محمد احمد</t>
  </si>
  <si>
    <t>احمد بشير ابكر عيسى</t>
  </si>
  <si>
    <t>احمد حامد الحاج امين</t>
  </si>
  <si>
    <t>احمد عبدالوهاب الامين العبيد</t>
  </si>
  <si>
    <t>إدريس إسماعيل إدريس حمدنا الله</t>
  </si>
  <si>
    <t>ادم محمد احمد ادم</t>
  </si>
  <si>
    <t>التجانى سعد التجانى كورى</t>
  </si>
  <si>
    <t>الشيخ محمد ادم احمد</t>
  </si>
  <si>
    <t>الهادى محى الدين احمد</t>
  </si>
  <si>
    <t>بركات حميده النعمه بركات</t>
  </si>
  <si>
    <t>بكرى إسماعيل رحال كوكو</t>
  </si>
  <si>
    <t xml:space="preserve">بلال عبد الرحمن كودى </t>
  </si>
  <si>
    <t>حيدر عالم محمود صالح</t>
  </si>
  <si>
    <t>خالد احمد النعيم الحاج</t>
  </si>
  <si>
    <t>خالد احمد قنديل خلف الله</t>
  </si>
  <si>
    <t>خضر ابراهيم خضر محمد</t>
  </si>
  <si>
    <t>طارق سيد محمد احمد</t>
  </si>
  <si>
    <t>عابدين بخيت عبدالفضيل</t>
  </si>
  <si>
    <t>عادل ابراهيم محمد احمد</t>
  </si>
  <si>
    <t>عادل عبد الوهاب نوار يسن</t>
  </si>
  <si>
    <t>عاصم محمد سعيد احمد</t>
  </si>
  <si>
    <t>عاطف ابراهيم محمد احمد</t>
  </si>
  <si>
    <t>عاطف محمود عمر محمود</t>
  </si>
  <si>
    <t>عبدالله زايد اسماعيل توتو</t>
  </si>
  <si>
    <t>عبدالمنعم ادم محمد احمد</t>
  </si>
  <si>
    <t>على إدريس عبدالله دلدوم</t>
  </si>
  <si>
    <t>مجاهد حسن على</t>
  </si>
  <si>
    <t>مجاهد عبدالرحمن عبد الوهاب</t>
  </si>
  <si>
    <t>محمد احمد مهدى حولى</t>
  </si>
  <si>
    <t>محمد ادم جابر احمد</t>
  </si>
  <si>
    <t>محمد ادم عبدالعزيز</t>
  </si>
  <si>
    <t>محمد الحاج عبدالله التوم</t>
  </si>
  <si>
    <t>محمد الهادى عبدالرحمن</t>
  </si>
  <si>
    <t>محمد بخيت عثمان الصديق</t>
  </si>
  <si>
    <t>محمد بشير عبدالكريم الهادى</t>
  </si>
  <si>
    <t>محمد جلال الدين فضل الله فرج الله</t>
  </si>
  <si>
    <t>محمد على دليل محمد</t>
  </si>
  <si>
    <t>محمدالسيد عيسى محمد عيسى</t>
  </si>
  <si>
    <t>موسى عبدالله محمد احمد</t>
  </si>
  <si>
    <t>يحى محمد على محمد شريف</t>
  </si>
  <si>
    <t>يوسف حمد خالد</t>
  </si>
  <si>
    <t>الطيب عبدالرحمن جمعه الطيب</t>
  </si>
  <si>
    <t>تقنى انتاج جوده</t>
  </si>
  <si>
    <t>عابدين الامين موسى الامين</t>
  </si>
  <si>
    <t>مراقب انتاج</t>
  </si>
  <si>
    <t>حسن محمد حسن كرم الله</t>
  </si>
  <si>
    <t>عيدالله احمد الضيف</t>
  </si>
  <si>
    <t>فرح محمد ياسين سليمان</t>
  </si>
  <si>
    <t>بهاء الدين يوسف مقبل</t>
  </si>
  <si>
    <t>رماح صلاح الدين سالم رفاعى</t>
  </si>
  <si>
    <t>محمد الامين ابراهيم</t>
  </si>
  <si>
    <t>محمد عبدالرحمن قرشى ناصر</t>
  </si>
  <si>
    <t>مسلم بشير عبدالقادر إبراهيم</t>
  </si>
  <si>
    <t>مصطفى حسين عثمان سربل</t>
  </si>
  <si>
    <t xml:space="preserve">عطا الفضيل محمد عبد محمد </t>
  </si>
  <si>
    <t>النور خميس سعيد شاكر</t>
  </si>
  <si>
    <t>سباك</t>
  </si>
  <si>
    <t>على عبدالجليل عبدالرحمن محمد</t>
  </si>
  <si>
    <t>محمد ادم اسماعيل ادم</t>
  </si>
  <si>
    <t>طه احمد محمد ابراهيم</t>
  </si>
  <si>
    <t>عبدالرحمن عبدالله عبدالكبير</t>
  </si>
  <si>
    <t>جنائني</t>
  </si>
  <si>
    <t>عبدالله محمد ادم حسب الله</t>
  </si>
  <si>
    <t>المهل العوض مبارك على</t>
  </si>
  <si>
    <t xml:space="preserve">سوسن الشيخ سيد احمد </t>
  </si>
  <si>
    <t>صالح يعقوب محمد</t>
  </si>
  <si>
    <t>صلاح ابو زيد بخيت خير السيد</t>
  </si>
  <si>
    <t>عادل حسن المومن ابراهيم</t>
  </si>
  <si>
    <t>عثمان جادين الامين حمد</t>
  </si>
  <si>
    <t>كمال عبدالرحمن احمد</t>
  </si>
  <si>
    <t>يعقوب السوار محمد ادم</t>
  </si>
  <si>
    <t>مهندس كمبيوتر</t>
  </si>
  <si>
    <t>امير احمد البشرى</t>
  </si>
  <si>
    <t>مهندس كهرباء</t>
  </si>
  <si>
    <t>محمد ابوبكر الامين ارباب</t>
  </si>
  <si>
    <t>تقنى كهرباء</t>
  </si>
  <si>
    <t>احمد مبارك احمد عبدالله</t>
  </si>
  <si>
    <t>سليم الشيخ محمد احمد</t>
  </si>
  <si>
    <t>يوسف عوض ابراهيم محمد</t>
  </si>
  <si>
    <t>فنى لف موتورات</t>
  </si>
  <si>
    <t>عبدالمطلب طه احمد الدالى</t>
  </si>
  <si>
    <t>فنى كهرباء</t>
  </si>
  <si>
    <t>ابوالقاسم محمد احمد جبريل</t>
  </si>
  <si>
    <t xml:space="preserve">تاج الدين على عبداللطيف </t>
  </si>
  <si>
    <t>عبد الله عبد الكريم عبد الله</t>
  </si>
  <si>
    <t>على ابراهيم النعيم الحاج</t>
  </si>
  <si>
    <t>محمد محمود محمد</t>
  </si>
  <si>
    <t>يوسف فاروق عباس</t>
  </si>
  <si>
    <t>حسن النور اسماعيل خيرى</t>
  </si>
  <si>
    <t>فني تبريد وتكيف</t>
  </si>
  <si>
    <t>هشام فتحى محمد صالح</t>
  </si>
  <si>
    <t>ابوبكر على نعمان على</t>
  </si>
  <si>
    <t>وليد شمس الدين شريف</t>
  </si>
  <si>
    <t>عاصم محمد فضل ابراهيم</t>
  </si>
  <si>
    <t>عثمان على عثمان على</t>
  </si>
  <si>
    <t>امين مستودع خام</t>
  </si>
  <si>
    <t>محمد صلاح جعفر حمد</t>
  </si>
  <si>
    <t>امين مستودع م ج</t>
  </si>
  <si>
    <t xml:space="preserve">حسب الرسول عبدالرحمن  </t>
  </si>
  <si>
    <t>مهند حاج حمد محمد عثمان</t>
  </si>
  <si>
    <t>مسئول مستودع الخام</t>
  </si>
  <si>
    <t xml:space="preserve">مصطفى قمرالدوله ابراهيم </t>
  </si>
  <si>
    <t>مسئول مستودع ق غ</t>
  </si>
  <si>
    <t>زكى الصديق محمد مصطفى</t>
  </si>
  <si>
    <t>مسئول مستوع ا س</t>
  </si>
  <si>
    <t>محمد عمر احمد حمد النيل</t>
  </si>
  <si>
    <t>امين مستودع</t>
  </si>
  <si>
    <t>محمد عوض ابراهيم شرفى</t>
  </si>
  <si>
    <t>عاطف محمد احمد</t>
  </si>
  <si>
    <t xml:space="preserve"> مشغل كرين</t>
  </si>
  <si>
    <t>صلاح جلال حسن عبدالله</t>
  </si>
  <si>
    <t>عماد الدين حمزه ادريس فضل</t>
  </si>
  <si>
    <t>اصف نور الدائم بابكر</t>
  </si>
  <si>
    <t>عبدالقادر عبدالدافع كرار</t>
  </si>
  <si>
    <t>امين مستودع ق غ</t>
  </si>
  <si>
    <t>كمال عبدالمجيد عبدون طه</t>
  </si>
  <si>
    <t>محمد بابكر محمد الامين</t>
  </si>
  <si>
    <t>الامين الحاج محمد الطيب</t>
  </si>
  <si>
    <t>الحاج العباس الزبير</t>
  </si>
  <si>
    <t>امين مسودع ق غ</t>
  </si>
  <si>
    <t>احمد حسن باباى حامد</t>
  </si>
  <si>
    <t>امين ميزان</t>
  </si>
  <si>
    <t>الحاج محمد الحسن موسى محمد</t>
  </si>
  <si>
    <t>فتح الرحمن عبدالله محمد على</t>
  </si>
  <si>
    <t>سماح محمد تيراب احمد</t>
  </si>
  <si>
    <t>منى محجوب حسن</t>
  </si>
  <si>
    <t>مسئول مستودع الاسكراب</t>
  </si>
  <si>
    <t>زاهر سراج عوض على</t>
  </si>
  <si>
    <t xml:space="preserve">عبدالعظيم موسى نورالجليل </t>
  </si>
  <si>
    <t>عماد الدين ادم محمد عبدالله</t>
  </si>
  <si>
    <t>قمر يحى محمد مهدى</t>
  </si>
  <si>
    <t xml:space="preserve">وليد عيسى عبدالله عثمان </t>
  </si>
  <si>
    <t>حيدر هاشم ميرغنى احمد</t>
  </si>
  <si>
    <t xml:space="preserve">محمد احمد الحاج عثمان </t>
  </si>
  <si>
    <t>مهند موسى احمد النعيم</t>
  </si>
  <si>
    <t>امين مستودع ا س</t>
  </si>
  <si>
    <t>الياقوت محمد احمد عبدالله</t>
  </si>
  <si>
    <t>حسين عثمان سيد حمد</t>
  </si>
  <si>
    <t>عبدالله فيصل بدوى</t>
  </si>
  <si>
    <t>النعيم الامين حامد الامين</t>
  </si>
  <si>
    <t>ياسر وداعه الله سعيد</t>
  </si>
  <si>
    <t>فواز توفيق محمد صادق</t>
  </si>
  <si>
    <t>محمد عثمان عبدالله محمد</t>
  </si>
  <si>
    <t>المقداد صالح سليمان حمد</t>
  </si>
  <si>
    <t>مهندس صيانه</t>
  </si>
  <si>
    <t>بدرالدين عثمان عوض الكريم فضل الله</t>
  </si>
  <si>
    <t>فورمان مخارط</t>
  </si>
  <si>
    <t>محمد فائز حسن محمد</t>
  </si>
  <si>
    <t>تقنى ميكانيكا</t>
  </si>
  <si>
    <t>ادريس موسى عثمان موسى</t>
  </si>
  <si>
    <t xml:space="preserve">عبدالخالق حسن محمد  </t>
  </si>
  <si>
    <t>عبدالرحمن موسى محمد</t>
  </si>
  <si>
    <t>محمد خضر محمد</t>
  </si>
  <si>
    <t>حداد صيانه</t>
  </si>
  <si>
    <t>هشام ادم على محمد الحاج</t>
  </si>
  <si>
    <t>يحى عطيه حلوف</t>
  </si>
  <si>
    <t>خراط</t>
  </si>
  <si>
    <t>سلمان عثمان عوض الكريم فضل الله</t>
  </si>
  <si>
    <t xml:space="preserve">على عبدالرحيم العاقب </t>
  </si>
  <si>
    <t>على عمر احمد سبوبه</t>
  </si>
  <si>
    <t>عبد الرحمن ادم اسماعيل حماد</t>
  </si>
  <si>
    <t xml:space="preserve">عبدالعزيز الامين محمد </t>
  </si>
  <si>
    <t>بهاء الدين الحاج الصديق محمد</t>
  </si>
  <si>
    <t>فنى صيانه عامه</t>
  </si>
  <si>
    <t>محمد عدلان عبد الرحمن احمد</t>
  </si>
  <si>
    <t>فنى ميكانيكا</t>
  </si>
  <si>
    <t xml:space="preserve">اسحق محمد عبدالله </t>
  </si>
  <si>
    <t>محمد عثمان محمد موسى</t>
  </si>
  <si>
    <t>نصرالدين صديق ادم محمد</t>
  </si>
  <si>
    <t>مشرف صيانه</t>
  </si>
  <si>
    <t>الفاتح محمد عامر</t>
  </si>
  <si>
    <t>فنى معمل</t>
  </si>
  <si>
    <t>عزيزه ابكر يوسف شعيب</t>
  </si>
  <si>
    <t>ممرض</t>
  </si>
  <si>
    <t>حمزه جاد الله ادريس جاد الله</t>
  </si>
  <si>
    <t>عصام الامين الحاج</t>
  </si>
  <si>
    <t>عمر عبدالرحمن البشير</t>
  </si>
  <si>
    <t>مدير السودانى الايطالى</t>
  </si>
  <si>
    <t>معتز الرشيد خشم الموس</t>
  </si>
  <si>
    <t>مدير المكتب الاقليمي</t>
  </si>
  <si>
    <t>الطاهر على محمد</t>
  </si>
  <si>
    <t>مندوب مبيعات</t>
  </si>
  <si>
    <t>رفيده البدرى محمد محمد نور</t>
  </si>
  <si>
    <t>مهندس مشاريع</t>
  </si>
  <si>
    <t>عوض الله هجو الفكى</t>
  </si>
  <si>
    <t>موظف مبيعات</t>
  </si>
  <si>
    <t>عبدالمنعم عبالرحمن مصطفى</t>
  </si>
  <si>
    <t>(blank)</t>
  </si>
  <si>
    <t xml:space="preserve">عبدالمنعم موسي </t>
  </si>
  <si>
    <t>خفير</t>
  </si>
  <si>
    <t>محمد الساير فضالى</t>
  </si>
  <si>
    <t>محمد سيف الدين</t>
  </si>
  <si>
    <t>عماد السنوسي محمد احمد</t>
  </si>
  <si>
    <t>باشا محمد تركاس محمد</t>
  </si>
  <si>
    <t>صدام عبداللطيف فضل المولى الغزالى</t>
  </si>
  <si>
    <t>عبد الفتاح محمد عبدالله عبدالسلام</t>
  </si>
  <si>
    <t>عبد الله العوض ادريس</t>
  </si>
  <si>
    <t>فتح الرحمن عباس رحمه محمد</t>
  </si>
  <si>
    <t>محمد عمران محمد احمد</t>
  </si>
  <si>
    <t>التخليص</t>
  </si>
  <si>
    <t>على الطاهر على محمد</t>
  </si>
  <si>
    <t>محمد  حسن عثمان</t>
  </si>
  <si>
    <t>فاطمه عمر محمد عمر</t>
  </si>
  <si>
    <t>عامر الطاهر على محمد</t>
  </si>
  <si>
    <t>المستشار المالى</t>
  </si>
  <si>
    <t>امال عثمان</t>
  </si>
  <si>
    <t>#N/A</t>
  </si>
  <si>
    <t>(All)</t>
  </si>
  <si>
    <t>دكتوراه</t>
  </si>
  <si>
    <t>ماجستير</t>
  </si>
  <si>
    <t>بكلاريوس الشرف</t>
  </si>
  <si>
    <t>بكلاريوس</t>
  </si>
  <si>
    <t>دبلوم تقني</t>
  </si>
  <si>
    <t>دبلوم وسيط</t>
  </si>
  <si>
    <t>دبلوم (معاهد)</t>
  </si>
  <si>
    <t>شهاده ثانويه</t>
  </si>
  <si>
    <t>تدريب مهني</t>
  </si>
  <si>
    <t>شهاده دورة تدريب</t>
  </si>
  <si>
    <t>شهاده كورس</t>
  </si>
  <si>
    <t>شهاده متوسطه</t>
  </si>
  <si>
    <t>شهاده اساس</t>
  </si>
  <si>
    <t>شهاده ابتدائي</t>
  </si>
  <si>
    <t>G</t>
  </si>
  <si>
    <t>H</t>
  </si>
  <si>
    <t>J</t>
  </si>
  <si>
    <t>K</t>
  </si>
  <si>
    <t>M</t>
  </si>
  <si>
    <t>N</t>
  </si>
  <si>
    <t>Column5</t>
  </si>
  <si>
    <t>الرمز 1</t>
  </si>
  <si>
    <t>الرمز 2</t>
  </si>
  <si>
    <t>القيمه</t>
  </si>
  <si>
    <t>مدراء الاقسام</t>
  </si>
  <si>
    <t>المشرفين</t>
  </si>
  <si>
    <t>الفورمان</t>
  </si>
  <si>
    <t>المشغلين</t>
  </si>
  <si>
    <t>مساعدي المشغلين</t>
  </si>
  <si>
    <t>حدادين</t>
  </si>
  <si>
    <t>مشغل الكرين</t>
  </si>
  <si>
    <t>عمال</t>
  </si>
  <si>
    <t>مبلغ التقييم النسبي 2018</t>
  </si>
  <si>
    <t>الراتب 2018+النسبه</t>
  </si>
  <si>
    <t>الراتب 2018 + النسبه + الفرق</t>
  </si>
  <si>
    <t>الرقم الوظيفى</t>
  </si>
  <si>
    <t>مرتب</t>
  </si>
  <si>
    <t>ح راتب اليوم</t>
  </si>
  <si>
    <t>الايام للضمان</t>
  </si>
  <si>
    <t>راتب الضمان</t>
  </si>
  <si>
    <t>مرتب الضمان</t>
  </si>
  <si>
    <t>ضمان اجتماعي 17 %</t>
  </si>
  <si>
    <t>الابتدائى</t>
  </si>
  <si>
    <t>غلاء معيشه</t>
  </si>
  <si>
    <t>بدل ترحيل</t>
  </si>
  <si>
    <t>بدل سكن</t>
  </si>
  <si>
    <t xml:space="preserve">بدل علاج </t>
  </si>
  <si>
    <t>علاوات وبدل مسئوليه</t>
  </si>
  <si>
    <t>مجموع العلاوات</t>
  </si>
  <si>
    <t>عدد ايام الاجازه</t>
  </si>
  <si>
    <t>اجازه بالخصم</t>
  </si>
  <si>
    <t>ايام جز</t>
  </si>
  <si>
    <t>عدد ايام الجزاء</t>
  </si>
  <si>
    <t>جزاءات</t>
  </si>
  <si>
    <t>سلفيه نصف شهريه</t>
  </si>
  <si>
    <t>سلفيه ط</t>
  </si>
  <si>
    <t>سلفيه طويله</t>
  </si>
  <si>
    <t>اقساط اخري</t>
  </si>
  <si>
    <t>مشتروات</t>
  </si>
  <si>
    <t>مشتروات بالاقساط</t>
  </si>
  <si>
    <t>مجموع خصومات</t>
  </si>
  <si>
    <t>ضمان اجتماعى 8%</t>
  </si>
  <si>
    <t>الراتب المستحق</t>
  </si>
  <si>
    <t>الاجر الاضافى</t>
  </si>
  <si>
    <t>اجمالى الاستحقاق</t>
  </si>
  <si>
    <t>حوافز غير مستقره</t>
  </si>
  <si>
    <t>المبلغ النهائي</t>
  </si>
  <si>
    <t>note</t>
  </si>
  <si>
    <t>التوقيع</t>
  </si>
  <si>
    <t>Column39</t>
  </si>
  <si>
    <t>Column40</t>
  </si>
  <si>
    <t>Column41</t>
  </si>
  <si>
    <t>Wednesday, November 21, 2018</t>
  </si>
  <si>
    <t>Thursday, November 22, 2018</t>
  </si>
  <si>
    <t>Friday, November 23, 2018</t>
  </si>
  <si>
    <t>Saturday, November 24, 2018</t>
  </si>
  <si>
    <t>Sunday, November 25, 2018</t>
  </si>
  <si>
    <t>Monday, November 26, 2018</t>
  </si>
  <si>
    <t>Tuesday, November 27, 2018</t>
  </si>
  <si>
    <t>Wednesday, November 28, 2018</t>
  </si>
  <si>
    <t>Thursday, November 29, 2018</t>
  </si>
  <si>
    <t>Friday, November 30, 2018</t>
  </si>
  <si>
    <t>Saturday, December 01, 2018</t>
  </si>
  <si>
    <t>Sunday, December 02, 2018</t>
  </si>
  <si>
    <t>Monday, December 03, 2018</t>
  </si>
  <si>
    <t>Tuesday, December 04, 2018</t>
  </si>
  <si>
    <t>Wednesday, December 05, 2018</t>
  </si>
  <si>
    <t>Thursday, December 06, 2018</t>
  </si>
  <si>
    <t>Friday, December 07, 2018</t>
  </si>
  <si>
    <t>Saturday, December 08, 2018</t>
  </si>
  <si>
    <t>Sunday, December 09, 2018</t>
  </si>
  <si>
    <t>Monday, December 10, 2018</t>
  </si>
  <si>
    <t>Tuesday, December 11, 2018</t>
  </si>
  <si>
    <t>Wednesday, December 12, 2018</t>
  </si>
  <si>
    <t>Thursday, December 13, 2018</t>
  </si>
  <si>
    <t>Friday, December 14, 2018</t>
  </si>
  <si>
    <t>Saturday, December 15, 2018</t>
  </si>
  <si>
    <t>Sunday, December 16, 2018</t>
  </si>
  <si>
    <t>Monday, December 17, 2018</t>
  </si>
  <si>
    <t>Tuesday, December 18, 2018</t>
  </si>
  <si>
    <t>Wednesday, December 19, 2018</t>
  </si>
  <si>
    <t>Thursday, December 20, 2018</t>
  </si>
  <si>
    <t>Saturday, January 00, 1900</t>
  </si>
  <si>
    <t>0</t>
  </si>
  <si>
    <t>فروقات عادي</t>
  </si>
  <si>
    <t>فروقات عطله</t>
  </si>
  <si>
    <t>ساعات عادي</t>
  </si>
  <si>
    <t>ساعات عطل</t>
  </si>
  <si>
    <t>مبلغ عادي</t>
  </si>
  <si>
    <t>مبلغ عطل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</si>
  <si>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</si>
  <si>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</si>
  <si>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</si>
  <si>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</si>
  <si>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</si>
  <si>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</si>
  <si>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</si>
  <si>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</si>
  <si>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</si>
  <si>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</si>
  <si>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تاريخ الميلاد2</t>
  </si>
  <si>
    <t>التشريح 1</t>
  </si>
  <si>
    <t>جملون 1</t>
  </si>
  <si>
    <t>قطع الغيار</t>
  </si>
  <si>
    <t>المواسير 1</t>
  </si>
  <si>
    <t>جملون 2</t>
  </si>
  <si>
    <t>المكتب الاقليمي</t>
  </si>
  <si>
    <t>المواسير 2</t>
  </si>
  <si>
    <t>الخام</t>
  </si>
  <si>
    <t>السودانى الايطالى</t>
  </si>
  <si>
    <t>المواسير 3</t>
  </si>
  <si>
    <t>مدير قسم</t>
  </si>
  <si>
    <t>مديرعام المستودعات</t>
  </si>
  <si>
    <t>الامن والحركه</t>
  </si>
  <si>
    <t>الاجانب</t>
  </si>
  <si>
    <t>الزاويه 1</t>
  </si>
  <si>
    <t xml:space="preserve">مدير قسم </t>
  </si>
  <si>
    <t>اليوميه المستمره</t>
  </si>
  <si>
    <t>الزاويه 3</t>
  </si>
  <si>
    <t>مراكز التوزيع</t>
  </si>
  <si>
    <t>الزاويه 4</t>
  </si>
  <si>
    <t>الاشراف</t>
  </si>
  <si>
    <t>التعدين</t>
  </si>
  <si>
    <t>الاكسبنده 1</t>
  </si>
  <si>
    <t>المواسير</t>
  </si>
  <si>
    <t>الاكسبنده 2</t>
  </si>
  <si>
    <t>الاكسبنده 3</t>
  </si>
  <si>
    <t>الاكسبنده 4</t>
  </si>
  <si>
    <t>اسحق محمد عبدالله</t>
  </si>
  <si>
    <t>صيانه عامه</t>
  </si>
  <si>
    <t>الصاج 1</t>
  </si>
  <si>
    <t>الزوايا</t>
  </si>
  <si>
    <t>الصاج 2</t>
  </si>
  <si>
    <t>الصاج 3</t>
  </si>
  <si>
    <t>الزنك 2</t>
  </si>
  <si>
    <t>التحميل</t>
  </si>
  <si>
    <t>كرين</t>
  </si>
  <si>
    <t>الزنك 3</t>
  </si>
  <si>
    <t>المكبس</t>
  </si>
  <si>
    <t>المخارط</t>
  </si>
  <si>
    <t>المواسير 4</t>
  </si>
  <si>
    <t>الخوص 1</t>
  </si>
  <si>
    <t>الخوص 2</t>
  </si>
  <si>
    <t>الخوص 3</t>
  </si>
  <si>
    <t>مدير قسم الميكانيكا</t>
  </si>
  <si>
    <t>مدير قسم الكهرباء</t>
  </si>
  <si>
    <t>كهرباء عامه</t>
  </si>
  <si>
    <t>الكافتريا</t>
  </si>
  <si>
    <t>البوفيه</t>
  </si>
  <si>
    <t>خدمات</t>
  </si>
  <si>
    <t>الخزنه</t>
  </si>
  <si>
    <t xml:space="preserve">مساعد مشغل  </t>
  </si>
  <si>
    <t>الاسكراب</t>
  </si>
  <si>
    <t>اليات</t>
  </si>
  <si>
    <t>موظف</t>
  </si>
  <si>
    <t>المنتج الجاهز</t>
  </si>
  <si>
    <t>الصاج والزنك</t>
  </si>
  <si>
    <t xml:space="preserve">مساعد مشغل </t>
  </si>
  <si>
    <t xml:space="preserve"> مشغل </t>
  </si>
  <si>
    <t>مراقب جوده</t>
  </si>
  <si>
    <t>الخوص</t>
  </si>
  <si>
    <t>الاكسبنده</t>
  </si>
  <si>
    <t>العياده</t>
  </si>
  <si>
    <t>معتز عوض مساعد محمد على</t>
  </si>
  <si>
    <t>الامن</t>
  </si>
  <si>
    <t>الكميوتر</t>
  </si>
  <si>
    <t>معتز موسى وجين دارموس</t>
  </si>
  <si>
    <t>صيانه</t>
  </si>
  <si>
    <t>خوص</t>
  </si>
  <si>
    <t>عداد</t>
  </si>
  <si>
    <t>الاسكلبات</t>
  </si>
  <si>
    <t>التشريح</t>
  </si>
  <si>
    <t>بيانات</t>
  </si>
  <si>
    <t>كلبسات</t>
  </si>
  <si>
    <t>مشرف</t>
  </si>
  <si>
    <t>احمد محمد زين احمد</t>
  </si>
  <si>
    <t>مجاهد عبدالرحمن</t>
  </si>
  <si>
    <t>موتورات</t>
  </si>
  <si>
    <t>لف موتورات</t>
  </si>
  <si>
    <t>الميزان</t>
  </si>
  <si>
    <t>الحداده</t>
  </si>
  <si>
    <t>الحركه</t>
  </si>
  <si>
    <t xml:space="preserve">اسعد الطيب مصطفى عباس </t>
  </si>
  <si>
    <t>تقارير انتاج</t>
  </si>
  <si>
    <t>تقنى اليات</t>
  </si>
  <si>
    <t xml:space="preserve">عبدالرحمن موسى محمد </t>
  </si>
  <si>
    <t>الكترونات</t>
  </si>
  <si>
    <t>محمد الحاج عبد الله التوم</t>
  </si>
  <si>
    <t>تبريد وتكيف</t>
  </si>
  <si>
    <t>طلال محمد سليمان محمد على</t>
  </si>
  <si>
    <t>فني  انتاج</t>
  </si>
  <si>
    <t>الشيخ محمد ادم احم</t>
  </si>
  <si>
    <t>فنى خراط</t>
  </si>
  <si>
    <t>مشغل ماكينة</t>
  </si>
  <si>
    <t xml:space="preserve">عامل </t>
  </si>
  <si>
    <t>تقنى مكانيكا اليات</t>
  </si>
  <si>
    <t xml:space="preserve">محمد المرتضى الجودة مرجب </t>
  </si>
  <si>
    <t>النعيم حامد موسى محمد</t>
  </si>
  <si>
    <t xml:space="preserve">إدريس إسماعيل إدريس  </t>
  </si>
  <si>
    <t xml:space="preserve">صلاح ابو زيد بخيت خير </t>
  </si>
  <si>
    <t>الالكترونات</t>
  </si>
  <si>
    <t>الصادق اسحق عثمان حماد</t>
  </si>
  <si>
    <t>حاتم عبدون عبدالرحيم محمد</t>
  </si>
  <si>
    <t>حمزه دحيش حمزه احمد</t>
  </si>
  <si>
    <t>محمد عيسى محمد قرين</t>
  </si>
  <si>
    <t>المعتصم الياس حسين فضل</t>
  </si>
  <si>
    <t>صفوان صلاح عبده احمد</t>
  </si>
  <si>
    <t>محمد عبده محمد احمد</t>
  </si>
  <si>
    <t>احمد عبدالمنعم محمد فضل المولى</t>
  </si>
  <si>
    <t>منير كمال محمد احمد مصطفى</t>
  </si>
  <si>
    <t>محمد موسى هجرو صالح</t>
  </si>
  <si>
    <t>محمد عبدالحى يسن ادم</t>
  </si>
  <si>
    <t>طه عبدالمنعم طه مصطفى</t>
  </si>
  <si>
    <t>محمد حسين مصطفى مناوى</t>
  </si>
  <si>
    <t>مهند محمد سيد احمد بابكر</t>
  </si>
  <si>
    <t>الدين اسحق الطاهر حسن</t>
  </si>
  <si>
    <t>محمد مدنى مكى حمد</t>
  </si>
  <si>
    <t>نورالدين عبدالفتاح خيرالله نقد</t>
  </si>
  <si>
    <t>محمد احمد محمد الحسن</t>
  </si>
  <si>
    <t>وليد حافظ خير مضوى</t>
  </si>
  <si>
    <t>خالد الفكى إسماعيل نصر</t>
  </si>
  <si>
    <t>صلاح الدين الطاهر محمد النور</t>
  </si>
  <si>
    <t>عصام الدين إسماعيل زين العابدين عباس</t>
  </si>
  <si>
    <t>مياده الرشيد عبدالعزيز احمد</t>
  </si>
  <si>
    <t>موظف قسم تجارى</t>
  </si>
  <si>
    <t>محمد احمد ادم محمد</t>
  </si>
  <si>
    <t>بابكر حسن احمد بابكر</t>
  </si>
  <si>
    <t>عبدالباقى ابراهيم عبدالله الحاج</t>
  </si>
  <si>
    <t>يسريه سمير احمد سليمان</t>
  </si>
  <si>
    <t>نادر خليفه عبدالرحمن حسين</t>
  </si>
  <si>
    <t>محمد يحى عثمان ادم</t>
  </si>
  <si>
    <t>فني</t>
  </si>
  <si>
    <t>محمد طه محمد احمد</t>
  </si>
  <si>
    <t>معروف محمد عبدالعزيز احمد</t>
  </si>
  <si>
    <t>حسن على بادى يحى</t>
  </si>
  <si>
    <t>ابراهيم حامد ابراهيم بابكر</t>
  </si>
  <si>
    <t>محمد عيسى النور جابر</t>
  </si>
  <si>
    <t>فضل السيد محجوب فضل السيد دسوقي</t>
  </si>
  <si>
    <t>محمد النيل بابكر عبدالباقى</t>
  </si>
  <si>
    <t>فني ميكانيكا سيارات</t>
  </si>
  <si>
    <t>مصطفى الامين عبدالرحيم عبدالله</t>
  </si>
  <si>
    <t>مهندس ميكانيكا</t>
  </si>
  <si>
    <t>عوض الله هجو</t>
  </si>
  <si>
    <t>عبدالله العوض إدريس حسن</t>
  </si>
  <si>
    <t xml:space="preserve">عبدالفتاح محمد عبدالله </t>
  </si>
  <si>
    <t>عمر عثمان محمد عثمان</t>
  </si>
  <si>
    <t>روان مصطفى محمد خليفه</t>
  </si>
  <si>
    <t>المشتروات</t>
  </si>
  <si>
    <t>تسفاى دسو</t>
  </si>
  <si>
    <t>مستشار فني</t>
  </si>
  <si>
    <t>خالد النور ابراهيم النور</t>
  </si>
  <si>
    <t>عبدالرحيم موسى ادم محمد</t>
  </si>
  <si>
    <t>هشام بشرى محمد احمد</t>
  </si>
  <si>
    <t xml:space="preserve">انور سليمان ادم محمد </t>
  </si>
  <si>
    <t>ابوزيد عبدالله على عبدالله</t>
  </si>
  <si>
    <t>m1</t>
  </si>
  <si>
    <t>عبدالناصر ابراهيم سيد احمد</t>
  </si>
  <si>
    <t>m2</t>
  </si>
  <si>
    <t>علم الدين عوض احمد محمد</t>
  </si>
  <si>
    <t>m3</t>
  </si>
  <si>
    <t>صالح عبدالحفيظ صالح عمر</t>
  </si>
  <si>
    <t>m4</t>
  </si>
  <si>
    <t>عمار موسى على ابراهيم</t>
  </si>
  <si>
    <t>m5</t>
  </si>
  <si>
    <t>رياض حامد احمد</t>
  </si>
  <si>
    <t>m6</t>
  </si>
  <si>
    <t>بدرالدين عبدالقادر محمد على</t>
  </si>
  <si>
    <t>m7</t>
  </si>
  <si>
    <t>خطاب عباس</t>
  </si>
  <si>
    <t>m8</t>
  </si>
  <si>
    <t>محمد الحبيب التجانى</t>
  </si>
  <si>
    <t>m9</t>
  </si>
  <si>
    <t>ابراهيم احمد محمد احمد</t>
  </si>
  <si>
    <t>m10</t>
  </si>
  <si>
    <t>قمر موسى عبدالكريم حسين</t>
  </si>
  <si>
    <t>عبدالله عمر احمد عمر</t>
  </si>
  <si>
    <t>جعفر الزاكى عبدالرحيم احمد</t>
  </si>
  <si>
    <t>حسن صلاح سليمان محمد</t>
  </si>
  <si>
    <t>محمد حوى النبى الفضل بابكر</t>
  </si>
  <si>
    <t>تقوى إدريس كورى تيه</t>
  </si>
  <si>
    <t>السرعلى النزير عبدالعليم</t>
  </si>
  <si>
    <t>سامى عبدالله ادم محمد</t>
  </si>
  <si>
    <t>ناجى عبدالله محمد على صالح</t>
  </si>
  <si>
    <t>نعمات عبدالرحيم محمد عثمان عبدالعزيز</t>
  </si>
  <si>
    <t>احمد عبدالوهاب صالح داؤود</t>
  </si>
  <si>
    <t>عبدالرحمن ابراهيم سنهورى الامين</t>
  </si>
  <si>
    <t>مدير مالى</t>
  </si>
  <si>
    <t>عمادالدين بله محمد ادم</t>
  </si>
  <si>
    <t>عماد السنوسي</t>
  </si>
  <si>
    <t xml:space="preserve">احمد زهير </t>
  </si>
  <si>
    <t>حيدر جمال</t>
  </si>
  <si>
    <t>الطيب عبدالرحمن جمعه</t>
  </si>
  <si>
    <t>عبدالقادر عبدالرافع كرار</t>
  </si>
  <si>
    <t>المقداد صالح سليمان</t>
  </si>
  <si>
    <t>عبدالحميد حسن علي</t>
  </si>
  <si>
    <t>الصادق ضحيه مطر محمد</t>
  </si>
  <si>
    <t>بابكر محمد عبدالقادر ابراهيم</t>
  </si>
  <si>
    <t>محمد فضل طمبل فضل</t>
  </si>
  <si>
    <t>محمد احمد موسى حسن</t>
  </si>
  <si>
    <t>عادل جمال</t>
  </si>
  <si>
    <t>إبراهيم عوض موسى محمد</t>
  </si>
  <si>
    <t>عبدالرحمن ساكن حسن ابكر</t>
  </si>
  <si>
    <t>راتب ديسمبر 2018</t>
  </si>
  <si>
    <t>نسبه التقييم الرئيسي 2018</t>
  </si>
  <si>
    <t>فورمان 1</t>
  </si>
  <si>
    <t>فورمان 2</t>
  </si>
  <si>
    <t>فورمان 3</t>
  </si>
  <si>
    <t>مشغل 1</t>
  </si>
  <si>
    <t>مشغل 2</t>
  </si>
  <si>
    <t>مشغل 3</t>
  </si>
  <si>
    <t>مشغل 4</t>
  </si>
  <si>
    <t>مساعد مشغل 1</t>
  </si>
  <si>
    <t>مساعد مشغل 2</t>
  </si>
  <si>
    <t>مساعد مشغل 3</t>
  </si>
  <si>
    <t>مشغل كرين 1</t>
  </si>
  <si>
    <t>مشغل كرين 2</t>
  </si>
  <si>
    <t>حداد انتاج 1</t>
  </si>
  <si>
    <t>حداد انتاج 2</t>
  </si>
  <si>
    <t>عامل 1</t>
  </si>
  <si>
    <t>عامل 2</t>
  </si>
  <si>
    <t>مشرف 1</t>
  </si>
  <si>
    <t>مشرف 2</t>
  </si>
  <si>
    <t>مشرف 3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</si>
  <si>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</si>
  <si>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</si>
  <si>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</si>
  <si>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</si>
  <si>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</si>
  <si>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</si>
  <si>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</si>
  <si>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</si>
  <si>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</si>
  <si>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</si>
  <si>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</si>
  <si>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</si>
  <si>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E1</t>
  </si>
  <si>
    <t>E2</t>
  </si>
  <si>
    <t>F1</t>
  </si>
  <si>
    <t>F2</t>
  </si>
  <si>
    <t>G1</t>
  </si>
  <si>
    <t>G2</t>
  </si>
  <si>
    <t>مشغل 5</t>
  </si>
  <si>
    <t>مشغل 6</t>
  </si>
  <si>
    <t>C5</t>
  </si>
  <si>
    <t>C6</t>
  </si>
  <si>
    <t>D3</t>
  </si>
  <si>
    <t>مساعد مشغل 4</t>
  </si>
  <si>
    <t>D4</t>
  </si>
  <si>
    <t xml:space="preserve">وظيفه </t>
  </si>
  <si>
    <t>رمز درجه</t>
  </si>
  <si>
    <t>امين مستودع 1</t>
  </si>
  <si>
    <t>امين مستودع 2</t>
  </si>
  <si>
    <t>امين مستودع 3</t>
  </si>
  <si>
    <t>عامل 3</t>
  </si>
  <si>
    <t>امين مستودع 4</t>
  </si>
  <si>
    <t>مسئول مستودع 1</t>
  </si>
  <si>
    <t>مسئول مستودع 2</t>
  </si>
  <si>
    <t>B4</t>
  </si>
  <si>
    <t>مسئول مستودع 3</t>
  </si>
  <si>
    <t>محاسب 1</t>
  </si>
  <si>
    <t>محاسب 2</t>
  </si>
  <si>
    <t>محاسب 3</t>
  </si>
  <si>
    <t>محاسب 4</t>
  </si>
  <si>
    <t>مهندس 1</t>
  </si>
  <si>
    <t>مهندس 2</t>
  </si>
  <si>
    <t>مهندس 3</t>
  </si>
  <si>
    <t>تقني 1</t>
  </si>
  <si>
    <t>تقني 2</t>
  </si>
  <si>
    <t>تقني 3</t>
  </si>
  <si>
    <t>تقني 4</t>
  </si>
  <si>
    <t>فني 1</t>
  </si>
  <si>
    <t>فني 2</t>
  </si>
  <si>
    <t>فني 3</t>
  </si>
  <si>
    <t>حداد صيانه 1</t>
  </si>
  <si>
    <t>حداد صيانه 2</t>
  </si>
  <si>
    <t>حداد صيانه 3</t>
  </si>
  <si>
    <t>ميكانيكي 1</t>
  </si>
  <si>
    <t>ميكانيكي 2</t>
  </si>
  <si>
    <t>ميكانيكي 3</t>
  </si>
  <si>
    <t>ميكانيكي 4</t>
  </si>
  <si>
    <t>كهربائي 1</t>
  </si>
  <si>
    <t>كهربائي 2</t>
  </si>
  <si>
    <t>كهربائي 3</t>
  </si>
  <si>
    <t>كهربائي 4</t>
  </si>
  <si>
    <t>M1</t>
  </si>
  <si>
    <t>M2</t>
  </si>
  <si>
    <t>M3</t>
  </si>
  <si>
    <t>M4</t>
  </si>
  <si>
    <t>X1</t>
  </si>
  <si>
    <t>X2</t>
  </si>
  <si>
    <t>X3</t>
  </si>
  <si>
    <t>X4</t>
  </si>
  <si>
    <t>رئيس حسابات 1</t>
  </si>
  <si>
    <t>رئيس حسابات 2</t>
  </si>
  <si>
    <t>نسبه الزياده النهائيه</t>
  </si>
  <si>
    <t>الزياده النهائيه</t>
  </si>
  <si>
    <r>
      <t>X</t>
    </r>
    <r>
      <rPr>
        <sz val="14"/>
        <color theme="3" tint="0.59999389629810485"/>
        <rFont val="Calibri"/>
        <family val="2"/>
        <scheme val="minor"/>
      </rPr>
      <t>X</t>
    </r>
    <r>
      <rPr>
        <sz val="14"/>
        <color rgb="FFFFFF00"/>
        <rFont val="Calibri"/>
        <family val="2"/>
        <scheme val="minor"/>
      </rPr>
      <t>X</t>
    </r>
    <r>
      <rPr>
        <sz val="14"/>
        <color theme="3" tint="0.59999389629810485"/>
        <rFont val="Calibri"/>
        <family val="2"/>
        <scheme val="minor"/>
      </rPr>
      <t>X</t>
    </r>
    <r>
      <rPr>
        <sz val="14"/>
        <color rgb="FFFFFF00"/>
        <rFont val="Calibri"/>
        <family val="2"/>
        <scheme val="minor"/>
      </rPr>
      <t>V</t>
    </r>
  </si>
  <si>
    <r>
      <t>X</t>
    </r>
    <r>
      <rPr>
        <sz val="14"/>
        <color theme="3" tint="0.39997558519241921"/>
        <rFont val="Calibri"/>
        <family val="2"/>
        <scheme val="minor"/>
      </rPr>
      <t>X</t>
    </r>
    <r>
      <rPr>
        <sz val="14"/>
        <color rgb="FFFFFF00"/>
        <rFont val="Calibri"/>
        <family val="2"/>
        <scheme val="minor"/>
      </rPr>
      <t>X</t>
    </r>
    <r>
      <rPr>
        <sz val="14"/>
        <color theme="3" tint="0.39997558519241921"/>
        <rFont val="Calibri"/>
        <family val="2"/>
        <scheme val="minor"/>
      </rPr>
      <t>X</t>
    </r>
    <r>
      <rPr>
        <sz val="14"/>
        <color rgb="FFFFFF00"/>
        <rFont val="Calibri"/>
        <family val="2"/>
        <scheme val="minor"/>
      </rPr>
      <t>XV</t>
    </r>
  </si>
  <si>
    <r>
      <t>X</t>
    </r>
    <r>
      <rPr>
        <sz val="14"/>
        <color rgb="FF92D050"/>
        <rFont val="Calibri"/>
        <family val="2"/>
        <scheme val="minor"/>
      </rPr>
      <t>X</t>
    </r>
    <r>
      <rPr>
        <sz val="14"/>
        <color rgb="FFFFFF00"/>
        <rFont val="Calibri"/>
        <family val="2"/>
        <scheme val="minor"/>
      </rPr>
      <t>X</t>
    </r>
    <r>
      <rPr>
        <sz val="14"/>
        <color rgb="FF92D050"/>
        <rFont val="Calibri"/>
        <family val="2"/>
        <scheme val="minor"/>
      </rPr>
      <t>X</t>
    </r>
  </si>
  <si>
    <t>M5</t>
  </si>
  <si>
    <t>M6</t>
  </si>
  <si>
    <t>M7</t>
  </si>
  <si>
    <t>M8</t>
  </si>
  <si>
    <t>M9</t>
  </si>
  <si>
    <t>M10</t>
  </si>
  <si>
    <t>1</t>
  </si>
  <si>
    <t>2</t>
  </si>
  <si>
    <t>3</t>
  </si>
  <si>
    <t>4</t>
  </si>
  <si>
    <t>5</t>
  </si>
  <si>
    <t>6</t>
  </si>
  <si>
    <t>7</t>
  </si>
  <si>
    <t>8</t>
  </si>
  <si>
    <t>مدير الانتاج</t>
  </si>
  <si>
    <t>المدير المالي</t>
  </si>
  <si>
    <t>رئيس الحسابات 1</t>
  </si>
  <si>
    <t>مدير الكهرباء</t>
  </si>
  <si>
    <t>مدير الصيانه</t>
  </si>
  <si>
    <t>رئيس الحسابات 2</t>
  </si>
  <si>
    <t>مشرف ورديه 1</t>
  </si>
  <si>
    <t>مسئول الجوده</t>
  </si>
  <si>
    <t>مسئول الاليات</t>
  </si>
  <si>
    <t>مشرف ورديه 2</t>
  </si>
  <si>
    <t>مشغل كرين +</t>
  </si>
  <si>
    <t>O</t>
  </si>
  <si>
    <t>P</t>
  </si>
  <si>
    <t>Q</t>
  </si>
  <si>
    <t>R</t>
  </si>
  <si>
    <t>S</t>
  </si>
  <si>
    <t>عامل مميز</t>
  </si>
  <si>
    <t>T</t>
  </si>
  <si>
    <t>U</t>
  </si>
  <si>
    <t>عامل تحت التجربه</t>
  </si>
  <si>
    <t>W</t>
  </si>
  <si>
    <t>Y</t>
  </si>
  <si>
    <t>Z</t>
  </si>
  <si>
    <t>ID</t>
  </si>
  <si>
    <t>المستشار المالي</t>
  </si>
  <si>
    <t>مدير الميكانيكا</t>
  </si>
  <si>
    <t>رئيس الحسابات</t>
  </si>
  <si>
    <t>مشرفي الورديات 1</t>
  </si>
  <si>
    <t>مشرفي الورديات 2</t>
  </si>
  <si>
    <t>الفورمان 1</t>
  </si>
  <si>
    <t>الفورمان 2</t>
  </si>
  <si>
    <t>مشرفي الورديات 3</t>
  </si>
  <si>
    <t>مسئول مستودع الجاهز</t>
  </si>
  <si>
    <t>فني تحت التجربه</t>
  </si>
  <si>
    <t>BSC تحت التجربه</t>
  </si>
  <si>
    <t>تقني تحت التجربه</t>
  </si>
  <si>
    <t>تقني</t>
  </si>
  <si>
    <t>موظف - مهندس BSC</t>
  </si>
  <si>
    <t>نائب حسابات المصنع</t>
  </si>
  <si>
    <t>كرين 1</t>
  </si>
  <si>
    <t>كرين 2</t>
  </si>
  <si>
    <t>مسئول مستودع الاسكلبات</t>
  </si>
  <si>
    <t>المدير الاداري</t>
  </si>
  <si>
    <t xml:space="preserve">الدرجه الاكاديميه </t>
  </si>
  <si>
    <t>درجه التوسيط</t>
  </si>
  <si>
    <t>مدخل بيانات 1</t>
  </si>
  <si>
    <t>مدخل بيانات 2</t>
  </si>
  <si>
    <t>الوظيفه2</t>
  </si>
  <si>
    <t>الوظيفه3</t>
  </si>
  <si>
    <t>الوظيفه4</t>
  </si>
  <si>
    <t>الوظيفه5</t>
  </si>
  <si>
    <t>الوظيفه6</t>
  </si>
  <si>
    <t>الوظيفه7</t>
  </si>
  <si>
    <t>نائب الموارد البشريه</t>
  </si>
  <si>
    <t>محاسب  - امين مستودع 1- موظف 1</t>
  </si>
  <si>
    <t>محاسب  - امين مستودع2  - موظف 2</t>
  </si>
  <si>
    <t>محاسب  - امين مستودع 3 - موظف 3</t>
  </si>
  <si>
    <t>محاسب  - امين مستودع 4 - موظف 4</t>
  </si>
  <si>
    <t>مشغل 1-كهر - ميك 1</t>
  </si>
  <si>
    <t>مشغل 1-كهر - ميك 2</t>
  </si>
  <si>
    <t>مشغل 1-كهر - ميك 3</t>
  </si>
  <si>
    <t>مشغل 1-كهر - ميك 4</t>
  </si>
  <si>
    <t>فورمان القسم الفني</t>
  </si>
  <si>
    <t>Sum of راتب ديسمبر 2018</t>
  </si>
  <si>
    <t>Sum of مبلغ التقييم النسبي 2018</t>
  </si>
  <si>
    <t>Sum of الزياده النهائيه</t>
  </si>
  <si>
    <t>Sum of الراتب النهائي</t>
  </si>
  <si>
    <t>p</t>
  </si>
  <si>
    <t xml:space="preserve">كرين ماستر - </t>
  </si>
  <si>
    <t>موظف - مهندس مميز</t>
  </si>
  <si>
    <t>o</t>
  </si>
  <si>
    <t>i</t>
  </si>
  <si>
    <t>j</t>
  </si>
  <si>
    <t>Average of نسبه الزياده النهائيه</t>
  </si>
  <si>
    <t>Average of نسبه التقييم الرئيسي 2018</t>
  </si>
  <si>
    <t>عامل ممتاز</t>
  </si>
  <si>
    <t>التعديل حتي</t>
  </si>
  <si>
    <t>kkk</t>
  </si>
  <si>
    <t>الجبر حتي</t>
  </si>
  <si>
    <t>رن</t>
  </si>
  <si>
    <t>مستشارين</t>
  </si>
  <si>
    <t>امال عثمان محمد</t>
  </si>
  <si>
    <t>Sum of التعديل</t>
  </si>
  <si>
    <t>Sum of جبر الرقم</t>
  </si>
  <si>
    <t>تقنى صيانة</t>
  </si>
  <si>
    <t>عبدالخالق حسن محمد ابراهيم</t>
  </si>
  <si>
    <t>عبدالرحمن موسى محمد عبدالرحمن</t>
  </si>
  <si>
    <t>محمد خضر محمد صديق</t>
  </si>
  <si>
    <t>عبدالعزيز الامين محمد حمدالنيل</t>
  </si>
  <si>
    <t>يحى عطيه حلوف حماد</t>
  </si>
  <si>
    <t>على عبدالرحيم العاقب احمد</t>
  </si>
  <si>
    <t>اسحق محمد عبدالله محمد</t>
  </si>
  <si>
    <t>الفاتح محمد عامر سليمان</t>
  </si>
  <si>
    <t>اصف نور الدائم بابكر الحسن</t>
  </si>
  <si>
    <t>عبدالقادر عبدالدافع كرار عمر</t>
  </si>
  <si>
    <t>عبدالله فيصل بدوى احمد</t>
  </si>
  <si>
    <t>الحاج العباس الزبير الحاج</t>
  </si>
  <si>
    <t>حسب الرسول عبدالرحمن الطيب الحسن</t>
  </si>
  <si>
    <t>عاطف محمد احمد عثمان</t>
  </si>
  <si>
    <t>ياسر وداعه الله سعيد قسم الله</t>
  </si>
  <si>
    <t>مصطفى قمرالدوله ابراهيم إدريس</t>
  </si>
  <si>
    <t>عبدالعظيم موسى نورالجليل تهور</t>
  </si>
  <si>
    <t>ابراهيم عوض موسى محمد</t>
  </si>
  <si>
    <t>كمبال حسن كمبال احمد</t>
  </si>
  <si>
    <t>عمر احمد محمد عمر</t>
  </si>
  <si>
    <t>عثمان سراج عوض على</t>
  </si>
  <si>
    <t>تسفاى دسو ابلى</t>
  </si>
  <si>
    <t>سلمى عباس عبدالله تيه</t>
  </si>
  <si>
    <t>محمد مهدى ابو محمد</t>
  </si>
  <si>
    <t>ميرغنى طه سوركتى شكرليه</t>
  </si>
  <si>
    <t>احمد عبدالعزيز مصطفى احمد</t>
  </si>
  <si>
    <t>فايز عوض ابراهيم محمد</t>
  </si>
  <si>
    <t>بله حامد ابراهيم</t>
  </si>
  <si>
    <t>المعز احمد سعيد احمد</t>
  </si>
  <si>
    <t>معتز عمر مصطفى حماد</t>
  </si>
  <si>
    <t>عبدالله حسن سعيد عبدالكريم</t>
  </si>
  <si>
    <t>الطيب امبلى احمد محمد</t>
  </si>
  <si>
    <t>بلال عثمان بلال صالح</t>
  </si>
  <si>
    <t>عفاف الطاهر قرشي حسن</t>
  </si>
  <si>
    <t>عمر العوض حسن الامام</t>
  </si>
  <si>
    <t>ميناس عبدالوهاب الامين حسن</t>
  </si>
  <si>
    <t>سيف الدين محمد حسين احمد</t>
  </si>
  <si>
    <t>معتز الرشيد خشم الموس احمد</t>
  </si>
  <si>
    <t>عوض الله هجو الفكى سليم</t>
  </si>
  <si>
    <t>عبدالمنعم عبدالرحمن مصطفى بابكر</t>
  </si>
  <si>
    <t>محمد الساير فضالى الحلو</t>
  </si>
  <si>
    <t>بابكر محمد عبد القادر ابراهيم</t>
  </si>
  <si>
    <t>عبد الله العوض ادريس حسن</t>
  </si>
  <si>
    <t>محمد سيف الدين محمد حسين</t>
  </si>
  <si>
    <t>مديرمالى</t>
  </si>
  <si>
    <t>فضل السيد محجوب فضل السيد دسوقى</t>
  </si>
  <si>
    <t>عبدالوكيل الجيلانى الختيم حسين</t>
  </si>
  <si>
    <t>محمد المرتضى الجوده مرجب احمد</t>
  </si>
  <si>
    <t>ابوبكر فاروق عوض الله عوض السيد</t>
  </si>
  <si>
    <t>فنى صيانه + سائق اليات</t>
  </si>
  <si>
    <t>فنى كهربائي</t>
  </si>
  <si>
    <t>حسين حماد فرح الدور موسى</t>
  </si>
  <si>
    <t>صلاح الدين بشير احمد</t>
  </si>
  <si>
    <t>سائق رافعة شوكية</t>
  </si>
  <si>
    <t>عبد الحميد حسن على الطائف</t>
  </si>
  <si>
    <t>الهادى محى الدين احمد النزير</t>
  </si>
  <si>
    <t>بلال عبد الرحمن كودى الازيرق</t>
  </si>
  <si>
    <t>حسن سليمان محمد نور</t>
  </si>
  <si>
    <t>عابدين بخيت عبدالفضيل اسماعيل</t>
  </si>
  <si>
    <t>مجاهد حسن على عبدالرحمن</t>
  </si>
  <si>
    <t>محمد ادم عبدالعزيز الحاج</t>
  </si>
  <si>
    <t>هشام بشري محمد احمد</t>
  </si>
  <si>
    <t>يوسف حمد خالد على</t>
  </si>
  <si>
    <t>عبدالسلام عيسى محمد عبدالكريم</t>
  </si>
  <si>
    <t>مزاهر ابراهيم بشاره محمد</t>
  </si>
  <si>
    <t>مصعب اسماعيل الشيخ محمد</t>
  </si>
  <si>
    <t>ابراهيم عبدالماجد جاد الله عبدالماجد</t>
  </si>
  <si>
    <t>خليل فرح احمد محمد</t>
  </si>
  <si>
    <t>رانى عمر الامين محمد احمد</t>
  </si>
  <si>
    <t>سراج الدين محمد خميس ادم</t>
  </si>
  <si>
    <t>سفيان يوسف مختار محمد الحاج</t>
  </si>
  <si>
    <t>عبدالمنعم مصطفى ابراهيم محمد</t>
  </si>
  <si>
    <t>مشاور قسم الله عبدالله قسم الله</t>
  </si>
  <si>
    <t>معاذ مجزوب بشير محمد</t>
  </si>
  <si>
    <t>التجانى محمد زين احمد محمد</t>
  </si>
  <si>
    <t>جعفر مصطفى على محمد</t>
  </si>
  <si>
    <t>حافظ يعقوب ادريس عبدالرحيم</t>
  </si>
  <si>
    <t>عبدالرحمن اسماعيل محمد على</t>
  </si>
  <si>
    <t>عثمان سليمان محمد احمد</t>
  </si>
  <si>
    <t>على احمد موسى محمد</t>
  </si>
  <si>
    <t>محمد عبدالمنعم عطا الفضيل خليفه</t>
  </si>
  <si>
    <t>يوسف دفع الله الحسين بابكر</t>
  </si>
  <si>
    <t>الحاج بليله عمر بليله</t>
  </si>
  <si>
    <t>انور سليمان ادم محمد</t>
  </si>
  <si>
    <t>زاهر عبدالله حميد عمر</t>
  </si>
  <si>
    <t>مجاهد عبدالرحمن عبد الوهاب الامين</t>
  </si>
  <si>
    <t>بهاء الدين يوسف مقبل سوركتى</t>
  </si>
  <si>
    <t>رماح صلاح الدين سالم رفاى</t>
  </si>
  <si>
    <t>عيدالله احمد الضيف عبدالله</t>
  </si>
  <si>
    <t>محمد الامين ابراهيم الامين</t>
  </si>
  <si>
    <t>المبارك محمد ابراهيم عبدالله</t>
  </si>
  <si>
    <t>صالح يعقوب محمد ابراهيم</t>
  </si>
  <si>
    <t>عبدالرحمن عبدالله عبدالكبير ابراهيم</t>
  </si>
  <si>
    <t>كمال عبدالرحمن احمد عبدالله</t>
  </si>
  <si>
    <t>فنى سباكة</t>
  </si>
  <si>
    <t>عبدالجبار ابراهيم صالح شرف الدين</t>
  </si>
  <si>
    <t xml:space="preserve">عطا الفضيل محمد عيد محمد </t>
  </si>
  <si>
    <t>مزمل عبدالله مزمل عبدالله</t>
  </si>
  <si>
    <t>امير احمد البشرى عبدالرحيم</t>
  </si>
  <si>
    <t>فنى تبريد وتكييف</t>
  </si>
  <si>
    <t>تاج الدين على عبداللطيف سعيد</t>
  </si>
  <si>
    <t>عبد الله عبد الكريم عبد الله عبدالكريم</t>
  </si>
  <si>
    <t>محمد محمود محمد الطيب</t>
  </si>
  <si>
    <t>يوسف فاروق عباس سعيد</t>
  </si>
  <si>
    <t>وليد شمس الدين شريف جاويش</t>
  </si>
  <si>
    <t>مسئول الوحدة الصحية</t>
  </si>
  <si>
    <t>السر على النذير عبدالعليم</t>
  </si>
  <si>
    <t>عصام الامين الحاج البشير</t>
  </si>
  <si>
    <t>عمر عبدالرحمن البشير عمر</t>
  </si>
  <si>
    <t>م الاداره</t>
  </si>
  <si>
    <t>عبدالمنعم موسي ادريس الياس</t>
  </si>
  <si>
    <t>u</t>
  </si>
  <si>
    <t>h</t>
  </si>
  <si>
    <t>q</t>
  </si>
  <si>
    <t>s</t>
  </si>
  <si>
    <t>الحد الادني 20</t>
  </si>
  <si>
    <t>امين الخزينه</t>
  </si>
  <si>
    <t>متدرب</t>
  </si>
  <si>
    <t>راتب ديسمبر 2019</t>
  </si>
  <si>
    <t>الحد الادني 19</t>
  </si>
  <si>
    <t>(+)</t>
  </si>
  <si>
    <t>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</si>
</sst>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#,##0.0"/>
    <numFmt numFmtId="167" formatCode="[$-F800]dddd\,\ mmmm\ dd\,\ yyyy"/>
    <numFmt numFmtId="168" formatCode="[$-409]mmmm\ d\,\ yyyy;@"/>
    <numFmt numFmtId="169" formatCode="[$-409]d\-mmm\-yyyy;@"/>
  </numFmts>
  <fonts count="9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4"/>
      <color rgb="FFFFFF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8" tint="0.39997558519241921"/>
      <name val="Calibri"/>
      <family val="2"/>
      <scheme val="minor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DecoType Naskh Extensions"/>
      <charset val="178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FFFF"/>
      <name val="Arial Unicode MS"/>
      <family val="2"/>
    </font>
    <font>
      <b/>
      <sz val="14"/>
      <color rgb="FFFFFFFF"/>
      <name val="Arial Unicode MS"/>
      <family val="2"/>
    </font>
    <font>
      <b/>
      <sz val="12"/>
      <color rgb="FFFFFFFF"/>
      <name val="Calibri"/>
      <family val="2"/>
      <scheme val="minor"/>
    </font>
    <font>
      <b/>
      <sz val="11"/>
      <color rgb="FFFFFFFF"/>
      <name val="Arial Unicode MS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Arial Unicode MS"/>
      <family val="2"/>
    </font>
    <font>
      <b/>
      <sz val="8"/>
      <color theme="0"/>
      <name val="Arial Unicode MS"/>
      <family val="2"/>
    </font>
    <font>
      <b/>
      <sz val="12"/>
      <color theme="0"/>
      <name val="Arial Unicode MS"/>
      <family val="2"/>
    </font>
    <font>
      <b/>
      <sz val="12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theme="3"/>
      <name val="Arial Unicode MS"/>
      <family val="2"/>
    </font>
    <font>
      <b/>
      <sz val="16"/>
      <color rgb="FFC00000"/>
      <name val="Arial Unicode MS"/>
      <family val="2"/>
    </font>
    <font>
      <sz val="16"/>
      <color theme="3"/>
      <name val="Calibri"/>
      <family val="2"/>
      <scheme val="minor"/>
    </font>
    <font>
      <sz val="16"/>
      <color rgb="FFC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B05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1"/>
      <name val="Arial Unicode MS"/>
      <family val="2"/>
    </font>
    <font>
      <b/>
      <sz val="11"/>
      <color rgb="FFFFC000"/>
      <name val="Calibri"/>
      <family val="2"/>
      <scheme val="minor"/>
    </font>
    <font>
      <sz val="14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6"/>
      <color rgb="FFFFFFFF"/>
      <name val="Calibri"/>
      <family val="2"/>
    </font>
    <font>
      <sz val="16"/>
      <color rgb="FFFFFFFF"/>
      <name val="Calibri"/>
      <family val="2"/>
    </font>
    <font>
      <sz val="16"/>
      <name val="Calibri"/>
      <family val="2"/>
    </font>
    <font>
      <b/>
      <sz val="11"/>
      <name val="Arial Unicode MS"/>
      <family val="2"/>
    </font>
    <font>
      <sz val="12"/>
      <color rgb="FF92D050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theme="1"/>
      <name val="Arial Unicode MS"/>
      <family val="2"/>
    </font>
    <font>
      <sz val="14"/>
      <color theme="1"/>
      <name val="Calibri"/>
      <family val="2"/>
      <charset val="178"/>
      <scheme val="minor"/>
    </font>
    <font>
      <b/>
      <sz val="12"/>
      <color rgb="FF00206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rgb="FFFF0000"/>
      <name val="Arial Unicode MS"/>
      <family val="2"/>
    </font>
    <font>
      <sz val="14"/>
      <color rgb="FFC00000"/>
      <name val="Calibri"/>
      <family val="2"/>
      <scheme val="minor"/>
    </font>
    <font>
      <sz val="14"/>
      <color theme="7" tint="0.59999389629810485"/>
      <name val="Calibri"/>
      <family val="2"/>
      <scheme val="minor"/>
    </font>
    <font>
      <sz val="14"/>
      <color rgb="FF92D050"/>
      <name val="Calibri"/>
      <family val="2"/>
      <scheme val="minor"/>
    </font>
    <font>
      <sz val="11"/>
      <color rgb="FF00B0F0"/>
      <name val="Calibri"/>
      <family val="2"/>
      <scheme val="minor"/>
    </font>
    <font>
      <sz val="14"/>
      <color rgb="FF00B0F0"/>
      <name val="Calibri"/>
      <family val="2"/>
      <scheme val="minor"/>
    </font>
    <font>
      <sz val="14"/>
      <color rgb="FFFFFFFF"/>
      <name val="Arial Unicode MS"/>
      <family val="2"/>
    </font>
    <font>
      <sz val="14"/>
      <color theme="3" tint="0.59999389629810485"/>
      <name val="Calibri"/>
      <family val="2"/>
      <scheme val="minor"/>
    </font>
    <font>
      <sz val="14"/>
      <color theme="3" tint="0.3999755851924192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F0"/>
      <name val="Calibri"/>
      <family val="2"/>
      <scheme val="minor"/>
    </font>
    <font>
      <sz val="11"/>
      <color rgb="FF007033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theme="4"/>
      </patternFill>
    </fill>
    <fill>
      <patternFill patternType="solid">
        <fgColor theme="1"/>
        <bgColor theme="4"/>
      </patternFill>
    </fill>
    <fill>
      <patternFill patternType="solid">
        <fgColor theme="6" tint="-0.499984740745262"/>
        <bgColor theme="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</fills>
  <borders count="3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687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3" fontId="7" fillId="0" borderId="2" xfId="0" applyNumberFormat="1" applyFont="1" applyBorder="1" applyAlignment="1">
      <alignment horizontal="center" vertical="center"/>
    </xf>
    <xf numFmtId="3" fontId="2" fillId="0" borderId="2" xfId="0" applyNumberFormat="1" applyFont="1" applyFill="1" applyBorder="1" applyAlignment="1">
      <alignment horizontal="center" vertical="center"/>
    </xf>
    <xf numFmtId="3" fontId="18" fillId="0" borderId="2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3" fontId="12" fillId="0" borderId="0" xfId="0" applyNumberFormat="1" applyFont="1" applyFill="1" applyAlignment="1">
      <alignment horizontal="center" vertical="center" wrapText="1"/>
    </xf>
    <xf numFmtId="3" fontId="2" fillId="0" borderId="0" xfId="0" applyNumberFormat="1" applyFont="1" applyFill="1" applyAlignment="1">
      <alignment horizontal="center"/>
    </xf>
    <xf numFmtId="3" fontId="0" fillId="0" borderId="0" xfId="0" applyNumberFormat="1" applyFill="1" applyAlignment="1">
      <alignment horizontal="center" vertical="center" wrapText="1"/>
    </xf>
    <xf numFmtId="3" fontId="0" fillId="0" borderId="0" xfId="0" applyNumberFormat="1" applyFill="1" applyAlignment="1">
      <alignment horizontal="center"/>
    </xf>
    <xf numFmtId="3" fontId="6" fillId="0" borderId="0" xfId="0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14" fontId="2" fillId="0" borderId="0" xfId="0" applyNumberFormat="1" applyFon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4" fontId="0" fillId="0" borderId="0" xfId="0" applyNumberForma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5" fillId="0" borderId="0" xfId="0" applyFont="1" applyFill="1"/>
    <xf numFmtId="3" fontId="22" fillId="0" borderId="0" xfId="0" applyNumberFormat="1" applyFont="1" applyFill="1"/>
    <xf numFmtId="2" fontId="11" fillId="0" borderId="0" xfId="0" applyNumberFormat="1" applyFont="1" applyFill="1" applyAlignment="1">
      <alignment horizontal="center" vertical="center"/>
    </xf>
    <xf numFmtId="4" fontId="24" fillId="0" borderId="0" xfId="0" applyNumberFormat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 wrapText="1"/>
    </xf>
    <xf numFmtId="0" fontId="0" fillId="0" borderId="2" xfId="0" applyBorder="1"/>
    <xf numFmtId="0" fontId="0" fillId="0" borderId="2" xfId="0" pivotButton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2" xfId="0" applyBorder="1" applyAlignment="1">
      <alignment horizontal="left" indent="2"/>
    </xf>
    <xf numFmtId="0" fontId="0" fillId="0" borderId="2" xfId="0" applyBorder="1" applyAlignment="1">
      <alignment horizontal="left" indent="3"/>
    </xf>
    <xf numFmtId="0" fontId="0" fillId="0" borderId="2" xfId="0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/>
    </xf>
    <xf numFmtId="0" fontId="2" fillId="0" borderId="2" xfId="0" pivotButton="1" applyFont="1" applyBorder="1" applyAlignment="1">
      <alignment horizontal="center" vertical="center"/>
    </xf>
    <xf numFmtId="3" fontId="22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Fill="1" applyAlignment="1">
      <alignment horizontal="center" vertical="center"/>
    </xf>
    <xf numFmtId="4" fontId="15" fillId="0" borderId="2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4" fontId="0" fillId="0" borderId="2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0" fontId="30" fillId="12" borderId="3" xfId="0" applyFont="1" applyFill="1" applyBorder="1" applyAlignment="1">
      <alignment horizontal="center" vertical="center" wrapText="1"/>
    </xf>
    <xf numFmtId="0" fontId="31" fillId="12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0" fontId="30" fillId="12" borderId="4" xfId="0" applyNumberFormat="1" applyFont="1" applyFill="1" applyBorder="1" applyAlignment="1">
      <alignment horizontal="center" vertical="center" wrapText="1"/>
    </xf>
    <xf numFmtId="164" fontId="30" fillId="12" borderId="4" xfId="0" applyNumberFormat="1" applyFont="1" applyFill="1" applyBorder="1" applyAlignment="1">
      <alignment horizontal="center" vertical="center"/>
    </xf>
    <xf numFmtId="4" fontId="30" fillId="12" borderId="4" xfId="0" applyNumberFormat="1" applyFont="1" applyFill="1" applyBorder="1" applyAlignment="1">
      <alignment horizontal="center" vertical="center" wrapText="1"/>
    </xf>
    <xf numFmtId="3" fontId="30" fillId="12" borderId="5" xfId="0" applyNumberFormat="1" applyFont="1" applyFill="1" applyBorder="1" applyAlignment="1">
      <alignment horizontal="center" vertical="center" wrapText="1"/>
    </xf>
    <xf numFmtId="2" fontId="30" fillId="12" borderId="5" xfId="0" applyNumberFormat="1" applyFont="1" applyFill="1" applyBorder="1" applyAlignment="1">
      <alignment horizontal="center" vertical="center" wrapText="1"/>
    </xf>
    <xf numFmtId="0" fontId="30" fillId="12" borderId="5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0" fontId="30" fillId="13" borderId="4" xfId="0" applyNumberFormat="1" applyFont="1" applyFill="1" applyBorder="1" applyAlignment="1">
      <alignment horizontal="center" vertical="center" wrapText="1"/>
    </xf>
    <xf numFmtId="3" fontId="33" fillId="12" borderId="4" xfId="0" applyNumberFormat="1" applyFont="1" applyFill="1" applyBorder="1" applyAlignment="1">
      <alignment horizontal="center" vertical="center" wrapText="1"/>
    </xf>
    <xf numFmtId="1" fontId="30" fillId="12" borderId="4" xfId="0" applyNumberFormat="1" applyFont="1" applyFill="1" applyBorder="1" applyAlignment="1">
      <alignment horizontal="center" vertical="center" wrapText="1"/>
    </xf>
    <xf numFmtId="1" fontId="33" fillId="13" borderId="4" xfId="0" applyNumberFormat="1" applyFont="1" applyFill="1" applyBorder="1" applyAlignment="1">
      <alignment horizontal="center" vertical="center" wrapText="1"/>
    </xf>
    <xf numFmtId="3" fontId="30" fillId="12" borderId="4" xfId="0" applyNumberFormat="1" applyFont="1" applyFill="1" applyBorder="1" applyAlignment="1">
      <alignment horizontal="center" vertical="center" wrapText="1"/>
    </xf>
    <xf numFmtId="0" fontId="34" fillId="12" borderId="4" xfId="0" applyFont="1" applyFill="1" applyBorder="1" applyAlignment="1">
      <alignment horizontal="center" vertical="center" wrapText="1"/>
    </xf>
    <xf numFmtId="2" fontId="30" fillId="12" borderId="4" xfId="0" applyNumberFormat="1" applyFont="1" applyFill="1" applyBorder="1" applyAlignment="1">
      <alignment horizontal="center" vertical="center" wrapText="1"/>
    </xf>
    <xf numFmtId="165" fontId="30" fillId="12" borderId="4" xfId="0" applyNumberFormat="1" applyFont="1" applyFill="1" applyBorder="1" applyAlignment="1">
      <alignment horizontal="center" vertical="center" wrapText="1"/>
    </xf>
    <xf numFmtId="166" fontId="30" fillId="14" borderId="4" xfId="0" applyNumberFormat="1" applyFont="1" applyFill="1" applyBorder="1" applyAlignment="1">
      <alignment horizontal="center" vertical="center" wrapText="1"/>
    </xf>
    <xf numFmtId="166" fontId="30" fillId="12" borderId="4" xfId="0" applyNumberFormat="1" applyFont="1" applyFill="1" applyBorder="1" applyAlignment="1">
      <alignment horizontal="center" vertical="center" wrapText="1"/>
    </xf>
    <xf numFmtId="0" fontId="35" fillId="12" borderId="5" xfId="0" applyFont="1" applyFill="1" applyBorder="1" applyAlignment="1">
      <alignment horizontal="center" vertical="center"/>
    </xf>
    <xf numFmtId="0" fontId="35" fillId="12" borderId="5" xfId="0" applyNumberFormat="1" applyFont="1" applyFill="1" applyBorder="1" applyAlignment="1">
      <alignment horizontal="center" vertical="center"/>
    </xf>
    <xf numFmtId="167" fontId="36" fillId="0" borderId="6" xfId="0" applyNumberFormat="1" applyFont="1" applyFill="1" applyBorder="1" applyAlignment="1">
      <alignment horizontal="center" vertical="center"/>
    </xf>
    <xf numFmtId="167" fontId="36" fillId="2" borderId="6" xfId="0" applyNumberFormat="1" applyFont="1" applyFill="1" applyBorder="1" applyAlignment="1">
      <alignment horizontal="center" vertical="center"/>
    </xf>
    <xf numFmtId="0" fontId="35" fillId="15" borderId="4" xfId="0" applyNumberFormat="1" applyFont="1" applyFill="1" applyBorder="1" applyAlignment="1">
      <alignment horizontal="center" vertical="center"/>
    </xf>
    <xf numFmtId="0" fontId="33" fillId="16" borderId="4" xfId="0" applyFont="1" applyFill="1" applyBorder="1" applyAlignment="1">
      <alignment horizontal="center" vertical="center" wrapText="1"/>
    </xf>
    <xf numFmtId="0" fontId="33" fillId="6" borderId="4" xfId="0" applyFont="1" applyFill="1" applyBorder="1" applyAlignment="1">
      <alignment horizontal="center" vertical="center" wrapText="1"/>
    </xf>
    <xf numFmtId="0" fontId="35" fillId="16" borderId="4" xfId="0" applyFont="1" applyFill="1" applyBorder="1" applyAlignment="1">
      <alignment horizontal="center" vertical="center" wrapText="1"/>
    </xf>
    <xf numFmtId="0" fontId="35" fillId="16" borderId="4" xfId="0" applyFont="1" applyFill="1" applyBorder="1" applyAlignment="1">
      <alignment horizontal="center" vertical="center"/>
    </xf>
    <xf numFmtId="0" fontId="35" fillId="17" borderId="4" xfId="0" applyFont="1" applyFill="1" applyBorder="1" applyAlignment="1">
      <alignment horizontal="center" vertical="center"/>
    </xf>
    <xf numFmtId="9" fontId="35" fillId="17" borderId="4" xfId="0" applyNumberFormat="1" applyFont="1" applyFill="1" applyBorder="1" applyAlignment="1">
      <alignment horizontal="center" vertical="center"/>
    </xf>
    <xf numFmtId="0" fontId="35" fillId="12" borderId="4" xfId="0" applyFont="1" applyFill="1" applyBorder="1" applyAlignment="1">
      <alignment horizontal="center" vertical="center"/>
    </xf>
    <xf numFmtId="1" fontId="35" fillId="12" borderId="7" xfId="0" applyNumberFormat="1" applyFont="1" applyFill="1" applyBorder="1" applyAlignment="1">
      <alignment horizontal="center" vertical="center" wrapText="1"/>
    </xf>
    <xf numFmtId="14" fontId="35" fillId="0" borderId="0" xfId="0" applyNumberFormat="1" applyFont="1" applyFill="1" applyBorder="1" applyAlignment="1">
      <alignment horizontal="center" vertical="center"/>
    </xf>
    <xf numFmtId="1" fontId="37" fillId="12" borderId="5" xfId="0" applyNumberFormat="1" applyFont="1" applyFill="1" applyBorder="1" applyAlignment="1">
      <alignment horizontal="center" vertical="center" wrapText="1"/>
    </xf>
    <xf numFmtId="0" fontId="38" fillId="0" borderId="2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" fontId="6" fillId="5" borderId="8" xfId="0" applyNumberFormat="1" applyFont="1" applyFill="1" applyBorder="1" applyAlignment="1">
      <alignment horizontal="center" vertical="center"/>
    </xf>
    <xf numFmtId="4" fontId="39" fillId="0" borderId="9" xfId="0" applyNumberFormat="1" applyFont="1" applyBorder="1" applyAlignment="1">
      <alignment horizontal="center" vertical="center" wrapText="1"/>
    </xf>
    <xf numFmtId="4" fontId="0" fillId="0" borderId="9" xfId="0" applyNumberFormat="1" applyFont="1" applyBorder="1" applyAlignment="1">
      <alignment horizontal="center" vertical="center"/>
    </xf>
    <xf numFmtId="3" fontId="18" fillId="0" borderId="9" xfId="0" applyNumberFormat="1" applyFont="1" applyBorder="1" applyAlignment="1">
      <alignment horizontal="center" vertical="center"/>
    </xf>
    <xf numFmtId="3" fontId="18" fillId="0" borderId="10" xfId="0" applyNumberFormat="1" applyFont="1" applyBorder="1" applyAlignment="1">
      <alignment horizontal="center" vertical="center"/>
    </xf>
    <xf numFmtId="3" fontId="18" fillId="0" borderId="1" xfId="0" applyNumberFormat="1" applyFont="1" applyBorder="1" applyAlignment="1">
      <alignment horizontal="center" vertical="center"/>
    </xf>
    <xf numFmtId="168" fontId="18" fillId="0" borderId="9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/>
    </xf>
    <xf numFmtId="4" fontId="3" fillId="0" borderId="2" xfId="0" applyNumberFormat="1" applyFont="1" applyBorder="1" applyAlignment="1">
      <alignment horizontal="center" vertical="center"/>
    </xf>
    <xf numFmtId="4" fontId="40" fillId="18" borderId="12" xfId="0" applyNumberFormat="1" applyFont="1" applyFill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center" vertical="center"/>
    </xf>
    <xf numFmtId="4" fontId="41" fillId="0" borderId="9" xfId="0" applyNumberFormat="1" applyFont="1" applyFill="1" applyBorder="1" applyAlignment="1">
      <alignment horizontal="center" vertical="center"/>
    </xf>
    <xf numFmtId="4" fontId="17" fillId="18" borderId="9" xfId="0" applyNumberFormat="1" applyFont="1" applyFill="1" applyBorder="1" applyAlignment="1">
      <alignment horizontal="center" vertical="center"/>
    </xf>
    <xf numFmtId="4" fontId="42" fillId="0" borderId="9" xfId="0" applyNumberFormat="1" applyFont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4" fillId="0" borderId="9" xfId="0" applyNumberFormat="1" applyFont="1" applyBorder="1" applyAlignment="1">
      <alignment horizontal="center" vertical="center"/>
    </xf>
    <xf numFmtId="4" fontId="7" fillId="0" borderId="9" xfId="0" applyNumberFormat="1" applyFont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3" fontId="1" fillId="19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0" fillId="0" borderId="1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16" borderId="13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center" vertical="center"/>
    </xf>
    <xf numFmtId="0" fontId="45" fillId="0" borderId="9" xfId="0" applyNumberFormat="1" applyFont="1" applyFill="1" applyBorder="1" applyAlignment="1">
      <alignment horizontal="center" vertical="center"/>
    </xf>
    <xf numFmtId="2" fontId="46" fillId="0" borderId="9" xfId="0" applyNumberFormat="1" applyFont="1" applyFill="1" applyBorder="1" applyAlignment="1">
      <alignment horizontal="center" vertical="center"/>
    </xf>
    <xf numFmtId="166" fontId="47" fillId="0" borderId="9" xfId="0" applyNumberFormat="1" applyFont="1" applyFill="1" applyBorder="1" applyAlignment="1">
      <alignment horizontal="center" vertical="center"/>
    </xf>
    <xf numFmtId="166" fontId="48" fillId="0" borderId="9" xfId="0" applyNumberFormat="1" applyFont="1" applyFill="1" applyBorder="1" applyAlignment="1">
      <alignment horizontal="center" vertical="center"/>
    </xf>
    <xf numFmtId="166" fontId="23" fillId="0" borderId="9" xfId="0" applyNumberFormat="1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4" fontId="11" fillId="0" borderId="9" xfId="0" applyNumberFormat="1" applyFont="1" applyFill="1" applyBorder="1" applyAlignment="1">
      <alignment horizontal="center" vertical="center"/>
    </xf>
    <xf numFmtId="1" fontId="49" fillId="0" borderId="9" xfId="0" applyNumberFormat="1" applyFont="1" applyFill="1" applyBorder="1" applyAlignment="1">
      <alignment horizontal="center" vertical="center"/>
    </xf>
    <xf numFmtId="14" fontId="11" fillId="0" borderId="10" xfId="0" applyNumberFormat="1" applyFont="1" applyFill="1" applyBorder="1" applyAlignment="1">
      <alignment horizontal="center" vertical="center"/>
    </xf>
    <xf numFmtId="1" fontId="40" fillId="0" borderId="1" xfId="0" applyNumberFormat="1" applyFont="1" applyFill="1" applyBorder="1" applyAlignment="1">
      <alignment horizontal="center" vertical="center"/>
    </xf>
    <xf numFmtId="167" fontId="49" fillId="0" borderId="2" xfId="0" applyNumberFormat="1" applyFont="1" applyFill="1" applyBorder="1" applyAlignment="1">
      <alignment horizontal="center" vertical="center"/>
    </xf>
    <xf numFmtId="167" fontId="49" fillId="0" borderId="0" xfId="0" applyNumberFormat="1" applyFont="1" applyFill="1" applyBorder="1" applyAlignment="1">
      <alignment horizontal="center" vertical="center"/>
    </xf>
    <xf numFmtId="1" fontId="6" fillId="5" borderId="14" xfId="0" applyNumberFormat="1" applyFont="1" applyFill="1" applyBorder="1" applyAlignment="1">
      <alignment horizontal="center" vertical="center"/>
    </xf>
    <xf numFmtId="4" fontId="39" fillId="0" borderId="2" xfId="0" applyNumberFormat="1" applyFont="1" applyBorder="1" applyAlignment="1">
      <alignment horizontal="center" vertical="center" wrapText="1"/>
    </xf>
    <xf numFmtId="3" fontId="18" fillId="0" borderId="2" xfId="0" applyNumberFormat="1" applyFont="1" applyBorder="1" applyAlignment="1">
      <alignment horizontal="center" vertical="center"/>
    </xf>
    <xf numFmtId="3" fontId="18" fillId="0" borderId="15" xfId="0" applyNumberFormat="1" applyFont="1" applyFill="1" applyBorder="1" applyAlignment="1">
      <alignment horizontal="center" vertical="center"/>
    </xf>
    <xf numFmtId="168" fontId="18" fillId="0" borderId="2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3" fontId="1" fillId="0" borderId="14" xfId="0" applyNumberFormat="1" applyFont="1" applyBorder="1" applyAlignment="1">
      <alignment horizontal="center" vertical="center"/>
    </xf>
    <xf numFmtId="4" fontId="40" fillId="18" borderId="2" xfId="0" applyNumberFormat="1" applyFont="1" applyFill="1" applyBorder="1" applyAlignment="1">
      <alignment horizontal="center" vertical="center"/>
    </xf>
    <xf numFmtId="4" fontId="42" fillId="0" borderId="2" xfId="0" applyNumberFormat="1" applyFont="1" applyBorder="1" applyAlignment="1">
      <alignment horizontal="center" vertical="center"/>
    </xf>
    <xf numFmtId="4" fontId="50" fillId="0" borderId="2" xfId="0" applyNumberFormat="1" applyFont="1" applyBorder="1" applyAlignment="1">
      <alignment horizontal="center" vertical="center"/>
    </xf>
    <xf numFmtId="4" fontId="44" fillId="0" borderId="2" xfId="0" applyNumberFormat="1" applyFont="1" applyBorder="1" applyAlignment="1">
      <alignment horizontal="center" vertical="center"/>
    </xf>
    <xf numFmtId="4" fontId="17" fillId="0" borderId="5" xfId="0" applyNumberFormat="1" applyFont="1" applyBorder="1" applyAlignment="1">
      <alignment horizontal="center" vertical="center"/>
    </xf>
    <xf numFmtId="3" fontId="1" fillId="19" borderId="2" xfId="0" applyNumberFormat="1" applyFont="1" applyFill="1" applyBorder="1" applyAlignment="1">
      <alignment horizontal="center" vertical="center"/>
    </xf>
    <xf numFmtId="4" fontId="0" fillId="0" borderId="15" xfId="0" applyNumberFormat="1" applyFont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 wrapText="1"/>
    </xf>
    <xf numFmtId="0" fontId="11" fillId="20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5" fillId="0" borderId="2" xfId="0" applyNumberFormat="1" applyFont="1" applyFill="1" applyBorder="1" applyAlignment="1">
      <alignment horizontal="center" vertical="center"/>
    </xf>
    <xf numFmtId="4" fontId="11" fillId="0" borderId="2" xfId="0" applyNumberFormat="1" applyFont="1" applyFill="1" applyBorder="1" applyAlignment="1">
      <alignment horizontal="center" vertical="center"/>
    </xf>
    <xf numFmtId="1" fontId="49" fillId="0" borderId="2" xfId="0" applyNumberFormat="1" applyFont="1" applyFill="1" applyBorder="1" applyAlignment="1">
      <alignment horizontal="center" vertical="center"/>
    </xf>
    <xf numFmtId="14" fontId="11" fillId="0" borderId="15" xfId="0" applyNumberFormat="1" applyFont="1" applyFill="1" applyBorder="1" applyAlignment="1">
      <alignment horizontal="center" vertical="center"/>
    </xf>
    <xf numFmtId="1" fontId="40" fillId="0" borderId="17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" fontId="6" fillId="4" borderId="14" xfId="0" applyNumberFormat="1" applyFont="1" applyFill="1" applyBorder="1" applyAlignment="1">
      <alignment horizontal="center" vertical="center"/>
    </xf>
    <xf numFmtId="4" fontId="43" fillId="0" borderId="2" xfId="0" applyNumberFormat="1" applyFont="1" applyBorder="1" applyAlignment="1">
      <alignment horizontal="center" vertical="center"/>
    </xf>
    <xf numFmtId="4" fontId="22" fillId="0" borderId="15" xfId="0" applyNumberFormat="1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1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" fontId="6" fillId="21" borderId="14" xfId="0" applyNumberFormat="1" applyFont="1" applyFill="1" applyBorder="1" applyAlignment="1">
      <alignment horizontal="center" vertical="center"/>
    </xf>
    <xf numFmtId="3" fontId="18" fillId="0" borderId="15" xfId="0" applyNumberFormat="1" applyFont="1" applyBorder="1" applyAlignment="1">
      <alignment horizontal="center" vertical="center"/>
    </xf>
    <xf numFmtId="3" fontId="11" fillId="0" borderId="2" xfId="0" applyNumberFormat="1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horizontal="center" vertical="center"/>
    </xf>
    <xf numFmtId="1" fontId="6" fillId="22" borderId="14" xfId="0" applyNumberFormat="1" applyFont="1" applyFill="1" applyBorder="1" applyAlignment="1">
      <alignment horizontal="center" vertical="center"/>
    </xf>
    <xf numFmtId="4" fontId="44" fillId="0" borderId="2" xfId="0" applyNumberFormat="1" applyFont="1" applyFill="1" applyBorder="1" applyAlignment="1">
      <alignment horizontal="center" vertical="center"/>
    </xf>
    <xf numFmtId="3" fontId="18" fillId="23" borderId="15" xfId="0" applyNumberFormat="1" applyFont="1" applyFill="1" applyBorder="1" applyAlignment="1">
      <alignment horizontal="center" vertical="center"/>
    </xf>
    <xf numFmtId="1" fontId="21" fillId="9" borderId="14" xfId="0" applyNumberFormat="1" applyFont="1" applyFill="1" applyBorder="1" applyAlignment="1">
      <alignment horizontal="center" vertical="center"/>
    </xf>
    <xf numFmtId="3" fontId="3" fillId="0" borderId="2" xfId="0" applyNumberFormat="1" applyFont="1" applyFill="1" applyBorder="1" applyAlignment="1">
      <alignment horizontal="center" vertical="center"/>
    </xf>
    <xf numFmtId="0" fontId="19" fillId="0" borderId="2" xfId="0" applyNumberFormat="1" applyFont="1" applyFill="1" applyBorder="1" applyAlignment="1">
      <alignment horizontal="center" vertical="center"/>
    </xf>
    <xf numFmtId="168" fontId="18" fillId="0" borderId="2" xfId="0" applyNumberFormat="1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3" fontId="18" fillId="0" borderId="14" xfId="0" applyNumberFormat="1" applyFont="1" applyFill="1" applyBorder="1" applyAlignment="1">
      <alignment horizontal="center" vertical="center"/>
    </xf>
    <xf numFmtId="3" fontId="1" fillId="0" borderId="9" xfId="0" applyNumberFormat="1" applyFont="1" applyBorder="1" applyAlignment="1">
      <alignment horizontal="center" vertical="center"/>
    </xf>
    <xf numFmtId="2" fontId="40" fillId="18" borderId="2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" fontId="41" fillId="0" borderId="9" xfId="0" applyNumberFormat="1" applyFont="1" applyFill="1" applyBorder="1" applyAlignment="1">
      <alignment horizontal="center" vertical="center"/>
    </xf>
    <xf numFmtId="2" fontId="17" fillId="18" borderId="9" xfId="0" applyNumberFormat="1" applyFont="1" applyFill="1" applyBorder="1" applyAlignment="1">
      <alignment horizontal="center" vertical="center"/>
    </xf>
    <xf numFmtId="3" fontId="51" fillId="0" borderId="2" xfId="0" applyNumberFormat="1" applyFont="1" applyBorder="1" applyAlignment="1">
      <alignment horizontal="center" vertical="center"/>
    </xf>
    <xf numFmtId="3" fontId="43" fillId="0" borderId="2" xfId="0" applyNumberFormat="1" applyFont="1" applyFill="1" applyBorder="1" applyAlignment="1">
      <alignment horizontal="center" vertical="center"/>
    </xf>
    <xf numFmtId="3" fontId="52" fillId="0" borderId="2" xfId="0" applyNumberFormat="1" applyFont="1" applyBorder="1" applyAlignment="1">
      <alignment horizontal="center" vertical="center"/>
    </xf>
    <xf numFmtId="4" fontId="7" fillId="0" borderId="5" xfId="0" applyNumberFormat="1" applyFont="1" applyBorder="1" applyAlignment="1">
      <alignment horizontal="center" vertical="center"/>
    </xf>
    <xf numFmtId="3" fontId="7" fillId="19" borderId="2" xfId="0" applyNumberFormat="1" applyFont="1" applyFill="1" applyBorder="1" applyAlignment="1">
      <alignment horizontal="center" vertical="center"/>
    </xf>
    <xf numFmtId="3" fontId="0" fillId="0" borderId="2" xfId="0" applyNumberFormat="1" applyFont="1" applyFill="1" applyBorder="1" applyAlignment="1">
      <alignment horizontal="center" vertical="center"/>
    </xf>
    <xf numFmtId="0" fontId="22" fillId="0" borderId="15" xfId="0" applyNumberFormat="1" applyFont="1" applyFill="1" applyBorder="1" applyAlignment="1">
      <alignment horizontal="center" vertical="center"/>
    </xf>
    <xf numFmtId="1" fontId="20" fillId="0" borderId="17" xfId="0" applyNumberFormat="1" applyFont="1" applyFill="1" applyBorder="1" applyAlignment="1">
      <alignment horizontal="center" vertical="center"/>
    </xf>
    <xf numFmtId="4" fontId="39" fillId="0" borderId="2" xfId="0" applyNumberFormat="1" applyFont="1" applyFill="1" applyBorder="1" applyAlignment="1">
      <alignment horizontal="center" vertical="center" wrapText="1"/>
    </xf>
    <xf numFmtId="4" fontId="0" fillId="0" borderId="2" xfId="0" applyNumberFormat="1" applyFont="1" applyFill="1" applyBorder="1" applyAlignment="1">
      <alignment horizontal="center" vertical="center"/>
    </xf>
    <xf numFmtId="0" fontId="21" fillId="0" borderId="15" xfId="0" applyNumberFormat="1" applyFont="1" applyFill="1" applyBorder="1" applyAlignment="1">
      <alignment horizontal="center" vertical="center"/>
    </xf>
    <xf numFmtId="4" fontId="0" fillId="0" borderId="1" xfId="0" applyNumberFormat="1" applyFont="1" applyBorder="1" applyAlignment="1">
      <alignment horizontal="center" vertical="center"/>
    </xf>
    <xf numFmtId="3" fontId="0" fillId="0" borderId="14" xfId="0" applyNumberFormat="1" applyFont="1" applyFill="1" applyBorder="1" applyAlignment="1">
      <alignment horizontal="center" vertical="center"/>
    </xf>
    <xf numFmtId="4" fontId="53" fillId="0" borderId="2" xfId="0" applyNumberFormat="1" applyFont="1" applyFill="1" applyBorder="1" applyAlignment="1">
      <alignment horizontal="center" vertical="center"/>
    </xf>
    <xf numFmtId="4" fontId="50" fillId="0" borderId="2" xfId="0" applyNumberFormat="1" applyFont="1" applyFill="1" applyBorder="1" applyAlignment="1">
      <alignment horizontal="center" vertical="center"/>
    </xf>
    <xf numFmtId="4" fontId="54" fillId="0" borderId="2" xfId="0" applyNumberFormat="1" applyFont="1" applyBorder="1" applyAlignment="1">
      <alignment horizontal="center" vertical="center"/>
    </xf>
    <xf numFmtId="0" fontId="11" fillId="0" borderId="11" xfId="0" applyNumberFormat="1" applyFont="1" applyFill="1" applyBorder="1" applyAlignment="1">
      <alignment horizontal="center" vertical="center"/>
    </xf>
    <xf numFmtId="1" fontId="55" fillId="16" borderId="14" xfId="0" applyNumberFormat="1" applyFont="1" applyFill="1" applyBorder="1" applyAlignment="1">
      <alignment horizontal="center" vertical="center"/>
    </xf>
    <xf numFmtId="4" fontId="1" fillId="0" borderId="15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2" xfId="0" applyNumberFormat="1" applyFont="1" applyFill="1" applyBorder="1" applyAlignment="1">
      <alignment horizontal="center" vertical="center"/>
    </xf>
    <xf numFmtId="3" fontId="1" fillId="0" borderId="14" xfId="0" applyNumberFormat="1" applyFont="1" applyFill="1" applyBorder="1" applyAlignment="1">
      <alignment horizontal="center" vertical="center"/>
    </xf>
    <xf numFmtId="4" fontId="1" fillId="0" borderId="2" xfId="0" applyNumberFormat="1" applyFont="1" applyFill="1" applyBorder="1" applyAlignment="1">
      <alignment horizontal="center" vertical="center"/>
    </xf>
    <xf numFmtId="4" fontId="42" fillId="0" borderId="2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8" borderId="2" xfId="0" applyNumberFormat="1" applyFont="1" applyFill="1" applyBorder="1" applyAlignment="1">
      <alignment horizontal="center" vertical="center"/>
    </xf>
    <xf numFmtId="4" fontId="0" fillId="11" borderId="2" xfId="0" applyNumberFormat="1" applyFont="1" applyFill="1" applyBorder="1" applyAlignment="1">
      <alignment horizontal="center" vertical="center"/>
    </xf>
    <xf numFmtId="4" fontId="1" fillId="8" borderId="1" xfId="0" applyNumberFormat="1" applyFont="1" applyFill="1" applyBorder="1" applyAlignment="1">
      <alignment horizontal="center" vertical="center"/>
    </xf>
    <xf numFmtId="4" fontId="43" fillId="0" borderId="2" xfId="0" applyNumberFormat="1" applyFont="1" applyFill="1" applyBorder="1" applyAlignment="1">
      <alignment horizontal="center" vertical="center"/>
    </xf>
    <xf numFmtId="1" fontId="6" fillId="6" borderId="14" xfId="0" applyNumberFormat="1" applyFont="1" applyFill="1" applyBorder="1" applyAlignment="1">
      <alignment horizontal="center" vertical="center"/>
    </xf>
    <xf numFmtId="1" fontId="6" fillId="9" borderId="14" xfId="0" applyNumberFormat="1" applyFont="1" applyFill="1" applyBorder="1" applyAlignment="1">
      <alignment horizontal="center" vertical="center"/>
    </xf>
    <xf numFmtId="3" fontId="3" fillId="0" borderId="2" xfId="0" applyNumberFormat="1" applyFont="1" applyFill="1" applyBorder="1" applyAlignment="1">
      <alignment horizontal="center" vertical="center" wrapText="1"/>
    </xf>
    <xf numFmtId="3" fontId="53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3" fontId="54" fillId="0" borderId="2" xfId="0" applyNumberFormat="1" applyFont="1" applyFill="1" applyBorder="1" applyAlignment="1">
      <alignment horizontal="center" vertical="center"/>
    </xf>
    <xf numFmtId="1" fontId="28" fillId="5" borderId="14" xfId="0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" fontId="28" fillId="3" borderId="14" xfId="0" applyNumberFormat="1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14" fillId="20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2" xfId="0" applyNumberFormat="1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NumberFormat="1" applyFont="1" applyFill="1" applyBorder="1" applyAlignment="1">
      <alignment horizontal="center" vertical="center"/>
    </xf>
    <xf numFmtId="4" fontId="49" fillId="0" borderId="2" xfId="0" applyNumberFormat="1" applyFont="1" applyFill="1" applyBorder="1" applyAlignment="1">
      <alignment horizontal="center" vertical="center"/>
    </xf>
    <xf numFmtId="4" fontId="56" fillId="0" borderId="2" xfId="0" applyNumberFormat="1" applyFont="1" applyFill="1" applyBorder="1" applyAlignment="1">
      <alignment horizontal="center" vertical="center" wrapText="1"/>
    </xf>
    <xf numFmtId="4" fontId="39" fillId="0" borderId="2" xfId="0" applyNumberFormat="1" applyFont="1" applyFill="1" applyBorder="1" applyAlignment="1">
      <alignment horizontal="center" vertical="center"/>
    </xf>
    <xf numFmtId="4" fontId="22" fillId="0" borderId="2" xfId="0" applyNumberFormat="1" applyFont="1" applyFill="1" applyBorder="1" applyAlignment="1">
      <alignment horizontal="center" vertical="center"/>
    </xf>
    <xf numFmtId="168" fontId="19" fillId="0" borderId="2" xfId="0" applyNumberFormat="1" applyFont="1" applyFill="1" applyBorder="1" applyAlignment="1">
      <alignment horizontal="center" vertical="center"/>
    </xf>
    <xf numFmtId="4" fontId="23" fillId="0" borderId="2" xfId="0" applyNumberFormat="1" applyFont="1" applyBorder="1" applyAlignment="1">
      <alignment horizontal="center" vertical="center"/>
    </xf>
    <xf numFmtId="4" fontId="57" fillId="0" borderId="2" xfId="0" applyNumberFormat="1" applyFont="1" applyFill="1" applyBorder="1" applyAlignment="1">
      <alignment horizontal="center" vertical="center"/>
    </xf>
    <xf numFmtId="4" fontId="1" fillId="0" borderId="2" xfId="0" applyNumberFormat="1" applyFont="1" applyFill="1" applyBorder="1" applyAlignment="1">
      <alignment horizontal="center" vertical="center" wrapText="1"/>
    </xf>
    <xf numFmtId="3" fontId="58" fillId="0" borderId="2" xfId="0" applyNumberFormat="1" applyFont="1" applyBorder="1" applyAlignment="1">
      <alignment horizontal="center" vertical="center" wrapText="1"/>
    </xf>
    <xf numFmtId="4" fontId="3" fillId="0" borderId="15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3" fontId="59" fillId="19" borderId="2" xfId="0" applyNumberFormat="1" applyFont="1" applyFill="1" applyBorder="1" applyAlignment="1">
      <alignment horizontal="center" vertical="center"/>
    </xf>
    <xf numFmtId="3" fontId="0" fillId="0" borderId="2" xfId="0" applyNumberFormat="1" applyFont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" fontId="3" fillId="0" borderId="17" xfId="0" applyNumberFormat="1" applyFont="1" applyFill="1" applyBorder="1" applyAlignment="1">
      <alignment horizontal="center" vertical="center"/>
    </xf>
    <xf numFmtId="1" fontId="11" fillId="0" borderId="2" xfId="0" applyNumberFormat="1" applyFont="1" applyFill="1" applyBorder="1" applyAlignment="1">
      <alignment horizontal="center" vertical="center"/>
    </xf>
    <xf numFmtId="1" fontId="6" fillId="3" borderId="18" xfId="0" applyNumberFormat="1" applyFont="1" applyFill="1" applyBorder="1" applyAlignment="1">
      <alignment horizontal="center" vertical="center"/>
    </xf>
    <xf numFmtId="4" fontId="39" fillId="0" borderId="19" xfId="0" applyNumberFormat="1" applyFont="1" applyBorder="1" applyAlignment="1">
      <alignment horizontal="center" vertical="center" wrapText="1"/>
    </xf>
    <xf numFmtId="4" fontId="0" fillId="0" borderId="19" xfId="0" applyNumberFormat="1" applyFont="1" applyBorder="1" applyAlignment="1">
      <alignment horizontal="center" vertical="center"/>
    </xf>
    <xf numFmtId="3" fontId="18" fillId="0" borderId="20" xfId="0" applyNumberFormat="1" applyFont="1" applyBorder="1" applyAlignment="1">
      <alignment horizontal="center" vertical="center"/>
    </xf>
    <xf numFmtId="3" fontId="18" fillId="0" borderId="21" xfId="0" applyNumberFormat="1" applyFont="1" applyBorder="1" applyAlignment="1">
      <alignment horizontal="center" vertical="center"/>
    </xf>
    <xf numFmtId="168" fontId="18" fillId="0" borderId="20" xfId="0" applyNumberFormat="1" applyFont="1" applyBorder="1" applyAlignment="1">
      <alignment horizontal="center" vertical="center"/>
    </xf>
    <xf numFmtId="4" fontId="1" fillId="0" borderId="22" xfId="0" applyNumberFormat="1" applyFont="1" applyBorder="1" applyAlignment="1">
      <alignment horizontal="center" vertical="center"/>
    </xf>
    <xf numFmtId="4" fontId="1" fillId="0" borderId="23" xfId="0" applyNumberFormat="1" applyFont="1" applyBorder="1" applyAlignment="1">
      <alignment horizontal="center" vertical="center"/>
    </xf>
    <xf numFmtId="3" fontId="1" fillId="0" borderId="18" xfId="0" applyNumberFormat="1" applyFont="1" applyBorder="1" applyAlignment="1">
      <alignment horizontal="center" vertical="center"/>
    </xf>
    <xf numFmtId="4" fontId="40" fillId="18" borderId="20" xfId="0" applyNumberFormat="1" applyFont="1" applyFill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/>
    </xf>
    <xf numFmtId="4" fontId="42" fillId="0" borderId="19" xfId="0" applyNumberFormat="1" applyFont="1" applyBorder="1" applyAlignment="1">
      <alignment horizontal="center" vertical="center"/>
    </xf>
    <xf numFmtId="4" fontId="50" fillId="0" borderId="20" xfId="0" applyNumberFormat="1" applyFont="1" applyBorder="1" applyAlignment="1">
      <alignment horizontal="center" vertical="center"/>
    </xf>
    <xf numFmtId="4" fontId="44" fillId="0" borderId="19" xfId="0" applyNumberFormat="1" applyFont="1" applyBorder="1" applyAlignment="1">
      <alignment horizontal="center" vertical="center"/>
    </xf>
    <xf numFmtId="4" fontId="17" fillId="0" borderId="4" xfId="0" applyNumberFormat="1" applyFont="1" applyBorder="1" applyAlignment="1">
      <alignment horizontal="center" vertical="center"/>
    </xf>
    <xf numFmtId="3" fontId="1" fillId="19" borderId="19" xfId="0" applyNumberFormat="1" applyFont="1" applyFill="1" applyBorder="1" applyAlignment="1">
      <alignment horizontal="center" vertical="center"/>
    </xf>
    <xf numFmtId="3" fontId="7" fillId="0" borderId="19" xfId="0" applyNumberFormat="1" applyFont="1" applyBorder="1" applyAlignment="1">
      <alignment horizontal="center" vertical="center"/>
    </xf>
    <xf numFmtId="4" fontId="22" fillId="0" borderId="22" xfId="0" applyNumberFormat="1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16" borderId="20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45" fillId="0" borderId="20" xfId="0" applyNumberFormat="1" applyFont="1" applyFill="1" applyBorder="1" applyAlignment="1">
      <alignment horizontal="center" vertical="center"/>
    </xf>
    <xf numFmtId="0" fontId="11" fillId="0" borderId="20" xfId="0" applyNumberFormat="1" applyFont="1" applyFill="1" applyBorder="1" applyAlignment="1">
      <alignment horizontal="center" vertical="center"/>
    </xf>
    <xf numFmtId="4" fontId="11" fillId="0" borderId="20" xfId="0" applyNumberFormat="1" applyFont="1" applyFill="1" applyBorder="1" applyAlignment="1">
      <alignment horizontal="center" vertical="center"/>
    </xf>
    <xf numFmtId="1" fontId="11" fillId="0" borderId="20" xfId="0" applyNumberFormat="1" applyFont="1" applyFill="1" applyBorder="1" applyAlignment="1">
      <alignment horizontal="center" vertical="center"/>
    </xf>
    <xf numFmtId="14" fontId="11" fillId="0" borderId="21" xfId="0" applyNumberFormat="1" applyFont="1" applyFill="1" applyBorder="1" applyAlignment="1">
      <alignment horizontal="center" vertical="center"/>
    </xf>
    <xf numFmtId="1" fontId="6" fillId="3" borderId="16" xfId="0" applyNumberFormat="1" applyFont="1" applyFill="1" applyBorder="1" applyAlignment="1">
      <alignment horizontal="center" vertical="center"/>
    </xf>
    <xf numFmtId="4" fontId="39" fillId="0" borderId="5" xfId="0" applyNumberFormat="1" applyFont="1" applyBorder="1" applyAlignment="1">
      <alignment horizontal="center" vertical="center" wrapText="1"/>
    </xf>
    <xf numFmtId="4" fontId="0" fillId="0" borderId="5" xfId="0" applyNumberFormat="1" applyFont="1" applyBorder="1" applyAlignment="1">
      <alignment horizontal="center" vertical="center"/>
    </xf>
    <xf numFmtId="4" fontId="1" fillId="0" borderId="25" xfId="0" applyNumberFormat="1" applyFont="1" applyFill="1" applyBorder="1" applyAlignment="1">
      <alignment horizontal="center" vertical="center"/>
    </xf>
    <xf numFmtId="4" fontId="1" fillId="0" borderId="26" xfId="0" applyNumberFormat="1" applyFont="1" applyFill="1" applyBorder="1" applyAlignment="1">
      <alignment horizontal="center" vertical="center"/>
    </xf>
    <xf numFmtId="3" fontId="1" fillId="0" borderId="16" xfId="0" applyNumberFormat="1" applyFont="1" applyBorder="1" applyAlignment="1">
      <alignment horizontal="center" vertical="center"/>
    </xf>
    <xf numFmtId="4" fontId="40" fillId="18" borderId="9" xfId="0" applyNumberFormat="1" applyFont="1" applyFill="1" applyBorder="1" applyAlignment="1">
      <alignment horizontal="center" vertical="center"/>
    </xf>
    <xf numFmtId="4" fontId="1" fillId="0" borderId="5" xfId="0" applyNumberFormat="1" applyFont="1" applyBorder="1" applyAlignment="1">
      <alignment horizontal="center" vertical="center"/>
    </xf>
    <xf numFmtId="4" fontId="42" fillId="0" borderId="5" xfId="0" applyNumberFormat="1" applyFont="1" applyBorder="1" applyAlignment="1">
      <alignment horizontal="center" vertical="center"/>
    </xf>
    <xf numFmtId="4" fontId="50" fillId="0" borderId="9" xfId="0" applyNumberFormat="1" applyFont="1" applyBorder="1" applyAlignment="1">
      <alignment horizontal="center" vertical="center"/>
    </xf>
    <xf numFmtId="4" fontId="44" fillId="0" borderId="5" xfId="0" applyNumberFormat="1" applyFont="1" applyBorder="1" applyAlignment="1">
      <alignment horizontal="center" vertical="center"/>
    </xf>
    <xf numFmtId="3" fontId="1" fillId="19" borderId="5" xfId="0" applyNumberFormat="1" applyFont="1" applyFill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4" fontId="22" fillId="0" borderId="25" xfId="0" applyNumberFormat="1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16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0" borderId="9" xfId="0" applyNumberFormat="1" applyFont="1" applyFill="1" applyBorder="1" applyAlignment="1">
      <alignment horizontal="center" vertical="center"/>
    </xf>
    <xf numFmtId="1" fontId="11" fillId="0" borderId="9" xfId="0" applyNumberFormat="1" applyFont="1" applyFill="1" applyBorder="1" applyAlignment="1">
      <alignment horizontal="center" vertical="center"/>
    </xf>
    <xf numFmtId="1" fontId="6" fillId="24" borderId="14" xfId="0" applyNumberFormat="1" applyFont="1" applyFill="1" applyBorder="1" applyAlignment="1">
      <alignment horizontal="center" vertical="center"/>
    </xf>
    <xf numFmtId="4" fontId="60" fillId="0" borderId="2" xfId="0" applyNumberFormat="1" applyFont="1" applyFill="1" applyBorder="1" applyAlignment="1">
      <alignment horizontal="center" vertical="center"/>
    </xf>
    <xf numFmtId="4" fontId="61" fillId="0" borderId="2" xfId="0" applyNumberFormat="1" applyFont="1" applyFill="1" applyBorder="1" applyAlignment="1">
      <alignment horizontal="center" vertical="center"/>
    </xf>
    <xf numFmtId="4" fontId="61" fillId="0" borderId="1" xfId="0" applyNumberFormat="1" applyFont="1" applyFill="1" applyBorder="1" applyAlignment="1">
      <alignment horizontal="center" vertical="center"/>
    </xf>
    <xf numFmtId="0" fontId="61" fillId="0" borderId="11" xfId="0" applyNumberFormat="1" applyFont="1" applyFill="1" applyBorder="1" applyAlignment="1">
      <alignment horizontal="center" vertical="center"/>
    </xf>
    <xf numFmtId="0" fontId="61" fillId="0" borderId="2" xfId="0" applyNumberFormat="1" applyFont="1" applyFill="1" applyBorder="1" applyAlignment="1">
      <alignment horizontal="center" vertical="center"/>
    </xf>
    <xf numFmtId="1" fontId="6" fillId="24" borderId="18" xfId="0" applyNumberFormat="1" applyFont="1" applyFill="1" applyBorder="1" applyAlignment="1">
      <alignment horizontal="center" vertical="center"/>
    </xf>
    <xf numFmtId="4" fontId="39" fillId="0" borderId="19" xfId="0" applyNumberFormat="1" applyFont="1" applyFill="1" applyBorder="1" applyAlignment="1">
      <alignment horizontal="center" vertical="center" wrapText="1"/>
    </xf>
    <xf numFmtId="0" fontId="21" fillId="0" borderId="21" xfId="0" applyNumberFormat="1" applyFont="1" applyFill="1" applyBorder="1" applyAlignment="1">
      <alignment horizontal="center" vertical="center"/>
    </xf>
    <xf numFmtId="3" fontId="1" fillId="0" borderId="18" xfId="0" applyNumberFormat="1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center" vertical="center"/>
    </xf>
    <xf numFmtId="4" fontId="28" fillId="0" borderId="19" xfId="0" applyNumberFormat="1" applyFont="1" applyFill="1" applyBorder="1" applyAlignment="1">
      <alignment horizontal="center" vertical="center"/>
    </xf>
    <xf numFmtId="4" fontId="14" fillId="0" borderId="20" xfId="0" applyNumberFormat="1" applyFont="1" applyFill="1" applyBorder="1" applyAlignment="1">
      <alignment horizontal="center" vertical="center"/>
    </xf>
    <xf numFmtId="4" fontId="0" fillId="0" borderId="19" xfId="0" applyNumberFormat="1" applyFont="1" applyFill="1" applyBorder="1" applyAlignment="1">
      <alignment horizontal="center" vertical="center"/>
    </xf>
    <xf numFmtId="4" fontId="62" fillId="0" borderId="1" xfId="0" applyNumberFormat="1" applyFont="1" applyBorder="1" applyAlignment="1">
      <alignment horizontal="center" vertical="center"/>
    </xf>
    <xf numFmtId="0" fontId="62" fillId="0" borderId="11" xfId="0" applyNumberFormat="1" applyFont="1" applyFill="1" applyBorder="1" applyAlignment="1">
      <alignment horizontal="center" vertical="center"/>
    </xf>
    <xf numFmtId="4" fontId="62" fillId="0" borderId="24" xfId="0" applyNumberFormat="1" applyFont="1" applyFill="1" applyBorder="1" applyAlignment="1">
      <alignment horizontal="center" vertical="center"/>
    </xf>
    <xf numFmtId="4" fontId="62" fillId="0" borderId="20" xfId="0" applyNumberFormat="1" applyFont="1" applyFill="1" applyBorder="1" applyAlignment="1">
      <alignment horizontal="center" vertical="center"/>
    </xf>
    <xf numFmtId="0" fontId="62" fillId="0" borderId="20" xfId="0" applyNumberFormat="1" applyFont="1" applyFill="1" applyBorder="1" applyAlignment="1">
      <alignment horizontal="center" vertical="center"/>
    </xf>
    <xf numFmtId="1" fontId="49" fillId="0" borderId="20" xfId="0" applyNumberFormat="1" applyFont="1" applyFill="1" applyBorder="1" applyAlignment="1">
      <alignment horizontal="center" vertical="center"/>
    </xf>
    <xf numFmtId="1" fontId="6" fillId="24" borderId="16" xfId="0" applyNumberFormat="1" applyFont="1" applyFill="1" applyBorder="1" applyAlignment="1">
      <alignment horizontal="center" vertical="center"/>
    </xf>
    <xf numFmtId="4" fontId="39" fillId="0" borderId="5" xfId="0" applyNumberFormat="1" applyFont="1" applyFill="1" applyBorder="1" applyAlignment="1">
      <alignment horizontal="center" vertical="center" wrapText="1"/>
    </xf>
    <xf numFmtId="0" fontId="21" fillId="0" borderId="10" xfId="0" applyNumberFormat="1" applyFont="1" applyFill="1" applyBorder="1" applyAlignment="1">
      <alignment horizontal="center" vertical="center"/>
    </xf>
    <xf numFmtId="4" fontId="1" fillId="0" borderId="25" xfId="0" applyNumberFormat="1" applyFont="1" applyBorder="1" applyAlignment="1">
      <alignment horizontal="center" vertical="center"/>
    </xf>
    <xf numFmtId="4" fontId="1" fillId="0" borderId="26" xfId="0" applyNumberFormat="1" applyFont="1" applyBorder="1" applyAlignment="1">
      <alignment horizontal="center" vertical="center"/>
    </xf>
    <xf numFmtId="3" fontId="1" fillId="0" borderId="16" xfId="0" applyNumberFormat="1" applyFont="1" applyFill="1" applyBorder="1" applyAlignment="1">
      <alignment horizontal="center" vertical="center"/>
    </xf>
    <xf numFmtId="4" fontId="1" fillId="0" borderId="5" xfId="0" applyNumberFormat="1" applyFont="1" applyFill="1" applyBorder="1" applyAlignment="1">
      <alignment horizontal="center" vertical="center"/>
    </xf>
    <xf numFmtId="4" fontId="28" fillId="0" borderId="5" xfId="0" applyNumberFormat="1" applyFont="1" applyFill="1" applyBorder="1" applyAlignment="1">
      <alignment horizontal="center" vertical="center"/>
    </xf>
    <xf numFmtId="4" fontId="14" fillId="0" borderId="9" xfId="0" applyNumberFormat="1" applyFont="1" applyFill="1" applyBorder="1" applyAlignment="1">
      <alignment horizontal="center" vertical="center"/>
    </xf>
    <xf numFmtId="4" fontId="0" fillId="0" borderId="5" xfId="0" applyNumberFormat="1" applyFont="1" applyFill="1" applyBorder="1" applyAlignment="1">
      <alignment horizontal="center" vertical="center"/>
    </xf>
    <xf numFmtId="4" fontId="62" fillId="0" borderId="8" xfId="0" applyNumberFormat="1" applyFont="1" applyFill="1" applyBorder="1" applyAlignment="1">
      <alignment horizontal="center" vertical="center"/>
    </xf>
    <xf numFmtId="4" fontId="62" fillId="0" borderId="9" xfId="0" applyNumberFormat="1" applyFont="1" applyFill="1" applyBorder="1" applyAlignment="1">
      <alignment horizontal="center" vertical="center"/>
    </xf>
    <xf numFmtId="0" fontId="63" fillId="0" borderId="9" xfId="0" applyNumberFormat="1" applyFont="1" applyFill="1" applyBorder="1" applyAlignment="1">
      <alignment horizontal="center" vertical="center"/>
    </xf>
    <xf numFmtId="0" fontId="62" fillId="0" borderId="9" xfId="0" applyNumberFormat="1" applyFont="1" applyFill="1" applyBorder="1" applyAlignment="1">
      <alignment horizontal="center" vertical="center"/>
    </xf>
    <xf numFmtId="4" fontId="61" fillId="0" borderId="0" xfId="0" applyNumberFormat="1" applyFont="1" applyFill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 wrapText="1"/>
    </xf>
    <xf numFmtId="169" fontId="18" fillId="0" borderId="2" xfId="0" applyNumberFormat="1" applyFont="1" applyBorder="1" applyAlignment="1">
      <alignment horizontal="center" vertical="center"/>
    </xf>
    <xf numFmtId="4" fontId="64" fillId="0" borderId="2" xfId="0" applyNumberFormat="1" applyFont="1" applyFill="1" applyBorder="1" applyAlignment="1">
      <alignment horizontal="center" vertical="center"/>
    </xf>
    <xf numFmtId="4" fontId="11" fillId="0" borderId="0" xfId="0" applyNumberFormat="1" applyFont="1" applyFill="1" applyBorder="1" applyAlignment="1">
      <alignment horizontal="center" vertical="center"/>
    </xf>
    <xf numFmtId="1" fontId="65" fillId="25" borderId="14" xfId="0" applyNumberFormat="1" applyFont="1" applyFill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3" fontId="18" fillId="0" borderId="14" xfId="0" applyNumberFormat="1" applyFont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3" fontId="53" fillId="0" borderId="2" xfId="0" applyNumberFormat="1" applyFont="1" applyBorder="1" applyAlignment="1">
      <alignment horizontal="center" vertical="center"/>
    </xf>
    <xf numFmtId="3" fontId="43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4" fontId="18" fillId="0" borderId="15" xfId="0" applyNumberFormat="1" applyFont="1" applyBorder="1" applyAlignment="1">
      <alignment horizontal="center" vertical="center"/>
    </xf>
    <xf numFmtId="0" fontId="20" fillId="0" borderId="17" xfId="0" applyNumberFormat="1" applyFont="1" applyFill="1" applyBorder="1" applyAlignment="1">
      <alignment horizontal="center" vertical="center"/>
    </xf>
    <xf numFmtId="0" fontId="21" fillId="0" borderId="27" xfId="0" applyNumberFormat="1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7" xfId="0" applyNumberFormat="1" applyFont="1" applyFill="1" applyBorder="1" applyAlignment="1">
      <alignment horizontal="center" vertical="center"/>
    </xf>
    <xf numFmtId="0" fontId="20" fillId="0" borderId="28" xfId="0" applyNumberFormat="1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horizontal="center" vertical="center"/>
    </xf>
    <xf numFmtId="1" fontId="20" fillId="0" borderId="28" xfId="0" applyNumberFormat="1" applyFont="1" applyFill="1" applyBorder="1" applyAlignment="1">
      <alignment horizontal="center" vertical="center"/>
    </xf>
    <xf numFmtId="1" fontId="18" fillId="0" borderId="28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3" fontId="58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23" fillId="0" borderId="15" xfId="0" applyNumberFormat="1" applyFont="1" applyFill="1" applyBorder="1" applyAlignment="1">
      <alignment horizontal="center" vertical="center"/>
    </xf>
    <xf numFmtId="1" fontId="20" fillId="0" borderId="1" xfId="0" applyNumberFormat="1" applyFont="1" applyFill="1" applyBorder="1" applyAlignment="1">
      <alignment horizontal="center" vertical="center"/>
    </xf>
    <xf numFmtId="4" fontId="0" fillId="0" borderId="2" xfId="0" applyNumberFormat="1" applyFill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4" fontId="3" fillId="8" borderId="2" xfId="0" applyNumberFormat="1" applyFont="1" applyFill="1" applyBorder="1" applyAlignment="1">
      <alignment horizontal="center" vertical="center"/>
    </xf>
    <xf numFmtId="1" fontId="5" fillId="25" borderId="14" xfId="0" applyNumberFormat="1" applyFont="1" applyFill="1" applyBorder="1" applyAlignment="1">
      <alignment horizontal="center" vertical="center"/>
    </xf>
    <xf numFmtId="4" fontId="3" fillId="0" borderId="2" xfId="0" applyNumberFormat="1" applyFont="1" applyFill="1" applyBorder="1" applyAlignment="1">
      <alignment horizontal="center" vertical="center" wrapText="1"/>
    </xf>
    <xf numFmtId="4" fontId="18" fillId="0" borderId="2" xfId="0" applyNumberFormat="1" applyFont="1" applyFill="1" applyBorder="1" applyAlignment="1">
      <alignment horizontal="center" vertical="center"/>
    </xf>
    <xf numFmtId="4" fontId="18" fillId="0" borderId="1" xfId="0" applyNumberFormat="1" applyFont="1" applyBorder="1" applyAlignment="1">
      <alignment horizontal="center" vertical="center"/>
    </xf>
    <xf numFmtId="4" fontId="66" fillId="0" borderId="2" xfId="0" applyNumberFormat="1" applyFont="1" applyBorder="1" applyAlignment="1">
      <alignment horizontal="center" vertical="center"/>
    </xf>
    <xf numFmtId="4" fontId="23" fillId="0" borderId="15" xfId="0" applyNumberFormat="1" applyFont="1" applyFill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3" fontId="15" fillId="0" borderId="2" xfId="0" applyNumberFormat="1" applyFont="1" applyFill="1" applyBorder="1" applyAlignment="1">
      <alignment horizontal="center" vertical="center"/>
    </xf>
    <xf numFmtId="0" fontId="53" fillId="0" borderId="2" xfId="0" applyFont="1" applyFill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3" fontId="29" fillId="0" borderId="2" xfId="0" applyNumberFormat="1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3" fontId="0" fillId="0" borderId="1" xfId="0" applyNumberFormat="1" applyFont="1" applyBorder="1" applyAlignment="1">
      <alignment horizontal="center" vertical="center"/>
    </xf>
    <xf numFmtId="165" fontId="0" fillId="0" borderId="2" xfId="0" applyNumberFormat="1" applyFont="1" applyFill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0" fontId="67" fillId="0" borderId="2" xfId="0" applyNumberFormat="1" applyFont="1" applyFill="1" applyBorder="1" applyAlignment="1">
      <alignment horizontal="center" vertical="center"/>
    </xf>
    <xf numFmtId="1" fontId="21" fillId="9" borderId="2" xfId="0" applyNumberFormat="1" applyFont="1" applyFill="1" applyBorder="1" applyAlignment="1">
      <alignment horizontal="center" vertical="center"/>
    </xf>
    <xf numFmtId="3" fontId="18" fillId="0" borderId="19" xfId="0" applyNumberFormat="1" applyFont="1" applyBorder="1" applyAlignment="1">
      <alignment horizontal="center" vertical="center"/>
    </xf>
    <xf numFmtId="3" fontId="18" fillId="0" borderId="22" xfId="0" applyNumberFormat="1" applyFont="1" applyBorder="1" applyAlignment="1">
      <alignment horizontal="center" vertical="center"/>
    </xf>
    <xf numFmtId="168" fontId="18" fillId="0" borderId="19" xfId="0" applyNumberFormat="1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3" fontId="18" fillId="0" borderId="18" xfId="0" applyNumberFormat="1" applyFont="1" applyFill="1" applyBorder="1" applyAlignment="1">
      <alignment horizontal="center" vertical="center"/>
    </xf>
    <xf numFmtId="2" fontId="40" fillId="18" borderId="19" xfId="0" applyNumberFormat="1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3" fontId="53" fillId="0" borderId="19" xfId="0" applyNumberFormat="1" applyFont="1" applyBorder="1" applyAlignment="1">
      <alignment horizontal="center" vertical="center"/>
    </xf>
    <xf numFmtId="3" fontId="50" fillId="0" borderId="19" xfId="0" applyNumberFormat="1" applyFont="1" applyBorder="1" applyAlignment="1">
      <alignment horizontal="center" vertical="center"/>
    </xf>
    <xf numFmtId="3" fontId="54" fillId="0" borderId="19" xfId="0" applyNumberFormat="1" applyFont="1" applyBorder="1" applyAlignment="1">
      <alignment horizontal="center" vertical="center"/>
    </xf>
    <xf numFmtId="4" fontId="7" fillId="0" borderId="4" xfId="0" applyNumberFormat="1" applyFont="1" applyBorder="1" applyAlignment="1">
      <alignment horizontal="center" vertical="center"/>
    </xf>
    <xf numFmtId="3" fontId="7" fillId="19" borderId="19" xfId="0" applyNumberFormat="1" applyFont="1" applyFill="1" applyBorder="1" applyAlignment="1">
      <alignment horizontal="center" vertical="center"/>
    </xf>
    <xf numFmtId="3" fontId="0" fillId="0" borderId="19" xfId="0" applyNumberFormat="1" applyFont="1" applyBorder="1" applyAlignment="1">
      <alignment horizontal="center" vertical="center"/>
    </xf>
    <xf numFmtId="0" fontId="22" fillId="0" borderId="22" xfId="0" applyNumberFormat="1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20" borderId="19" xfId="0" applyFont="1" applyFill="1" applyBorder="1" applyAlignment="1">
      <alignment horizontal="center" vertical="center"/>
    </xf>
    <xf numFmtId="0" fontId="11" fillId="10" borderId="19" xfId="0" applyFont="1" applyFill="1" applyBorder="1" applyAlignment="1">
      <alignment horizontal="center" vertical="center"/>
    </xf>
    <xf numFmtId="0" fontId="45" fillId="0" borderId="19" xfId="0" applyNumberFormat="1" applyFont="1" applyFill="1" applyBorder="1" applyAlignment="1">
      <alignment horizontal="center" vertical="center"/>
    </xf>
    <xf numFmtId="0" fontId="11" fillId="0" borderId="19" xfId="0" applyNumberFormat="1" applyFont="1" applyFill="1" applyBorder="1" applyAlignment="1">
      <alignment horizontal="center" vertical="center"/>
    </xf>
    <xf numFmtId="4" fontId="11" fillId="0" borderId="19" xfId="0" applyNumberFormat="1" applyFont="1" applyFill="1" applyBorder="1" applyAlignment="1">
      <alignment horizontal="center" vertical="center"/>
    </xf>
    <xf numFmtId="1" fontId="49" fillId="0" borderId="19" xfId="0" applyNumberFormat="1" applyFont="1" applyFill="1" applyBorder="1" applyAlignment="1">
      <alignment horizontal="center" vertical="center"/>
    </xf>
    <xf numFmtId="14" fontId="11" fillId="0" borderId="22" xfId="0" applyNumberFormat="1" applyFont="1" applyFill="1" applyBorder="1" applyAlignment="1">
      <alignment horizontal="center" vertical="center"/>
    </xf>
    <xf numFmtId="3" fontId="18" fillId="0" borderId="19" xfId="0" applyNumberFormat="1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65" fontId="18" fillId="0" borderId="19" xfId="0" applyNumberFormat="1" applyFont="1" applyFill="1" applyBorder="1" applyAlignment="1">
      <alignment horizontal="center" vertical="center"/>
    </xf>
    <xf numFmtId="3" fontId="53" fillId="0" borderId="19" xfId="0" applyNumberFormat="1" applyFont="1" applyFill="1" applyBorder="1" applyAlignment="1">
      <alignment horizontal="center" vertical="center"/>
    </xf>
    <xf numFmtId="3" fontId="43" fillId="0" borderId="19" xfId="0" applyNumberFormat="1" applyFont="1" applyFill="1" applyBorder="1" applyAlignment="1">
      <alignment horizontal="center" vertical="center"/>
    </xf>
    <xf numFmtId="3" fontId="54" fillId="0" borderId="19" xfId="0" applyNumberFormat="1" applyFont="1" applyFill="1" applyBorder="1" applyAlignment="1">
      <alignment horizontal="center" vertical="center"/>
    </xf>
    <xf numFmtId="3" fontId="0" fillId="0" borderId="19" xfId="0" applyNumberFormat="1" applyFont="1" applyFill="1" applyBorder="1" applyAlignment="1">
      <alignment horizontal="center" vertical="center"/>
    </xf>
    <xf numFmtId="0" fontId="49" fillId="0" borderId="19" xfId="0" applyNumberFormat="1" applyFont="1" applyFill="1" applyBorder="1" applyAlignment="1">
      <alignment horizontal="center" vertical="center"/>
    </xf>
    <xf numFmtId="3" fontId="18" fillId="0" borderId="22" xfId="0" applyNumberFormat="1" applyFont="1" applyFill="1" applyBorder="1" applyAlignment="1">
      <alignment horizontal="center" vertical="center"/>
    </xf>
    <xf numFmtId="3" fontId="50" fillId="0" borderId="19" xfId="0" applyNumberFormat="1" applyFont="1" applyFill="1" applyBorder="1" applyAlignment="1">
      <alignment horizontal="center" vertical="center"/>
    </xf>
    <xf numFmtId="0" fontId="11" fillId="16" borderId="19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1" fontId="21" fillId="5" borderId="18" xfId="0" applyNumberFormat="1" applyFont="1" applyFill="1" applyBorder="1" applyAlignment="1">
      <alignment horizontal="center" vertical="center"/>
    </xf>
    <xf numFmtId="0" fontId="19" fillId="0" borderId="19" xfId="0" applyNumberFormat="1" applyFont="1" applyFill="1" applyBorder="1" applyAlignment="1">
      <alignment horizontal="center" vertical="center"/>
    </xf>
    <xf numFmtId="3" fontId="18" fillId="0" borderId="18" xfId="0" applyNumberFormat="1" applyFont="1" applyBorder="1" applyAlignment="1">
      <alignment horizontal="center" vertical="center"/>
    </xf>
    <xf numFmtId="3" fontId="43" fillId="0" borderId="19" xfId="0" applyNumberFormat="1" applyFont="1" applyBorder="1" applyAlignment="1">
      <alignment horizontal="center" vertical="center"/>
    </xf>
    <xf numFmtId="1" fontId="21" fillId="5" borderId="24" xfId="0" applyNumberFormat="1" applyFont="1" applyFill="1" applyBorder="1" applyAlignment="1">
      <alignment horizontal="center" vertical="center"/>
    </xf>
    <xf numFmtId="4" fontId="18" fillId="0" borderId="20" xfId="0" applyNumberFormat="1" applyFont="1" applyBorder="1" applyAlignment="1">
      <alignment horizontal="center" vertical="center"/>
    </xf>
    <xf numFmtId="0" fontId="19" fillId="0" borderId="20" xfId="0" applyNumberFormat="1" applyFont="1" applyFill="1" applyBorder="1" applyAlignment="1">
      <alignment horizontal="center" vertical="center"/>
    </xf>
    <xf numFmtId="4" fontId="18" fillId="0" borderId="21" xfId="0" applyNumberFormat="1" applyFont="1" applyBorder="1" applyAlignment="1">
      <alignment horizontal="center" vertical="center"/>
    </xf>
    <xf numFmtId="3" fontId="18" fillId="0" borderId="24" xfId="0" applyNumberFormat="1" applyFont="1" applyBorder="1" applyAlignment="1">
      <alignment horizontal="center" vertical="center"/>
    </xf>
    <xf numFmtId="4" fontId="3" fillId="0" borderId="20" xfId="0" applyNumberFormat="1" applyFont="1" applyBorder="1" applyAlignment="1">
      <alignment horizontal="center" vertical="center"/>
    </xf>
    <xf numFmtId="4" fontId="53" fillId="0" borderId="20" xfId="0" applyNumberFormat="1" applyFont="1" applyBorder="1" applyAlignment="1">
      <alignment horizontal="center" vertical="center"/>
    </xf>
    <xf numFmtId="4" fontId="43" fillId="0" borderId="20" xfId="0" applyNumberFormat="1" applyFont="1" applyBorder="1" applyAlignment="1">
      <alignment horizontal="center" vertical="center"/>
    </xf>
    <xf numFmtId="4" fontId="54" fillId="0" borderId="20" xfId="0" applyNumberFormat="1" applyFont="1" applyBorder="1" applyAlignment="1">
      <alignment horizontal="center" vertical="center"/>
    </xf>
    <xf numFmtId="3" fontId="7" fillId="19" borderId="20" xfId="0" applyNumberFormat="1" applyFont="1" applyFill="1" applyBorder="1" applyAlignment="1">
      <alignment horizontal="center" vertical="center"/>
    </xf>
    <xf numFmtId="3" fontId="7" fillId="0" borderId="20" xfId="0" applyNumberFormat="1" applyFont="1" applyBorder="1" applyAlignment="1">
      <alignment horizontal="center" vertical="center"/>
    </xf>
    <xf numFmtId="4" fontId="0" fillId="0" borderId="20" xfId="0" applyNumberFormat="1" applyFont="1" applyBorder="1" applyAlignment="1">
      <alignment horizontal="center" vertical="center"/>
    </xf>
    <xf numFmtId="4" fontId="22" fillId="0" borderId="21" xfId="0" applyNumberFormat="1" applyFont="1" applyFill="1" applyBorder="1" applyAlignment="1">
      <alignment horizontal="center" vertical="center"/>
    </xf>
    <xf numFmtId="4" fontId="3" fillId="8" borderId="20" xfId="0" applyNumberFormat="1" applyFont="1" applyFill="1" applyBorder="1" applyAlignment="1">
      <alignment horizontal="center" vertical="center" wrapText="1"/>
    </xf>
    <xf numFmtId="0" fontId="68" fillId="11" borderId="6" xfId="0" applyFont="1" applyFill="1" applyBorder="1" applyAlignment="1">
      <alignment horizontal="center"/>
    </xf>
    <xf numFmtId="4" fontId="69" fillId="0" borderId="15" xfId="0" applyNumberFormat="1" applyFont="1" applyFill="1" applyBorder="1" applyAlignment="1">
      <alignment horizontal="center" vertical="center"/>
    </xf>
    <xf numFmtId="4" fontId="18" fillId="0" borderId="23" xfId="0" applyNumberFormat="1" applyFont="1" applyBorder="1" applyAlignment="1">
      <alignment horizontal="center" vertical="center"/>
    </xf>
    <xf numFmtId="4" fontId="18" fillId="0" borderId="19" xfId="0" applyNumberFormat="1" applyFont="1" applyBorder="1" applyAlignment="1">
      <alignment horizontal="center" vertical="center"/>
    </xf>
    <xf numFmtId="3" fontId="18" fillId="0" borderId="23" xfId="0" applyNumberFormat="1" applyFont="1" applyFill="1" applyBorder="1" applyAlignment="1">
      <alignment horizontal="center" vertical="center"/>
    </xf>
    <xf numFmtId="4" fontId="40" fillId="18" borderId="0" xfId="0" applyNumberFormat="1" applyFont="1" applyFill="1" applyBorder="1" applyAlignment="1">
      <alignment horizontal="center" vertical="center"/>
    </xf>
    <xf numFmtId="4" fontId="18" fillId="0" borderId="19" xfId="0" applyNumberFormat="1" applyFont="1" applyFill="1" applyBorder="1" applyAlignment="1">
      <alignment horizontal="center" vertical="center"/>
    </xf>
    <xf numFmtId="4" fontId="50" fillId="0" borderId="19" xfId="0" applyNumberFormat="1" applyFont="1" applyFill="1" applyBorder="1" applyAlignment="1">
      <alignment horizontal="center" vertical="center"/>
    </xf>
    <xf numFmtId="4" fontId="66" fillId="0" borderId="19" xfId="0" applyNumberFormat="1" applyFont="1" applyBorder="1" applyAlignment="1">
      <alignment horizontal="center" vertical="center"/>
    </xf>
    <xf numFmtId="4" fontId="11" fillId="0" borderId="19" xfId="0" applyNumberFormat="1" applyFont="1" applyBorder="1" applyAlignment="1">
      <alignment horizontal="center" vertical="center"/>
    </xf>
    <xf numFmtId="4" fontId="23" fillId="0" borderId="27" xfId="0" applyNumberFormat="1" applyFont="1" applyFill="1" applyBorder="1" applyAlignment="1">
      <alignment horizontal="center" vertical="center"/>
    </xf>
    <xf numFmtId="0" fontId="11" fillId="17" borderId="0" xfId="0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1" fontId="49" fillId="0" borderId="27" xfId="0" applyNumberFormat="1" applyFont="1" applyFill="1" applyBorder="1" applyAlignment="1">
      <alignment horizontal="center" vertical="center"/>
    </xf>
    <xf numFmtId="14" fontId="11" fillId="0" borderId="27" xfId="0" applyNumberFormat="1" applyFont="1" applyFill="1" applyBorder="1" applyAlignment="1">
      <alignment horizontal="center" vertical="center"/>
    </xf>
    <xf numFmtId="1" fontId="20" fillId="0" borderId="3" xfId="0" applyNumberFormat="1" applyFont="1" applyFill="1" applyBorder="1" applyAlignment="1">
      <alignment horizontal="center" vertical="center"/>
    </xf>
    <xf numFmtId="3" fontId="0" fillId="0" borderId="23" xfId="0" applyNumberFormat="1" applyFont="1" applyFill="1" applyBorder="1" applyAlignment="1">
      <alignment horizontal="center" vertical="center"/>
    </xf>
    <xf numFmtId="2" fontId="40" fillId="18" borderId="0" xfId="0" applyNumberFormat="1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50" fillId="0" borderId="19" xfId="0" applyFont="1" applyFill="1" applyBorder="1" applyAlignment="1">
      <alignment horizontal="center" vertical="center"/>
    </xf>
    <xf numFmtId="4" fontId="3" fillId="0" borderId="20" xfId="0" applyNumberFormat="1" applyFont="1" applyFill="1" applyBorder="1" applyAlignment="1">
      <alignment horizontal="center" vertical="center" wrapText="1"/>
    </xf>
    <xf numFmtId="4" fontId="0" fillId="0" borderId="23" xfId="0" applyNumberFormat="1" applyFont="1" applyBorder="1" applyAlignment="1">
      <alignment horizontal="center" vertical="center"/>
    </xf>
    <xf numFmtId="4" fontId="53" fillId="0" borderId="19" xfId="0" applyNumberFormat="1" applyFont="1" applyFill="1" applyBorder="1" applyAlignment="1">
      <alignment horizontal="center" vertical="center"/>
    </xf>
    <xf numFmtId="4" fontId="54" fillId="0" borderId="19" xfId="0" applyNumberFormat="1" applyFont="1" applyBorder="1" applyAlignment="1">
      <alignment horizontal="center" vertical="center"/>
    </xf>
    <xf numFmtId="4" fontId="22" fillId="0" borderId="27" xfId="0" applyNumberFormat="1" applyFont="1" applyFill="1" applyBorder="1" applyAlignment="1">
      <alignment horizontal="center" vertical="center"/>
    </xf>
    <xf numFmtId="1" fontId="5" fillId="25" borderId="23" xfId="0" applyNumberFormat="1" applyFont="1" applyFill="1" applyBorder="1" applyAlignment="1">
      <alignment horizontal="center" vertical="center"/>
    </xf>
    <xf numFmtId="3" fontId="2" fillId="0" borderId="27" xfId="0" applyNumberFormat="1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/>
    </xf>
    <xf numFmtId="3" fontId="18" fillId="0" borderId="23" xfId="0" applyNumberFormat="1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23" fillId="0" borderId="27" xfId="0" applyNumberFormat="1" applyFont="1" applyFill="1" applyBorder="1" applyAlignment="1">
      <alignment horizontal="center" vertical="center"/>
    </xf>
    <xf numFmtId="3" fontId="2" fillId="0" borderId="11" xfId="0" applyNumberFormat="1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/>
    </xf>
    <xf numFmtId="2" fontId="40" fillId="18" borderId="29" xfId="0" applyNumberFormat="1" applyFont="1" applyFill="1" applyBorder="1" applyAlignment="1">
      <alignment horizontal="center" vertical="center"/>
    </xf>
    <xf numFmtId="1" fontId="16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17" borderId="30" xfId="0" applyFont="1" applyFill="1" applyBorder="1" applyAlignment="1">
      <alignment horizontal="center" vertical="center"/>
    </xf>
    <xf numFmtId="0" fontId="11" fillId="0" borderId="30" xfId="0" applyNumberFormat="1" applyFont="1" applyFill="1" applyBorder="1" applyAlignment="1">
      <alignment horizontal="center" vertical="center"/>
    </xf>
    <xf numFmtId="4" fontId="20" fillId="0" borderId="4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2" fontId="40" fillId="18" borderId="31" xfId="0" applyNumberFormat="1" applyFont="1" applyFill="1" applyBorder="1" applyAlignment="1">
      <alignment horizontal="center" vertical="center"/>
    </xf>
    <xf numFmtId="1" fontId="16" fillId="0" borderId="2" xfId="0" applyNumberFormat="1" applyFont="1" applyFill="1" applyBorder="1" applyAlignment="1">
      <alignment horizontal="center" vertical="center"/>
    </xf>
    <xf numFmtId="2" fontId="49" fillId="0" borderId="2" xfId="0" applyNumberFormat="1" applyFont="1" applyFill="1" applyBorder="1" applyAlignment="1">
      <alignment horizontal="center" vertical="center"/>
    </xf>
    <xf numFmtId="4" fontId="2" fillId="0" borderId="19" xfId="0" applyNumberFormat="1" applyFont="1" applyBorder="1" applyAlignment="1">
      <alignment horizontal="center" vertical="center"/>
    </xf>
    <xf numFmtId="3" fontId="27" fillId="0" borderId="2" xfId="0" applyNumberFormat="1" applyFont="1" applyBorder="1" applyAlignment="1">
      <alignment horizontal="center" vertical="center"/>
    </xf>
    <xf numFmtId="0" fontId="23" fillId="0" borderId="2" xfId="0" applyNumberFormat="1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6" xfId="0" applyFont="1" applyFill="1" applyBorder="1" applyAlignment="1">
      <alignment horizontal="center" vertical="center"/>
    </xf>
    <xf numFmtId="0" fontId="11" fillId="0" borderId="6" xfId="0" applyNumberFormat="1" applyFont="1" applyFill="1" applyBorder="1" applyAlignment="1">
      <alignment horizontal="center" vertical="center"/>
    </xf>
    <xf numFmtId="166" fontId="11" fillId="0" borderId="2" xfId="0" applyNumberFormat="1" applyFont="1" applyFill="1" applyBorder="1" applyAlignment="1">
      <alignment horizontal="center" vertical="center"/>
    </xf>
    <xf numFmtId="1" fontId="49" fillId="0" borderId="11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" fontId="66" fillId="0" borderId="2" xfId="0" applyNumberFormat="1" applyFont="1" applyFill="1" applyBorder="1" applyAlignment="1">
      <alignment horizontal="center" vertical="center"/>
    </xf>
    <xf numFmtId="3" fontId="2" fillId="0" borderId="19" xfId="0" applyNumberFormat="1" applyFont="1" applyBorder="1" applyAlignment="1">
      <alignment horizontal="center" vertical="center"/>
    </xf>
    <xf numFmtId="0" fontId="3" fillId="11" borderId="32" xfId="0" applyFont="1" applyFill="1" applyBorder="1" applyAlignment="1">
      <alignment horizontal="center" vertical="center"/>
    </xf>
    <xf numFmtId="4" fontId="3" fillId="11" borderId="32" xfId="0" applyNumberFormat="1" applyFont="1" applyFill="1" applyBorder="1" applyAlignment="1">
      <alignment horizontal="center" vertical="center"/>
    </xf>
    <xf numFmtId="4" fontId="40" fillId="18" borderId="31" xfId="0" applyNumberFormat="1" applyFont="1" applyFill="1" applyBorder="1" applyAlignment="1">
      <alignment horizontal="center" vertical="center"/>
    </xf>
    <xf numFmtId="4" fontId="66" fillId="0" borderId="2" xfId="0" applyNumberFormat="1" applyFont="1" applyFill="1" applyBorder="1" applyAlignment="1">
      <alignment horizontal="center" vertical="center"/>
    </xf>
    <xf numFmtId="3" fontId="16" fillId="0" borderId="19" xfId="0" applyNumberFormat="1" applyFont="1" applyBorder="1" applyAlignment="1">
      <alignment horizontal="center" vertical="center"/>
    </xf>
    <xf numFmtId="4" fontId="27" fillId="0" borderId="2" xfId="0" applyNumberFormat="1" applyFont="1" applyBorder="1" applyAlignment="1">
      <alignment horizontal="center" vertical="center"/>
    </xf>
    <xf numFmtId="4" fontId="23" fillId="0" borderId="2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3" fillId="11" borderId="32" xfId="0" applyFont="1" applyFill="1" applyBorder="1"/>
    <xf numFmtId="1" fontId="50" fillId="0" borderId="19" xfId="0" applyNumberFormat="1" applyFont="1" applyFill="1" applyBorder="1" applyAlignment="1">
      <alignment horizontal="center" vertical="center"/>
    </xf>
    <xf numFmtId="1" fontId="66" fillId="0" borderId="19" xfId="0" applyNumberFormat="1" applyFont="1" applyFill="1" applyBorder="1" applyAlignment="1">
      <alignment horizontal="center" vertical="center"/>
    </xf>
    <xf numFmtId="0" fontId="67" fillId="0" borderId="19" xfId="0" applyNumberFormat="1" applyFont="1" applyFill="1" applyBorder="1" applyAlignment="1">
      <alignment horizontal="center" vertical="center"/>
    </xf>
    <xf numFmtId="166" fontId="11" fillId="0" borderId="19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8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Border="1" applyAlignment="1">
      <alignment horizontal="center" vertical="center"/>
    </xf>
    <xf numFmtId="2" fontId="18" fillId="0" borderId="0" xfId="0" applyNumberFormat="1" applyFont="1" applyBorder="1" applyAlignment="1">
      <alignment horizontal="center" vertical="center"/>
    </xf>
    <xf numFmtId="1" fontId="49" fillId="0" borderId="0" xfId="0" applyNumberFormat="1" applyFont="1" applyFill="1" applyBorder="1" applyAlignment="1">
      <alignment horizontal="center" vertical="center"/>
    </xf>
    <xf numFmtId="1" fontId="50" fillId="0" borderId="0" xfId="0" applyNumberFormat="1" applyFont="1" applyFill="1" applyBorder="1" applyAlignment="1">
      <alignment horizontal="center" vertical="center"/>
    </xf>
    <xf numFmtId="1" fontId="66" fillId="0" borderId="0" xfId="0" applyNumberFormat="1" applyFont="1" applyFill="1" applyBorder="1" applyAlignment="1">
      <alignment horizontal="center" vertical="center"/>
    </xf>
    <xf numFmtId="3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166" fontId="25" fillId="0" borderId="0" xfId="0" applyNumberFormat="1" applyFont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 vertical="center"/>
    </xf>
    <xf numFmtId="1" fontId="37" fillId="12" borderId="26" xfId="0" applyNumberFormat="1" applyFont="1" applyFill="1" applyBorder="1" applyAlignment="1">
      <alignment horizontal="center" vertical="center" wrapText="1"/>
    </xf>
    <xf numFmtId="0" fontId="31" fillId="0" borderId="4" xfId="0" applyFont="1" applyFill="1" applyBorder="1" applyAlignment="1">
      <alignment horizontal="center" vertical="center"/>
    </xf>
    <xf numFmtId="0" fontId="30" fillId="0" borderId="4" xfId="0" applyFont="1" applyFill="1" applyBorder="1" applyAlignment="1">
      <alignment horizontal="center" vertical="center"/>
    </xf>
    <xf numFmtId="0" fontId="30" fillId="0" borderId="7" xfId="0" applyFont="1" applyFill="1" applyBorder="1" applyAlignment="1">
      <alignment horizontal="center" vertical="center"/>
    </xf>
    <xf numFmtId="0" fontId="30" fillId="0" borderId="4" xfId="0" applyNumberFormat="1" applyFont="1" applyFill="1" applyBorder="1" applyAlignment="1">
      <alignment horizontal="center" vertical="center" wrapText="1"/>
    </xf>
    <xf numFmtId="164" fontId="30" fillId="0" borderId="4" xfId="0" applyNumberFormat="1" applyFont="1" applyFill="1" applyBorder="1" applyAlignment="1">
      <alignment horizontal="center" vertical="center"/>
    </xf>
    <xf numFmtId="4" fontId="30" fillId="0" borderId="7" xfId="0" applyNumberFormat="1" applyFont="1" applyFill="1" applyBorder="1" applyAlignment="1">
      <alignment horizontal="center" vertical="center" wrapText="1"/>
    </xf>
    <xf numFmtId="3" fontId="30" fillId="0" borderId="26" xfId="0" applyNumberFormat="1" applyFont="1" applyFill="1" applyBorder="1" applyAlignment="1">
      <alignment horizontal="center" vertical="center" wrapText="1"/>
    </xf>
    <xf numFmtId="2" fontId="30" fillId="0" borderId="5" xfId="0" applyNumberFormat="1" applyFont="1" applyFill="1" applyBorder="1" applyAlignment="1">
      <alignment horizontal="center" vertical="center" wrapText="1"/>
    </xf>
    <xf numFmtId="3" fontId="30" fillId="0" borderId="5" xfId="0" applyNumberFormat="1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32" fillId="0" borderId="3" xfId="0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>
      <alignment horizontal="center" vertical="center" wrapText="1"/>
    </xf>
    <xf numFmtId="0" fontId="32" fillId="0" borderId="4" xfId="0" applyFont="1" applyFill="1" applyBorder="1" applyAlignment="1">
      <alignment horizontal="center" vertical="center" wrapText="1"/>
    </xf>
    <xf numFmtId="3" fontId="33" fillId="0" borderId="4" xfId="0" applyNumberFormat="1" applyFont="1" applyFill="1" applyBorder="1" applyAlignment="1">
      <alignment horizontal="center" vertical="center" wrapText="1"/>
    </xf>
    <xf numFmtId="1" fontId="30" fillId="0" borderId="4" xfId="0" applyNumberFormat="1" applyFont="1" applyFill="1" applyBorder="1" applyAlignment="1">
      <alignment horizontal="center" vertical="center" wrapText="1"/>
    </xf>
    <xf numFmtId="1" fontId="33" fillId="0" borderId="4" xfId="0" applyNumberFormat="1" applyFont="1" applyFill="1" applyBorder="1" applyAlignment="1">
      <alignment horizontal="center" vertical="center" wrapText="1"/>
    </xf>
    <xf numFmtId="3" fontId="30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Fill="1" applyBorder="1" applyAlignment="1">
      <alignment horizontal="center" vertical="center" wrapText="1"/>
    </xf>
    <xf numFmtId="2" fontId="30" fillId="0" borderId="4" xfId="0" applyNumberFormat="1" applyFont="1" applyFill="1" applyBorder="1" applyAlignment="1">
      <alignment horizontal="center" vertical="center" wrapText="1"/>
    </xf>
    <xf numFmtId="165" fontId="30" fillId="0" borderId="4" xfId="0" applyNumberFormat="1" applyFont="1" applyFill="1" applyBorder="1" applyAlignment="1">
      <alignment horizontal="center" vertical="center" wrapText="1"/>
    </xf>
    <xf numFmtId="4" fontId="30" fillId="0" borderId="4" xfId="0" applyNumberFormat="1" applyFont="1" applyFill="1" applyBorder="1" applyAlignment="1">
      <alignment horizontal="center" vertical="center" wrapText="1"/>
    </xf>
    <xf numFmtId="166" fontId="30" fillId="0" borderId="4" xfId="0" applyNumberFormat="1" applyFont="1" applyFill="1" applyBorder="1" applyAlignment="1">
      <alignment horizontal="center" vertical="center" wrapText="1"/>
    </xf>
    <xf numFmtId="1" fontId="30" fillId="0" borderId="7" xfId="0" applyNumberFormat="1" applyFont="1" applyFill="1" applyBorder="1" applyAlignment="1">
      <alignment horizontal="center" vertical="center" wrapText="1"/>
    </xf>
    <xf numFmtId="0" fontId="35" fillId="0" borderId="26" xfId="0" applyFont="1" applyFill="1" applyBorder="1" applyAlignment="1">
      <alignment horizontal="center" vertical="center"/>
    </xf>
    <xf numFmtId="0" fontId="35" fillId="0" borderId="5" xfId="0" applyNumberFormat="1" applyFont="1" applyFill="1" applyBorder="1" applyAlignment="1">
      <alignment horizontal="center" vertical="center"/>
    </xf>
    <xf numFmtId="0" fontId="35" fillId="0" borderId="33" xfId="0" applyNumberFormat="1" applyFont="1" applyFill="1" applyBorder="1" applyAlignment="1">
      <alignment horizontal="center" vertical="center"/>
    </xf>
    <xf numFmtId="0" fontId="35" fillId="0" borderId="0" xfId="0" applyNumberFormat="1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>
      <alignment horizontal="center" vertical="center" wrapText="1"/>
    </xf>
    <xf numFmtId="0" fontId="35" fillId="0" borderId="4" xfId="0" applyFont="1" applyFill="1" applyBorder="1" applyAlignment="1">
      <alignment horizontal="center" vertical="center" wrapText="1"/>
    </xf>
    <xf numFmtId="0" fontId="35" fillId="0" borderId="4" xfId="0" applyFont="1" applyFill="1" applyBorder="1" applyAlignment="1">
      <alignment horizontal="center" vertical="center"/>
    </xf>
    <xf numFmtId="9" fontId="35" fillId="0" borderId="4" xfId="0" applyNumberFormat="1" applyFont="1" applyFill="1" applyBorder="1" applyAlignment="1">
      <alignment horizontal="center" vertical="center"/>
    </xf>
    <xf numFmtId="1" fontId="35" fillId="0" borderId="7" xfId="0" applyNumberFormat="1" applyFont="1" applyFill="1" applyBorder="1" applyAlignment="1">
      <alignment horizontal="center" vertical="center" wrapText="1"/>
    </xf>
    <xf numFmtId="0" fontId="72" fillId="0" borderId="3" xfId="0" applyFont="1" applyFill="1" applyBorder="1" applyAlignment="1">
      <alignment horizontal="center" vertical="center" wrapText="1"/>
    </xf>
    <xf numFmtId="4" fontId="43" fillId="0" borderId="0" xfId="0" applyNumberFormat="1" applyFont="1" applyFill="1" applyBorder="1" applyAlignment="1">
      <alignment horizontal="center" vertical="center"/>
    </xf>
    <xf numFmtId="4" fontId="17" fillId="18" borderId="29" xfId="0" applyNumberFormat="1" applyFont="1" applyFill="1" applyBorder="1" applyAlignment="1">
      <alignment horizontal="center" vertical="center"/>
    </xf>
    <xf numFmtId="4" fontId="17" fillId="18" borderId="31" xfId="0" applyNumberFormat="1" applyFont="1" applyFill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4" fontId="11" fillId="0" borderId="6" xfId="0" applyNumberFormat="1" applyFont="1" applyFill="1" applyBorder="1" applyAlignment="1">
      <alignment horizontal="center" vertical="center"/>
    </xf>
    <xf numFmtId="4" fontId="11" fillId="17" borderId="6" xfId="0" applyNumberFormat="1" applyFont="1" applyFill="1" applyBorder="1" applyAlignment="1">
      <alignment horizontal="center" vertical="center"/>
    </xf>
    <xf numFmtId="2" fontId="67" fillId="0" borderId="2" xfId="0" applyNumberFormat="1" applyFont="1" applyFill="1" applyBorder="1" applyAlignment="1">
      <alignment horizontal="center" vertical="center"/>
    </xf>
    <xf numFmtId="4" fontId="49" fillId="0" borderId="19" xfId="0" applyNumberFormat="1" applyFont="1" applyFill="1" applyBorder="1" applyAlignment="1">
      <alignment horizontal="center" vertical="center"/>
    </xf>
    <xf numFmtId="3" fontId="11" fillId="0" borderId="19" xfId="0" applyNumberFormat="1" applyFont="1" applyBorder="1" applyAlignment="1">
      <alignment horizontal="center" vertical="center"/>
    </xf>
    <xf numFmtId="2" fontId="67" fillId="0" borderId="19" xfId="0" applyNumberFormat="1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0" fillId="0" borderId="6" xfId="0" applyBorder="1"/>
    <xf numFmtId="0" fontId="0" fillId="0" borderId="30" xfId="0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8" fillId="0" borderId="34" xfId="0" applyFont="1" applyFill="1" applyBorder="1" applyAlignment="1">
      <alignment vertical="center"/>
    </xf>
    <xf numFmtId="0" fontId="28" fillId="0" borderId="3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4" xfId="0" applyFont="1" applyFill="1" applyBorder="1" applyAlignment="1">
      <alignment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34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" fontId="8" fillId="26" borderId="2" xfId="0" applyNumberFormat="1" applyFont="1" applyFill="1" applyBorder="1" applyAlignment="1">
      <alignment horizontal="center" vertical="center"/>
    </xf>
    <xf numFmtId="1" fontId="74" fillId="26" borderId="2" xfId="0" applyNumberFormat="1" applyFont="1" applyFill="1" applyBorder="1" applyAlignment="1">
      <alignment horizontal="center" vertical="center"/>
    </xf>
    <xf numFmtId="1" fontId="75" fillId="26" borderId="2" xfId="0" applyNumberFormat="1" applyFont="1" applyFill="1" applyBorder="1" applyAlignment="1">
      <alignment horizontal="center" vertical="center"/>
    </xf>
    <xf numFmtId="1" fontId="10" fillId="26" borderId="2" xfId="0" applyNumberFormat="1" applyFont="1" applyFill="1" applyBorder="1" applyAlignment="1">
      <alignment horizontal="center" vertical="center"/>
    </xf>
    <xf numFmtId="0" fontId="13" fillId="7" borderId="2" xfId="0" applyNumberFormat="1" applyFont="1" applyFill="1" applyBorder="1" applyAlignment="1">
      <alignment horizontal="center" vertical="center"/>
    </xf>
    <xf numFmtId="3" fontId="76" fillId="0" borderId="0" xfId="0" applyNumberFormat="1" applyFont="1" applyFill="1" applyAlignment="1">
      <alignment horizontal="center" vertical="center" wrapText="1"/>
    </xf>
    <xf numFmtId="3" fontId="77" fillId="0" borderId="2" xfId="0" applyNumberFormat="1" applyFont="1" applyFill="1" applyBorder="1" applyAlignment="1">
      <alignment horizontal="center" vertical="center"/>
    </xf>
    <xf numFmtId="10" fontId="77" fillId="0" borderId="2" xfId="0" applyNumberFormat="1" applyFont="1" applyFill="1" applyBorder="1" applyAlignment="1">
      <alignment horizontal="center" vertical="center"/>
    </xf>
    <xf numFmtId="2" fontId="13" fillId="0" borderId="2" xfId="0" applyNumberFormat="1" applyFont="1" applyFill="1" applyBorder="1" applyAlignment="1">
      <alignment horizontal="center" vertical="center"/>
    </xf>
    <xf numFmtId="3" fontId="13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2" xfId="0" applyNumberFormat="1" applyFont="1" applyFill="1" applyBorder="1" applyAlignment="1">
      <alignment horizontal="center" vertical="center"/>
    </xf>
    <xf numFmtId="14" fontId="2" fillId="0" borderId="2" xfId="0" applyNumberFormat="1" applyFont="1" applyFill="1" applyBorder="1" applyAlignment="1">
      <alignment horizontal="center" vertical="center"/>
    </xf>
    <xf numFmtId="4" fontId="13" fillId="0" borderId="2" xfId="0" applyNumberFormat="1" applyFont="1" applyFill="1" applyBorder="1" applyAlignment="1">
      <alignment horizontal="center" vertical="center"/>
    </xf>
    <xf numFmtId="4" fontId="9" fillId="0" borderId="2" xfId="0" applyNumberFormat="1" applyFont="1" applyFill="1" applyBorder="1" applyAlignment="1">
      <alignment horizontal="center" vertical="center"/>
    </xf>
    <xf numFmtId="0" fontId="13" fillId="0" borderId="2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3" fontId="9" fillId="0" borderId="2" xfId="0" applyNumberFormat="1" applyFont="1" applyFill="1" applyBorder="1" applyAlignment="1">
      <alignment horizontal="center" vertical="center"/>
    </xf>
    <xf numFmtId="1" fontId="2" fillId="26" borderId="2" xfId="0" applyNumberFormat="1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78" fillId="26" borderId="2" xfId="0" applyFont="1" applyFill="1" applyBorder="1" applyAlignment="1">
      <alignment horizontal="center" vertical="center" wrapText="1"/>
    </xf>
    <xf numFmtId="0" fontId="8" fillId="0" borderId="2" xfId="0" applyNumberFormat="1" applyFont="1" applyFill="1" applyBorder="1" applyAlignment="1">
      <alignment horizontal="center" vertical="center"/>
    </xf>
    <xf numFmtId="0" fontId="75" fillId="0" borderId="2" xfId="0" applyFont="1" applyFill="1" applyBorder="1" applyAlignment="1">
      <alignment horizontal="center" vertical="center"/>
    </xf>
    <xf numFmtId="9" fontId="10" fillId="7" borderId="2" xfId="0" applyNumberFormat="1" applyFont="1" applyFill="1" applyBorder="1" applyAlignment="1">
      <alignment horizontal="center" vertical="center"/>
    </xf>
    <xf numFmtId="3" fontId="73" fillId="0" borderId="2" xfId="0" applyNumberFormat="1" applyFont="1" applyFill="1" applyBorder="1" applyAlignment="1">
      <alignment horizontal="center" vertical="center"/>
    </xf>
    <xf numFmtId="0" fontId="77" fillId="0" borderId="2" xfId="0" applyNumberFormat="1" applyFont="1" applyFill="1" applyBorder="1" applyAlignment="1">
      <alignment horizontal="center" vertical="center"/>
    </xf>
    <xf numFmtId="3" fontId="16" fillId="0" borderId="2" xfId="0" applyNumberFormat="1" applyFont="1" applyFill="1" applyBorder="1" applyAlignment="1">
      <alignment horizontal="center" vertical="center"/>
    </xf>
    <xf numFmtId="0" fontId="8" fillId="7" borderId="2" xfId="0" applyNumberFormat="1" applyFont="1" applyFill="1" applyBorder="1" applyAlignment="1">
      <alignment horizontal="center" vertical="center"/>
    </xf>
    <xf numFmtId="2" fontId="77" fillId="0" borderId="2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3" xfId="0" applyBorder="1" applyAlignment="1">
      <alignment horizontal="center"/>
    </xf>
    <xf numFmtId="0" fontId="81" fillId="0" borderId="1" xfId="0" applyFont="1" applyBorder="1" applyAlignment="1">
      <alignment horizontal="center" vertical="center"/>
    </xf>
    <xf numFmtId="3" fontId="82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3" fillId="0" borderId="23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0" fontId="22" fillId="0" borderId="0" xfId="0" applyFont="1"/>
    <xf numFmtId="0" fontId="6" fillId="0" borderId="0" xfId="0" applyFont="1" applyAlignment="1">
      <alignment horizontal="center"/>
    </xf>
    <xf numFmtId="3" fontId="84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left"/>
    </xf>
    <xf numFmtId="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pivotButton="1" applyAlignment="1">
      <alignment horizontal="center" vertical="center"/>
    </xf>
    <xf numFmtId="0" fontId="0" fillId="0" borderId="0" xfId="0" pivotButton="1"/>
    <xf numFmtId="4" fontId="0" fillId="0" borderId="0" xfId="0" applyNumberFormat="1" applyAlignment="1">
      <alignment horizontal="left" indent="1"/>
    </xf>
    <xf numFmtId="0" fontId="16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4" fontId="0" fillId="0" borderId="0" xfId="0" applyNumberFormat="1"/>
    <xf numFmtId="4" fontId="0" fillId="0" borderId="0" xfId="0" applyNumberFormat="1" applyAlignment="1">
      <alignment horizontal="left" indent="2"/>
    </xf>
    <xf numFmtId="0" fontId="0" fillId="0" borderId="0" xfId="0" applyAlignment="1">
      <alignment horizontal="left" indent="1"/>
    </xf>
    <xf numFmtId="4" fontId="0" fillId="0" borderId="0" xfId="0" applyNumberFormat="1" applyAlignment="1">
      <alignment horizontal="left" indent="3"/>
    </xf>
    <xf numFmtId="3" fontId="81" fillId="0" borderId="0" xfId="0" applyNumberFormat="1" applyFont="1" applyAlignment="1">
      <alignment horizontal="center"/>
    </xf>
    <xf numFmtId="0" fontId="85" fillId="7" borderId="0" xfId="0" applyNumberFormat="1" applyFont="1" applyFill="1" applyAlignment="1">
      <alignment horizontal="center" vertical="center"/>
    </xf>
    <xf numFmtId="2" fontId="86" fillId="7" borderId="0" xfId="0" applyNumberFormat="1" applyFont="1" applyFill="1" applyAlignment="1">
      <alignment horizontal="center" vertical="center"/>
    </xf>
    <xf numFmtId="0" fontId="87" fillId="7" borderId="0" xfId="0" applyFont="1" applyFill="1" applyAlignment="1">
      <alignment horizontal="center"/>
    </xf>
    <xf numFmtId="0" fontId="87" fillId="7" borderId="0" xfId="0" applyFont="1" applyFill="1" applyAlignment="1">
      <alignment horizontal="center" vertical="center"/>
    </xf>
    <xf numFmtId="0" fontId="88" fillId="7" borderId="0" xfId="0" applyFont="1" applyFill="1" applyAlignment="1">
      <alignment horizontal="center" vertical="center"/>
    </xf>
    <xf numFmtId="2" fontId="88" fillId="7" borderId="0" xfId="0" applyNumberFormat="1" applyFont="1" applyFill="1" applyAlignment="1">
      <alignment horizontal="center" vertical="center"/>
    </xf>
    <xf numFmtId="3" fontId="88" fillId="7" borderId="0" xfId="0" applyNumberFormat="1" applyFont="1" applyFill="1" applyAlignment="1">
      <alignment horizontal="center" vertical="center"/>
    </xf>
    <xf numFmtId="2" fontId="87" fillId="7" borderId="0" xfId="0" applyNumberFormat="1" applyFont="1" applyFill="1" applyAlignment="1">
      <alignment horizontal="center" vertical="center"/>
    </xf>
    <xf numFmtId="2" fontId="89" fillId="7" borderId="0" xfId="0" applyNumberFormat="1" applyFont="1" applyFill="1" applyAlignment="1">
      <alignment horizontal="center" vertical="center"/>
    </xf>
    <xf numFmtId="3" fontId="90" fillId="7" borderId="0" xfId="0" applyNumberFormat="1" applyFont="1" applyFill="1" applyAlignment="1">
      <alignment horizontal="center" vertical="center"/>
    </xf>
    <xf numFmtId="3" fontId="91" fillId="7" borderId="0" xfId="0" applyNumberFormat="1" applyFont="1" applyFill="1" applyAlignment="1">
      <alignment horizontal="center" vertical="center"/>
    </xf>
    <xf numFmtId="3" fontId="92" fillId="7" borderId="0" xfId="0" applyNumberFormat="1" applyFont="1" applyFill="1" applyAlignment="1">
      <alignment horizontal="center"/>
    </xf>
    <xf numFmtId="3" fontId="93" fillId="7" borderId="0" xfId="0" applyNumberFormat="1" applyFont="1" applyFill="1" applyAlignment="1">
      <alignment horizontal="center" vertical="center"/>
    </xf>
    <xf numFmtId="3" fontId="86" fillId="7" borderId="0" xfId="0" applyNumberFormat="1" applyFont="1" applyFill="1" applyAlignment="1">
      <alignment horizontal="center" vertical="center"/>
    </xf>
    <xf numFmtId="0" fontId="86" fillId="7" borderId="0" xfId="0" applyNumberFormat="1" applyFont="1" applyFill="1" applyAlignment="1">
      <alignment horizontal="center" vertical="center"/>
    </xf>
    <xf numFmtId="0" fontId="91" fillId="7" borderId="0" xfId="0" applyNumberFormat="1" applyFont="1" applyFill="1" applyAlignment="1">
      <alignment horizontal="center" vertical="center"/>
    </xf>
    <xf numFmtId="2" fontId="91" fillId="7" borderId="0" xfId="0" applyNumberFormat="1" applyFont="1" applyFill="1" applyAlignment="1">
      <alignment horizontal="center" vertical="center"/>
    </xf>
    <xf numFmtId="0" fontId="91" fillId="7" borderId="0" xfId="0" applyFont="1" applyFill="1" applyAlignment="1">
      <alignment horizontal="center" vertical="center"/>
    </xf>
    <xf numFmtId="0" fontId="91" fillId="0" borderId="0" xfId="0" applyFont="1" applyFill="1" applyAlignment="1">
      <alignment horizontal="center" vertical="center"/>
    </xf>
    <xf numFmtId="3" fontId="94" fillId="0" borderId="0" xfId="0" applyNumberFormat="1" applyFont="1" applyAlignment="1">
      <alignment horizontal="center"/>
    </xf>
    <xf numFmtId="3" fontId="54" fillId="0" borderId="0" xfId="0" applyNumberFormat="1" applyFont="1" applyAlignment="1">
      <alignment horizontal="center"/>
    </xf>
    <xf numFmtId="4" fontId="26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63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66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66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70C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Unicode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Unicode MS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Unicode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Unicode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fgColor indexed="64"/>
          <bgColor theme="9" tint="-0.249977111117893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 tint="-0.249977111117893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indexed="64"/>
          <bgColor theme="5" tint="0.7999816888943144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4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4" formatCode="#,##0.00"/>
      <fill>
        <patternFill patternType="solid">
          <fgColor indexed="64"/>
          <bgColor rgb="FFFFC000"/>
        </patternFill>
      </fill>
      <alignment horizontal="center" vertical="center" textRotation="0" wrapText="0" relative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scheme val="minor"/>
      </font>
      <numFmt numFmtId="4" formatCode="#,##0.00"/>
      <fill>
        <patternFill patternType="none">
          <fgColor indexed="64"/>
          <bgColor rgb="FFFFC00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2" formatCode="0.00"/>
      <fill>
        <patternFill patternType="solid">
          <fgColor indexed="64"/>
          <bgColor rgb="FFFFC00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8" formatCode="[$-409]mmmm\ d\,\ yy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2D050"/>
        <name val="Calibri"/>
        <scheme val="minor"/>
      </font>
      <numFmt numFmtId="4" formatCode="#,##0.00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2D050"/>
        <name val="Calibri"/>
        <scheme val="minor"/>
      </font>
      <numFmt numFmtId="1" formatCode="0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numFmt numFmtId="4" formatCode="#,##0.00"/>
      <alignment horizontal="center" vertic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rgb="FFFFFFFF"/>
      </font>
      <alignment horizontal="center" vertical="center" textRotation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8"/>
        </patternFill>
      </fill>
    </dxf>
    <dxf>
      <fill>
        <patternFill>
          <bgColor theme="9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33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3" formatCode="#,##0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B0F0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3" formatCode="#,##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3" formatCode="#,##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B0F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F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B0F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C00000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rgb="FF00B05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>
          <fgColor indexed="64"/>
          <bgColor theme="3" tint="0.3999755851924192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3" formatCode="#,##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92D050"/>
      </font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theme="3" tint="0.39997558519241921"/>
        </patternFill>
      </fill>
    </dxf>
    <dxf>
      <font>
        <b val="0"/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2D050"/>
      </font>
    </dxf>
    <dxf>
      <font>
        <color rgb="FFC00000"/>
      </font>
    </dxf>
    <dxf>
      <font>
        <color rgb="FFFFFF00"/>
      </font>
    </dxf>
    <dxf>
      <font>
        <color rgb="FFC00000"/>
      </font>
    </dxf>
    <dxf>
      <font>
        <color rgb="FFFF0000"/>
      </font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9" formatCode="m/d/yyyy"/>
    </dxf>
    <dxf>
      <numFmt numFmtId="19" formatCode="m/d/yyyy"/>
    </dxf>
    <dxf>
      <numFmt numFmtId="4" formatCode="#,##0.00"/>
      <alignment horizontal="center" vertical="center" wrapText="1" readingOrder="0"/>
    </dxf>
    <dxf>
      <numFmt numFmtId="4" formatCode="#,##0.00"/>
      <alignment horizontal="center" vertical="center"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4"/>
      </font>
    </dxf>
    <dxf>
      <font>
        <sz val="14"/>
      </font>
    </dxf>
    <dxf>
      <numFmt numFmtId="4" formatCode="#,##0.00"/>
      <alignment wrapText="1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  <alignment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wrapText="1" readingOrder="0"/>
    </dxf>
    <dxf>
      <alignment wrapText="1" readingOrder="0"/>
    </dxf>
    <dxf>
      <alignment wrapText="1" readingOrder="0"/>
    </dxf>
    <dxf>
      <font>
        <color theme="3" tint="0.39994506668294322"/>
      </font>
    </dxf>
    <dxf>
      <font>
        <color theme="3" tint="-0.24994659260841701"/>
      </font>
    </dxf>
    <dxf>
      <font>
        <color theme="3" tint="-0.24994659260841701"/>
      </font>
    </dxf>
  </dxfs>
  <tableStyles count="2" defaultTableStyle="TableStyleMedium9" defaultPivotStyle="PivotStyleLight16">
    <tableStyle name="Table Style 1" pivot="0" count="2">
      <tableStyleElement type="headerRow" dxfId="637"/>
      <tableStyleElement type="totalRow" dxfId="636"/>
    </tableStyle>
    <tableStyle name="Table Style 2" pivot="0" count="1">
      <tableStyleElement type="firstRowStripe" dxfId="635"/>
    </tableStyle>
  </tableStyles>
  <colors>
    <mruColors>
      <color rgb="FF007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externalLink" Target="externalLinks/externalLink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2017\dd1\MD1\MD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2017\dd1\&#1575;&#1604;&#1575;&#1580;&#1575;&#1586;&#1575;&#1578;\&#1575;&#1604;&#1575;&#1580;&#1575;&#1586;&#1575;&#1578;%20201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2018\payroll%202018\Payroll%20%20December%202018\DEC%202018\salary%20DEC%20201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d1\MD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  <sheetName val="MDI"/>
      <sheetName val="Sheet1"/>
    </sheetNames>
    <sheetDataSet>
      <sheetData sheetId="0">
        <row r="1">
          <cell r="A1" t="str">
            <v>الرقم الوظيفي</v>
          </cell>
          <cell r="B1" t="str">
            <v>الاسم</v>
          </cell>
          <cell r="C1" t="str">
            <v>الاسم الاول</v>
          </cell>
          <cell r="D1" t="str">
            <v>الاسم الثاني</v>
          </cell>
          <cell r="E1" t="str">
            <v>الاسم الثالث</v>
          </cell>
          <cell r="F1" t="str">
            <v>الاسم الرابع</v>
          </cell>
          <cell r="G1" t="str">
            <v>المنشأه</v>
          </cell>
          <cell r="H1" t="str">
            <v>الاداره</v>
          </cell>
          <cell r="I1" t="str">
            <v>الفرع</v>
          </cell>
          <cell r="J1" t="str">
            <v>الخط</v>
          </cell>
          <cell r="K1" t="str">
            <v>الوظيفه عند التعيين</v>
          </cell>
          <cell r="L1" t="str">
            <v>الوظيفه</v>
          </cell>
          <cell r="M1" t="str">
            <v>تاريخ التعيين</v>
          </cell>
          <cell r="N1" t="str">
            <v>تاريخ ترصيد</v>
          </cell>
          <cell r="O1" t="str">
            <v>عدد السنوات</v>
          </cell>
          <cell r="P1" t="str">
            <v>عدد الشهور</v>
          </cell>
          <cell r="Q1" t="str">
            <v>فروقات قانونيه</v>
          </cell>
          <cell r="R1" t="str">
            <v>عدد الايام</v>
          </cell>
          <cell r="S1" t="str">
            <v>المرتب الاخير</v>
          </cell>
          <cell r="T1" t="str">
            <v>سبب ترك العمل</v>
          </cell>
          <cell r="U1" t="str">
            <v>تاريخ اجراء ترك العمل</v>
          </cell>
          <cell r="V1" t="str">
            <v>تاريخ التوقف الفعلى</v>
          </cell>
          <cell r="W1" t="str">
            <v>موقف الانذارات</v>
          </cell>
          <cell r="X1" t="str">
            <v>تاريخ اول تعيين</v>
          </cell>
          <cell r="Y1" t="str">
            <v>سبب ترك العمل 1</v>
          </cell>
          <cell r="Z1" t="str">
            <v>تاريخ الميلاد</v>
          </cell>
          <cell r="AA1" t="str">
            <v>H</v>
          </cell>
          <cell r="AB1" t="str">
            <v>G</v>
          </cell>
          <cell r="AC1" t="str">
            <v>F</v>
          </cell>
          <cell r="AD1" t="str">
            <v>E</v>
          </cell>
          <cell r="AE1" t="str">
            <v>D</v>
          </cell>
          <cell r="AF1" t="str">
            <v>C</v>
          </cell>
          <cell r="AG1" t="str">
            <v>B</v>
          </cell>
          <cell r="AH1" t="str">
            <v>A</v>
          </cell>
          <cell r="AI1" t="str">
            <v>نوع شهاده الميلاد</v>
          </cell>
          <cell r="AJ1" t="str">
            <v>رقم شهاده الميلاد</v>
          </cell>
          <cell r="AK1" t="str">
            <v>O</v>
          </cell>
          <cell r="AL1" t="str">
            <v>N</v>
          </cell>
          <cell r="AM1" t="str">
            <v>M</v>
          </cell>
          <cell r="AN1" t="str">
            <v>L</v>
          </cell>
          <cell r="AO1" t="str">
            <v>K</v>
          </cell>
          <cell r="AP1" t="str">
            <v>J</v>
          </cell>
          <cell r="AQ1" t="str">
            <v>I</v>
          </cell>
          <cell r="AR1" t="str">
            <v>H2</v>
          </cell>
          <cell r="AS1" t="str">
            <v>H3</v>
          </cell>
          <cell r="AT1" t="str">
            <v>العمر</v>
          </cell>
          <cell r="AU1" t="str">
            <v>إثبات الشخصيه</v>
          </cell>
          <cell r="AV1" t="str">
            <v>رقم إثبات الشخصيه</v>
          </cell>
          <cell r="AW1" t="str">
            <v>W</v>
          </cell>
          <cell r="AX1" t="str">
            <v>V</v>
          </cell>
          <cell r="AY1" t="str">
            <v>U</v>
          </cell>
          <cell r="AZ1" t="str">
            <v>T</v>
          </cell>
          <cell r="BA1" t="str">
            <v>S</v>
          </cell>
          <cell r="BB1" t="str">
            <v>R</v>
          </cell>
          <cell r="BC1" t="str">
            <v>Q</v>
          </cell>
          <cell r="BD1" t="str">
            <v>P</v>
          </cell>
          <cell r="BE1" t="str">
            <v>الرقم الوطني</v>
          </cell>
          <cell r="BF1" t="str">
            <v>اسم الوالده</v>
          </cell>
          <cell r="BG1" t="str">
            <v>خط الترحيل</v>
          </cell>
          <cell r="BH1" t="str">
            <v>العنوان</v>
          </cell>
          <cell r="BI1" t="str">
            <v>رقم الموبايل</v>
          </cell>
          <cell r="BJ1" t="str">
            <v>اقرب الاقربين</v>
          </cell>
          <cell r="BK1" t="str">
            <v>ارقام موبايل اقرب الاقربين</v>
          </cell>
          <cell r="BL1" t="str">
            <v>الخدمه الوطنيه</v>
          </cell>
          <cell r="BM1" t="str">
            <v>الضمان الاجتماعي اخر صرف</v>
          </cell>
          <cell r="BN1" t="str">
            <v>الضمان الاجتماعي حتى التاريخ</v>
          </cell>
          <cell r="BO1" t="str">
            <v xml:space="preserve">مده متبقي الضمان </v>
          </cell>
          <cell r="BP1" t="str">
            <v>المتبقي الي ال 60 عام</v>
          </cell>
          <cell r="BQ1" t="str">
            <v>المؤهل الرئيسي</v>
          </cell>
          <cell r="BR1" t="str">
            <v>درجه المؤهل الرئيسي</v>
          </cell>
          <cell r="BS1" t="str">
            <v>المؤهل الدراسي 1</v>
          </cell>
          <cell r="BT1" t="str">
            <v>درجه المؤهل الدراسي 1</v>
          </cell>
          <cell r="BU1" t="str">
            <v>مانح المؤهل الدراسي 1</v>
          </cell>
          <cell r="BV1" t="str">
            <v>تاريخ المؤهل الدراسي 1</v>
          </cell>
          <cell r="BW1" t="str">
            <v>المؤهل الدراسي 2</v>
          </cell>
          <cell r="BX1" t="str">
            <v>درجه المؤهل الدراسي 2</v>
          </cell>
          <cell r="BY1" t="str">
            <v>مانح المؤهل الدراسي 2</v>
          </cell>
          <cell r="BZ1" t="str">
            <v>تاريخ المؤهل الدراسي 2</v>
          </cell>
          <cell r="CA1" t="str">
            <v>المؤهل الدراسي 3</v>
          </cell>
          <cell r="CB1" t="str">
            <v>درجه المؤهل الدراسي 3</v>
          </cell>
          <cell r="CC1" t="str">
            <v>مانح المؤهل الدراسي 3</v>
          </cell>
          <cell r="CD1" t="str">
            <v>تاريخ المؤهل الدراسي 3</v>
          </cell>
          <cell r="CE1" t="str">
            <v>المؤهل الدراسي 4</v>
          </cell>
          <cell r="CF1" t="str">
            <v>درجه المؤهل الدراسي 4</v>
          </cell>
          <cell r="CG1" t="str">
            <v>مانح المؤهل الدراسي 4</v>
          </cell>
          <cell r="CH1" t="str">
            <v>تاريخ المؤهل الدراسي 4</v>
          </cell>
          <cell r="CI1" t="str">
            <v>المؤهل الدراسي 5</v>
          </cell>
          <cell r="CJ1" t="str">
            <v>درجه المؤهل الدراسي 5</v>
          </cell>
          <cell r="CK1" t="str">
            <v>مانح المؤهل الدراسي 5</v>
          </cell>
          <cell r="CL1" t="str">
            <v>تاريخ المؤهل الدراسي 5</v>
          </cell>
          <cell r="CM1" t="str">
            <v>المؤهل الدراسي 6</v>
          </cell>
          <cell r="CN1" t="str">
            <v>درجه المؤهل الدراسي 6</v>
          </cell>
          <cell r="CO1" t="str">
            <v>مانح المؤهل الدراسي 6</v>
          </cell>
          <cell r="CP1" t="str">
            <v>تاريخ المؤهل الدراسي 6</v>
          </cell>
          <cell r="CQ1" t="str">
            <v>الخبره السابقه1</v>
          </cell>
          <cell r="CR1" t="str">
            <v>الخبره بوظيفه 1</v>
          </cell>
          <cell r="CS1" t="str">
            <v>بدايه الخبره 1</v>
          </cell>
          <cell r="CT1" t="str">
            <v>نهايه الخبره 1</v>
          </cell>
          <cell r="CU1" t="str">
            <v>فتره الخبره 1</v>
          </cell>
          <cell r="CV1" t="str">
            <v>الخبره السابقه 2</v>
          </cell>
          <cell r="CW1" t="str">
            <v>الخبره بوظيفه 2</v>
          </cell>
          <cell r="CX1" t="str">
            <v>بدايه الخبره 2</v>
          </cell>
          <cell r="CY1" t="str">
            <v>نهايه الخبره 2</v>
          </cell>
          <cell r="CZ1" t="str">
            <v>فتره الخبره 2</v>
          </cell>
          <cell r="DA1" t="str">
            <v>الخبره السابقه 3</v>
          </cell>
          <cell r="DB1" t="str">
            <v>الخبره بوظيفه 3</v>
          </cell>
          <cell r="DC1" t="str">
            <v>بدايه الخبره 3</v>
          </cell>
          <cell r="DD1" t="str">
            <v>نهايه الخبره 3</v>
          </cell>
          <cell r="DE1" t="str">
            <v>فتره الخبره 3</v>
          </cell>
          <cell r="DF1" t="str">
            <v>الخبره السابقه 4</v>
          </cell>
          <cell r="DG1" t="str">
            <v>الخبره بوظيفه 4</v>
          </cell>
          <cell r="DH1" t="str">
            <v>بدايه الخبره 4</v>
          </cell>
          <cell r="DI1" t="str">
            <v>نهايه الخبره 4</v>
          </cell>
          <cell r="DJ1" t="str">
            <v>فتره الخبره 4</v>
          </cell>
          <cell r="DK1" t="str">
            <v>الخبره السابقه 5</v>
          </cell>
          <cell r="DL1" t="str">
            <v>الخبره بوظيفه 5</v>
          </cell>
          <cell r="DM1" t="str">
            <v>بدايه الخبره 5</v>
          </cell>
          <cell r="DN1" t="str">
            <v>نهايه الخبره 5</v>
          </cell>
          <cell r="DO1" t="str">
            <v>فتره الخبره 5</v>
          </cell>
          <cell r="DP1" t="str">
            <v>الخبره السابقه 6</v>
          </cell>
          <cell r="DQ1" t="str">
            <v>الخبره بوظيفه 6</v>
          </cell>
          <cell r="DR1" t="str">
            <v>بدايه الخبره 6</v>
          </cell>
          <cell r="DS1" t="str">
            <v>نهايه الخبره 6</v>
          </cell>
          <cell r="DT1" t="str">
            <v>فتره الخبره 6</v>
          </cell>
          <cell r="DU1" t="str">
            <v xml:space="preserve">سنوات الخبره </v>
          </cell>
          <cell r="DV1" t="str">
            <v>سنوات الخبره في مجال العمل</v>
          </cell>
          <cell r="DW1" t="str">
            <v>تدريب  62</v>
          </cell>
          <cell r="DX1" t="str">
            <v>الخبره بوظيفه 63</v>
          </cell>
          <cell r="DY1" t="str">
            <v>بدايه الخبره 64</v>
          </cell>
          <cell r="DZ1" t="str">
            <v>نهايه الخبره 65</v>
          </cell>
          <cell r="EA1" t="str">
            <v>فتره الخبره 66</v>
          </cell>
          <cell r="EB1" t="str">
            <v>سنوات الخبره في مجال العمل7</v>
          </cell>
          <cell r="EC1" t="str">
            <v>سنوات الخبره في مجال العمل8</v>
          </cell>
          <cell r="ED1" t="str">
            <v>سنوات الخبره في مجال العمل9</v>
          </cell>
          <cell r="EE1" t="str">
            <v>سنوات الخبره في مجال العمل10</v>
          </cell>
          <cell r="EF1" t="str">
            <v>إستبدال 2007</v>
          </cell>
          <cell r="EG1" t="str">
            <v>إستبدال 2008</v>
          </cell>
          <cell r="EH1" t="str">
            <v>إستبدال 2009</v>
          </cell>
          <cell r="EI1" t="str">
            <v>إستبدال 2010</v>
          </cell>
          <cell r="EJ1" t="str">
            <v>إستبدال 2011</v>
          </cell>
          <cell r="EK1" t="str">
            <v>إستبدال 2012</v>
          </cell>
          <cell r="EL1" t="str">
            <v>إستبدال 2013</v>
          </cell>
          <cell r="EM1" t="str">
            <v>إستبدال 2014</v>
          </cell>
          <cell r="EN1" t="str">
            <v>إستبدال 2015</v>
          </cell>
          <cell r="EO1" t="str">
            <v>إستبدال 2016</v>
          </cell>
          <cell r="EP1" t="str">
            <v>إستبدال 2017</v>
          </cell>
          <cell r="EQ1" t="str">
            <v>مجموع المستبدل</v>
          </cell>
          <cell r="ER1" t="str">
            <v>المأخوذ من الاجازات حتى 2016</v>
          </cell>
          <cell r="ES1" t="str">
            <v>العقد الاول</v>
          </cell>
          <cell r="ET1" t="str">
            <v>نهايه العقد الاول</v>
          </cell>
          <cell r="EU1" t="str">
            <v>الوظيفه بالعقد</v>
          </cell>
          <cell r="EV1" t="str">
            <v>المتبقي بالعقد 1</v>
          </cell>
          <cell r="EW1" t="str">
            <v>العقد الثاني</v>
          </cell>
          <cell r="EX1" t="str">
            <v>نهايه العقد الثاني</v>
          </cell>
          <cell r="EY1" t="str">
            <v>الوظيفه بالعقد 2</v>
          </cell>
          <cell r="EZ1" t="str">
            <v>المتبقي بالعقد 2</v>
          </cell>
          <cell r="FA1" t="str">
            <v>سبب ترك العمل السابق</v>
          </cell>
          <cell r="FB1" t="str">
            <v>التعيين السابق</v>
          </cell>
          <cell r="FC1" t="str">
            <v>ترك العمل السابق</v>
          </cell>
          <cell r="FD1" t="str">
            <v>سبب ترك العمل السابق2</v>
          </cell>
          <cell r="FE1" t="str">
            <v>التعيين السابق3</v>
          </cell>
          <cell r="FF1" t="str">
            <v>ترك العمل السابق4</v>
          </cell>
          <cell r="FG1" t="str">
            <v>المدير المباشر</v>
          </cell>
          <cell r="FH1" t="str">
            <v>المدير المباشر2</v>
          </cell>
          <cell r="FI1" t="str">
            <v>الرقم الوطني2</v>
          </cell>
          <cell r="FJ1" t="str">
            <v>1</v>
          </cell>
          <cell r="FK1" t="str">
            <v>2</v>
          </cell>
          <cell r="FL1" t="str">
            <v>3</v>
          </cell>
          <cell r="FM1" t="str">
            <v>4</v>
          </cell>
          <cell r="FN1" t="str">
            <v>5</v>
          </cell>
          <cell r="FO1" t="str">
            <v>6</v>
          </cell>
          <cell r="FP1" t="str">
            <v>7</v>
          </cell>
          <cell r="FQ1" t="str">
            <v>8</v>
          </cell>
          <cell r="FR1" t="str">
            <v>9</v>
          </cell>
          <cell r="FS1" t="str">
            <v>10</v>
          </cell>
          <cell r="FT1" t="str">
            <v>11</v>
          </cell>
          <cell r="FU1" t="str">
            <v>12</v>
          </cell>
          <cell r="FV1" t="str">
            <v>تاريخ استخراج الرقم الوطني</v>
          </cell>
          <cell r="FW1" t="str">
            <v>Column3</v>
          </cell>
          <cell r="FX1" t="str">
            <v>D2</v>
          </cell>
          <cell r="FY1" t="str">
            <v>D3</v>
          </cell>
          <cell r="FZ1" t="str">
            <v>M2</v>
          </cell>
          <cell r="GA1" t="str">
            <v>M3</v>
          </cell>
          <cell r="GB1" t="str">
            <v>Y</v>
          </cell>
          <cell r="GC1" t="str">
            <v>Y2</v>
          </cell>
          <cell r="GD1" t="str">
            <v>Y3</v>
          </cell>
          <cell r="GE1" t="str">
            <v>Y4</v>
          </cell>
          <cell r="GF1" t="str">
            <v>الميلاد ولايه</v>
          </cell>
          <cell r="GG1" t="str">
            <v>الميلاد محافظه</v>
          </cell>
          <cell r="GH1" t="str">
            <v>تاريخ بدايه الضمان بعد اخر صرف</v>
          </cell>
          <cell r="GI1" t="str">
            <v>D4</v>
          </cell>
          <cell r="GJ1" t="str">
            <v>D5</v>
          </cell>
          <cell r="GK1" t="str">
            <v>M4</v>
          </cell>
          <cell r="GL1" t="str">
            <v>M5</v>
          </cell>
          <cell r="GM1" t="str">
            <v>Y5</v>
          </cell>
          <cell r="GN1" t="str">
            <v>Y6</v>
          </cell>
          <cell r="GO1" t="str">
            <v>Y7</v>
          </cell>
          <cell r="GP1" t="str">
            <v>Y8</v>
          </cell>
          <cell r="GQ1" t="str">
            <v>سبب انتهاء الخدمه للضمان</v>
          </cell>
          <cell r="GR1" t="str">
            <v>تاريخ نهايه الضمان بالفتره</v>
          </cell>
          <cell r="GS1" t="str">
            <v>D6</v>
          </cell>
          <cell r="GT1" t="str">
            <v>D7</v>
          </cell>
          <cell r="GU1" t="str">
            <v>M6</v>
          </cell>
          <cell r="GV1" t="str">
            <v>M7</v>
          </cell>
          <cell r="GW1" t="str">
            <v>Y9</v>
          </cell>
          <cell r="GX1" t="str">
            <v>Y10</v>
          </cell>
          <cell r="GY1" t="str">
            <v>Y11</v>
          </cell>
          <cell r="GZ1" t="str">
            <v>Y12</v>
          </cell>
          <cell r="HA1" t="str">
            <v>الجنسيه</v>
          </cell>
          <cell r="HB1" t="str">
            <v>ملحوظه</v>
          </cell>
          <cell r="HC1" t="str">
            <v>استبدال 2018</v>
          </cell>
          <cell r="HD1" t="str">
            <v>Column2</v>
          </cell>
        </row>
        <row r="2">
          <cell r="A2">
            <v>1</v>
          </cell>
          <cell r="B2" t="str">
            <v>احمد عبدالرحيم ابوبكر محمد</v>
          </cell>
          <cell r="C2" t="str">
            <v>احمد</v>
          </cell>
          <cell r="D2" t="str">
            <v>عبدالرحيم</v>
          </cell>
          <cell r="E2" t="str">
            <v>ابوبكر</v>
          </cell>
          <cell r="F2" t="str">
            <v>محمد</v>
          </cell>
          <cell r="G2" t="str">
            <v>المصنع</v>
          </cell>
          <cell r="H2" t="str">
            <v>الاداره</v>
          </cell>
          <cell r="I2" t="str">
            <v>الاداره</v>
          </cell>
          <cell r="J2" t="str">
            <v>A</v>
          </cell>
          <cell r="K2" t="str">
            <v>مدير المشتروات</v>
          </cell>
          <cell r="L2" t="str">
            <v>المدير الادارى</v>
          </cell>
          <cell r="M2">
            <v>39083</v>
          </cell>
          <cell r="N2">
            <v>43500</v>
          </cell>
          <cell r="O2">
            <v>12</v>
          </cell>
          <cell r="P2">
            <v>1</v>
          </cell>
          <cell r="Q2">
            <v>10</v>
          </cell>
          <cell r="R2">
            <v>352.5</v>
          </cell>
          <cell r="Z2">
            <v>22647</v>
          </cell>
          <cell r="AA2">
            <v>1</v>
          </cell>
          <cell r="AB2">
            <v>0</v>
          </cell>
          <cell r="AC2">
            <v>1</v>
          </cell>
          <cell r="AD2">
            <v>0</v>
          </cell>
          <cell r="AE2">
            <v>2</v>
          </cell>
          <cell r="AF2">
            <v>6</v>
          </cell>
          <cell r="AG2">
            <v>9</v>
          </cell>
          <cell r="AH2">
            <v>1</v>
          </cell>
          <cell r="AK2">
            <v>2</v>
          </cell>
          <cell r="AL2">
            <v>2</v>
          </cell>
          <cell r="AM2">
            <v>2</v>
          </cell>
          <cell r="AN2">
            <v>2</v>
          </cell>
          <cell r="AO2">
            <v>2</v>
          </cell>
          <cell r="AP2">
            <v>2</v>
          </cell>
          <cell r="AQ2">
            <v>2</v>
          </cell>
          <cell r="AR2">
            <v>2</v>
          </cell>
          <cell r="AS2">
            <v>43500</v>
          </cell>
          <cell r="AT2">
            <v>57</v>
          </cell>
          <cell r="AW2">
            <v>3</v>
          </cell>
          <cell r="AX2">
            <v>3</v>
          </cell>
          <cell r="AY2">
            <v>3</v>
          </cell>
          <cell r="AZ2">
            <v>3</v>
          </cell>
          <cell r="BA2">
            <v>3</v>
          </cell>
          <cell r="BB2">
            <v>3</v>
          </cell>
          <cell r="BC2">
            <v>3</v>
          </cell>
          <cell r="BD2">
            <v>3</v>
          </cell>
          <cell r="BE2" t="str">
            <v>120-7659333-0</v>
          </cell>
          <cell r="BF2" t="str">
            <v>زبيده احمد على</v>
          </cell>
          <cell r="BG2" t="str">
            <v>خاص</v>
          </cell>
          <cell r="BH2" t="str">
            <v>شمبات</v>
          </cell>
          <cell r="BI2" t="str">
            <v>0912691891</v>
          </cell>
          <cell r="BN2">
            <v>43500</v>
          </cell>
          <cell r="EH2">
            <v>30</v>
          </cell>
          <cell r="EI2">
            <v>30</v>
          </cell>
          <cell r="EJ2">
            <v>30</v>
          </cell>
          <cell r="EK2">
            <v>30</v>
          </cell>
          <cell r="EM2">
            <v>30</v>
          </cell>
          <cell r="EN2">
            <v>30</v>
          </cell>
          <cell r="EO2">
            <v>30</v>
          </cell>
          <cell r="EP2">
            <v>30</v>
          </cell>
          <cell r="EQ2">
            <v>270</v>
          </cell>
          <cell r="ER2">
            <v>28</v>
          </cell>
          <cell r="FG2" t="str">
            <v>المدير الادارى</v>
          </cell>
          <cell r="FH2" t="str">
            <v>احمد عبدالرحيم ابوبكر محمد</v>
          </cell>
          <cell r="FI2" t="str">
            <v>120-7659333-0</v>
          </cell>
          <cell r="HC2" t="str">
            <v>30</v>
          </cell>
          <cell r="IM2" t="str">
            <v>دكتوراه</v>
          </cell>
          <cell r="IN2" t="str">
            <v>ميلاد</v>
          </cell>
          <cell r="IO2" t="str">
            <v>خالي الطرف</v>
          </cell>
          <cell r="IP2" t="str">
            <v>بطاقه شخصيه</v>
          </cell>
          <cell r="IR2" t="str">
            <v>القسم</v>
          </cell>
          <cell r="IS2" t="str">
            <v>0</v>
          </cell>
          <cell r="IT2" t="str">
            <v>المسئول</v>
          </cell>
          <cell r="IU2" t="str">
            <v>المدير المباشر</v>
          </cell>
          <cell r="IV2" t="str">
            <v>Column5</v>
          </cell>
        </row>
        <row r="3">
          <cell r="A3">
            <v>2</v>
          </cell>
          <cell r="B3" t="str">
            <v>cancil</v>
          </cell>
          <cell r="G3" t="str">
            <v>cancil</v>
          </cell>
          <cell r="H3" t="str">
            <v>cancil</v>
          </cell>
          <cell r="M3">
            <v>43500</v>
          </cell>
          <cell r="N3">
            <v>43500</v>
          </cell>
          <cell r="O3">
            <v>0</v>
          </cell>
          <cell r="P3">
            <v>0</v>
          </cell>
          <cell r="R3">
            <v>0</v>
          </cell>
          <cell r="T3" t="str">
            <v>m</v>
          </cell>
          <cell r="AG3">
            <v>9</v>
          </cell>
          <cell r="AH3">
            <v>1</v>
          </cell>
          <cell r="AS3">
            <v>43500</v>
          </cell>
          <cell r="AT3">
            <v>119</v>
          </cell>
          <cell r="BN3">
            <v>43500</v>
          </cell>
          <cell r="EQ3">
            <v>0</v>
          </cell>
          <cell r="FG3" t="e">
            <v>#N/A</v>
          </cell>
          <cell r="FH3" t="e">
            <v>#N/A</v>
          </cell>
          <cell r="FI3">
            <v>0</v>
          </cell>
          <cell r="IM3" t="str">
            <v>ماجستير</v>
          </cell>
          <cell r="IN3" t="str">
            <v>تسنين</v>
          </cell>
          <cell r="IO3" t="str">
            <v>قيد الخدمه</v>
          </cell>
          <cell r="IP3" t="str">
            <v>جواز سفر</v>
          </cell>
          <cell r="IR3" t="str">
            <v>الاداره</v>
          </cell>
          <cell r="IT3" t="str">
            <v>المدير الادارى</v>
          </cell>
          <cell r="IU3" t="str">
            <v>احمد عبدالرحيم ابوبكر محمد</v>
          </cell>
        </row>
        <row r="4">
          <cell r="A4">
            <v>3</v>
          </cell>
          <cell r="B4" t="str">
            <v>حسين محمد حسن قاسم</v>
          </cell>
          <cell r="C4" t="str">
            <v>حسين</v>
          </cell>
          <cell r="D4" t="str">
            <v>محمد</v>
          </cell>
          <cell r="E4" t="str">
            <v>حسن</v>
          </cell>
          <cell r="F4" t="str">
            <v>قاسم</v>
          </cell>
          <cell r="G4" t="str">
            <v>المصنع</v>
          </cell>
          <cell r="H4" t="str">
            <v>الاداره</v>
          </cell>
          <cell r="I4" t="str">
            <v>الاداره</v>
          </cell>
          <cell r="J4" t="str">
            <v>A</v>
          </cell>
          <cell r="L4" t="str">
            <v>مدير المجموعه الصناعيه</v>
          </cell>
          <cell r="M4">
            <v>40909</v>
          </cell>
          <cell r="N4">
            <v>42719</v>
          </cell>
          <cell r="O4">
            <v>4</v>
          </cell>
          <cell r="P4">
            <v>11</v>
          </cell>
          <cell r="Q4">
            <v>0</v>
          </cell>
          <cell r="R4">
            <v>147.5</v>
          </cell>
          <cell r="T4" t="str">
            <v>إستقال</v>
          </cell>
          <cell r="U4">
            <v>42705</v>
          </cell>
          <cell r="V4">
            <v>42719</v>
          </cell>
          <cell r="AG4">
            <v>9</v>
          </cell>
          <cell r="AH4">
            <v>1</v>
          </cell>
          <cell r="AS4">
            <v>43500</v>
          </cell>
          <cell r="AT4">
            <v>119</v>
          </cell>
          <cell r="BN4">
            <v>43500</v>
          </cell>
          <cell r="EQ4">
            <v>0</v>
          </cell>
          <cell r="FG4" t="str">
            <v>المدير الادارى</v>
          </cell>
          <cell r="FH4" t="str">
            <v>احمد عبدالرحيم ابوبكر محمد</v>
          </cell>
          <cell r="FI4">
            <v>0</v>
          </cell>
          <cell r="IM4" t="str">
            <v>بكلاريوس الشرف</v>
          </cell>
          <cell r="IN4" t="str">
            <v>ميلاد بالخارج</v>
          </cell>
          <cell r="IO4" t="str">
            <v>إستثناء</v>
          </cell>
          <cell r="IP4" t="str">
            <v>جنسيه</v>
          </cell>
          <cell r="IR4" t="str">
            <v>الانتاج</v>
          </cell>
          <cell r="IT4" t="str">
            <v xml:space="preserve"> مدير الانتاج</v>
          </cell>
          <cell r="IU4" t="str">
            <v>هشام عيسى محمد عبدالكريم</v>
          </cell>
        </row>
        <row r="5">
          <cell r="A5">
            <v>4</v>
          </cell>
          <cell r="B5" t="str">
            <v>عبدالمنعم موسي ادريس الياس</v>
          </cell>
          <cell r="C5" t="str">
            <v>عبدالمنعم</v>
          </cell>
          <cell r="D5" t="str">
            <v>موسى</v>
          </cell>
          <cell r="E5" t="str">
            <v>ادريس</v>
          </cell>
          <cell r="F5" t="str">
            <v>الياس</v>
          </cell>
          <cell r="G5" t="str">
            <v>م الاداره</v>
          </cell>
          <cell r="H5" t="str">
            <v>الاداره</v>
          </cell>
          <cell r="M5">
            <v>39063</v>
          </cell>
          <cell r="N5">
            <v>43500</v>
          </cell>
          <cell r="O5">
            <v>12</v>
          </cell>
          <cell r="P5">
            <v>1</v>
          </cell>
          <cell r="Q5">
            <v>10</v>
          </cell>
          <cell r="R5">
            <v>352.5</v>
          </cell>
          <cell r="T5" t="str">
            <v>m</v>
          </cell>
          <cell r="AG5">
            <v>9</v>
          </cell>
          <cell r="AH5">
            <v>1</v>
          </cell>
          <cell r="AS5">
            <v>43500</v>
          </cell>
          <cell r="AT5">
            <v>119</v>
          </cell>
          <cell r="BG5" t="str">
            <v>خاص</v>
          </cell>
          <cell r="BN5">
            <v>43500</v>
          </cell>
          <cell r="EQ5">
            <v>0</v>
          </cell>
          <cell r="FG5" t="str">
            <v>المدير الادارى</v>
          </cell>
          <cell r="FH5" t="str">
            <v>احمد عبدالرحيم ابوبكر محمد</v>
          </cell>
          <cell r="FI5">
            <v>0</v>
          </cell>
          <cell r="IM5" t="str">
            <v>بكلاريوس</v>
          </cell>
          <cell r="IO5" t="str">
            <v>كبار سن</v>
          </cell>
          <cell r="IP5" t="str">
            <v>بطاقه قوميه</v>
          </cell>
          <cell r="IR5" t="str">
            <v>الميكانيكا</v>
          </cell>
          <cell r="IT5" t="str">
            <v>مدير الصيانه الميكانيكيه</v>
          </cell>
          <cell r="IU5" t="str">
            <v>محمد احمد محمد سليمان</v>
          </cell>
        </row>
        <row r="6">
          <cell r="A6">
            <v>5</v>
          </cell>
          <cell r="B6" t="str">
            <v>محمد بابكر محمد الامين</v>
          </cell>
          <cell r="C6" t="str">
            <v>محمد</v>
          </cell>
          <cell r="D6" t="str">
            <v>بابكر</v>
          </cell>
          <cell r="E6" t="str">
            <v>محمد</v>
          </cell>
          <cell r="F6" t="str">
            <v>الامين</v>
          </cell>
          <cell r="G6" t="str">
            <v>المصنع</v>
          </cell>
          <cell r="H6" t="str">
            <v>المستودعات</v>
          </cell>
          <cell r="I6" t="str">
            <v>قطع الغيار</v>
          </cell>
          <cell r="K6" t="str">
            <v>امين مستودع</v>
          </cell>
          <cell r="L6" t="str">
            <v>امين مستودع ق غ</v>
          </cell>
          <cell r="M6">
            <v>39052</v>
          </cell>
          <cell r="N6">
            <v>43500</v>
          </cell>
          <cell r="O6">
            <v>12</v>
          </cell>
          <cell r="P6">
            <v>2</v>
          </cell>
          <cell r="Q6">
            <v>10</v>
          </cell>
          <cell r="R6">
            <v>355</v>
          </cell>
          <cell r="Z6">
            <v>23355</v>
          </cell>
          <cell r="AG6">
            <v>9</v>
          </cell>
          <cell r="AH6">
            <v>1</v>
          </cell>
          <cell r="AI6" t="str">
            <v>ميلاد</v>
          </cell>
          <cell r="AJ6">
            <v>263894</v>
          </cell>
          <cell r="AK6">
            <v>4</v>
          </cell>
          <cell r="AL6">
            <v>9</v>
          </cell>
          <cell r="AM6">
            <v>8</v>
          </cell>
          <cell r="AN6">
            <v>3</v>
          </cell>
          <cell r="AO6">
            <v>6</v>
          </cell>
          <cell r="AP6">
            <v>2</v>
          </cell>
          <cell r="AS6">
            <v>43500</v>
          </cell>
          <cell r="AT6">
            <v>55</v>
          </cell>
          <cell r="AU6" t="str">
            <v>جنسيه</v>
          </cell>
          <cell r="AV6" t="str">
            <v>033393</v>
          </cell>
          <cell r="AW6">
            <v>3</v>
          </cell>
          <cell r="AX6">
            <v>9</v>
          </cell>
          <cell r="AY6">
            <v>3</v>
          </cell>
          <cell r="AZ6">
            <v>3</v>
          </cell>
          <cell r="BA6">
            <v>3</v>
          </cell>
          <cell r="BB6">
            <v>0</v>
          </cell>
          <cell r="BE6" t="str">
            <v>114-9024022-0</v>
          </cell>
          <cell r="BF6" t="str">
            <v>رقيه إبراهيم</v>
          </cell>
          <cell r="BG6" t="str">
            <v>الجزيره</v>
          </cell>
          <cell r="BH6" t="str">
            <v>الجزيره - شقايق</v>
          </cell>
          <cell r="BI6" t="str">
            <v>0122414529</v>
          </cell>
          <cell r="BJ6" t="str">
            <v>النور بابكر محمد الامين</v>
          </cell>
          <cell r="BK6" t="str">
            <v>0912394702</v>
          </cell>
          <cell r="BN6">
            <v>43500</v>
          </cell>
          <cell r="BT6" t="str">
            <v>شهاده ثانويه</v>
          </cell>
          <cell r="BV6">
            <v>32143</v>
          </cell>
          <cell r="EK6">
            <v>30</v>
          </cell>
          <cell r="EM6">
            <v>30</v>
          </cell>
          <cell r="EQ6">
            <v>60</v>
          </cell>
          <cell r="ER6">
            <v>230</v>
          </cell>
          <cell r="FG6" t="str">
            <v>مدير المستودعات</v>
          </cell>
          <cell r="FH6" t="str">
            <v>على احمد على بابكر</v>
          </cell>
          <cell r="FI6" t="str">
            <v>114-9024022-0</v>
          </cell>
          <cell r="IM6" t="str">
            <v>دبلوم تقني</v>
          </cell>
          <cell r="IO6" t="str">
            <v>خاضع للخدمه</v>
          </cell>
          <cell r="IR6" t="str">
            <v>الكهرباء</v>
          </cell>
          <cell r="IT6" t="str">
            <v>مدير الصيانه الكهربائيه</v>
          </cell>
          <cell r="IU6" t="str">
            <v>ماهر ضيف الله سليمان جابر</v>
          </cell>
        </row>
        <row r="7">
          <cell r="A7">
            <v>6</v>
          </cell>
          <cell r="B7" t="str">
            <v>كمال عبدالمجيد عبدون طه</v>
          </cell>
          <cell r="C7" t="str">
            <v>كمال</v>
          </cell>
          <cell r="D7" t="str">
            <v>عبدالمجيد</v>
          </cell>
          <cell r="E7" t="str">
            <v>عبدون</v>
          </cell>
          <cell r="F7" t="str">
            <v>طه</v>
          </cell>
          <cell r="G7" t="str">
            <v>المصنع</v>
          </cell>
          <cell r="H7" t="str">
            <v>المستودعات</v>
          </cell>
          <cell r="I7" t="str">
            <v>قطع الغيار</v>
          </cell>
          <cell r="K7" t="str">
            <v>امين مستودع</v>
          </cell>
          <cell r="L7" t="str">
            <v>امين مستودع ق غ</v>
          </cell>
          <cell r="M7">
            <v>39114</v>
          </cell>
          <cell r="N7">
            <v>43500</v>
          </cell>
          <cell r="O7">
            <v>12</v>
          </cell>
          <cell r="P7">
            <v>0</v>
          </cell>
          <cell r="Q7">
            <v>10</v>
          </cell>
          <cell r="R7">
            <v>350</v>
          </cell>
          <cell r="Z7">
            <v>29587</v>
          </cell>
          <cell r="AG7">
            <v>9</v>
          </cell>
          <cell r="AH7">
            <v>1</v>
          </cell>
          <cell r="AI7" t="str">
            <v>تسنين</v>
          </cell>
          <cell r="AJ7">
            <v>2504789</v>
          </cell>
          <cell r="AK7">
            <v>9</v>
          </cell>
          <cell r="AL7">
            <v>8</v>
          </cell>
          <cell r="AM7">
            <v>7</v>
          </cell>
          <cell r="AN7">
            <v>4</v>
          </cell>
          <cell r="AO7">
            <v>0</v>
          </cell>
          <cell r="AP7">
            <v>5</v>
          </cell>
          <cell r="AQ7">
            <v>2</v>
          </cell>
          <cell r="AS7">
            <v>43500</v>
          </cell>
          <cell r="AT7">
            <v>38</v>
          </cell>
          <cell r="AU7" t="str">
            <v>بطاقه قوميه</v>
          </cell>
          <cell r="AV7" t="str">
            <v>003364882</v>
          </cell>
          <cell r="AW7">
            <v>2</v>
          </cell>
          <cell r="AX7">
            <v>8</v>
          </cell>
          <cell r="AY7">
            <v>8</v>
          </cell>
          <cell r="AZ7">
            <v>4</v>
          </cell>
          <cell r="BA7">
            <v>6</v>
          </cell>
          <cell r="BB7">
            <v>3</v>
          </cell>
          <cell r="BC7">
            <v>3</v>
          </cell>
          <cell r="BD7">
            <v>0</v>
          </cell>
          <cell r="BF7" t="str">
            <v>عائشه خيرى صالح</v>
          </cell>
          <cell r="BG7" t="str">
            <v>العربى</v>
          </cell>
          <cell r="BH7" t="str">
            <v>بترى</v>
          </cell>
          <cell r="BI7" t="str">
            <v>0912990702</v>
          </cell>
          <cell r="BJ7" t="str">
            <v>محمد عبد المجيد</v>
          </cell>
          <cell r="BK7" t="str">
            <v>0917242820</v>
          </cell>
          <cell r="BN7">
            <v>43500</v>
          </cell>
          <cell r="EG7">
            <v>30</v>
          </cell>
          <cell r="EK7">
            <v>30</v>
          </cell>
          <cell r="EL7">
            <v>30</v>
          </cell>
          <cell r="EM7">
            <v>30</v>
          </cell>
          <cell r="EO7">
            <v>30</v>
          </cell>
          <cell r="EP7">
            <v>30</v>
          </cell>
          <cell r="EQ7">
            <v>180</v>
          </cell>
          <cell r="ER7">
            <v>109</v>
          </cell>
          <cell r="FG7" t="str">
            <v>مدير المستودعات</v>
          </cell>
          <cell r="FH7" t="str">
            <v>على احمد على بابكر</v>
          </cell>
          <cell r="FI7">
            <v>0</v>
          </cell>
          <cell r="IM7" t="str">
            <v>دبلوم وسيط</v>
          </cell>
          <cell r="IR7" t="str">
            <v>الجوده</v>
          </cell>
          <cell r="IT7" t="str">
            <v>مسئول قسم الجوده</v>
          </cell>
          <cell r="IU7" t="str">
            <v>المبارك محمد ابراهيم</v>
          </cell>
        </row>
        <row r="8">
          <cell r="A8">
            <v>7</v>
          </cell>
          <cell r="B8" t="str">
            <v>إبراهيم احمد إبراهيم محمد</v>
          </cell>
          <cell r="G8" t="str">
            <v>المصنع</v>
          </cell>
          <cell r="H8" t="str">
            <v>الماليه</v>
          </cell>
          <cell r="O8">
            <v>0</v>
          </cell>
          <cell r="P8">
            <v>0</v>
          </cell>
          <cell r="R8">
            <v>0</v>
          </cell>
          <cell r="T8" t="str">
            <v>m</v>
          </cell>
          <cell r="Z8">
            <v>28350</v>
          </cell>
          <cell r="AG8">
            <v>9</v>
          </cell>
          <cell r="AH8">
            <v>1</v>
          </cell>
          <cell r="AI8" t="str">
            <v>ميلاد</v>
          </cell>
          <cell r="AJ8">
            <v>976941</v>
          </cell>
          <cell r="AS8">
            <v>43500</v>
          </cell>
          <cell r="AT8">
            <v>41</v>
          </cell>
          <cell r="AU8" t="str">
            <v>جنسيه</v>
          </cell>
          <cell r="AV8" t="str">
            <v>0054863</v>
          </cell>
          <cell r="AW8">
            <v>3</v>
          </cell>
          <cell r="AX8">
            <v>6</v>
          </cell>
          <cell r="AY8">
            <v>8</v>
          </cell>
          <cell r="AZ8">
            <v>4</v>
          </cell>
          <cell r="BA8">
            <v>5</v>
          </cell>
          <cell r="BB8">
            <v>0</v>
          </cell>
          <cell r="BC8">
            <v>0</v>
          </cell>
          <cell r="BF8" t="str">
            <v>كلثوم احمد يحى</v>
          </cell>
          <cell r="BN8">
            <v>43500</v>
          </cell>
          <cell r="BS8" t="str">
            <v>إدارة الاعمال</v>
          </cell>
          <cell r="BT8" t="str">
            <v>بكلاريوس</v>
          </cell>
          <cell r="BU8" t="str">
            <v>جامعة امدرمان الاسلامية</v>
          </cell>
          <cell r="BV8">
            <v>41518</v>
          </cell>
          <cell r="BW8" t="str">
            <v>الادارة العامة</v>
          </cell>
          <cell r="BX8" t="str">
            <v>دبلوم وسيط</v>
          </cell>
          <cell r="BY8" t="str">
            <v>جامعة امدرمان الاسلامية</v>
          </cell>
          <cell r="BZ8">
            <v>36770</v>
          </cell>
          <cell r="CA8" t="str">
            <v>إدارة الاعمال</v>
          </cell>
          <cell r="CB8" t="str">
            <v>بكلاريوس</v>
          </cell>
          <cell r="CC8" t="str">
            <v>جامعة امدرمان الاسلامية</v>
          </cell>
          <cell r="CD8">
            <v>41518</v>
          </cell>
          <cell r="EQ8">
            <v>0</v>
          </cell>
          <cell r="FG8" t="str">
            <v>المدير المالي</v>
          </cell>
          <cell r="FH8" t="str">
            <v>بالانابه</v>
          </cell>
          <cell r="FI8">
            <v>0</v>
          </cell>
          <cell r="IM8" t="str">
            <v>دبلوم (معاهد)</v>
          </cell>
          <cell r="IR8" t="str">
            <v>الامن و الحركه</v>
          </cell>
          <cell r="IT8" t="str">
            <v>مدير الامن و الحركه</v>
          </cell>
          <cell r="IU8" t="str">
            <v>فارس حمدان عبدالله فارس</v>
          </cell>
        </row>
        <row r="9">
          <cell r="A9">
            <v>8</v>
          </cell>
          <cell r="B9" t="str">
            <v>مصطفى قمرالدوله ابراهيم إدريس</v>
          </cell>
          <cell r="C9" t="str">
            <v>مصطفي</v>
          </cell>
          <cell r="D9" t="str">
            <v>قمرالدوله</v>
          </cell>
          <cell r="E9" t="str">
            <v>ابراهيم</v>
          </cell>
          <cell r="F9" t="str">
            <v>إدريس</v>
          </cell>
          <cell r="G9" t="str">
            <v>المصنع</v>
          </cell>
          <cell r="H9" t="str">
            <v>المستودعات</v>
          </cell>
          <cell r="I9" t="str">
            <v>الخام</v>
          </cell>
          <cell r="L9" t="str">
            <v>مسئول مستودع الخام</v>
          </cell>
          <cell r="M9">
            <v>39130</v>
          </cell>
          <cell r="N9">
            <v>43500</v>
          </cell>
          <cell r="O9">
            <v>11</v>
          </cell>
          <cell r="P9">
            <v>11</v>
          </cell>
          <cell r="Q9">
            <v>10</v>
          </cell>
          <cell r="R9">
            <v>347.5</v>
          </cell>
          <cell r="Z9">
            <v>27395</v>
          </cell>
          <cell r="AG9">
            <v>9</v>
          </cell>
          <cell r="AH9">
            <v>1</v>
          </cell>
          <cell r="AI9" t="str">
            <v>تسنين</v>
          </cell>
          <cell r="AJ9">
            <v>389911</v>
          </cell>
          <cell r="AK9">
            <v>1</v>
          </cell>
          <cell r="AL9">
            <v>1</v>
          </cell>
          <cell r="AM9">
            <v>9</v>
          </cell>
          <cell r="AN9">
            <v>9</v>
          </cell>
          <cell r="AO9">
            <v>8</v>
          </cell>
          <cell r="AP9">
            <v>3</v>
          </cell>
          <cell r="AS9">
            <v>43500</v>
          </cell>
          <cell r="AT9">
            <v>44</v>
          </cell>
          <cell r="BG9" t="str">
            <v>الكلاكله</v>
          </cell>
          <cell r="BH9" t="str">
            <v>الكلاكله القبه</v>
          </cell>
          <cell r="BI9" t="str">
            <v>0918897206</v>
          </cell>
          <cell r="BJ9" t="str">
            <v>عبد الوكيل الجيلانى</v>
          </cell>
          <cell r="BK9" t="str">
            <v>0111641006</v>
          </cell>
          <cell r="BL9" t="str">
            <v>خالي الطرف</v>
          </cell>
          <cell r="BN9">
            <v>43500</v>
          </cell>
          <cell r="BS9" t="str">
            <v>محاسبة</v>
          </cell>
          <cell r="BT9" t="str">
            <v>بكلاريوس</v>
          </cell>
          <cell r="BU9" t="str">
            <v>جامعة امدرمان الاسلامية</v>
          </cell>
          <cell r="EJ9">
            <v>30</v>
          </cell>
          <cell r="EK9">
            <v>30</v>
          </cell>
          <cell r="EM9">
            <v>60</v>
          </cell>
          <cell r="EN9">
            <v>30</v>
          </cell>
          <cell r="EO9">
            <v>30</v>
          </cell>
          <cell r="EQ9">
            <v>210</v>
          </cell>
          <cell r="ER9">
            <v>110</v>
          </cell>
          <cell r="FG9" t="str">
            <v>مدير المستودعات</v>
          </cell>
          <cell r="FH9" t="str">
            <v>على احمد على بابكر</v>
          </cell>
          <cell r="FI9">
            <v>0</v>
          </cell>
          <cell r="HC9" t="str">
            <v>30</v>
          </cell>
          <cell r="IM9" t="str">
            <v>شهاده ثانويه</v>
          </cell>
          <cell r="IR9" t="str">
            <v>الماليه</v>
          </cell>
          <cell r="IT9" t="str">
            <v>المدير المالي</v>
          </cell>
          <cell r="IU9" t="str">
            <v>بالانابه</v>
          </cell>
        </row>
        <row r="10">
          <cell r="A10">
            <v>9</v>
          </cell>
          <cell r="B10" t="str">
            <v>على احمد على بابكر</v>
          </cell>
          <cell r="C10" t="str">
            <v>على</v>
          </cell>
          <cell r="D10" t="str">
            <v>احمد</v>
          </cell>
          <cell r="E10" t="str">
            <v>على</v>
          </cell>
          <cell r="F10" t="str">
            <v>بابكر</v>
          </cell>
          <cell r="G10" t="str">
            <v>المصنع</v>
          </cell>
          <cell r="H10" t="str">
            <v>المستودعات</v>
          </cell>
          <cell r="I10" t="str">
            <v>مدير قسم</v>
          </cell>
          <cell r="K10" t="str">
            <v>مساعد المدير المالي</v>
          </cell>
          <cell r="L10" t="str">
            <v>مدير المستودعات</v>
          </cell>
          <cell r="M10">
            <v>39097</v>
          </cell>
          <cell r="N10">
            <v>43500</v>
          </cell>
          <cell r="O10">
            <v>12</v>
          </cell>
          <cell r="P10">
            <v>0</v>
          </cell>
          <cell r="Q10">
            <v>10</v>
          </cell>
          <cell r="R10">
            <v>350</v>
          </cell>
          <cell r="Z10">
            <v>27760</v>
          </cell>
          <cell r="AG10">
            <v>9</v>
          </cell>
          <cell r="AH10">
            <v>1</v>
          </cell>
          <cell r="AI10" t="str">
            <v>تسنين</v>
          </cell>
          <cell r="AJ10">
            <v>243904</v>
          </cell>
          <cell r="AK10">
            <v>4</v>
          </cell>
          <cell r="AL10">
            <v>0</v>
          </cell>
          <cell r="AM10">
            <v>9</v>
          </cell>
          <cell r="AN10">
            <v>3</v>
          </cell>
          <cell r="AO10">
            <v>4</v>
          </cell>
          <cell r="AP10">
            <v>2</v>
          </cell>
          <cell r="AS10">
            <v>43500</v>
          </cell>
          <cell r="AT10">
            <v>43</v>
          </cell>
          <cell r="AU10" t="str">
            <v>بطاقه قوميه</v>
          </cell>
          <cell r="AV10" t="str">
            <v>001128509</v>
          </cell>
          <cell r="AW10">
            <v>9</v>
          </cell>
          <cell r="AX10">
            <v>0</v>
          </cell>
          <cell r="AY10">
            <v>5</v>
          </cell>
          <cell r="AZ10">
            <v>8</v>
          </cell>
          <cell r="BA10">
            <v>2</v>
          </cell>
          <cell r="BB10">
            <v>1</v>
          </cell>
          <cell r="BC10">
            <v>1</v>
          </cell>
          <cell r="BD10">
            <v>0</v>
          </cell>
          <cell r="BG10" t="str">
            <v>خاص</v>
          </cell>
          <cell r="BH10" t="str">
            <v>بترى</v>
          </cell>
          <cell r="BI10" t="str">
            <v>0912224190</v>
          </cell>
          <cell r="BL10" t="str">
            <v>خالي الطرف</v>
          </cell>
          <cell r="BN10">
            <v>43500</v>
          </cell>
          <cell r="BS10" t="str">
            <v>محاسبة</v>
          </cell>
          <cell r="BT10" t="str">
            <v>دبلوم تقني</v>
          </cell>
          <cell r="BU10" t="str">
            <v>جامعة الخرطوم</v>
          </cell>
          <cell r="BV10">
            <v>36610</v>
          </cell>
          <cell r="EG10">
            <v>30</v>
          </cell>
          <cell r="EH10">
            <v>30</v>
          </cell>
          <cell r="EI10">
            <v>30</v>
          </cell>
          <cell r="EJ10">
            <v>30</v>
          </cell>
          <cell r="EK10">
            <v>30</v>
          </cell>
          <cell r="EM10">
            <v>30</v>
          </cell>
          <cell r="EQ10">
            <v>180</v>
          </cell>
          <cell r="ER10">
            <v>61</v>
          </cell>
          <cell r="FG10" t="str">
            <v>مدير المستودعات</v>
          </cell>
          <cell r="FH10" t="str">
            <v>على احمد على بابكر</v>
          </cell>
          <cell r="FI10">
            <v>0</v>
          </cell>
          <cell r="IM10" t="str">
            <v>تدريب مهني</v>
          </cell>
          <cell r="IR10" t="str">
            <v>الموارد البشريه</v>
          </cell>
          <cell r="IT10" t="str">
            <v>نائب مدير الموارد المكلف</v>
          </cell>
          <cell r="IU10" t="str">
            <v>محمد على عبدالرحيم ابوبكر</v>
          </cell>
        </row>
        <row r="11">
          <cell r="A11">
            <v>10</v>
          </cell>
          <cell r="B11" t="str">
            <v>محمد حسن خليل يوسف</v>
          </cell>
          <cell r="O11">
            <v>0</v>
          </cell>
          <cell r="P11">
            <v>0</v>
          </cell>
          <cell r="R11">
            <v>0</v>
          </cell>
          <cell r="T11" t="str">
            <v>توفي</v>
          </cell>
          <cell r="AG11">
            <v>9</v>
          </cell>
          <cell r="AH11">
            <v>1</v>
          </cell>
          <cell r="AS11">
            <v>43500</v>
          </cell>
          <cell r="AT11">
            <v>119</v>
          </cell>
          <cell r="BN11">
            <v>43500</v>
          </cell>
          <cell r="EQ11">
            <v>0</v>
          </cell>
          <cell r="FG11" t="e">
            <v>#N/A</v>
          </cell>
          <cell r="FH11" t="e">
            <v>#N/A</v>
          </cell>
          <cell r="FI11">
            <v>0</v>
          </cell>
          <cell r="IM11" t="str">
            <v>شهاده دورة تدريب</v>
          </cell>
          <cell r="IR11" t="str">
            <v>المستودعات</v>
          </cell>
          <cell r="IT11" t="str">
            <v>مدير المستودعات</v>
          </cell>
          <cell r="IU11" t="str">
            <v>على احمد على بابكر</v>
          </cell>
        </row>
        <row r="12">
          <cell r="A12">
            <v>11</v>
          </cell>
          <cell r="O12">
            <v>0</v>
          </cell>
          <cell r="P12">
            <v>0</v>
          </cell>
          <cell r="R12">
            <v>0</v>
          </cell>
          <cell r="T12" t="str">
            <v>m</v>
          </cell>
          <cell r="AG12">
            <v>9</v>
          </cell>
          <cell r="AH12">
            <v>1</v>
          </cell>
          <cell r="AS12">
            <v>43500</v>
          </cell>
          <cell r="AT12">
            <v>119</v>
          </cell>
          <cell r="BN12">
            <v>43500</v>
          </cell>
          <cell r="EQ12">
            <v>0</v>
          </cell>
          <cell r="FG12" t="e">
            <v>#N/A</v>
          </cell>
          <cell r="FH12" t="e">
            <v>#N/A</v>
          </cell>
          <cell r="FI12">
            <v>0</v>
          </cell>
          <cell r="IM12" t="str">
            <v>شهاده كورس</v>
          </cell>
          <cell r="IR12" t="str">
            <v>الاليات</v>
          </cell>
          <cell r="IT12" t="str">
            <v>مسئول قسم الاليات</v>
          </cell>
          <cell r="IU12" t="str">
            <v>جمال حامد عبد الكريم العبيد</v>
          </cell>
        </row>
        <row r="13">
          <cell r="A13">
            <v>12</v>
          </cell>
          <cell r="B13" t="str">
            <v>قاسم عبدالرازق عثمان مرزوق</v>
          </cell>
          <cell r="C13" t="str">
            <v>قاسم</v>
          </cell>
          <cell r="D13" t="str">
            <v>عبدالرازق</v>
          </cell>
          <cell r="E13" t="str">
            <v>عثمان</v>
          </cell>
          <cell r="F13" t="str">
            <v>مرزوق</v>
          </cell>
          <cell r="G13" t="str">
            <v>المصنع</v>
          </cell>
          <cell r="H13" t="str">
            <v>الامن و الحركه</v>
          </cell>
          <cell r="I13" t="str">
            <v>الامن</v>
          </cell>
          <cell r="K13" t="str">
            <v>فرد امن</v>
          </cell>
          <cell r="L13" t="str">
            <v>فرد امن</v>
          </cell>
          <cell r="M13">
            <v>43425</v>
          </cell>
          <cell r="N13">
            <v>43500</v>
          </cell>
          <cell r="O13">
            <v>0</v>
          </cell>
          <cell r="P13">
            <v>2</v>
          </cell>
          <cell r="Q13">
            <v>10</v>
          </cell>
          <cell r="R13">
            <v>-5</v>
          </cell>
          <cell r="T13" t="str">
            <v>m</v>
          </cell>
          <cell r="X13">
            <v>39142</v>
          </cell>
          <cell r="Z13">
            <v>21551</v>
          </cell>
          <cell r="AG13">
            <v>9</v>
          </cell>
          <cell r="AH13">
            <v>1</v>
          </cell>
          <cell r="AI13" t="str">
            <v>تسنين</v>
          </cell>
          <cell r="AJ13">
            <v>266679</v>
          </cell>
          <cell r="AS13">
            <v>43500</v>
          </cell>
          <cell r="AT13">
            <v>60</v>
          </cell>
          <cell r="BG13" t="str">
            <v>الجزيره</v>
          </cell>
          <cell r="BH13" t="str">
            <v xml:space="preserve">التى </v>
          </cell>
          <cell r="BI13" t="str">
            <v>0917040985</v>
          </cell>
          <cell r="BJ13" t="str">
            <v>تاج الدين عبدالرازق</v>
          </cell>
          <cell r="BK13" t="str">
            <v>0913648353</v>
          </cell>
          <cell r="BL13" t="str">
            <v>كبار سن</v>
          </cell>
          <cell r="BN13">
            <v>43500</v>
          </cell>
          <cell r="EL13">
            <v>30</v>
          </cell>
          <cell r="EQ13">
            <v>30</v>
          </cell>
          <cell r="ER13">
            <v>209</v>
          </cell>
          <cell r="FG13" t="str">
            <v>مدير الامن و الحركه</v>
          </cell>
          <cell r="FH13" t="str">
            <v>فارس حمدان عبدالله فارس</v>
          </cell>
          <cell r="FI13">
            <v>0</v>
          </cell>
          <cell r="IM13" t="str">
            <v>شهاده متوسطه</v>
          </cell>
          <cell r="IR13" t="str">
            <v>الكمبيوتر</v>
          </cell>
          <cell r="IT13" t="str">
            <v>مدير قسم الكمبيوتر</v>
          </cell>
          <cell r="IU13" t="str">
            <v>معتز عمر مصطفى</v>
          </cell>
        </row>
        <row r="14">
          <cell r="A14">
            <v>13</v>
          </cell>
          <cell r="B14" t="str">
            <v>فارس حمدان عبدالله فارس</v>
          </cell>
          <cell r="C14" t="str">
            <v>فارس</v>
          </cell>
          <cell r="D14" t="str">
            <v>حمدان</v>
          </cell>
          <cell r="E14" t="str">
            <v>عبدالله</v>
          </cell>
          <cell r="F14" t="str">
            <v>فارس</v>
          </cell>
          <cell r="G14" t="str">
            <v>المصنع</v>
          </cell>
          <cell r="H14" t="str">
            <v>الامن و الحركه</v>
          </cell>
          <cell r="I14" t="str">
            <v xml:space="preserve">مدير قسم </v>
          </cell>
          <cell r="K14" t="str">
            <v>فرد امن</v>
          </cell>
          <cell r="L14" t="str">
            <v>مدير الامن و الحركه</v>
          </cell>
          <cell r="M14">
            <v>39091</v>
          </cell>
          <cell r="N14">
            <v>43500</v>
          </cell>
          <cell r="O14">
            <v>12</v>
          </cell>
          <cell r="P14">
            <v>0</v>
          </cell>
          <cell r="Q14">
            <v>10</v>
          </cell>
          <cell r="R14">
            <v>350</v>
          </cell>
          <cell r="Z14">
            <v>28491</v>
          </cell>
          <cell r="AG14">
            <v>9</v>
          </cell>
          <cell r="AH14">
            <v>1</v>
          </cell>
          <cell r="AI14" t="str">
            <v>تسنين</v>
          </cell>
          <cell r="AJ14" t="str">
            <v>0136637</v>
          </cell>
          <cell r="AK14">
            <v>7</v>
          </cell>
          <cell r="AL14">
            <v>3</v>
          </cell>
          <cell r="AM14">
            <v>6</v>
          </cell>
          <cell r="AN14">
            <v>6</v>
          </cell>
          <cell r="AO14">
            <v>3</v>
          </cell>
          <cell r="AP14">
            <v>1</v>
          </cell>
          <cell r="AQ14">
            <v>0</v>
          </cell>
          <cell r="AS14">
            <v>43500</v>
          </cell>
          <cell r="AT14">
            <v>41</v>
          </cell>
          <cell r="AU14" t="str">
            <v>جنسيه</v>
          </cell>
          <cell r="AV14" t="str">
            <v>0147626</v>
          </cell>
          <cell r="AW14">
            <v>6</v>
          </cell>
          <cell r="AX14">
            <v>2</v>
          </cell>
          <cell r="AY14">
            <v>6</v>
          </cell>
          <cell r="AZ14">
            <v>7</v>
          </cell>
          <cell r="BA14">
            <v>4</v>
          </cell>
          <cell r="BB14">
            <v>1</v>
          </cell>
          <cell r="BC14">
            <v>0</v>
          </cell>
          <cell r="BE14" t="str">
            <v>120-7675391-9</v>
          </cell>
          <cell r="BF14" t="str">
            <v>حواء حسن حمدان</v>
          </cell>
          <cell r="BG14" t="str">
            <v>العربى</v>
          </cell>
          <cell r="BH14" t="str">
            <v>امدرمان ابوسعد المربعات</v>
          </cell>
          <cell r="BI14" t="str">
            <v>0914114542</v>
          </cell>
          <cell r="BJ14" t="str">
            <v>نصر الدين محمد بشير</v>
          </cell>
          <cell r="BK14" t="str">
            <v>0910677111</v>
          </cell>
          <cell r="BL14" t="str">
            <v>خالي الطرف</v>
          </cell>
          <cell r="BN14">
            <v>43500</v>
          </cell>
          <cell r="BT14" t="str">
            <v>شهاده ثانويه</v>
          </cell>
          <cell r="EH14">
            <v>30</v>
          </cell>
          <cell r="EJ14">
            <v>30</v>
          </cell>
          <cell r="EK14">
            <v>30</v>
          </cell>
          <cell r="EQ14">
            <v>90</v>
          </cell>
          <cell r="ER14">
            <v>94</v>
          </cell>
          <cell r="FG14" t="str">
            <v>مدير الامن و الحركه</v>
          </cell>
          <cell r="FH14" t="str">
            <v>فارس حمدان عبدالله فارس</v>
          </cell>
          <cell r="FI14" t="str">
            <v>120-7675391-9</v>
          </cell>
          <cell r="IM14" t="str">
            <v>شهاده اساس</v>
          </cell>
          <cell r="IR14" t="str">
            <v>الرقابه الداخليه</v>
          </cell>
          <cell r="IT14" t="str">
            <v>المدير الادارى</v>
          </cell>
          <cell r="IU14" t="str">
            <v>احمد عبدالرحيم ابوبكر محمد</v>
          </cell>
        </row>
        <row r="15">
          <cell r="A15">
            <v>14</v>
          </cell>
          <cell r="O15">
            <v>0</v>
          </cell>
          <cell r="P15">
            <v>0</v>
          </cell>
          <cell r="R15">
            <v>0</v>
          </cell>
          <cell r="T15" t="str">
            <v>m</v>
          </cell>
          <cell r="AG15">
            <v>9</v>
          </cell>
          <cell r="AH15">
            <v>1</v>
          </cell>
          <cell r="AS15">
            <v>43500</v>
          </cell>
          <cell r="AT15">
            <v>119</v>
          </cell>
          <cell r="BN15">
            <v>43500</v>
          </cell>
          <cell r="EQ15">
            <v>0</v>
          </cell>
          <cell r="FG15" t="e">
            <v>#N/A</v>
          </cell>
          <cell r="FH15" t="e">
            <v>#N/A</v>
          </cell>
          <cell r="FI15">
            <v>0</v>
          </cell>
          <cell r="IM15" t="str">
            <v>شهاده ابتدائي</v>
          </cell>
          <cell r="IR15" t="str">
            <v>العلاقات العامه</v>
          </cell>
          <cell r="IT15" t="str">
            <v>المدير العام</v>
          </cell>
          <cell r="IU15" t="str">
            <v>بالانابه</v>
          </cell>
        </row>
        <row r="16">
          <cell r="A16">
            <v>15</v>
          </cell>
          <cell r="O16">
            <v>0</v>
          </cell>
          <cell r="P16">
            <v>0</v>
          </cell>
          <cell r="R16">
            <v>0</v>
          </cell>
          <cell r="T16" t="str">
            <v>m</v>
          </cell>
          <cell r="AG16">
            <v>9</v>
          </cell>
          <cell r="AH16">
            <v>1</v>
          </cell>
          <cell r="AS16">
            <v>43500</v>
          </cell>
          <cell r="AT16">
            <v>119</v>
          </cell>
          <cell r="BN16">
            <v>43500</v>
          </cell>
          <cell r="EQ16">
            <v>0</v>
          </cell>
          <cell r="FG16" t="e">
            <v>#N/A</v>
          </cell>
          <cell r="FH16" t="e">
            <v>#N/A</v>
          </cell>
          <cell r="FI16">
            <v>0</v>
          </cell>
          <cell r="IR16" t="str">
            <v>المستشارين</v>
          </cell>
          <cell r="IT16" t="str">
            <v>المدير العام</v>
          </cell>
          <cell r="IU16" t="str">
            <v>بالانابه</v>
          </cell>
        </row>
        <row r="17">
          <cell r="A17">
            <v>16</v>
          </cell>
          <cell r="B17" t="str">
            <v>هشام عيسى محمد عبدالكريم</v>
          </cell>
          <cell r="C17" t="str">
            <v>هشام</v>
          </cell>
          <cell r="D17" t="str">
            <v>عيسى</v>
          </cell>
          <cell r="E17" t="str">
            <v>محمد</v>
          </cell>
          <cell r="F17" t="str">
            <v>عبدالكريم</v>
          </cell>
          <cell r="G17" t="str">
            <v>المصنع</v>
          </cell>
          <cell r="H17" t="str">
            <v>الانتاج</v>
          </cell>
          <cell r="I17" t="str">
            <v>مدير قسم</v>
          </cell>
          <cell r="L17" t="str">
            <v xml:space="preserve"> مدير الانتاج</v>
          </cell>
          <cell r="M17">
            <v>39063</v>
          </cell>
          <cell r="N17">
            <v>43500</v>
          </cell>
          <cell r="O17">
            <v>12</v>
          </cell>
          <cell r="P17">
            <v>1</v>
          </cell>
          <cell r="Q17">
            <v>10</v>
          </cell>
          <cell r="R17">
            <v>352.5</v>
          </cell>
          <cell r="Z17">
            <v>25288</v>
          </cell>
          <cell r="AG17">
            <v>9</v>
          </cell>
          <cell r="AH17">
            <v>1</v>
          </cell>
          <cell r="AI17" t="str">
            <v>ميلاد</v>
          </cell>
          <cell r="AJ17" t="str">
            <v>20920</v>
          </cell>
          <cell r="AK17">
            <v>0</v>
          </cell>
          <cell r="AL17">
            <v>2</v>
          </cell>
          <cell r="AM17">
            <v>9</v>
          </cell>
          <cell r="AN17">
            <v>0</v>
          </cell>
          <cell r="AO17">
            <v>2</v>
          </cell>
          <cell r="AS17">
            <v>43500</v>
          </cell>
          <cell r="AT17">
            <v>49</v>
          </cell>
          <cell r="AU17" t="str">
            <v>جنسيه</v>
          </cell>
          <cell r="AV17" t="str">
            <v>49691</v>
          </cell>
          <cell r="AW17">
            <v>1</v>
          </cell>
          <cell r="AX17">
            <v>9</v>
          </cell>
          <cell r="AY17">
            <v>6</v>
          </cell>
          <cell r="AZ17">
            <v>9</v>
          </cell>
          <cell r="BA17">
            <v>4</v>
          </cell>
          <cell r="BE17" t="str">
            <v>120-0097374-3</v>
          </cell>
          <cell r="BF17" t="str">
            <v>الرضيه ابكر</v>
          </cell>
          <cell r="BG17" t="str">
            <v>خاص</v>
          </cell>
          <cell r="BH17" t="str">
            <v>بحرى - السامراب</v>
          </cell>
          <cell r="BI17" t="str">
            <v>0912941985</v>
          </cell>
          <cell r="BJ17" t="str">
            <v>سعد عيسى محمد</v>
          </cell>
          <cell r="BK17" t="str">
            <v>0126502503</v>
          </cell>
          <cell r="BN17">
            <v>43500</v>
          </cell>
          <cell r="BS17" t="str">
            <v>هندسة ميكانيكية ( قوى )</v>
          </cell>
          <cell r="BT17" t="str">
            <v>دبلوم تقني</v>
          </cell>
          <cell r="BU17" t="str">
            <v xml:space="preserve">جامعة وادى النيل </v>
          </cell>
          <cell r="BV17">
            <v>34335</v>
          </cell>
          <cell r="CQ17" t="str">
            <v>المصنع السودانى الماليزى</v>
          </cell>
          <cell r="CR17" t="str">
            <v>مهندس فنى</v>
          </cell>
          <cell r="CS17">
            <v>36536</v>
          </cell>
          <cell r="CT17">
            <v>37041</v>
          </cell>
          <cell r="CV17" t="str">
            <v>معدات المستودعات والمصانع المحدوده</v>
          </cell>
          <cell r="CW17" t="str">
            <v>مهندس</v>
          </cell>
          <cell r="CX17">
            <v>35916</v>
          </cell>
          <cell r="CY17">
            <v>36494</v>
          </cell>
          <cell r="DA17" t="str">
            <v>ميتال</v>
          </cell>
          <cell r="DB17" t="str">
            <v>مهندس تقنى</v>
          </cell>
          <cell r="DC17">
            <v>37046</v>
          </cell>
          <cell r="DD17">
            <v>38806</v>
          </cell>
          <cell r="EI17">
            <v>30</v>
          </cell>
          <cell r="EJ17">
            <v>30</v>
          </cell>
          <cell r="EK17">
            <v>30</v>
          </cell>
          <cell r="EL17">
            <v>30</v>
          </cell>
          <cell r="EM17">
            <v>30</v>
          </cell>
          <cell r="EN17">
            <v>30</v>
          </cell>
          <cell r="EP17">
            <v>30</v>
          </cell>
          <cell r="EQ17">
            <v>240</v>
          </cell>
          <cell r="ER17">
            <v>64</v>
          </cell>
          <cell r="FG17" t="str">
            <v xml:space="preserve"> مدير الانتاج</v>
          </cell>
          <cell r="FH17" t="str">
            <v>هشام عيسى محمد عبدالكريم</v>
          </cell>
          <cell r="FI17" t="str">
            <v>120-0097374-3</v>
          </cell>
          <cell r="HC17" t="str">
            <v>30</v>
          </cell>
          <cell r="IR17" t="str">
            <v>المبيعات</v>
          </cell>
          <cell r="IT17" t="str">
            <v>المدير العام</v>
          </cell>
          <cell r="IU17" t="str">
            <v>بالانابه</v>
          </cell>
        </row>
        <row r="18">
          <cell r="A18">
            <v>17</v>
          </cell>
          <cell r="B18" t="str">
            <v>محمد الياس حسين فضل</v>
          </cell>
          <cell r="C18" t="str">
            <v>محمد</v>
          </cell>
          <cell r="D18" t="str">
            <v>الياس</v>
          </cell>
          <cell r="E18" t="str">
            <v>حسين</v>
          </cell>
          <cell r="F18" t="str">
            <v>فضل</v>
          </cell>
          <cell r="G18" t="str">
            <v>المصنع</v>
          </cell>
          <cell r="H18" t="str">
            <v>الانتاج</v>
          </cell>
          <cell r="I18" t="str">
            <v>الاشراف</v>
          </cell>
          <cell r="K18" t="str">
            <v>مشرف ورديه</v>
          </cell>
          <cell r="L18" t="str">
            <v>مشرف ورديه</v>
          </cell>
          <cell r="M18">
            <v>39052</v>
          </cell>
          <cell r="N18">
            <v>43500</v>
          </cell>
          <cell r="O18">
            <v>12</v>
          </cell>
          <cell r="P18">
            <v>2</v>
          </cell>
          <cell r="Q18">
            <v>10</v>
          </cell>
          <cell r="R18">
            <v>355</v>
          </cell>
          <cell r="Z18">
            <v>29731</v>
          </cell>
          <cell r="AG18">
            <v>9</v>
          </cell>
          <cell r="AH18">
            <v>1</v>
          </cell>
          <cell r="AI18" t="str">
            <v>ميلاد</v>
          </cell>
          <cell r="AJ18" t="str">
            <v>80443</v>
          </cell>
          <cell r="AK18">
            <v>3</v>
          </cell>
          <cell r="AL18">
            <v>4</v>
          </cell>
          <cell r="AM18">
            <v>4</v>
          </cell>
          <cell r="AN18">
            <v>0</v>
          </cell>
          <cell r="AO18">
            <v>8</v>
          </cell>
          <cell r="AS18">
            <v>43500</v>
          </cell>
          <cell r="AT18">
            <v>37</v>
          </cell>
          <cell r="BF18" t="str">
            <v>رقيه طمبل فضل</v>
          </cell>
          <cell r="BG18" t="str">
            <v>خاص</v>
          </cell>
          <cell r="BH18" t="str">
            <v>جبره م(3) منزل رقم 35</v>
          </cell>
          <cell r="BI18" t="str">
            <v>0912123019</v>
          </cell>
          <cell r="BJ18" t="str">
            <v>عادل عبدالجبار</v>
          </cell>
          <cell r="BK18" t="str">
            <v>0910867115</v>
          </cell>
          <cell r="BL18" t="str">
            <v>خالي الطرف</v>
          </cell>
          <cell r="BN18">
            <v>43500</v>
          </cell>
          <cell r="EI18">
            <v>30</v>
          </cell>
          <cell r="EJ18">
            <v>30</v>
          </cell>
          <cell r="EK18">
            <v>30</v>
          </cell>
          <cell r="EL18">
            <v>30</v>
          </cell>
          <cell r="EN18">
            <v>30</v>
          </cell>
          <cell r="EQ18">
            <v>150</v>
          </cell>
          <cell r="ER18">
            <v>126</v>
          </cell>
          <cell r="FG18" t="str">
            <v xml:space="preserve"> مدير الانتاج</v>
          </cell>
          <cell r="FH18" t="str">
            <v>هشام عيسى محمد عبدالكريم</v>
          </cell>
          <cell r="FI18">
            <v>0</v>
          </cell>
          <cell r="IR18" t="str">
            <v>المشتريات</v>
          </cell>
          <cell r="IT18" t="str">
            <v>المدير الادارى</v>
          </cell>
          <cell r="IU18" t="str">
            <v>احمد عبدالرحيم ابوبكر محمد</v>
          </cell>
        </row>
        <row r="19">
          <cell r="A19">
            <v>18</v>
          </cell>
          <cell r="B19" t="str">
            <v>على يحى بن يحى عبدالله</v>
          </cell>
          <cell r="C19" t="str">
            <v>على</v>
          </cell>
          <cell r="D19" t="str">
            <v>يحى</v>
          </cell>
          <cell r="E19" t="str">
            <v>يحى</v>
          </cell>
          <cell r="F19" t="str">
            <v>عبدالله</v>
          </cell>
          <cell r="G19" t="str">
            <v>المصنع</v>
          </cell>
          <cell r="H19" t="str">
            <v>الانتاج</v>
          </cell>
          <cell r="I19" t="str">
            <v>المواسير</v>
          </cell>
          <cell r="K19" t="str">
            <v>عامل</v>
          </cell>
          <cell r="L19" t="str">
            <v>مشغل</v>
          </cell>
          <cell r="M19">
            <v>39052</v>
          </cell>
          <cell r="N19">
            <v>43500</v>
          </cell>
          <cell r="O19">
            <v>12</v>
          </cell>
          <cell r="P19">
            <v>2</v>
          </cell>
          <cell r="Q19">
            <v>10</v>
          </cell>
          <cell r="R19">
            <v>355</v>
          </cell>
          <cell r="Z19">
            <v>29952</v>
          </cell>
          <cell r="AG19">
            <v>9</v>
          </cell>
          <cell r="AH19">
            <v>1</v>
          </cell>
          <cell r="AI19" t="str">
            <v>تسنين</v>
          </cell>
          <cell r="AJ19" t="str">
            <v>1095559</v>
          </cell>
          <cell r="AK19">
            <v>9</v>
          </cell>
          <cell r="AL19">
            <v>5</v>
          </cell>
          <cell r="AM19">
            <v>5</v>
          </cell>
          <cell r="AN19">
            <v>5</v>
          </cell>
          <cell r="AO19">
            <v>9</v>
          </cell>
          <cell r="AP19">
            <v>0</v>
          </cell>
          <cell r="AQ19">
            <v>1</v>
          </cell>
          <cell r="AS19">
            <v>43500</v>
          </cell>
          <cell r="AT19">
            <v>37</v>
          </cell>
          <cell r="AU19" t="str">
            <v>بطاقه قوميه</v>
          </cell>
          <cell r="AV19" t="str">
            <v>003094374</v>
          </cell>
          <cell r="AW19">
            <v>4</v>
          </cell>
          <cell r="AX19">
            <v>7</v>
          </cell>
          <cell r="AY19">
            <v>3</v>
          </cell>
          <cell r="AZ19">
            <v>4</v>
          </cell>
          <cell r="BA19">
            <v>9</v>
          </cell>
          <cell r="BB19">
            <v>0</v>
          </cell>
          <cell r="BC19">
            <v>3</v>
          </cell>
          <cell r="BD19">
            <v>0</v>
          </cell>
          <cell r="BF19" t="str">
            <v>حواء ابكر عبدالعزيز</v>
          </cell>
          <cell r="BG19" t="str">
            <v>السمير</v>
          </cell>
          <cell r="BH19" t="str">
            <v>السمبر المحطه - حى وسط - م (2) منزل رقم 112</v>
          </cell>
          <cell r="BI19" t="str">
            <v>0911510679</v>
          </cell>
          <cell r="BJ19" t="str">
            <v>يحى ادم</v>
          </cell>
          <cell r="BK19" t="str">
            <v>0913331749</v>
          </cell>
          <cell r="BN19">
            <v>43500</v>
          </cell>
          <cell r="EK19">
            <v>30</v>
          </cell>
          <cell r="EL19">
            <v>30</v>
          </cell>
          <cell r="EQ19">
            <v>60</v>
          </cell>
          <cell r="ER19">
            <v>205</v>
          </cell>
          <cell r="FG19" t="str">
            <v xml:space="preserve"> مدير الانتاج</v>
          </cell>
          <cell r="FH19" t="str">
            <v>هشام عيسى محمد عبدالكريم</v>
          </cell>
          <cell r="FI19">
            <v>0</v>
          </cell>
          <cell r="IR19" t="str">
            <v>الخدمات</v>
          </cell>
          <cell r="IT19" t="str">
            <v>المدير الادارى</v>
          </cell>
          <cell r="IU19" t="str">
            <v>احمد عبدالرحيم ابوبكر محمد</v>
          </cell>
        </row>
        <row r="20">
          <cell r="A20">
            <v>19</v>
          </cell>
          <cell r="B20" t="str">
            <v xml:space="preserve">زهير محمد محمد صالح </v>
          </cell>
          <cell r="C20" t="str">
            <v>زهير</v>
          </cell>
          <cell r="D20" t="str">
            <v>محمد</v>
          </cell>
          <cell r="E20" t="str">
            <v>محمد</v>
          </cell>
          <cell r="F20" t="str">
            <v>صالح</v>
          </cell>
          <cell r="G20" t="str">
            <v>المصنع</v>
          </cell>
          <cell r="H20" t="str">
            <v>الانتاج</v>
          </cell>
          <cell r="I20" t="str">
            <v>المواسير</v>
          </cell>
          <cell r="K20" t="str">
            <v>مشغل</v>
          </cell>
          <cell r="L20" t="str">
            <v>فورمان</v>
          </cell>
          <cell r="M20">
            <v>39063</v>
          </cell>
          <cell r="N20">
            <v>43500</v>
          </cell>
          <cell r="O20">
            <v>12</v>
          </cell>
          <cell r="P20">
            <v>1</v>
          </cell>
          <cell r="Q20">
            <v>10</v>
          </cell>
          <cell r="R20">
            <v>352.5</v>
          </cell>
          <cell r="Z20">
            <v>28856</v>
          </cell>
          <cell r="AG20">
            <v>9</v>
          </cell>
          <cell r="AH20">
            <v>1</v>
          </cell>
          <cell r="AS20">
            <v>43500</v>
          </cell>
          <cell r="AT20">
            <v>40</v>
          </cell>
          <cell r="AU20" t="str">
            <v>جنسيه</v>
          </cell>
          <cell r="AV20" t="str">
            <v>256411</v>
          </cell>
          <cell r="AW20">
            <v>1</v>
          </cell>
          <cell r="AX20">
            <v>1</v>
          </cell>
          <cell r="AY20">
            <v>4</v>
          </cell>
          <cell r="AZ20">
            <v>6</v>
          </cell>
          <cell r="BA20">
            <v>5</v>
          </cell>
          <cell r="BB20">
            <v>2</v>
          </cell>
          <cell r="BF20" t="str">
            <v>عواطف احمد إبراهيم</v>
          </cell>
          <cell r="BG20" t="str">
            <v>العربى</v>
          </cell>
          <cell r="BH20" t="str">
            <v>الكلاكله اللفه</v>
          </cell>
          <cell r="BI20" t="str">
            <v>0917243990</v>
          </cell>
          <cell r="BJ20" t="str">
            <v>محمد محمد صالح</v>
          </cell>
          <cell r="BK20" t="str">
            <v>0121948189</v>
          </cell>
          <cell r="BL20" t="str">
            <v>خالي الطرف</v>
          </cell>
          <cell r="BN20">
            <v>43500</v>
          </cell>
          <cell r="BS20" t="str">
            <v>هندسة ميكانيكية ( إنتاج )</v>
          </cell>
          <cell r="BT20" t="str">
            <v>دبلوم تقني</v>
          </cell>
          <cell r="BU20" t="str">
            <v>جامعه السودان للعلوم</v>
          </cell>
          <cell r="BV20">
            <v>38322</v>
          </cell>
          <cell r="EH20">
            <v>30</v>
          </cell>
          <cell r="EK20">
            <v>30</v>
          </cell>
          <cell r="EM20">
            <v>30</v>
          </cell>
          <cell r="EQ20">
            <v>90</v>
          </cell>
          <cell r="ER20">
            <v>188</v>
          </cell>
          <cell r="FG20" t="str">
            <v xml:space="preserve"> مدير الانتاج</v>
          </cell>
          <cell r="FH20" t="str">
            <v>هشام عيسى محمد عبدالكريم</v>
          </cell>
          <cell r="FI20">
            <v>0</v>
          </cell>
          <cell r="IR20" t="str">
            <v>الوحده العلاجيه</v>
          </cell>
          <cell r="IT20" t="str">
            <v>المدير الادارى</v>
          </cell>
          <cell r="IU20" t="str">
            <v>احمد عبدالرحيم ابوبكر محمد</v>
          </cell>
        </row>
        <row r="21">
          <cell r="A21">
            <v>20</v>
          </cell>
          <cell r="B21" t="str">
            <v>حسن سند احمد بليله</v>
          </cell>
          <cell r="C21" t="str">
            <v>حسن</v>
          </cell>
          <cell r="D21" t="str">
            <v>سند</v>
          </cell>
          <cell r="E21" t="str">
            <v>احمد</v>
          </cell>
          <cell r="F21" t="str">
            <v>بليله</v>
          </cell>
          <cell r="G21" t="str">
            <v>المصنع</v>
          </cell>
          <cell r="H21" t="str">
            <v>الانتاج</v>
          </cell>
          <cell r="I21" t="str">
            <v>المواسير</v>
          </cell>
          <cell r="K21" t="str">
            <v>عامل</v>
          </cell>
          <cell r="L21" t="str">
            <v>مشغل</v>
          </cell>
          <cell r="M21">
            <v>39052</v>
          </cell>
          <cell r="N21">
            <v>43500</v>
          </cell>
          <cell r="O21">
            <v>12</v>
          </cell>
          <cell r="P21">
            <v>2</v>
          </cell>
          <cell r="Q21">
            <v>10</v>
          </cell>
          <cell r="R21">
            <v>355</v>
          </cell>
          <cell r="Z21">
            <v>30682</v>
          </cell>
          <cell r="AG21">
            <v>9</v>
          </cell>
          <cell r="AH21">
            <v>1</v>
          </cell>
          <cell r="AI21" t="str">
            <v>تسنين</v>
          </cell>
          <cell r="AJ21" t="str">
            <v>2552125</v>
          </cell>
          <cell r="AK21">
            <v>5</v>
          </cell>
          <cell r="AL21">
            <v>2</v>
          </cell>
          <cell r="AM21">
            <v>1</v>
          </cell>
          <cell r="AN21">
            <v>2</v>
          </cell>
          <cell r="AO21">
            <v>5</v>
          </cell>
          <cell r="AP21">
            <v>5</v>
          </cell>
          <cell r="AQ21">
            <v>2</v>
          </cell>
          <cell r="AS21">
            <v>43500</v>
          </cell>
          <cell r="AT21">
            <v>35</v>
          </cell>
          <cell r="AU21" t="str">
            <v>بطاقه قوميه</v>
          </cell>
          <cell r="AV21" t="str">
            <v>000988486</v>
          </cell>
          <cell r="AW21">
            <v>6</v>
          </cell>
          <cell r="AX21">
            <v>8</v>
          </cell>
          <cell r="AY21">
            <v>4</v>
          </cell>
          <cell r="AZ21">
            <v>8</v>
          </cell>
          <cell r="BA21">
            <v>8</v>
          </cell>
          <cell r="BB21">
            <v>9</v>
          </cell>
          <cell r="BC21">
            <v>0</v>
          </cell>
          <cell r="BD21">
            <v>0</v>
          </cell>
          <cell r="BF21" t="str">
            <v>عائشه حسن احمد بليله</v>
          </cell>
          <cell r="BG21" t="str">
            <v>بحرى</v>
          </cell>
          <cell r="BH21" t="str">
            <v>امدرمان - الثوره - الحاره 16</v>
          </cell>
          <cell r="BI21" t="str">
            <v>0915246392</v>
          </cell>
          <cell r="BJ21" t="str">
            <v>حسين سند</v>
          </cell>
          <cell r="BK21" t="str">
            <v>0913003841</v>
          </cell>
          <cell r="BN21">
            <v>43500</v>
          </cell>
          <cell r="EH21">
            <v>30</v>
          </cell>
          <cell r="EJ21">
            <v>30</v>
          </cell>
          <cell r="EL21">
            <v>30</v>
          </cell>
          <cell r="EQ21">
            <v>90</v>
          </cell>
          <cell r="ER21">
            <v>204</v>
          </cell>
          <cell r="FG21" t="str">
            <v xml:space="preserve"> مدير الانتاج</v>
          </cell>
          <cell r="FH21" t="str">
            <v>هشام عيسى محمد عبدالكريم</v>
          </cell>
          <cell r="FI21">
            <v>0</v>
          </cell>
          <cell r="IR21" t="str">
            <v>الالكترونيات</v>
          </cell>
          <cell r="IT21" t="str">
            <v>مدير الصيانه الالكترونيه</v>
          </cell>
          <cell r="IU21" t="str">
            <v>الشاذلى احمد  محمد على</v>
          </cell>
        </row>
        <row r="22">
          <cell r="A22">
            <v>21</v>
          </cell>
          <cell r="B22" t="str">
            <v>اسحق محمد عبدالله محمد</v>
          </cell>
          <cell r="C22" t="str">
            <v>اسحق</v>
          </cell>
          <cell r="D22" t="str">
            <v>محمد</v>
          </cell>
          <cell r="E22" t="str">
            <v>عبدالله</v>
          </cell>
          <cell r="F22" t="str">
            <v>محمد</v>
          </cell>
          <cell r="G22" t="str">
            <v>المصنع</v>
          </cell>
          <cell r="H22" t="str">
            <v>الميكانيكا</v>
          </cell>
          <cell r="I22" t="str">
            <v>صيانه عامه</v>
          </cell>
          <cell r="K22" t="str">
            <v>عامل</v>
          </cell>
          <cell r="L22" t="str">
            <v>فنى ميكانيكا</v>
          </cell>
          <cell r="M22">
            <v>39064</v>
          </cell>
          <cell r="N22">
            <v>43500</v>
          </cell>
          <cell r="O22">
            <v>12</v>
          </cell>
          <cell r="P22">
            <v>1</v>
          </cell>
          <cell r="Q22">
            <v>10</v>
          </cell>
          <cell r="R22">
            <v>352.5</v>
          </cell>
          <cell r="Z22">
            <v>26665</v>
          </cell>
          <cell r="AG22">
            <v>9</v>
          </cell>
          <cell r="AH22">
            <v>1</v>
          </cell>
          <cell r="AI22" t="str">
            <v>تسنين</v>
          </cell>
          <cell r="AJ22" t="str">
            <v>80304</v>
          </cell>
          <cell r="AK22">
            <v>4</v>
          </cell>
          <cell r="AL22">
            <v>0</v>
          </cell>
          <cell r="AM22">
            <v>3</v>
          </cell>
          <cell r="AN22">
            <v>0</v>
          </cell>
          <cell r="AO22">
            <v>8</v>
          </cell>
          <cell r="AS22">
            <v>43500</v>
          </cell>
          <cell r="AT22">
            <v>46</v>
          </cell>
          <cell r="AU22" t="str">
            <v>جنسيه</v>
          </cell>
          <cell r="AV22" t="str">
            <v>737874</v>
          </cell>
          <cell r="AW22">
            <v>4</v>
          </cell>
          <cell r="AX22">
            <v>7</v>
          </cell>
          <cell r="AY22">
            <v>8</v>
          </cell>
          <cell r="AZ22">
            <v>7</v>
          </cell>
          <cell r="BA22">
            <v>3</v>
          </cell>
          <cell r="BB22">
            <v>7</v>
          </cell>
          <cell r="BE22" t="str">
            <v>120-6399606-4</v>
          </cell>
          <cell r="BF22" t="str">
            <v>فاطمه ابكر يحى</v>
          </cell>
          <cell r="BG22" t="str">
            <v>السمير</v>
          </cell>
          <cell r="BH22" t="str">
            <v xml:space="preserve">السمبر المحطه - حى نيالا </v>
          </cell>
          <cell r="BI22" t="str">
            <v>0923730142</v>
          </cell>
          <cell r="BJ22" t="str">
            <v>زكريا محمد عبدالله</v>
          </cell>
          <cell r="BN22">
            <v>43500</v>
          </cell>
          <cell r="CQ22" t="str">
            <v>الشركة العربية للانتاج والتصنيع الزراعى</v>
          </cell>
          <cell r="CR22" t="str">
            <v>الهندسه المدنيه</v>
          </cell>
          <cell r="CS22">
            <v>33970</v>
          </cell>
          <cell r="CT22">
            <v>36161</v>
          </cell>
          <cell r="EO22">
            <v>30</v>
          </cell>
          <cell r="EP22">
            <v>60</v>
          </cell>
          <cell r="EQ22">
            <v>90</v>
          </cell>
          <cell r="ER22">
            <v>131</v>
          </cell>
          <cell r="FG22" t="str">
            <v>مدير الصيانه الميكانيكيه</v>
          </cell>
          <cell r="FH22" t="str">
            <v>محمد احمد محمد سليمان</v>
          </cell>
          <cell r="FI22" t="str">
            <v>120-6399606-4</v>
          </cell>
        </row>
        <row r="23">
          <cell r="A23">
            <v>22</v>
          </cell>
          <cell r="B23" t="str">
            <v>عبدالجبار ابكر عبدالله احمد</v>
          </cell>
          <cell r="C23" t="str">
            <v>عبدالجبار</v>
          </cell>
          <cell r="D23" t="str">
            <v>ابكر</v>
          </cell>
          <cell r="E23" t="str">
            <v>عبدالله</v>
          </cell>
          <cell r="F23" t="str">
            <v>احمد</v>
          </cell>
          <cell r="G23" t="str">
            <v>المصنع</v>
          </cell>
          <cell r="H23" t="str">
            <v>الانتاج</v>
          </cell>
          <cell r="I23" t="str">
            <v>الزوايا</v>
          </cell>
          <cell r="K23" t="str">
            <v>عامل</v>
          </cell>
          <cell r="L23" t="str">
            <v>مشغل</v>
          </cell>
          <cell r="M23">
            <v>39052</v>
          </cell>
          <cell r="N23">
            <v>43500</v>
          </cell>
          <cell r="O23">
            <v>12</v>
          </cell>
          <cell r="P23">
            <v>2</v>
          </cell>
          <cell r="Q23">
            <v>10</v>
          </cell>
          <cell r="R23">
            <v>355</v>
          </cell>
          <cell r="Z23">
            <v>21186</v>
          </cell>
          <cell r="AG23">
            <v>9</v>
          </cell>
          <cell r="AH23">
            <v>1</v>
          </cell>
          <cell r="AI23" t="str">
            <v>تسنين</v>
          </cell>
          <cell r="AJ23" t="str">
            <v>1145647</v>
          </cell>
          <cell r="AK23">
            <v>7</v>
          </cell>
          <cell r="AL23">
            <v>4</v>
          </cell>
          <cell r="AM23">
            <v>6</v>
          </cell>
          <cell r="AN23">
            <v>5</v>
          </cell>
          <cell r="AO23">
            <v>4</v>
          </cell>
          <cell r="AP23">
            <v>1</v>
          </cell>
          <cell r="AQ23">
            <v>1</v>
          </cell>
          <cell r="AS23">
            <v>43500</v>
          </cell>
          <cell r="AT23">
            <v>61</v>
          </cell>
          <cell r="AU23" t="str">
            <v>بطاقه قوميه</v>
          </cell>
          <cell r="AV23" t="str">
            <v>005312168</v>
          </cell>
          <cell r="AW23">
            <v>8</v>
          </cell>
          <cell r="AX23">
            <v>6</v>
          </cell>
          <cell r="AY23">
            <v>1</v>
          </cell>
          <cell r="AZ23">
            <v>2</v>
          </cell>
          <cell r="BA23">
            <v>1</v>
          </cell>
          <cell r="BB23">
            <v>3</v>
          </cell>
          <cell r="BC23">
            <v>5</v>
          </cell>
          <cell r="BD23">
            <v>0</v>
          </cell>
          <cell r="BF23" t="str">
            <v>فاطمه طه عبدالله</v>
          </cell>
          <cell r="BH23" t="str">
            <v>اليرموك م (5)</v>
          </cell>
          <cell r="BN23">
            <v>43500</v>
          </cell>
          <cell r="EK23">
            <v>30</v>
          </cell>
          <cell r="EL23">
            <v>30</v>
          </cell>
          <cell r="EM23">
            <v>30</v>
          </cell>
          <cell r="EQ23">
            <v>90</v>
          </cell>
          <cell r="ER23">
            <v>198</v>
          </cell>
          <cell r="FG23" t="str">
            <v xml:space="preserve"> مدير الانتاج</v>
          </cell>
          <cell r="FH23" t="str">
            <v>هشام عيسى محمد عبدالكريم</v>
          </cell>
          <cell r="FI23">
            <v>0</v>
          </cell>
        </row>
        <row r="24">
          <cell r="A24">
            <v>23</v>
          </cell>
          <cell r="O24">
            <v>0</v>
          </cell>
          <cell r="P24">
            <v>0</v>
          </cell>
          <cell r="R24">
            <v>0</v>
          </cell>
          <cell r="T24" t="str">
            <v>m</v>
          </cell>
          <cell r="AG24">
            <v>9</v>
          </cell>
          <cell r="AH24">
            <v>1</v>
          </cell>
          <cell r="AS24">
            <v>43500</v>
          </cell>
          <cell r="AT24">
            <v>119</v>
          </cell>
          <cell r="BN24">
            <v>43500</v>
          </cell>
          <cell r="EQ24">
            <v>0</v>
          </cell>
          <cell r="FG24" t="e">
            <v>#N/A</v>
          </cell>
          <cell r="FH24" t="e">
            <v>#N/A</v>
          </cell>
          <cell r="FI24">
            <v>0</v>
          </cell>
        </row>
        <row r="25">
          <cell r="A25">
            <v>24</v>
          </cell>
          <cell r="O25">
            <v>0</v>
          </cell>
          <cell r="P25">
            <v>0</v>
          </cell>
          <cell r="R25">
            <v>0</v>
          </cell>
          <cell r="T25" t="str">
            <v>m</v>
          </cell>
          <cell r="AG25">
            <v>9</v>
          </cell>
          <cell r="AH25">
            <v>1</v>
          </cell>
          <cell r="AS25">
            <v>43500</v>
          </cell>
          <cell r="AT25">
            <v>119</v>
          </cell>
          <cell r="BN25">
            <v>43500</v>
          </cell>
          <cell r="EQ25">
            <v>0</v>
          </cell>
          <cell r="FG25" t="e">
            <v>#N/A</v>
          </cell>
          <cell r="FH25" t="e">
            <v>#N/A</v>
          </cell>
          <cell r="FI25">
            <v>0</v>
          </cell>
        </row>
        <row r="26">
          <cell r="A26">
            <v>25</v>
          </cell>
          <cell r="B26" t="str">
            <v>صبرى الهادى الامين محمد</v>
          </cell>
          <cell r="C26" t="str">
            <v>صبرى</v>
          </cell>
          <cell r="D26" t="str">
            <v>الهادى</v>
          </cell>
          <cell r="E26" t="str">
            <v>الامين</v>
          </cell>
          <cell r="F26" t="str">
            <v>محمد</v>
          </cell>
          <cell r="G26" t="str">
            <v>المصنع</v>
          </cell>
          <cell r="H26" t="str">
            <v>الاداره</v>
          </cell>
          <cell r="I26" t="str">
            <v>مكلف</v>
          </cell>
          <cell r="K26" t="str">
            <v>مشغل</v>
          </cell>
          <cell r="L26" t="str">
            <v>علاقات عامه</v>
          </cell>
          <cell r="M26">
            <v>38729</v>
          </cell>
          <cell r="N26">
            <v>43500</v>
          </cell>
          <cell r="O26">
            <v>13</v>
          </cell>
          <cell r="P26">
            <v>0</v>
          </cell>
          <cell r="Q26">
            <v>10</v>
          </cell>
          <cell r="R26">
            <v>380</v>
          </cell>
          <cell r="Z26">
            <v>28126</v>
          </cell>
          <cell r="AG26">
            <v>9</v>
          </cell>
          <cell r="AH26">
            <v>1</v>
          </cell>
          <cell r="AS26">
            <v>43500</v>
          </cell>
          <cell r="AT26">
            <v>42</v>
          </cell>
          <cell r="AU26" t="str">
            <v>جنسيه</v>
          </cell>
          <cell r="AV26" t="str">
            <v>0519614</v>
          </cell>
          <cell r="AW26">
            <v>4</v>
          </cell>
          <cell r="AX26">
            <v>1</v>
          </cell>
          <cell r="AY26">
            <v>6</v>
          </cell>
          <cell r="AZ26">
            <v>9</v>
          </cell>
          <cell r="BA26">
            <v>1</v>
          </cell>
          <cell r="BB26">
            <v>5</v>
          </cell>
          <cell r="BC26">
            <v>0</v>
          </cell>
          <cell r="BE26" t="str">
            <v>120-8359395-4</v>
          </cell>
          <cell r="BF26" t="str">
            <v>اسيا احمد عبدالماجد محمد</v>
          </cell>
          <cell r="BG26" t="str">
            <v>العربى</v>
          </cell>
          <cell r="BH26" t="str">
            <v>بترى</v>
          </cell>
          <cell r="BI26" t="str">
            <v>0122185519</v>
          </cell>
          <cell r="BL26" t="str">
            <v>خالي الطرف</v>
          </cell>
          <cell r="BN26">
            <v>43500</v>
          </cell>
          <cell r="BT26" t="str">
            <v>تدريب مهني</v>
          </cell>
          <cell r="BU26" t="str">
            <v>المجلس القومى للتدريب المهنى</v>
          </cell>
          <cell r="BV26">
            <v>36290</v>
          </cell>
          <cell r="EH26">
            <v>30</v>
          </cell>
          <cell r="EP26">
            <v>30</v>
          </cell>
          <cell r="EQ26">
            <v>60</v>
          </cell>
          <cell r="ER26">
            <v>210</v>
          </cell>
          <cell r="FG26" t="str">
            <v>المدير الادارى</v>
          </cell>
          <cell r="FH26" t="str">
            <v>احمد عبدالرحيم ابوبكر محمد</v>
          </cell>
          <cell r="FI26" t="str">
            <v>120-8359395-4</v>
          </cell>
        </row>
        <row r="27">
          <cell r="A27">
            <v>26</v>
          </cell>
          <cell r="B27" t="str">
            <v>ابكر اسحق ابكر فضل</v>
          </cell>
          <cell r="C27" t="str">
            <v>ابكر</v>
          </cell>
          <cell r="D27" t="str">
            <v>اسحق</v>
          </cell>
          <cell r="E27" t="str">
            <v>ابكر</v>
          </cell>
          <cell r="F27" t="str">
            <v>فضل</v>
          </cell>
          <cell r="G27" t="str">
            <v>المصنع</v>
          </cell>
          <cell r="H27" t="str">
            <v>الانتاج</v>
          </cell>
          <cell r="I27" t="str">
            <v>المواسير</v>
          </cell>
          <cell r="L27" t="str">
            <v>مشغل مميز</v>
          </cell>
          <cell r="M27">
            <v>39062</v>
          </cell>
          <cell r="N27">
            <v>43190</v>
          </cell>
          <cell r="O27">
            <v>11</v>
          </cell>
          <cell r="P27">
            <v>3</v>
          </cell>
          <cell r="Q27">
            <v>10</v>
          </cell>
          <cell r="R27">
            <v>327.5</v>
          </cell>
          <cell r="T27" t="str">
            <v>توفي</v>
          </cell>
          <cell r="Z27">
            <v>28856</v>
          </cell>
          <cell r="AG27">
            <v>9</v>
          </cell>
          <cell r="AH27">
            <v>1</v>
          </cell>
          <cell r="AI27" t="str">
            <v>تسنين</v>
          </cell>
          <cell r="AJ27" t="str">
            <v>1997623</v>
          </cell>
          <cell r="AS27">
            <v>43500</v>
          </cell>
          <cell r="AT27">
            <v>40</v>
          </cell>
          <cell r="AU27" t="str">
            <v>جنسيه</v>
          </cell>
          <cell r="AV27" t="str">
            <v>176817</v>
          </cell>
          <cell r="AW27">
            <v>7</v>
          </cell>
          <cell r="AX27">
            <v>1</v>
          </cell>
          <cell r="AY27">
            <v>8</v>
          </cell>
          <cell r="AZ27">
            <v>6</v>
          </cell>
          <cell r="BA27">
            <v>7</v>
          </cell>
          <cell r="BB27">
            <v>1</v>
          </cell>
          <cell r="BF27" t="str">
            <v>خديجه ابكر إسماعيل</v>
          </cell>
          <cell r="BG27" t="str">
            <v>الجزيره</v>
          </cell>
          <cell r="BH27" t="str">
            <v xml:space="preserve">الباقير - دار السلام </v>
          </cell>
          <cell r="BI27" t="str">
            <v>0911236050</v>
          </cell>
          <cell r="BJ27" t="str">
            <v>زكريا حمدان</v>
          </cell>
          <cell r="BK27" t="str">
            <v>0912355172</v>
          </cell>
          <cell r="BL27" t="str">
            <v>خالي الطرف</v>
          </cell>
          <cell r="BN27">
            <v>43500</v>
          </cell>
          <cell r="BS27" t="str">
            <v>ماكينات</v>
          </cell>
          <cell r="BT27" t="str">
            <v>تدريب مهني</v>
          </cell>
          <cell r="BV27">
            <v>36982</v>
          </cell>
          <cell r="BX27" t="str">
            <v>دبلوم (معاهد)</v>
          </cell>
          <cell r="BY27" t="str">
            <v>معهد المعلم الفنى</v>
          </cell>
          <cell r="BZ27">
            <v>35711</v>
          </cell>
          <cell r="CB27" t="str">
            <v>شهاده دورة تدريب</v>
          </cell>
          <cell r="CC27" t="str">
            <v>المدرسه البلجيكيه</v>
          </cell>
          <cell r="CD27">
            <v>35582</v>
          </cell>
          <cell r="CQ27" t="str">
            <v>المصنع السودانى الماليزى</v>
          </cell>
          <cell r="CR27" t="str">
            <v>عامل الانتاج</v>
          </cell>
          <cell r="CS27">
            <v>38143</v>
          </cell>
          <cell r="CT27">
            <v>38885</v>
          </cell>
          <cell r="EJ27">
            <v>30</v>
          </cell>
          <cell r="EL27">
            <v>30</v>
          </cell>
          <cell r="EM27">
            <v>30</v>
          </cell>
          <cell r="EN27">
            <v>30</v>
          </cell>
          <cell r="EQ27">
            <v>120</v>
          </cell>
          <cell r="ER27">
            <v>152</v>
          </cell>
          <cell r="FG27" t="str">
            <v xml:space="preserve"> مدير الانتاج</v>
          </cell>
          <cell r="FH27" t="str">
            <v>هشام عيسى محمد عبدالكريم</v>
          </cell>
          <cell r="FI27">
            <v>0</v>
          </cell>
        </row>
        <row r="28">
          <cell r="A28">
            <v>27</v>
          </cell>
          <cell r="O28">
            <v>0</v>
          </cell>
          <cell r="P28">
            <v>0</v>
          </cell>
          <cell r="R28">
            <v>0</v>
          </cell>
          <cell r="T28" t="str">
            <v>m</v>
          </cell>
          <cell r="AG28">
            <v>9</v>
          </cell>
          <cell r="AH28">
            <v>1</v>
          </cell>
          <cell r="AS28">
            <v>43500</v>
          </cell>
          <cell r="AT28">
            <v>119</v>
          </cell>
          <cell r="BN28">
            <v>43500</v>
          </cell>
          <cell r="EQ28">
            <v>0</v>
          </cell>
          <cell r="FG28" t="e">
            <v>#N/A</v>
          </cell>
          <cell r="FH28" t="e">
            <v>#N/A</v>
          </cell>
          <cell r="FI28">
            <v>0</v>
          </cell>
        </row>
        <row r="29">
          <cell r="A29">
            <v>28</v>
          </cell>
          <cell r="B29" t="str">
            <v>عبدالظاهر الرشيد محمد عثمان</v>
          </cell>
          <cell r="C29" t="str">
            <v>عبدالظاهر</v>
          </cell>
          <cell r="D29" t="str">
            <v>الرشيد</v>
          </cell>
          <cell r="E29" t="str">
            <v>محمد</v>
          </cell>
          <cell r="F29" t="str">
            <v>عثمان</v>
          </cell>
          <cell r="G29" t="str">
            <v>المصنع</v>
          </cell>
          <cell r="H29" t="str">
            <v>الانتاج</v>
          </cell>
          <cell r="I29" t="str">
            <v>المواسير</v>
          </cell>
          <cell r="K29" t="str">
            <v>عامل</v>
          </cell>
          <cell r="L29" t="str">
            <v>مساعد مشغل</v>
          </cell>
          <cell r="M29">
            <v>39052</v>
          </cell>
          <cell r="N29">
            <v>43500</v>
          </cell>
          <cell r="O29">
            <v>12</v>
          </cell>
          <cell r="P29">
            <v>2</v>
          </cell>
          <cell r="Q29">
            <v>10</v>
          </cell>
          <cell r="R29">
            <v>355</v>
          </cell>
          <cell r="Z29">
            <v>27030</v>
          </cell>
          <cell r="AG29">
            <v>9</v>
          </cell>
          <cell r="AH29">
            <v>1</v>
          </cell>
          <cell r="AI29" t="str">
            <v>تسنين</v>
          </cell>
          <cell r="AJ29" t="str">
            <v>3435668</v>
          </cell>
          <cell r="AK29">
            <v>8</v>
          </cell>
          <cell r="AL29">
            <v>6</v>
          </cell>
          <cell r="AM29">
            <v>6</v>
          </cell>
          <cell r="AN29">
            <v>5</v>
          </cell>
          <cell r="AO29">
            <v>3</v>
          </cell>
          <cell r="AP29">
            <v>4</v>
          </cell>
          <cell r="AQ29">
            <v>3</v>
          </cell>
          <cell r="AS29">
            <v>43500</v>
          </cell>
          <cell r="AT29">
            <v>45</v>
          </cell>
          <cell r="AU29" t="str">
            <v>جنسيه</v>
          </cell>
          <cell r="AV29" t="str">
            <v>211070</v>
          </cell>
          <cell r="AW29">
            <v>0</v>
          </cell>
          <cell r="AX29">
            <v>7</v>
          </cell>
          <cell r="AY29">
            <v>0</v>
          </cell>
          <cell r="AZ29">
            <v>1</v>
          </cell>
          <cell r="BA29">
            <v>1</v>
          </cell>
          <cell r="BB29">
            <v>2</v>
          </cell>
          <cell r="BF29" t="str">
            <v>رقيه عبدالحليم محمد</v>
          </cell>
          <cell r="BG29" t="str">
            <v>العربى</v>
          </cell>
          <cell r="BH29" t="str">
            <v>سوبا اللعوته</v>
          </cell>
          <cell r="BI29" t="str">
            <v>0127495573</v>
          </cell>
          <cell r="BJ29" t="str">
            <v>الرشيد محمد عثمان</v>
          </cell>
          <cell r="BK29" t="str">
            <v>0122806809</v>
          </cell>
          <cell r="BL29" t="str">
            <v>خالي الطرف</v>
          </cell>
          <cell r="BN29">
            <v>43500</v>
          </cell>
          <cell r="BT29" t="str">
            <v>شهاده ثانويه</v>
          </cell>
          <cell r="BV29">
            <v>35886</v>
          </cell>
          <cell r="CQ29" t="str">
            <v>ورش ومخازن السقد الهندسيه</v>
          </cell>
          <cell r="CR29" t="str">
            <v>خراط</v>
          </cell>
          <cell r="CS29">
            <v>34335</v>
          </cell>
          <cell r="CT29">
            <v>36526</v>
          </cell>
          <cell r="CV29" t="str">
            <v>المصنع السودانى الماليزى</v>
          </cell>
          <cell r="CW29" t="str">
            <v>عامل</v>
          </cell>
          <cell r="CX29">
            <v>38416</v>
          </cell>
          <cell r="CY29">
            <v>38885</v>
          </cell>
          <cell r="EL29">
            <v>30</v>
          </cell>
          <cell r="EQ29">
            <v>30</v>
          </cell>
          <cell r="ER29">
            <v>258</v>
          </cell>
          <cell r="FG29" t="str">
            <v xml:space="preserve"> مدير الانتاج</v>
          </cell>
          <cell r="FH29" t="str">
            <v>هشام عيسى محمد عبدالكريم</v>
          </cell>
          <cell r="FI29">
            <v>0</v>
          </cell>
        </row>
        <row r="30">
          <cell r="A30">
            <v>29</v>
          </cell>
          <cell r="B30" t="str">
            <v>قمر يحى محمد مهدى</v>
          </cell>
          <cell r="C30" t="str">
            <v>قمر</v>
          </cell>
          <cell r="D30" t="str">
            <v>يحى</v>
          </cell>
          <cell r="E30" t="str">
            <v>محمد</v>
          </cell>
          <cell r="F30" t="str">
            <v>مهدى</v>
          </cell>
          <cell r="G30" t="str">
            <v>المصنع</v>
          </cell>
          <cell r="H30" t="str">
            <v>المستودعات</v>
          </cell>
          <cell r="I30" t="str">
            <v>التحميل</v>
          </cell>
          <cell r="K30" t="str">
            <v>عامل</v>
          </cell>
          <cell r="L30" t="str">
            <v>مشغل كرين</v>
          </cell>
          <cell r="M30">
            <v>39120</v>
          </cell>
          <cell r="N30">
            <v>43500</v>
          </cell>
          <cell r="O30">
            <v>11</v>
          </cell>
          <cell r="P30">
            <v>11</v>
          </cell>
          <cell r="Q30">
            <v>10</v>
          </cell>
          <cell r="R30">
            <v>347.5</v>
          </cell>
          <cell r="Z30">
            <v>29952</v>
          </cell>
          <cell r="AG30">
            <v>9</v>
          </cell>
          <cell r="AH30">
            <v>1</v>
          </cell>
          <cell r="AI30" t="str">
            <v>تسنين</v>
          </cell>
          <cell r="AJ30" t="str">
            <v>130031</v>
          </cell>
          <cell r="AK30">
            <v>1</v>
          </cell>
          <cell r="AL30">
            <v>3</v>
          </cell>
          <cell r="AM30">
            <v>0</v>
          </cell>
          <cell r="AN30">
            <v>0</v>
          </cell>
          <cell r="AO30">
            <v>3</v>
          </cell>
          <cell r="AP30">
            <v>1</v>
          </cell>
          <cell r="AS30">
            <v>43500</v>
          </cell>
          <cell r="AT30">
            <v>37</v>
          </cell>
          <cell r="AU30" t="str">
            <v>بطاقه قوميه</v>
          </cell>
          <cell r="AV30" t="str">
            <v>001148197</v>
          </cell>
          <cell r="AW30">
            <v>7</v>
          </cell>
          <cell r="AX30">
            <v>9</v>
          </cell>
          <cell r="AY30">
            <v>1</v>
          </cell>
          <cell r="AZ30">
            <v>8</v>
          </cell>
          <cell r="BA30">
            <v>4</v>
          </cell>
          <cell r="BB30">
            <v>1</v>
          </cell>
          <cell r="BC30">
            <v>1</v>
          </cell>
          <cell r="BD30">
            <v>0</v>
          </cell>
          <cell r="BF30" t="str">
            <v>عائشه يحى محمد</v>
          </cell>
          <cell r="BG30" t="str">
            <v>السمير</v>
          </cell>
          <cell r="BH30" t="str">
            <v>السمير</v>
          </cell>
          <cell r="BI30" t="str">
            <v>0926487606</v>
          </cell>
          <cell r="BJ30" t="str">
            <v>مسرى هاشم</v>
          </cell>
          <cell r="BK30" t="str">
            <v>0924337626</v>
          </cell>
          <cell r="BN30">
            <v>43500</v>
          </cell>
          <cell r="EQ30">
            <v>0</v>
          </cell>
          <cell r="ER30">
            <v>286</v>
          </cell>
          <cell r="ES30">
            <v>39120</v>
          </cell>
          <cell r="ET30">
            <v>39484</v>
          </cell>
          <cell r="EU30" t="str">
            <v>عامل</v>
          </cell>
          <cell r="FG30" t="str">
            <v>مدير المستودعات</v>
          </cell>
          <cell r="FH30" t="str">
            <v>على احمد على بابكر</v>
          </cell>
          <cell r="FI30">
            <v>0</v>
          </cell>
        </row>
        <row r="31">
          <cell r="A31">
            <v>30</v>
          </cell>
          <cell r="O31">
            <v>0</v>
          </cell>
          <cell r="P31">
            <v>0</v>
          </cell>
          <cell r="R31">
            <v>0</v>
          </cell>
          <cell r="T31" t="str">
            <v>m</v>
          </cell>
          <cell r="AG31">
            <v>9</v>
          </cell>
          <cell r="AH31">
            <v>1</v>
          </cell>
          <cell r="AS31">
            <v>43500</v>
          </cell>
          <cell r="AT31">
            <v>119</v>
          </cell>
          <cell r="BN31">
            <v>43500</v>
          </cell>
          <cell r="EQ31">
            <v>0</v>
          </cell>
          <cell r="FG31" t="e">
            <v>#N/A</v>
          </cell>
          <cell r="FH31" t="e">
            <v>#N/A</v>
          </cell>
          <cell r="FI31">
            <v>0</v>
          </cell>
        </row>
        <row r="32">
          <cell r="A32">
            <v>31</v>
          </cell>
          <cell r="B32" t="str">
            <v>عبدالسلام عيسى محمد عبدالكريم</v>
          </cell>
          <cell r="C32" t="str">
            <v>عبدالسلام</v>
          </cell>
          <cell r="D32" t="str">
            <v>عيسى</v>
          </cell>
          <cell r="E32" t="str">
            <v>محمد</v>
          </cell>
          <cell r="F32" t="str">
            <v>عبدالكريم</v>
          </cell>
          <cell r="G32" t="str">
            <v>المصنع</v>
          </cell>
          <cell r="H32" t="str">
            <v>الانتاج</v>
          </cell>
          <cell r="I32" t="str">
            <v>المواسير</v>
          </cell>
          <cell r="K32" t="str">
            <v>مشغل</v>
          </cell>
          <cell r="L32" t="str">
            <v>فورمان</v>
          </cell>
          <cell r="M32">
            <v>39088</v>
          </cell>
          <cell r="N32">
            <v>43500</v>
          </cell>
          <cell r="O32">
            <v>12</v>
          </cell>
          <cell r="P32">
            <v>0</v>
          </cell>
          <cell r="Q32">
            <v>10</v>
          </cell>
          <cell r="R32">
            <v>350</v>
          </cell>
          <cell r="Z32">
            <v>28132</v>
          </cell>
          <cell r="AG32">
            <v>9</v>
          </cell>
          <cell r="AH32">
            <v>1</v>
          </cell>
          <cell r="AI32" t="str">
            <v>ميلاد</v>
          </cell>
          <cell r="AJ32" t="str">
            <v>440164</v>
          </cell>
          <cell r="AK32">
            <v>4</v>
          </cell>
          <cell r="AL32">
            <v>6</v>
          </cell>
          <cell r="AM32">
            <v>1</v>
          </cell>
          <cell r="AN32">
            <v>0</v>
          </cell>
          <cell r="AO32">
            <v>4</v>
          </cell>
          <cell r="AP32">
            <v>4</v>
          </cell>
          <cell r="AS32">
            <v>43500</v>
          </cell>
          <cell r="AT32">
            <v>42</v>
          </cell>
          <cell r="AU32" t="str">
            <v>بطاقه قوميه</v>
          </cell>
          <cell r="AV32" t="str">
            <v>000103064</v>
          </cell>
          <cell r="AW32">
            <v>4</v>
          </cell>
          <cell r="AX32">
            <v>6</v>
          </cell>
          <cell r="AY32">
            <v>0</v>
          </cell>
          <cell r="AZ32">
            <v>3</v>
          </cell>
          <cell r="BA32">
            <v>0</v>
          </cell>
          <cell r="BB32">
            <v>1</v>
          </cell>
          <cell r="BC32">
            <v>0</v>
          </cell>
          <cell r="BD32">
            <v>0</v>
          </cell>
          <cell r="BF32" t="str">
            <v>الرضيه ابكر</v>
          </cell>
          <cell r="BG32" t="str">
            <v>بحرى</v>
          </cell>
          <cell r="BH32" t="str">
            <v>السامراب - محطه (1)</v>
          </cell>
          <cell r="BI32" t="str">
            <v>0912122349</v>
          </cell>
          <cell r="BJ32" t="str">
            <v>سعد عيسى محمد</v>
          </cell>
          <cell r="BK32" t="str">
            <v>0126502503</v>
          </cell>
          <cell r="BL32" t="str">
            <v>خالي الطرف</v>
          </cell>
          <cell r="BN32">
            <v>43500</v>
          </cell>
          <cell r="BT32" t="str">
            <v>شهاده ثانويه</v>
          </cell>
          <cell r="BV32">
            <v>37224</v>
          </cell>
          <cell r="EH32">
            <v>30</v>
          </cell>
          <cell r="EJ32">
            <v>30</v>
          </cell>
          <cell r="EL32">
            <v>30</v>
          </cell>
          <cell r="EM32">
            <v>30</v>
          </cell>
          <cell r="EN32">
            <v>30</v>
          </cell>
          <cell r="EQ32">
            <v>150</v>
          </cell>
          <cell r="ER32">
            <v>161</v>
          </cell>
          <cell r="FG32" t="str">
            <v xml:space="preserve"> مدير الانتاج</v>
          </cell>
          <cell r="FH32" t="str">
            <v>هشام عيسى محمد عبدالكريم</v>
          </cell>
          <cell r="FI32">
            <v>0</v>
          </cell>
        </row>
        <row r="33">
          <cell r="A33">
            <v>32</v>
          </cell>
          <cell r="B33" t="str">
            <v>على عبدالرحيم العاقب احمد</v>
          </cell>
          <cell r="C33" t="str">
            <v>على</v>
          </cell>
          <cell r="D33" t="str">
            <v>عبدالرحيم</v>
          </cell>
          <cell r="E33" t="str">
            <v>العاقب</v>
          </cell>
          <cell r="F33" t="str">
            <v>احمد</v>
          </cell>
          <cell r="G33" t="str">
            <v>المصنع</v>
          </cell>
          <cell r="H33" t="str">
            <v>الميكانيكا</v>
          </cell>
          <cell r="I33" t="str">
            <v>المخارط</v>
          </cell>
          <cell r="K33" t="str">
            <v>خراط</v>
          </cell>
          <cell r="L33" t="str">
            <v>خراط</v>
          </cell>
          <cell r="M33">
            <v>39125</v>
          </cell>
          <cell r="N33">
            <v>43500</v>
          </cell>
          <cell r="O33">
            <v>11</v>
          </cell>
          <cell r="P33">
            <v>11</v>
          </cell>
          <cell r="Q33">
            <v>10</v>
          </cell>
          <cell r="R33">
            <v>347.5</v>
          </cell>
          <cell r="Z33">
            <v>15342</v>
          </cell>
          <cell r="AG33">
            <v>9</v>
          </cell>
          <cell r="AH33">
            <v>1</v>
          </cell>
          <cell r="AS33">
            <v>43500</v>
          </cell>
          <cell r="AT33">
            <v>77</v>
          </cell>
          <cell r="BG33" t="str">
            <v>بحرى</v>
          </cell>
          <cell r="BH33" t="str">
            <v>شمبات - الحله</v>
          </cell>
          <cell r="BI33" t="str">
            <v>0997969695</v>
          </cell>
          <cell r="BJ33" t="str">
            <v>عزالدين عبدالرحيم العاقب</v>
          </cell>
          <cell r="BK33" t="str">
            <v>0121757084</v>
          </cell>
          <cell r="BL33" t="str">
            <v>كبار سن</v>
          </cell>
          <cell r="BN33">
            <v>43500</v>
          </cell>
          <cell r="CQ33" t="str">
            <v>مصلحة النقل الميكانيكى</v>
          </cell>
          <cell r="CR33" t="str">
            <v>خراط</v>
          </cell>
          <cell r="CS33">
            <v>21702</v>
          </cell>
          <cell r="CV33" t="str">
            <v>مصنع جميرا للغزل والنسيج</v>
          </cell>
          <cell r="CW33" t="str">
            <v>خراط</v>
          </cell>
          <cell r="CX33">
            <v>36557</v>
          </cell>
          <cell r="CY33">
            <v>37590</v>
          </cell>
          <cell r="DA33" t="str">
            <v>المصنع السودانى الماليزى</v>
          </cell>
          <cell r="DB33" t="str">
            <v>خراط</v>
          </cell>
          <cell r="DC33">
            <v>38149</v>
          </cell>
          <cell r="DD33">
            <v>39046</v>
          </cell>
          <cell r="EK33">
            <v>30</v>
          </cell>
          <cell r="EL33">
            <v>30</v>
          </cell>
          <cell r="EM33">
            <v>30</v>
          </cell>
          <cell r="EQ33">
            <v>90</v>
          </cell>
          <cell r="ER33">
            <v>140</v>
          </cell>
          <cell r="FG33" t="str">
            <v>مدير الصيانه الميكانيكيه</v>
          </cell>
          <cell r="FH33" t="str">
            <v>محمد احمد محمد سليمان</v>
          </cell>
          <cell r="FI33">
            <v>0</v>
          </cell>
        </row>
        <row r="34">
          <cell r="A34">
            <v>33</v>
          </cell>
          <cell r="B34" t="str">
            <v>ادريس موسى عثمان موسى</v>
          </cell>
          <cell r="C34" t="str">
            <v>ادريس</v>
          </cell>
          <cell r="D34" t="str">
            <v>موسى</v>
          </cell>
          <cell r="E34" t="str">
            <v>عثمان</v>
          </cell>
          <cell r="F34" t="str">
            <v>موسى</v>
          </cell>
          <cell r="G34" t="str">
            <v>المصنع</v>
          </cell>
          <cell r="H34" t="str">
            <v>الميكانيكا</v>
          </cell>
          <cell r="I34" t="str">
            <v>صيانه عامه</v>
          </cell>
          <cell r="K34" t="str">
            <v>تقني ميكانيكا</v>
          </cell>
          <cell r="L34" t="str">
            <v>تقنى ميكانيكا</v>
          </cell>
          <cell r="M34">
            <v>39095</v>
          </cell>
          <cell r="N34">
            <v>43500</v>
          </cell>
          <cell r="O34">
            <v>12</v>
          </cell>
          <cell r="P34">
            <v>0</v>
          </cell>
          <cell r="Q34">
            <v>10</v>
          </cell>
          <cell r="R34">
            <v>350</v>
          </cell>
          <cell r="Z34">
            <v>27395</v>
          </cell>
          <cell r="AG34">
            <v>9</v>
          </cell>
          <cell r="AH34">
            <v>1</v>
          </cell>
          <cell r="AI34" t="str">
            <v>تسنين</v>
          </cell>
          <cell r="AJ34" t="str">
            <v>1939232</v>
          </cell>
          <cell r="AK34">
            <v>2</v>
          </cell>
          <cell r="AL34">
            <v>3</v>
          </cell>
          <cell r="AM34">
            <v>2</v>
          </cell>
          <cell r="AN34">
            <v>9</v>
          </cell>
          <cell r="AO34">
            <v>3</v>
          </cell>
          <cell r="AP34">
            <v>9</v>
          </cell>
          <cell r="AQ34">
            <v>1</v>
          </cell>
          <cell r="AS34">
            <v>43500</v>
          </cell>
          <cell r="AT34">
            <v>44</v>
          </cell>
          <cell r="BE34" t="str">
            <v>114-8486468-2</v>
          </cell>
          <cell r="BF34" t="str">
            <v>ام الحسن الفكى محمد</v>
          </cell>
          <cell r="BG34" t="str">
            <v>الكلاكله</v>
          </cell>
          <cell r="BH34" t="str">
            <v>الكلاكله - ودعماره</v>
          </cell>
          <cell r="BI34" t="str">
            <v>0907012121</v>
          </cell>
          <cell r="BJ34" t="str">
            <v>بشير ادم رحمه</v>
          </cell>
          <cell r="BK34" t="str">
            <v>0911371370</v>
          </cell>
          <cell r="BL34" t="str">
            <v>خالي الطرف</v>
          </cell>
          <cell r="BN34">
            <v>43500</v>
          </cell>
          <cell r="BS34" t="str">
            <v>هندسة ميكانيكية ( قوى )</v>
          </cell>
          <cell r="BT34" t="str">
            <v>دبلوم تقني</v>
          </cell>
          <cell r="BU34" t="str">
            <v xml:space="preserve">جامعة وادى النيل </v>
          </cell>
          <cell r="BV34">
            <v>37906</v>
          </cell>
          <cell r="CQ34" t="str">
            <v>ابن إدريس للتجاره والمقاولات</v>
          </cell>
          <cell r="CR34" t="str">
            <v>ميكانيكى</v>
          </cell>
          <cell r="CS34">
            <v>38200</v>
          </cell>
          <cell r="CT34">
            <v>38838</v>
          </cell>
          <cell r="EQ34">
            <v>0</v>
          </cell>
          <cell r="ER34">
            <v>271</v>
          </cell>
          <cell r="FG34" t="str">
            <v>مدير الصيانه الميكانيكيه</v>
          </cell>
          <cell r="FH34" t="str">
            <v>محمد احمد محمد سليمان</v>
          </cell>
          <cell r="FI34" t="str">
            <v>114-8486468-2</v>
          </cell>
        </row>
        <row r="35">
          <cell r="A35">
            <v>34</v>
          </cell>
          <cell r="B35" t="str">
            <v>الفاتح على عبدالله الامين</v>
          </cell>
          <cell r="C35" t="str">
            <v>الفاتح</v>
          </cell>
          <cell r="D35" t="str">
            <v>على</v>
          </cell>
          <cell r="E35" t="str">
            <v>عبدالله</v>
          </cell>
          <cell r="F35" t="str">
            <v>الامين</v>
          </cell>
          <cell r="G35" t="str">
            <v>المصنع</v>
          </cell>
          <cell r="H35" t="str">
            <v>الانتاج</v>
          </cell>
          <cell r="I35" t="str">
            <v>الزوايا</v>
          </cell>
          <cell r="K35" t="str">
            <v>عامل</v>
          </cell>
          <cell r="L35" t="str">
            <v>مساعد مشغل</v>
          </cell>
          <cell r="M35">
            <v>39098</v>
          </cell>
          <cell r="N35">
            <v>43500</v>
          </cell>
          <cell r="O35">
            <v>12</v>
          </cell>
          <cell r="P35">
            <v>0</v>
          </cell>
          <cell r="Q35">
            <v>10</v>
          </cell>
          <cell r="R35">
            <v>350</v>
          </cell>
          <cell r="Z35">
            <v>23377</v>
          </cell>
          <cell r="AG35">
            <v>9</v>
          </cell>
          <cell r="AH35">
            <v>1</v>
          </cell>
          <cell r="AI35" t="str">
            <v>تسنين</v>
          </cell>
          <cell r="AJ35" t="str">
            <v>213027</v>
          </cell>
          <cell r="AK35">
            <v>7</v>
          </cell>
          <cell r="AL35">
            <v>2</v>
          </cell>
          <cell r="AM35">
            <v>0</v>
          </cell>
          <cell r="AN35">
            <v>3</v>
          </cell>
          <cell r="AO35">
            <v>1</v>
          </cell>
          <cell r="AP35">
            <v>2</v>
          </cell>
          <cell r="AS35">
            <v>43500</v>
          </cell>
          <cell r="AT35">
            <v>55</v>
          </cell>
          <cell r="AU35" t="str">
            <v>بطاقه قوميه</v>
          </cell>
          <cell r="AV35" t="str">
            <v>000816467</v>
          </cell>
          <cell r="AW35">
            <v>7</v>
          </cell>
          <cell r="AX35">
            <v>6</v>
          </cell>
          <cell r="AY35">
            <v>4</v>
          </cell>
          <cell r="AZ35">
            <v>6</v>
          </cell>
          <cell r="BA35">
            <v>1</v>
          </cell>
          <cell r="BB35">
            <v>8</v>
          </cell>
          <cell r="BC35">
            <v>0</v>
          </cell>
          <cell r="BD35">
            <v>0</v>
          </cell>
          <cell r="BG35" t="str">
            <v>العربى</v>
          </cell>
          <cell r="BN35">
            <v>43500</v>
          </cell>
          <cell r="CQ35" t="str">
            <v>المصنع السودانى الماليزى</v>
          </cell>
          <cell r="CR35" t="str">
            <v>عامل الانتاج</v>
          </cell>
          <cell r="CS35">
            <v>38421</v>
          </cell>
          <cell r="CT35">
            <v>39048</v>
          </cell>
          <cell r="EL35">
            <v>30</v>
          </cell>
          <cell r="EQ35">
            <v>30</v>
          </cell>
          <cell r="ER35">
            <v>260</v>
          </cell>
          <cell r="FG35" t="str">
            <v xml:space="preserve"> مدير الانتاج</v>
          </cell>
          <cell r="FH35" t="str">
            <v>هشام عيسى محمد عبدالكريم</v>
          </cell>
          <cell r="FI35">
            <v>0</v>
          </cell>
        </row>
        <row r="36">
          <cell r="A36">
            <v>35</v>
          </cell>
          <cell r="O36">
            <v>0</v>
          </cell>
          <cell r="P36">
            <v>0</v>
          </cell>
          <cell r="R36">
            <v>0</v>
          </cell>
          <cell r="T36" t="str">
            <v>m</v>
          </cell>
          <cell r="AG36">
            <v>9</v>
          </cell>
          <cell r="AH36">
            <v>1</v>
          </cell>
          <cell r="AS36">
            <v>43500</v>
          </cell>
          <cell r="AT36">
            <v>119</v>
          </cell>
          <cell r="BN36">
            <v>43500</v>
          </cell>
          <cell r="EQ36">
            <v>0</v>
          </cell>
          <cell r="FG36" t="e">
            <v>#N/A</v>
          </cell>
          <cell r="FH36" t="e">
            <v>#N/A</v>
          </cell>
          <cell r="FI36">
            <v>0</v>
          </cell>
        </row>
        <row r="37">
          <cell r="A37">
            <v>36</v>
          </cell>
          <cell r="B37" t="str">
            <v>نصرالدين صديق ادم محمد</v>
          </cell>
          <cell r="C37" t="str">
            <v>نصرالدين</v>
          </cell>
          <cell r="D37" t="str">
            <v>صديق</v>
          </cell>
          <cell r="E37" t="str">
            <v>ادم</v>
          </cell>
          <cell r="F37" t="str">
            <v>محمد</v>
          </cell>
          <cell r="G37" t="str">
            <v>المصنع</v>
          </cell>
          <cell r="H37" t="str">
            <v>الميكانيكا</v>
          </cell>
          <cell r="I37" t="str">
            <v>صيانه عامه</v>
          </cell>
          <cell r="K37" t="str">
            <v>فنى ميكانيكا</v>
          </cell>
          <cell r="L37" t="str">
            <v>فنى ميكانيكا</v>
          </cell>
          <cell r="M37">
            <v>39120</v>
          </cell>
          <cell r="N37">
            <v>43500</v>
          </cell>
          <cell r="O37">
            <v>11</v>
          </cell>
          <cell r="P37">
            <v>11</v>
          </cell>
          <cell r="Q37">
            <v>10</v>
          </cell>
          <cell r="R37">
            <v>347.5</v>
          </cell>
          <cell r="Z37">
            <v>30682</v>
          </cell>
          <cell r="AG37">
            <v>9</v>
          </cell>
          <cell r="AH37">
            <v>1</v>
          </cell>
          <cell r="AI37" t="str">
            <v>تسنين</v>
          </cell>
          <cell r="AJ37" t="str">
            <v>243537</v>
          </cell>
          <cell r="AK37">
            <v>7</v>
          </cell>
          <cell r="AL37">
            <v>3</v>
          </cell>
          <cell r="AM37">
            <v>5</v>
          </cell>
          <cell r="AN37">
            <v>3</v>
          </cell>
          <cell r="AO37">
            <v>4</v>
          </cell>
          <cell r="AP37">
            <v>2</v>
          </cell>
          <cell r="AS37">
            <v>43500</v>
          </cell>
          <cell r="AT37">
            <v>35</v>
          </cell>
          <cell r="AU37" t="str">
            <v>جنسيه</v>
          </cell>
          <cell r="AV37" t="str">
            <v>0212105</v>
          </cell>
          <cell r="AW37">
            <v>5</v>
          </cell>
          <cell r="AX37">
            <v>0</v>
          </cell>
          <cell r="AY37">
            <v>1</v>
          </cell>
          <cell r="AZ37">
            <v>2</v>
          </cell>
          <cell r="BA37">
            <v>1</v>
          </cell>
          <cell r="BB37">
            <v>2</v>
          </cell>
          <cell r="BC37">
            <v>0</v>
          </cell>
          <cell r="BF37" t="str">
            <v>احسان عبدالرحمن محمد</v>
          </cell>
          <cell r="BG37" t="str">
            <v>بحرى</v>
          </cell>
          <cell r="BH37" t="str">
            <v>امدرمان - دار السلام - امبده م (1)</v>
          </cell>
          <cell r="BI37" t="str">
            <v>0919109431</v>
          </cell>
          <cell r="BJ37" t="str">
            <v xml:space="preserve">صديق ادم </v>
          </cell>
          <cell r="BK37" t="str">
            <v>0912862683</v>
          </cell>
          <cell r="BN37">
            <v>43500</v>
          </cell>
          <cell r="BT37" t="str">
            <v>تدريب مهني</v>
          </cell>
          <cell r="BU37" t="str">
            <v>المجلس القومى للتدريب المهنى</v>
          </cell>
          <cell r="BV37">
            <v>38168</v>
          </cell>
          <cell r="BX37" t="str">
            <v>شهاده دورة تدريب</v>
          </cell>
          <cell r="BY37" t="str">
            <v>الموسسه العامه للثقافه العماليه</v>
          </cell>
          <cell r="BZ37">
            <v>37679</v>
          </cell>
          <cell r="EH37">
            <v>30</v>
          </cell>
          <cell r="EJ37">
            <v>30</v>
          </cell>
          <cell r="EL37">
            <v>30</v>
          </cell>
          <cell r="EQ37">
            <v>90</v>
          </cell>
          <cell r="ER37">
            <v>244</v>
          </cell>
          <cell r="FG37" t="str">
            <v>مدير الصيانه الميكانيكيه</v>
          </cell>
          <cell r="FH37" t="str">
            <v>محمد احمد محمد سليمان</v>
          </cell>
          <cell r="FI37">
            <v>0</v>
          </cell>
        </row>
        <row r="38">
          <cell r="A38">
            <v>37</v>
          </cell>
          <cell r="B38" t="str">
            <v>محمد احمد محمد سليمان</v>
          </cell>
          <cell r="C38" t="str">
            <v>محمد</v>
          </cell>
          <cell r="D38" t="str">
            <v>احمد</v>
          </cell>
          <cell r="E38" t="str">
            <v>محمد</v>
          </cell>
          <cell r="F38" t="str">
            <v>سليمان</v>
          </cell>
          <cell r="G38" t="str">
            <v>المصنع</v>
          </cell>
          <cell r="H38" t="str">
            <v>الميكانيكا</v>
          </cell>
          <cell r="I38" t="str">
            <v>مدير قسم</v>
          </cell>
          <cell r="L38" t="str">
            <v>مدير الصيانه الميكانيكيه</v>
          </cell>
          <cell r="M38">
            <v>39142</v>
          </cell>
          <cell r="N38">
            <v>43500</v>
          </cell>
          <cell r="O38">
            <v>11</v>
          </cell>
          <cell r="P38">
            <v>11</v>
          </cell>
          <cell r="Q38">
            <v>10</v>
          </cell>
          <cell r="R38">
            <v>347.5</v>
          </cell>
          <cell r="Z38">
            <v>22282</v>
          </cell>
          <cell r="AG38">
            <v>9</v>
          </cell>
          <cell r="AH38">
            <v>1</v>
          </cell>
          <cell r="AS38">
            <v>43500</v>
          </cell>
          <cell r="AT38">
            <v>58</v>
          </cell>
          <cell r="BG38" t="str">
            <v>خاص</v>
          </cell>
          <cell r="BH38" t="str">
            <v>بحرى - كوبر</v>
          </cell>
          <cell r="BI38" t="str">
            <v>0122534268</v>
          </cell>
          <cell r="BJ38" t="str">
            <v>هشام احمد محمد سليمان</v>
          </cell>
          <cell r="BK38" t="str">
            <v>0912393784</v>
          </cell>
          <cell r="BL38" t="str">
            <v>خالي الطرف</v>
          </cell>
          <cell r="BN38">
            <v>43500</v>
          </cell>
          <cell r="BS38" t="str">
            <v>هندسة تكنولوجية - ميكانيكية</v>
          </cell>
          <cell r="BT38" t="str">
            <v>بكلاريوس الشرف</v>
          </cell>
          <cell r="BU38" t="str">
            <v>الجامعه التكنولوجيه ببغداد</v>
          </cell>
          <cell r="BV38">
            <v>31987</v>
          </cell>
          <cell r="CQ38" t="str">
            <v>Newtech Industrial aEnginccring Group</v>
          </cell>
          <cell r="CR38" t="str">
            <v xml:space="preserve">مهندس </v>
          </cell>
          <cell r="CS38">
            <v>32669</v>
          </cell>
          <cell r="CT38">
            <v>33877</v>
          </cell>
          <cell r="CV38" t="str">
            <v>مجمع ساريا الصناعى</v>
          </cell>
          <cell r="CW38" t="str">
            <v>مهندس صيانه</v>
          </cell>
          <cell r="CX38">
            <v>36312</v>
          </cell>
          <cell r="CY38">
            <v>37026</v>
          </cell>
          <cell r="DA38" t="str">
            <v>شركة وسام للمواسير المحدوده</v>
          </cell>
          <cell r="DB38" t="str">
            <v>مهندس</v>
          </cell>
          <cell r="DC38">
            <v>37246</v>
          </cell>
          <cell r="DD38">
            <v>38543</v>
          </cell>
          <cell r="EL38">
            <v>30</v>
          </cell>
          <cell r="EM38">
            <v>30</v>
          </cell>
          <cell r="EP38">
            <v>30</v>
          </cell>
          <cell r="EQ38">
            <v>90</v>
          </cell>
          <cell r="ER38">
            <v>183</v>
          </cell>
          <cell r="FG38" t="str">
            <v>مدير الصيانه الميكانيكيه</v>
          </cell>
          <cell r="FH38" t="str">
            <v>محمد احمد محمد سليمان</v>
          </cell>
          <cell r="FI38">
            <v>0</v>
          </cell>
        </row>
        <row r="39">
          <cell r="A39">
            <v>38</v>
          </cell>
          <cell r="B39" t="str">
            <v>ماهر ضيف الله سليمان جابر</v>
          </cell>
          <cell r="C39" t="str">
            <v>ماهر</v>
          </cell>
          <cell r="D39" t="str">
            <v>ضيف الله</v>
          </cell>
          <cell r="E39" t="str">
            <v>سليمان</v>
          </cell>
          <cell r="F39" t="str">
            <v>جابر</v>
          </cell>
          <cell r="G39" t="str">
            <v>المصنع</v>
          </cell>
          <cell r="H39" t="str">
            <v>الكهرباء</v>
          </cell>
          <cell r="I39" t="str">
            <v>مدير قسم</v>
          </cell>
          <cell r="K39" t="str">
            <v>مهندس كهرباء</v>
          </cell>
          <cell r="L39" t="str">
            <v>مدير الصيانه الكهربائيه</v>
          </cell>
          <cell r="M39">
            <v>39052</v>
          </cell>
          <cell r="N39">
            <v>43500</v>
          </cell>
          <cell r="O39">
            <v>12</v>
          </cell>
          <cell r="P39">
            <v>2</v>
          </cell>
          <cell r="Q39">
            <v>10</v>
          </cell>
          <cell r="R39">
            <v>355</v>
          </cell>
          <cell r="Z39">
            <v>29113</v>
          </cell>
          <cell r="AG39">
            <v>9</v>
          </cell>
          <cell r="AH39">
            <v>1</v>
          </cell>
          <cell r="AI39" t="str">
            <v>ميلاد</v>
          </cell>
          <cell r="AJ39" t="str">
            <v>272359</v>
          </cell>
          <cell r="AK39">
            <v>9</v>
          </cell>
          <cell r="AL39">
            <v>5</v>
          </cell>
          <cell r="AM39">
            <v>3</v>
          </cell>
          <cell r="AN39">
            <v>2</v>
          </cell>
          <cell r="AO39">
            <v>7</v>
          </cell>
          <cell r="AP39">
            <v>2</v>
          </cell>
          <cell r="AS39">
            <v>43500</v>
          </cell>
          <cell r="AT39">
            <v>39</v>
          </cell>
          <cell r="AU39" t="str">
            <v>جنسيه</v>
          </cell>
          <cell r="AV39" t="str">
            <v>0755860</v>
          </cell>
          <cell r="AW39">
            <v>0</v>
          </cell>
          <cell r="AX39">
            <v>6</v>
          </cell>
          <cell r="AY39">
            <v>8</v>
          </cell>
          <cell r="AZ39">
            <v>5</v>
          </cell>
          <cell r="BA39">
            <v>5</v>
          </cell>
          <cell r="BB39">
            <v>7</v>
          </cell>
          <cell r="BC39">
            <v>0</v>
          </cell>
          <cell r="BF39" t="str">
            <v>مهله ابوزيد</v>
          </cell>
          <cell r="BG39" t="str">
            <v>خاص</v>
          </cell>
          <cell r="BH39" t="str">
            <v>امدرمان - ابوسعد - م ( 50 )</v>
          </cell>
          <cell r="BI39" t="str">
            <v>0906066612</v>
          </cell>
          <cell r="BJ39" t="str">
            <v>ضيف الله سليمان جابر</v>
          </cell>
          <cell r="BK39" t="str">
            <v>0912981549</v>
          </cell>
          <cell r="BL39" t="str">
            <v>خالي الطرف</v>
          </cell>
          <cell r="BN39">
            <v>43500</v>
          </cell>
          <cell r="BS39" t="str">
            <v>هندسة كهرباء</v>
          </cell>
          <cell r="BT39" t="str">
            <v>بكلاريوس الشرف</v>
          </cell>
          <cell r="BU39" t="str">
            <v>جامعة كردفان</v>
          </cell>
          <cell r="BV39">
            <v>38636</v>
          </cell>
          <cell r="BW39" t="str">
            <v>حاسوب</v>
          </cell>
          <cell r="BX39" t="str">
            <v>دبلوم (معاهد)</v>
          </cell>
          <cell r="BY39" t="str">
            <v>Sorita Mar</v>
          </cell>
          <cell r="BZ39">
            <v>36676</v>
          </cell>
          <cell r="CA39" t="str">
            <v>تركيب وصيانة عدادات وطبلونات الدفع المقدم</v>
          </cell>
          <cell r="CB39" t="str">
            <v>شهاده دورة تدريب</v>
          </cell>
          <cell r="CC39" t="str">
            <v>الهيئة القومية للكهرباء</v>
          </cell>
          <cell r="CD39">
            <v>38798</v>
          </cell>
          <cell r="CE39" t="str">
            <v>الخطوط الهوائيه - محطات - التحكم الالى</v>
          </cell>
          <cell r="CF39" t="str">
            <v>شهاده دورة تدريب</v>
          </cell>
          <cell r="CG39" t="str">
            <v>الهيئة القومية للكهرباء</v>
          </cell>
          <cell r="CH39">
            <v>38918</v>
          </cell>
          <cell r="CI39" t="str">
            <v>Industrial Automation &amp; Conterol</v>
          </cell>
          <cell r="CJ39" t="str">
            <v>دبلوم (معاهد)</v>
          </cell>
          <cell r="CK39" t="str">
            <v>Sulaxmi Technologies</v>
          </cell>
          <cell r="CL39">
            <v>41340</v>
          </cell>
          <cell r="CM39" t="str">
            <v>PLC Level(1)</v>
          </cell>
          <cell r="CN39" t="str">
            <v>دبلوم (معاهد)</v>
          </cell>
          <cell r="CO39" t="str">
            <v>مركز زيتا لتدريب الانظمة الاتوماتيكية</v>
          </cell>
          <cell r="CP39">
            <v>42814</v>
          </cell>
          <cell r="CQ39" t="str">
            <v>المصنع السودانى الماليزى</v>
          </cell>
          <cell r="CR39" t="str">
            <v>متدرب</v>
          </cell>
          <cell r="CS39">
            <v>37399</v>
          </cell>
          <cell r="CT39">
            <v>37444</v>
          </cell>
          <cell r="EH39">
            <v>30</v>
          </cell>
          <cell r="EJ39">
            <v>30</v>
          </cell>
          <cell r="EK39">
            <v>30</v>
          </cell>
          <cell r="EL39">
            <v>30</v>
          </cell>
          <cell r="EN39">
            <v>30</v>
          </cell>
          <cell r="EO39">
            <v>30</v>
          </cell>
          <cell r="EP39">
            <v>30</v>
          </cell>
          <cell r="EQ39">
            <v>240</v>
          </cell>
          <cell r="ER39">
            <v>96</v>
          </cell>
          <cell r="FG39" t="str">
            <v>مدير الصيانه الكهربائيه</v>
          </cell>
          <cell r="FH39" t="str">
            <v>ماهر ضيف الله سليمان جابر</v>
          </cell>
          <cell r="FI39">
            <v>0</v>
          </cell>
          <cell r="HC39" t="str">
            <v>30</v>
          </cell>
        </row>
        <row r="40">
          <cell r="A40">
            <v>39</v>
          </cell>
          <cell r="B40" t="str">
            <v>ابوالقاسم محمد احمد جبريل</v>
          </cell>
          <cell r="C40" t="str">
            <v>ابوالقاسم</v>
          </cell>
          <cell r="D40" t="str">
            <v>محمد</v>
          </cell>
          <cell r="E40" t="str">
            <v>احمد</v>
          </cell>
          <cell r="F40" t="str">
            <v>جبريل</v>
          </cell>
          <cell r="G40" t="str">
            <v>المصنع</v>
          </cell>
          <cell r="H40" t="str">
            <v>الكهرباء</v>
          </cell>
          <cell r="I40" t="str">
            <v>كهرباء عامه</v>
          </cell>
          <cell r="K40" t="str">
            <v>فنى كهرباء</v>
          </cell>
          <cell r="L40" t="str">
            <v>فنى كهرباء</v>
          </cell>
          <cell r="M40">
            <v>39052</v>
          </cell>
          <cell r="N40">
            <v>43500</v>
          </cell>
          <cell r="O40">
            <v>12</v>
          </cell>
          <cell r="P40">
            <v>2</v>
          </cell>
          <cell r="Q40">
            <v>10</v>
          </cell>
          <cell r="R40">
            <v>355</v>
          </cell>
          <cell r="Z40">
            <v>30354</v>
          </cell>
          <cell r="AG40">
            <v>9</v>
          </cell>
          <cell r="AH40">
            <v>1</v>
          </cell>
          <cell r="AS40">
            <v>43500</v>
          </cell>
          <cell r="AT40">
            <v>35</v>
          </cell>
          <cell r="BG40" t="str">
            <v>الكلاكله</v>
          </cell>
          <cell r="BH40" t="str">
            <v>الاندلس</v>
          </cell>
          <cell r="BI40" t="str">
            <v>0908594959</v>
          </cell>
          <cell r="BJ40" t="str">
            <v>معاويه محمد احمد</v>
          </cell>
          <cell r="BK40" t="str">
            <v>0912416094</v>
          </cell>
          <cell r="BL40" t="str">
            <v>خالي الطرف</v>
          </cell>
          <cell r="BN40">
            <v>43500</v>
          </cell>
          <cell r="BS40" t="str">
            <v>حاسوب</v>
          </cell>
          <cell r="BT40" t="str">
            <v>شهاده كورس</v>
          </cell>
          <cell r="BU40" t="str">
            <v>كلية غرب النيل</v>
          </cell>
          <cell r="BV40">
            <v>41382</v>
          </cell>
          <cell r="BW40" t="str">
            <v>كهرباء عامه</v>
          </cell>
          <cell r="BX40" t="str">
            <v>دبلوم (معاهد)</v>
          </cell>
          <cell r="BY40" t="str">
            <v>معهد المدثر للاعداد الكتابى</v>
          </cell>
          <cell r="BZ40">
            <v>36984</v>
          </cell>
          <cell r="CQ40" t="str">
            <v>المصنع السودانى الماليزى</v>
          </cell>
          <cell r="CR40" t="str">
            <v>فنى كهرباء</v>
          </cell>
          <cell r="CS40">
            <v>38188</v>
          </cell>
          <cell r="CT40">
            <v>38915</v>
          </cell>
          <cell r="EJ40">
            <v>30</v>
          </cell>
          <cell r="EK40">
            <v>30</v>
          </cell>
          <cell r="EM40">
            <v>60</v>
          </cell>
          <cell r="EN40">
            <v>30</v>
          </cell>
          <cell r="EQ40">
            <v>150</v>
          </cell>
          <cell r="ER40">
            <v>141</v>
          </cell>
          <cell r="FG40" t="str">
            <v>مدير الصيانه الكهربائيه</v>
          </cell>
          <cell r="FH40" t="str">
            <v>ماهر ضيف الله سليمان جابر</v>
          </cell>
          <cell r="FI40">
            <v>0</v>
          </cell>
        </row>
        <row r="41">
          <cell r="A41">
            <v>40</v>
          </cell>
          <cell r="B41" t="str">
            <v>تاج الدين على عبداللطيف سعيد</v>
          </cell>
          <cell r="C41" t="str">
            <v>تاج الدين</v>
          </cell>
          <cell r="D41" t="str">
            <v>على</v>
          </cell>
          <cell r="E41" t="str">
            <v>عبداللطيف</v>
          </cell>
          <cell r="F41" t="str">
            <v>سعيد</v>
          </cell>
          <cell r="G41" t="str">
            <v>المصنع</v>
          </cell>
          <cell r="H41" t="str">
            <v>الكهرباء</v>
          </cell>
          <cell r="I41" t="str">
            <v>كهرباء عامه</v>
          </cell>
          <cell r="K41" t="str">
            <v>فنى كهرباء</v>
          </cell>
          <cell r="L41" t="str">
            <v>فنى كهرباء</v>
          </cell>
          <cell r="M41">
            <v>39052</v>
          </cell>
          <cell r="N41">
            <v>43500</v>
          </cell>
          <cell r="O41">
            <v>12</v>
          </cell>
          <cell r="P41">
            <v>2</v>
          </cell>
          <cell r="Q41">
            <v>10</v>
          </cell>
          <cell r="R41">
            <v>355</v>
          </cell>
          <cell r="Z41">
            <v>23743</v>
          </cell>
          <cell r="AG41">
            <v>9</v>
          </cell>
          <cell r="AH41">
            <v>1</v>
          </cell>
          <cell r="AI41" t="str">
            <v>تسنين</v>
          </cell>
          <cell r="AJ41" t="str">
            <v>0225669</v>
          </cell>
          <cell r="AK41">
            <v>9</v>
          </cell>
          <cell r="AL41">
            <v>6</v>
          </cell>
          <cell r="AM41">
            <v>6</v>
          </cell>
          <cell r="AN41">
            <v>5</v>
          </cell>
          <cell r="AO41">
            <v>2</v>
          </cell>
          <cell r="AP41">
            <v>2</v>
          </cell>
          <cell r="AQ41">
            <v>0</v>
          </cell>
          <cell r="AS41">
            <v>43500</v>
          </cell>
          <cell r="AT41">
            <v>54</v>
          </cell>
          <cell r="AU41" t="str">
            <v>جنسيه</v>
          </cell>
          <cell r="AV41" t="str">
            <v>175766</v>
          </cell>
          <cell r="AW41">
            <v>6</v>
          </cell>
          <cell r="AX41">
            <v>6</v>
          </cell>
          <cell r="AY41">
            <v>7</v>
          </cell>
          <cell r="AZ41">
            <v>5</v>
          </cell>
          <cell r="BA41">
            <v>7</v>
          </cell>
          <cell r="BB41">
            <v>1</v>
          </cell>
          <cell r="BG41" t="str">
            <v>الكلاكله</v>
          </cell>
          <cell r="BH41" t="str">
            <v>الكلاكله شرق - الاسكان</v>
          </cell>
          <cell r="BI41" t="str">
            <v>0916486527</v>
          </cell>
          <cell r="BJ41" t="str">
            <v>بهاء الدين على عبداللطيف</v>
          </cell>
          <cell r="BK41" t="str">
            <v>0915559114</v>
          </cell>
          <cell r="BN41">
            <v>43500</v>
          </cell>
          <cell r="BS41" t="str">
            <v>كهرباء عامة</v>
          </cell>
          <cell r="BT41" t="str">
            <v>تدريب مهني</v>
          </cell>
          <cell r="BV41">
            <v>31442</v>
          </cell>
          <cell r="EL41">
            <v>30</v>
          </cell>
          <cell r="EQ41">
            <v>30</v>
          </cell>
          <cell r="ER41">
            <v>231</v>
          </cell>
          <cell r="FG41" t="str">
            <v>مدير الصيانه الكهربائيه</v>
          </cell>
          <cell r="FH41" t="str">
            <v>ماهر ضيف الله سليمان جابر</v>
          </cell>
          <cell r="FI41">
            <v>0</v>
          </cell>
        </row>
        <row r="42">
          <cell r="A42">
            <v>41</v>
          </cell>
          <cell r="O42">
            <v>0</v>
          </cell>
          <cell r="P42">
            <v>0</v>
          </cell>
          <cell r="R42">
            <v>0</v>
          </cell>
          <cell r="T42" t="str">
            <v>m</v>
          </cell>
          <cell r="AG42">
            <v>9</v>
          </cell>
          <cell r="AH42">
            <v>1</v>
          </cell>
          <cell r="AS42">
            <v>43500</v>
          </cell>
          <cell r="AT42">
            <v>119</v>
          </cell>
          <cell r="BN42">
            <v>43500</v>
          </cell>
          <cell r="EQ42">
            <v>0</v>
          </cell>
          <cell r="FG42" t="e">
            <v>#N/A</v>
          </cell>
          <cell r="FH42" t="e">
            <v>#N/A</v>
          </cell>
          <cell r="FI42">
            <v>0</v>
          </cell>
        </row>
        <row r="43">
          <cell r="A43">
            <v>42</v>
          </cell>
          <cell r="B43" t="str">
            <v>المهل العوض مبارك على</v>
          </cell>
          <cell r="C43" t="str">
            <v>المهل</v>
          </cell>
          <cell r="D43" t="str">
            <v>العوض</v>
          </cell>
          <cell r="E43" t="str">
            <v>مبارك</v>
          </cell>
          <cell r="F43" t="str">
            <v>على</v>
          </cell>
          <cell r="G43" t="str">
            <v>المصنع</v>
          </cell>
          <cell r="H43" t="str">
            <v>الخدمات</v>
          </cell>
          <cell r="I43" t="str">
            <v>الكافتريا</v>
          </cell>
          <cell r="K43" t="str">
            <v>عامل</v>
          </cell>
          <cell r="L43" t="str">
            <v>عامل</v>
          </cell>
          <cell r="M43">
            <v>39088</v>
          </cell>
          <cell r="N43">
            <v>43500</v>
          </cell>
          <cell r="O43">
            <v>12</v>
          </cell>
          <cell r="P43">
            <v>0</v>
          </cell>
          <cell r="Q43">
            <v>10</v>
          </cell>
          <cell r="R43">
            <v>350</v>
          </cell>
          <cell r="Z43">
            <v>22647</v>
          </cell>
          <cell r="AG43">
            <v>9</v>
          </cell>
          <cell r="AH43">
            <v>1</v>
          </cell>
          <cell r="AI43" t="str">
            <v>تسنين</v>
          </cell>
          <cell r="AJ43" t="str">
            <v>278170</v>
          </cell>
          <cell r="AK43">
            <v>0</v>
          </cell>
          <cell r="AL43">
            <v>7</v>
          </cell>
          <cell r="AM43">
            <v>1</v>
          </cell>
          <cell r="AN43">
            <v>8</v>
          </cell>
          <cell r="AO43">
            <v>7</v>
          </cell>
          <cell r="AP43">
            <v>2</v>
          </cell>
          <cell r="AS43">
            <v>43500</v>
          </cell>
          <cell r="AT43">
            <v>57</v>
          </cell>
          <cell r="AU43" t="str">
            <v>جنسيه</v>
          </cell>
          <cell r="AV43" t="str">
            <v>773430</v>
          </cell>
          <cell r="AW43">
            <v>0</v>
          </cell>
          <cell r="AX43">
            <v>3</v>
          </cell>
          <cell r="AY43">
            <v>4</v>
          </cell>
          <cell r="AZ43">
            <v>3</v>
          </cell>
          <cell r="BA43">
            <v>7</v>
          </cell>
          <cell r="BB43">
            <v>7</v>
          </cell>
          <cell r="BE43" t="str">
            <v>115-9660382-2</v>
          </cell>
          <cell r="BF43" t="str">
            <v>بتول محمد إدريس</v>
          </cell>
          <cell r="BG43" t="str">
            <v>الكلاكله</v>
          </cell>
          <cell r="BH43" t="str">
            <v>جبل اولياء - غرب</v>
          </cell>
          <cell r="BI43" t="str">
            <v>0992317601</v>
          </cell>
          <cell r="BJ43" t="str">
            <v>حاتم عبدالله</v>
          </cell>
          <cell r="BK43" t="str">
            <v>0918142890</v>
          </cell>
          <cell r="BL43" t="str">
            <v>كبار سن</v>
          </cell>
          <cell r="BN43">
            <v>43500</v>
          </cell>
          <cell r="EL43">
            <v>30</v>
          </cell>
          <cell r="EM43">
            <v>30</v>
          </cell>
          <cell r="EN43">
            <v>30</v>
          </cell>
          <cell r="EQ43">
            <v>90</v>
          </cell>
          <cell r="ER43">
            <v>82</v>
          </cell>
          <cell r="FG43" t="str">
            <v>المدير الادارى</v>
          </cell>
          <cell r="FH43" t="str">
            <v>احمد عبدالرحيم ابوبكر محمد</v>
          </cell>
          <cell r="FI43" t="str">
            <v>115-9660382-2</v>
          </cell>
        </row>
        <row r="44">
          <cell r="A44">
            <v>43</v>
          </cell>
          <cell r="B44" t="str">
            <v>عبدالرحمن عبدالله عبدالكبير ابراهيم</v>
          </cell>
          <cell r="C44" t="str">
            <v>عبدالرحمن</v>
          </cell>
          <cell r="D44" t="str">
            <v>عبدالله</v>
          </cell>
          <cell r="E44" t="str">
            <v>عبدالكبير</v>
          </cell>
          <cell r="F44" t="str">
            <v>ابراهيم</v>
          </cell>
          <cell r="G44" t="str">
            <v>المصنع</v>
          </cell>
          <cell r="H44" t="str">
            <v>الخدمات</v>
          </cell>
          <cell r="I44" t="str">
            <v>البوفيه</v>
          </cell>
          <cell r="K44" t="str">
            <v>عامل</v>
          </cell>
          <cell r="L44" t="str">
            <v>عامل</v>
          </cell>
          <cell r="M44">
            <v>42045</v>
          </cell>
          <cell r="N44">
            <v>43500</v>
          </cell>
          <cell r="O44">
            <v>3</v>
          </cell>
          <cell r="P44">
            <v>11</v>
          </cell>
          <cell r="R44">
            <v>117.5</v>
          </cell>
          <cell r="Z44">
            <v>31778</v>
          </cell>
          <cell r="AG44">
            <v>9</v>
          </cell>
          <cell r="AH44">
            <v>1</v>
          </cell>
          <cell r="AI44" t="str">
            <v>تسنين</v>
          </cell>
          <cell r="AJ44" t="str">
            <v>2520547</v>
          </cell>
          <cell r="AK44">
            <v>7</v>
          </cell>
          <cell r="AL44">
            <v>4</v>
          </cell>
          <cell r="AM44">
            <v>5</v>
          </cell>
          <cell r="AN44">
            <v>0</v>
          </cell>
          <cell r="AO44">
            <v>2</v>
          </cell>
          <cell r="AP44">
            <v>5</v>
          </cell>
          <cell r="AQ44">
            <v>2</v>
          </cell>
          <cell r="AS44">
            <v>43500</v>
          </cell>
          <cell r="AT44">
            <v>32</v>
          </cell>
          <cell r="AU44" t="str">
            <v>بطاقه قوميه</v>
          </cell>
          <cell r="AV44" t="str">
            <v>000251383</v>
          </cell>
          <cell r="AW44">
            <v>3</v>
          </cell>
          <cell r="AX44">
            <v>8</v>
          </cell>
          <cell r="AY44">
            <v>3</v>
          </cell>
          <cell r="AZ44">
            <v>1</v>
          </cell>
          <cell r="BA44">
            <v>5</v>
          </cell>
          <cell r="BB44">
            <v>2</v>
          </cell>
          <cell r="BC44">
            <v>0</v>
          </cell>
          <cell r="BD44">
            <v>0</v>
          </cell>
          <cell r="BE44" t="str">
            <v>114-1403153-4</v>
          </cell>
          <cell r="BF44" t="str">
            <v>النخيل النور المدنى</v>
          </cell>
          <cell r="BG44" t="str">
            <v>الكلاكله</v>
          </cell>
          <cell r="BH44" t="str">
            <v>الشقيلاب</v>
          </cell>
          <cell r="BI44" t="str">
            <v>0919062263</v>
          </cell>
          <cell r="BJ44" t="str">
            <v xml:space="preserve">حسن عبدالله </v>
          </cell>
          <cell r="BK44" t="str">
            <v>0920327598</v>
          </cell>
          <cell r="BN44">
            <v>43500</v>
          </cell>
          <cell r="CQ44" t="str">
            <v>شركة ذات العماد للصناعه المحدوده</v>
          </cell>
          <cell r="CR44" t="str">
            <v xml:space="preserve">عامل </v>
          </cell>
          <cell r="CS44">
            <v>39088</v>
          </cell>
          <cell r="CT44">
            <v>41366</v>
          </cell>
          <cell r="EQ44">
            <v>0</v>
          </cell>
          <cell r="ER44">
            <v>31</v>
          </cell>
          <cell r="FG44" t="str">
            <v>المدير الادارى</v>
          </cell>
          <cell r="FH44" t="str">
            <v>احمد عبدالرحيم ابوبكر محمد</v>
          </cell>
          <cell r="FI44" t="str">
            <v>114-1403153-4</v>
          </cell>
        </row>
        <row r="45">
          <cell r="A45">
            <v>44</v>
          </cell>
          <cell r="O45">
            <v>0</v>
          </cell>
          <cell r="P45">
            <v>0</v>
          </cell>
          <cell r="R45">
            <v>0</v>
          </cell>
          <cell r="T45" t="str">
            <v>m</v>
          </cell>
          <cell r="AG45">
            <v>9</v>
          </cell>
          <cell r="AH45">
            <v>1</v>
          </cell>
          <cell r="AS45">
            <v>43500</v>
          </cell>
          <cell r="AT45">
            <v>119</v>
          </cell>
          <cell r="BN45">
            <v>43500</v>
          </cell>
          <cell r="EQ45">
            <v>0</v>
          </cell>
          <cell r="FG45" t="e">
            <v>#N/A</v>
          </cell>
          <cell r="FH45" t="e">
            <v>#N/A</v>
          </cell>
          <cell r="FI45">
            <v>0</v>
          </cell>
        </row>
        <row r="46">
          <cell r="A46">
            <v>45</v>
          </cell>
          <cell r="B46" t="str">
            <v>طه احمد محمد ابراهيم</v>
          </cell>
          <cell r="C46" t="str">
            <v>طه</v>
          </cell>
          <cell r="D46" t="str">
            <v>احمد</v>
          </cell>
          <cell r="E46" t="str">
            <v>محمد</v>
          </cell>
          <cell r="F46" t="str">
            <v>ابراهيم</v>
          </cell>
          <cell r="G46" t="str">
            <v>المصنع</v>
          </cell>
          <cell r="H46" t="str">
            <v>الخدمات</v>
          </cell>
          <cell r="I46" t="str">
            <v>الكافتريا</v>
          </cell>
          <cell r="K46" t="str">
            <v>عامل</v>
          </cell>
          <cell r="L46" t="str">
            <v>عامل</v>
          </cell>
          <cell r="M46">
            <v>39120</v>
          </cell>
          <cell r="N46">
            <v>43500</v>
          </cell>
          <cell r="O46">
            <v>11</v>
          </cell>
          <cell r="P46">
            <v>11</v>
          </cell>
          <cell r="Q46">
            <v>10</v>
          </cell>
          <cell r="R46">
            <v>347.5</v>
          </cell>
          <cell r="Z46">
            <v>24838</v>
          </cell>
          <cell r="AG46">
            <v>9</v>
          </cell>
          <cell r="AH46">
            <v>1</v>
          </cell>
          <cell r="AI46" t="str">
            <v>تسنين</v>
          </cell>
          <cell r="AJ46" t="str">
            <v>1159724</v>
          </cell>
          <cell r="AK46">
            <v>4</v>
          </cell>
          <cell r="AL46">
            <v>2</v>
          </cell>
          <cell r="AM46">
            <v>7</v>
          </cell>
          <cell r="AN46">
            <v>9</v>
          </cell>
          <cell r="AO46">
            <v>5</v>
          </cell>
          <cell r="AP46">
            <v>1</v>
          </cell>
          <cell r="AQ46">
            <v>1</v>
          </cell>
          <cell r="AS46">
            <v>43500</v>
          </cell>
          <cell r="AT46">
            <v>51</v>
          </cell>
          <cell r="AU46" t="str">
            <v>جنسيه</v>
          </cell>
          <cell r="AV46" t="str">
            <v>0475426</v>
          </cell>
          <cell r="AW46">
            <v>6</v>
          </cell>
          <cell r="AX46">
            <v>2</v>
          </cell>
          <cell r="AY46">
            <v>4</v>
          </cell>
          <cell r="AZ46">
            <v>5</v>
          </cell>
          <cell r="BA46">
            <v>7</v>
          </cell>
          <cell r="BB46">
            <v>4</v>
          </cell>
          <cell r="BC46">
            <v>0</v>
          </cell>
          <cell r="BF46" t="str">
            <v>كاكا احمد كرار</v>
          </cell>
          <cell r="BG46" t="str">
            <v>السمير</v>
          </cell>
          <cell r="BH46" t="str">
            <v>السمير - المزارع</v>
          </cell>
          <cell r="BI46" t="str">
            <v>0915204728</v>
          </cell>
          <cell r="BJ46" t="str">
            <v>محمد احمد محمد</v>
          </cell>
          <cell r="BK46" t="str">
            <v>0902096856</v>
          </cell>
          <cell r="BL46" t="str">
            <v>كبار سن</v>
          </cell>
          <cell r="BN46">
            <v>43500</v>
          </cell>
          <cell r="EG46">
            <v>30</v>
          </cell>
          <cell r="EK46">
            <v>30</v>
          </cell>
          <cell r="EL46">
            <v>60</v>
          </cell>
          <cell r="EN46">
            <v>30</v>
          </cell>
          <cell r="EP46">
            <v>30</v>
          </cell>
          <cell r="EQ46">
            <v>180</v>
          </cell>
          <cell r="ER46">
            <v>56</v>
          </cell>
          <cell r="FG46" t="str">
            <v>المدير الادارى</v>
          </cell>
          <cell r="FH46" t="str">
            <v>احمد عبدالرحيم ابوبكر محمد</v>
          </cell>
          <cell r="FI46">
            <v>0</v>
          </cell>
        </row>
        <row r="47">
          <cell r="A47">
            <v>46</v>
          </cell>
          <cell r="B47" t="str">
            <v>السر على النذير عبدالعليم</v>
          </cell>
          <cell r="G47" t="str">
            <v>المصنع</v>
          </cell>
          <cell r="H47" t="str">
            <v>الوحده العلاجيه</v>
          </cell>
          <cell r="K47" t="str">
            <v>مسئول الوحدة الصحية</v>
          </cell>
          <cell r="L47" t="str">
            <v>مسئول الوحدة الصحية</v>
          </cell>
          <cell r="M47">
            <v>43428</v>
          </cell>
          <cell r="O47" t="e">
            <v>#NUM!</v>
          </cell>
          <cell r="P47" t="e">
            <v>#NUM!</v>
          </cell>
          <cell r="R47" t="e">
            <v>#NUM!</v>
          </cell>
          <cell r="X47">
            <v>39203</v>
          </cell>
          <cell r="Z47">
            <v>19725</v>
          </cell>
          <cell r="AG47">
            <v>9</v>
          </cell>
          <cell r="AH47">
            <v>1</v>
          </cell>
          <cell r="AI47" t="str">
            <v>تسنين</v>
          </cell>
          <cell r="AJ47">
            <v>980</v>
          </cell>
          <cell r="AS47">
            <v>43500</v>
          </cell>
          <cell r="AT47">
            <v>65</v>
          </cell>
          <cell r="AU47" t="str">
            <v>بطاقه قوميه</v>
          </cell>
          <cell r="AV47" t="str">
            <v>006164495</v>
          </cell>
          <cell r="AW47">
            <v>5</v>
          </cell>
          <cell r="AX47">
            <v>9</v>
          </cell>
          <cell r="AY47">
            <v>4</v>
          </cell>
          <cell r="AZ47">
            <v>4</v>
          </cell>
          <cell r="BA47">
            <v>6</v>
          </cell>
          <cell r="BB47">
            <v>1</v>
          </cell>
          <cell r="BC47">
            <v>6</v>
          </cell>
          <cell r="BD47">
            <v>0</v>
          </cell>
          <cell r="BE47" t="str">
            <v>120-7558187-8</v>
          </cell>
          <cell r="BF47" t="str">
            <v>خديجه محى الدين النزير</v>
          </cell>
          <cell r="BG47" t="str">
            <v>الكلاكلة</v>
          </cell>
          <cell r="BH47" t="str">
            <v>الكلاكلة - القبة شمال</v>
          </cell>
          <cell r="BI47" t="str">
            <v>0918271060</v>
          </cell>
          <cell r="BJ47" t="str">
            <v>حاتم محى الدين النزير</v>
          </cell>
          <cell r="BL47" t="str">
            <v>كبار سن</v>
          </cell>
          <cell r="BN47">
            <v>43500</v>
          </cell>
          <cell r="BS47" t="str">
            <v>تمريض</v>
          </cell>
          <cell r="BT47" t="str">
            <v>شهاده دورة تدريب</v>
          </cell>
          <cell r="BU47" t="str">
            <v>وزارة الصحة</v>
          </cell>
          <cell r="BV47">
            <v>28304</v>
          </cell>
          <cell r="CQ47" t="str">
            <v>السلاح الطبي</v>
          </cell>
          <cell r="CR47" t="str">
            <v>فنى تمريض</v>
          </cell>
          <cell r="CS47">
            <v>28304</v>
          </cell>
          <cell r="CT47">
            <v>29159</v>
          </cell>
          <cell r="EQ47">
            <v>0</v>
          </cell>
          <cell r="FG47" t="str">
            <v>المدير الادارى</v>
          </cell>
          <cell r="FH47" t="str">
            <v>احمد عبدالرحيم ابوبكر محمد</v>
          </cell>
          <cell r="FI47" t="str">
            <v>120-7558187-8</v>
          </cell>
        </row>
        <row r="48">
          <cell r="A48">
            <v>47</v>
          </cell>
          <cell r="B48" t="str">
            <v>نزار خيرى حسن صالح</v>
          </cell>
          <cell r="C48" t="str">
            <v>نزار</v>
          </cell>
          <cell r="D48" t="str">
            <v>خيرى</v>
          </cell>
          <cell r="E48" t="str">
            <v>حسن</v>
          </cell>
          <cell r="F48" t="str">
            <v>صالح</v>
          </cell>
          <cell r="G48" t="str">
            <v>المصنع</v>
          </cell>
          <cell r="H48" t="str">
            <v>الانتاج</v>
          </cell>
          <cell r="I48" t="str">
            <v>الاشراف</v>
          </cell>
          <cell r="K48" t="str">
            <v>مشغل</v>
          </cell>
          <cell r="L48" t="str">
            <v>مشرف ورديه</v>
          </cell>
          <cell r="M48">
            <v>39486</v>
          </cell>
          <cell r="N48">
            <v>43500</v>
          </cell>
          <cell r="O48">
            <v>10</v>
          </cell>
          <cell r="P48">
            <v>11</v>
          </cell>
          <cell r="Q48">
            <v>5</v>
          </cell>
          <cell r="R48">
            <v>322.5</v>
          </cell>
          <cell r="Z48">
            <v>27356</v>
          </cell>
          <cell r="AG48">
            <v>9</v>
          </cell>
          <cell r="AH48">
            <v>1</v>
          </cell>
          <cell r="AI48" t="str">
            <v>ميلاد</v>
          </cell>
          <cell r="AJ48" t="str">
            <v>24558</v>
          </cell>
          <cell r="AK48">
            <v>8</v>
          </cell>
          <cell r="AL48">
            <v>5</v>
          </cell>
          <cell r="AM48">
            <v>5</v>
          </cell>
          <cell r="AN48">
            <v>4</v>
          </cell>
          <cell r="AO48">
            <v>2</v>
          </cell>
          <cell r="AS48">
            <v>43500</v>
          </cell>
          <cell r="AT48">
            <v>44</v>
          </cell>
          <cell r="BG48" t="str">
            <v>خاص</v>
          </cell>
          <cell r="BH48" t="str">
            <v>الازهرى م ( 16 ) منزل ( 492 )</v>
          </cell>
          <cell r="BI48" t="str">
            <v>0912149085</v>
          </cell>
          <cell r="BJ48" t="str">
            <v xml:space="preserve">ياسر </v>
          </cell>
          <cell r="BK48" t="str">
            <v>0912932567</v>
          </cell>
          <cell r="BN48">
            <v>43500</v>
          </cell>
          <cell r="EH48">
            <v>30</v>
          </cell>
          <cell r="EJ48">
            <v>30</v>
          </cell>
          <cell r="EK48">
            <v>30</v>
          </cell>
          <cell r="EM48">
            <v>30</v>
          </cell>
          <cell r="EN48">
            <v>30</v>
          </cell>
          <cell r="EO48">
            <v>30</v>
          </cell>
          <cell r="EQ48">
            <v>180</v>
          </cell>
          <cell r="ER48">
            <v>103</v>
          </cell>
          <cell r="FG48" t="str">
            <v xml:space="preserve"> مدير الانتاج</v>
          </cell>
          <cell r="FH48" t="str">
            <v>هشام عيسى محمد عبدالكريم</v>
          </cell>
          <cell r="FI48">
            <v>0</v>
          </cell>
        </row>
        <row r="49">
          <cell r="A49">
            <v>48</v>
          </cell>
          <cell r="B49" t="str">
            <v>علاء الدين عبدالله خالد فضل</v>
          </cell>
          <cell r="G49" t="str">
            <v>المصنع</v>
          </cell>
          <cell r="H49" t="str">
            <v>الانتاج</v>
          </cell>
          <cell r="K49" t="str">
            <v>عامل</v>
          </cell>
          <cell r="L49" t="str">
            <v>عامل</v>
          </cell>
          <cell r="M49">
            <v>39578</v>
          </cell>
          <cell r="O49" t="e">
            <v>#NUM!</v>
          </cell>
          <cell r="P49" t="e">
            <v>#NUM!</v>
          </cell>
          <cell r="R49" t="e">
            <v>#NUM!</v>
          </cell>
          <cell r="T49" t="str">
            <v>m</v>
          </cell>
          <cell r="Z49">
            <v>26497</v>
          </cell>
          <cell r="AG49">
            <v>9</v>
          </cell>
          <cell r="AH49">
            <v>1</v>
          </cell>
          <cell r="AI49" t="str">
            <v>ميلاد</v>
          </cell>
          <cell r="AJ49">
            <v>660188</v>
          </cell>
          <cell r="AS49">
            <v>43500</v>
          </cell>
          <cell r="AT49">
            <v>46</v>
          </cell>
          <cell r="BN49">
            <v>43500</v>
          </cell>
          <cell r="EQ49">
            <v>0</v>
          </cell>
          <cell r="FG49" t="str">
            <v xml:space="preserve"> مدير الانتاج</v>
          </cell>
          <cell r="FH49" t="str">
            <v>هشام عيسى محمد عبدالكريم</v>
          </cell>
          <cell r="FI49">
            <v>0</v>
          </cell>
        </row>
        <row r="50">
          <cell r="A50">
            <v>49</v>
          </cell>
          <cell r="O50">
            <v>0</v>
          </cell>
          <cell r="P50">
            <v>0</v>
          </cell>
          <cell r="R50">
            <v>0</v>
          </cell>
          <cell r="T50" t="str">
            <v>m</v>
          </cell>
          <cell r="AG50">
            <v>9</v>
          </cell>
          <cell r="AH50">
            <v>1</v>
          </cell>
          <cell r="AS50">
            <v>43500</v>
          </cell>
          <cell r="AT50">
            <v>119</v>
          </cell>
          <cell r="BN50">
            <v>43500</v>
          </cell>
          <cell r="EQ50">
            <v>0</v>
          </cell>
          <cell r="FG50" t="e">
            <v>#N/A</v>
          </cell>
          <cell r="FH50" t="e">
            <v>#N/A</v>
          </cell>
          <cell r="FI50">
            <v>0</v>
          </cell>
        </row>
        <row r="51">
          <cell r="A51">
            <v>50</v>
          </cell>
          <cell r="O51">
            <v>0</v>
          </cell>
          <cell r="P51">
            <v>0</v>
          </cell>
          <cell r="R51">
            <v>0</v>
          </cell>
          <cell r="T51" t="str">
            <v>m</v>
          </cell>
          <cell r="AG51">
            <v>9</v>
          </cell>
          <cell r="AH51">
            <v>1</v>
          </cell>
          <cell r="AS51">
            <v>43500</v>
          </cell>
          <cell r="AT51">
            <v>119</v>
          </cell>
          <cell r="BN51">
            <v>43500</v>
          </cell>
          <cell r="EQ51">
            <v>0</v>
          </cell>
          <cell r="FG51" t="e">
            <v>#N/A</v>
          </cell>
          <cell r="FH51" t="e">
            <v>#N/A</v>
          </cell>
          <cell r="FI51">
            <v>0</v>
          </cell>
        </row>
        <row r="52">
          <cell r="A52">
            <v>51</v>
          </cell>
          <cell r="B52" t="str">
            <v>عاصم محمد فضل ابراهيم</v>
          </cell>
          <cell r="C52" t="str">
            <v>عاصم</v>
          </cell>
          <cell r="D52" t="str">
            <v>محمد</v>
          </cell>
          <cell r="E52" t="str">
            <v>فضل</v>
          </cell>
          <cell r="F52" t="str">
            <v>ابراهيم</v>
          </cell>
          <cell r="G52" t="str">
            <v>المصنع</v>
          </cell>
          <cell r="H52" t="str">
            <v>الماليه</v>
          </cell>
          <cell r="I52" t="str">
            <v>الخزنه</v>
          </cell>
          <cell r="K52" t="str">
            <v>محاسب</v>
          </cell>
          <cell r="L52" t="str">
            <v>محاسب</v>
          </cell>
          <cell r="M52">
            <v>39753</v>
          </cell>
          <cell r="N52">
            <v>43500</v>
          </cell>
          <cell r="O52">
            <v>10</v>
          </cell>
          <cell r="P52">
            <v>3</v>
          </cell>
          <cell r="R52">
            <v>307.5</v>
          </cell>
          <cell r="Z52">
            <v>29149</v>
          </cell>
          <cell r="AG52">
            <v>9</v>
          </cell>
          <cell r="AH52">
            <v>1</v>
          </cell>
          <cell r="AI52" t="str">
            <v>ميلاد</v>
          </cell>
          <cell r="AJ52" t="str">
            <v>383787</v>
          </cell>
          <cell r="AK52">
            <v>7</v>
          </cell>
          <cell r="AL52">
            <v>8</v>
          </cell>
          <cell r="AM52">
            <v>7</v>
          </cell>
          <cell r="AN52">
            <v>3</v>
          </cell>
          <cell r="AO52">
            <v>8</v>
          </cell>
          <cell r="AP52">
            <v>3</v>
          </cell>
          <cell r="AS52">
            <v>43500</v>
          </cell>
          <cell r="AT52">
            <v>39</v>
          </cell>
          <cell r="BG52" t="str">
            <v>بحرى</v>
          </cell>
          <cell r="BH52" t="str">
            <v xml:space="preserve">الحاج يوسف - المغاربه </v>
          </cell>
          <cell r="BI52" t="str">
            <v>0912643851</v>
          </cell>
          <cell r="BJ52" t="str">
            <v>فضل محمد فضل</v>
          </cell>
          <cell r="BK52" t="str">
            <v>0912825113</v>
          </cell>
          <cell r="BL52" t="str">
            <v>خالي الطرف</v>
          </cell>
          <cell r="BN52">
            <v>43500</v>
          </cell>
          <cell r="BS52" t="str">
            <v>محاسبة</v>
          </cell>
          <cell r="BT52" t="str">
            <v>دبلوم تقني</v>
          </cell>
          <cell r="BU52" t="str">
            <v>كلية افريقيا</v>
          </cell>
          <cell r="BV52">
            <v>37622</v>
          </cell>
          <cell r="BW52" t="str">
            <v>Accounting</v>
          </cell>
          <cell r="BX52" t="str">
            <v>دبلوم (معاهد)</v>
          </cell>
          <cell r="BY52" t="str">
            <v>الاكاديميه العالميه المتحده للكمبيوتر</v>
          </cell>
          <cell r="BZ52">
            <v>37985</v>
          </cell>
          <cell r="CQ52" t="str">
            <v>المصنع السودانى الماليزى</v>
          </cell>
          <cell r="CR52" t="str">
            <v>شئون العاملين</v>
          </cell>
          <cell r="CS52">
            <v>37681</v>
          </cell>
          <cell r="CT52">
            <v>39569</v>
          </cell>
          <cell r="EJ52">
            <v>30</v>
          </cell>
          <cell r="EK52">
            <v>30</v>
          </cell>
          <cell r="EQ52">
            <v>60</v>
          </cell>
          <cell r="ER52">
            <v>138</v>
          </cell>
          <cell r="FG52" t="str">
            <v>المدير المالي</v>
          </cell>
          <cell r="FH52" t="str">
            <v>بالانابه</v>
          </cell>
          <cell r="FI52">
            <v>0</v>
          </cell>
        </row>
        <row r="53">
          <cell r="A53">
            <v>52</v>
          </cell>
          <cell r="B53" t="str">
            <v>عبدالمنعم مصطفى ابراهيم محمد</v>
          </cell>
          <cell r="C53" t="str">
            <v>عبدالمنعم</v>
          </cell>
          <cell r="D53" t="str">
            <v>مصطفى</v>
          </cell>
          <cell r="E53" t="str">
            <v>ابراهيم</v>
          </cell>
          <cell r="F53" t="str">
            <v>محمد</v>
          </cell>
          <cell r="G53" t="str">
            <v>المصنع</v>
          </cell>
          <cell r="H53" t="str">
            <v>الانتاج</v>
          </cell>
          <cell r="I53" t="str">
            <v>الزوايا</v>
          </cell>
          <cell r="K53" t="str">
            <v>عامل</v>
          </cell>
          <cell r="L53" t="str">
            <v>مساعد مشغل</v>
          </cell>
          <cell r="M53">
            <v>39965</v>
          </cell>
          <cell r="N53">
            <v>43500</v>
          </cell>
          <cell r="O53">
            <v>9</v>
          </cell>
          <cell r="P53">
            <v>8</v>
          </cell>
          <cell r="R53">
            <v>290</v>
          </cell>
          <cell r="Z53">
            <v>21186</v>
          </cell>
          <cell r="AG53">
            <v>9</v>
          </cell>
          <cell r="AH53">
            <v>1</v>
          </cell>
          <cell r="AI53" t="str">
            <v>تسنين</v>
          </cell>
          <cell r="AJ53" t="str">
            <v>1145853</v>
          </cell>
          <cell r="AK53">
            <v>3</v>
          </cell>
          <cell r="AL53">
            <v>5</v>
          </cell>
          <cell r="AM53">
            <v>8</v>
          </cell>
          <cell r="AN53">
            <v>5</v>
          </cell>
          <cell r="AO53">
            <v>4</v>
          </cell>
          <cell r="AP53">
            <v>1</v>
          </cell>
          <cell r="AQ53">
            <v>1</v>
          </cell>
          <cell r="AS53">
            <v>43500</v>
          </cell>
          <cell r="AT53">
            <v>61</v>
          </cell>
          <cell r="BF53" t="str">
            <v>ريا حسن</v>
          </cell>
          <cell r="BG53" t="str">
            <v>الجزيره</v>
          </cell>
          <cell r="BH53" t="str">
            <v>الجزيره - المسعوديه - الحى الغربى</v>
          </cell>
          <cell r="BI53" t="str">
            <v>0921356473</v>
          </cell>
          <cell r="BJ53" t="str">
            <v>مازن عبد المنعم</v>
          </cell>
          <cell r="BL53" t="str">
            <v>كبار سن</v>
          </cell>
          <cell r="BN53">
            <v>43500</v>
          </cell>
          <cell r="EQ53">
            <v>0</v>
          </cell>
          <cell r="ER53">
            <v>209</v>
          </cell>
          <cell r="FG53" t="str">
            <v xml:space="preserve"> مدير الانتاج</v>
          </cell>
          <cell r="FH53" t="str">
            <v>هشام عيسى محمد عبدالكريم</v>
          </cell>
          <cell r="FI53">
            <v>0</v>
          </cell>
        </row>
        <row r="54">
          <cell r="A54">
            <v>53</v>
          </cell>
          <cell r="O54">
            <v>0</v>
          </cell>
          <cell r="P54">
            <v>0</v>
          </cell>
          <cell r="R54">
            <v>0</v>
          </cell>
          <cell r="T54" t="str">
            <v>m</v>
          </cell>
          <cell r="AG54">
            <v>9</v>
          </cell>
          <cell r="AH54">
            <v>1</v>
          </cell>
          <cell r="AS54">
            <v>43500</v>
          </cell>
          <cell r="AT54">
            <v>119</v>
          </cell>
          <cell r="BN54">
            <v>43500</v>
          </cell>
          <cell r="EQ54">
            <v>0</v>
          </cell>
          <cell r="FG54" t="e">
            <v>#N/A</v>
          </cell>
          <cell r="FH54" t="e">
            <v>#N/A</v>
          </cell>
          <cell r="FI54">
            <v>0</v>
          </cell>
        </row>
        <row r="55">
          <cell r="A55">
            <v>54</v>
          </cell>
          <cell r="B55" t="str">
            <v>زاهر سراج عوض على</v>
          </cell>
          <cell r="C55" t="str">
            <v>زاهر</v>
          </cell>
          <cell r="D55" t="str">
            <v>سراج</v>
          </cell>
          <cell r="E55" t="str">
            <v>عوض</v>
          </cell>
          <cell r="F55" t="str">
            <v>على</v>
          </cell>
          <cell r="G55" t="str">
            <v>المصنع</v>
          </cell>
          <cell r="H55" t="str">
            <v>المستودعات</v>
          </cell>
          <cell r="I55" t="str">
            <v>الاسكراب</v>
          </cell>
          <cell r="K55" t="str">
            <v>فرد امن</v>
          </cell>
          <cell r="L55" t="str">
            <v>مسئول مستودع الاسكراب</v>
          </cell>
          <cell r="M55">
            <v>39968</v>
          </cell>
          <cell r="N55">
            <v>43500</v>
          </cell>
          <cell r="O55">
            <v>9</v>
          </cell>
          <cell r="P55">
            <v>8</v>
          </cell>
          <cell r="R55">
            <v>290</v>
          </cell>
          <cell r="Z55">
            <v>26665</v>
          </cell>
          <cell r="AG55">
            <v>9</v>
          </cell>
          <cell r="AH55">
            <v>1</v>
          </cell>
          <cell r="AS55">
            <v>43500</v>
          </cell>
          <cell r="AT55">
            <v>46</v>
          </cell>
          <cell r="BG55" t="str">
            <v>الجزيره</v>
          </cell>
          <cell r="BH55" t="str">
            <v>الباقير - القرية النموذجية</v>
          </cell>
          <cell r="BI55" t="str">
            <v>0911971336</v>
          </cell>
          <cell r="BJ55" t="str">
            <v>عثمان سراج</v>
          </cell>
          <cell r="BK55" t="str">
            <v>0912359486</v>
          </cell>
          <cell r="BN55">
            <v>43500</v>
          </cell>
          <cell r="EK55">
            <v>30</v>
          </cell>
          <cell r="EM55">
            <v>30</v>
          </cell>
          <cell r="EQ55">
            <v>60</v>
          </cell>
          <cell r="ER55">
            <v>160</v>
          </cell>
          <cell r="FG55" t="str">
            <v>مدير المستودعات</v>
          </cell>
          <cell r="FH55" t="str">
            <v>على احمد على بابكر</v>
          </cell>
          <cell r="FI55">
            <v>0</v>
          </cell>
        </row>
        <row r="56">
          <cell r="A56">
            <v>55</v>
          </cell>
          <cell r="B56" t="str">
            <v>الرفاعى الصادق بشير اسحق</v>
          </cell>
          <cell r="C56" t="str">
            <v>الرفاعى</v>
          </cell>
          <cell r="D56" t="str">
            <v>الصادق</v>
          </cell>
          <cell r="E56" t="str">
            <v>بشير</v>
          </cell>
          <cell r="F56" t="str">
            <v>اسحق</v>
          </cell>
          <cell r="G56" t="str">
            <v>المصنع</v>
          </cell>
          <cell r="H56" t="str">
            <v>الانتاج</v>
          </cell>
          <cell r="I56" t="str">
            <v>اليات</v>
          </cell>
          <cell r="K56" t="str">
            <v>عامل</v>
          </cell>
          <cell r="L56" t="str">
            <v>سائق اليات</v>
          </cell>
          <cell r="M56">
            <v>39979</v>
          </cell>
          <cell r="N56">
            <v>43500</v>
          </cell>
          <cell r="O56">
            <v>9</v>
          </cell>
          <cell r="P56">
            <v>7</v>
          </cell>
          <cell r="R56">
            <v>287.5</v>
          </cell>
          <cell r="Z56">
            <v>26299</v>
          </cell>
          <cell r="AG56">
            <v>9</v>
          </cell>
          <cell r="AH56">
            <v>1</v>
          </cell>
          <cell r="AI56" t="str">
            <v>تسنين</v>
          </cell>
          <cell r="AJ56" t="str">
            <v>2859727</v>
          </cell>
          <cell r="AK56">
            <v>7</v>
          </cell>
          <cell r="AL56">
            <v>2</v>
          </cell>
          <cell r="AM56">
            <v>7</v>
          </cell>
          <cell r="AN56">
            <v>9</v>
          </cell>
          <cell r="AO56">
            <v>5</v>
          </cell>
          <cell r="AP56">
            <v>8</v>
          </cell>
          <cell r="AQ56">
            <v>2</v>
          </cell>
          <cell r="AS56">
            <v>43500</v>
          </cell>
          <cell r="AT56">
            <v>47</v>
          </cell>
          <cell r="AU56" t="str">
            <v>جنسيه</v>
          </cell>
          <cell r="AV56" t="str">
            <v>0106266</v>
          </cell>
          <cell r="AW56">
            <v>6</v>
          </cell>
          <cell r="AX56">
            <v>6</v>
          </cell>
          <cell r="AY56">
            <v>2</v>
          </cell>
          <cell r="AZ56">
            <v>6</v>
          </cell>
          <cell r="BA56">
            <v>0</v>
          </cell>
          <cell r="BB56">
            <v>1</v>
          </cell>
          <cell r="BC56">
            <v>0</v>
          </cell>
          <cell r="BF56" t="str">
            <v>زينب محمد سليمان</v>
          </cell>
          <cell r="BL56" t="str">
            <v>خالي الطرف</v>
          </cell>
          <cell r="BN56">
            <v>43500</v>
          </cell>
          <cell r="CQ56" t="str">
            <v>هيئه مياه الشرب ولاية سنار</v>
          </cell>
          <cell r="CR56" t="str">
            <v>فنى لحام وحداده</v>
          </cell>
          <cell r="CS56">
            <v>30682</v>
          </cell>
          <cell r="CT56">
            <v>34335</v>
          </cell>
          <cell r="EK56">
            <v>30</v>
          </cell>
          <cell r="EL56">
            <v>30</v>
          </cell>
          <cell r="EO56">
            <v>30</v>
          </cell>
          <cell r="EP56">
            <v>30</v>
          </cell>
          <cell r="EQ56">
            <v>120</v>
          </cell>
          <cell r="ER56">
            <v>116</v>
          </cell>
          <cell r="FG56" t="str">
            <v xml:space="preserve"> مدير الانتاج</v>
          </cell>
          <cell r="FH56" t="str">
            <v>هشام عيسى محمد عبدالكريم</v>
          </cell>
          <cell r="FI56">
            <v>0</v>
          </cell>
        </row>
        <row r="57">
          <cell r="A57">
            <v>56</v>
          </cell>
          <cell r="B57" t="str">
            <v>عاطف مصطفى محمد عبدالله</v>
          </cell>
          <cell r="C57" t="str">
            <v>عاطف</v>
          </cell>
          <cell r="D57" t="str">
            <v>مصطفى</v>
          </cell>
          <cell r="E57" t="str">
            <v>محمد</v>
          </cell>
          <cell r="F57" t="str">
            <v>عبدالله</v>
          </cell>
          <cell r="G57" t="str">
            <v>المصنع</v>
          </cell>
          <cell r="H57" t="str">
            <v>الميكانيكا</v>
          </cell>
          <cell r="L57" t="str">
            <v>حداد</v>
          </cell>
          <cell r="O57">
            <v>0</v>
          </cell>
          <cell r="P57">
            <v>0</v>
          </cell>
          <cell r="R57">
            <v>0</v>
          </cell>
          <cell r="T57" t="str">
            <v>إستقال</v>
          </cell>
          <cell r="Z57">
            <v>24108</v>
          </cell>
          <cell r="AG57">
            <v>9</v>
          </cell>
          <cell r="AH57">
            <v>1</v>
          </cell>
          <cell r="AI57" t="str">
            <v>تسنين</v>
          </cell>
          <cell r="AJ57">
            <v>124048</v>
          </cell>
          <cell r="AS57">
            <v>43500</v>
          </cell>
          <cell r="AT57">
            <v>53</v>
          </cell>
          <cell r="AU57" t="str">
            <v>جنسيه</v>
          </cell>
          <cell r="AV57" t="str">
            <v>0090430</v>
          </cell>
          <cell r="AW57">
            <v>0</v>
          </cell>
          <cell r="AX57">
            <v>3</v>
          </cell>
          <cell r="AY57">
            <v>4</v>
          </cell>
          <cell r="AZ57">
            <v>0</v>
          </cell>
          <cell r="BA57">
            <v>9</v>
          </cell>
          <cell r="BB57">
            <v>0</v>
          </cell>
          <cell r="BC57">
            <v>0</v>
          </cell>
          <cell r="BF57" t="str">
            <v>زينب سعيد</v>
          </cell>
          <cell r="BG57" t="str">
            <v>الكلاكله</v>
          </cell>
          <cell r="BH57" t="str">
            <v xml:space="preserve">الكلاكله صنقعت </v>
          </cell>
          <cell r="BI57" t="str">
            <v>0121631359</v>
          </cell>
          <cell r="BL57" t="str">
            <v>خالي الطرف</v>
          </cell>
          <cell r="BN57">
            <v>43500</v>
          </cell>
          <cell r="CQ57" t="str">
            <v>شركة الواحه للنفط</v>
          </cell>
          <cell r="CV57" t="str">
            <v>مؤسسه التعدين السودانية</v>
          </cell>
          <cell r="EQ57">
            <v>0</v>
          </cell>
          <cell r="FG57" t="str">
            <v>مدير الصيانه الميكانيكيه</v>
          </cell>
          <cell r="FH57" t="str">
            <v>محمد احمد محمد سليمان</v>
          </cell>
          <cell r="FI57">
            <v>0</v>
          </cell>
        </row>
        <row r="58">
          <cell r="A58">
            <v>57</v>
          </cell>
          <cell r="O58">
            <v>0</v>
          </cell>
          <cell r="P58">
            <v>0</v>
          </cell>
          <cell r="R58">
            <v>0</v>
          </cell>
          <cell r="T58" t="str">
            <v>m</v>
          </cell>
          <cell r="AG58">
            <v>9</v>
          </cell>
          <cell r="AH58">
            <v>1</v>
          </cell>
          <cell r="AS58">
            <v>43500</v>
          </cell>
          <cell r="AT58">
            <v>119</v>
          </cell>
          <cell r="BN58">
            <v>43500</v>
          </cell>
          <cell r="EQ58">
            <v>0</v>
          </cell>
          <cell r="FG58" t="e">
            <v>#N/A</v>
          </cell>
          <cell r="FH58" t="e">
            <v>#N/A</v>
          </cell>
          <cell r="FI58">
            <v>0</v>
          </cell>
        </row>
        <row r="59">
          <cell r="A59">
            <v>58</v>
          </cell>
          <cell r="B59" t="str">
            <v>محمد على عبدالرحيم ابوبكر</v>
          </cell>
          <cell r="C59" t="str">
            <v>محمد</v>
          </cell>
          <cell r="D59" t="str">
            <v>على</v>
          </cell>
          <cell r="E59" t="str">
            <v>عبدالرحيم</v>
          </cell>
          <cell r="F59" t="str">
            <v>ابوبكر</v>
          </cell>
          <cell r="G59" t="str">
            <v>المصنع</v>
          </cell>
          <cell r="H59" t="str">
            <v>الموارد البشريه</v>
          </cell>
          <cell r="I59" t="str">
            <v>موظف</v>
          </cell>
          <cell r="K59" t="str">
            <v>موظف موارد بشرية</v>
          </cell>
          <cell r="L59" t="str">
            <v>نائب مدير الموارد المكلف</v>
          </cell>
          <cell r="M59">
            <v>40013</v>
          </cell>
          <cell r="N59">
            <v>43500</v>
          </cell>
          <cell r="O59">
            <v>9</v>
          </cell>
          <cell r="P59">
            <v>6</v>
          </cell>
          <cell r="R59">
            <v>285</v>
          </cell>
          <cell r="Z59">
            <v>29285</v>
          </cell>
          <cell r="AA59">
            <v>5</v>
          </cell>
          <cell r="AB59">
            <v>0</v>
          </cell>
          <cell r="AC59">
            <v>3</v>
          </cell>
          <cell r="AD59">
            <v>0</v>
          </cell>
          <cell r="AE59">
            <v>0</v>
          </cell>
          <cell r="AF59">
            <v>8</v>
          </cell>
          <cell r="AG59">
            <v>9</v>
          </cell>
          <cell r="AH59">
            <v>1</v>
          </cell>
          <cell r="AI59" t="str">
            <v>ميلاد</v>
          </cell>
          <cell r="AJ59" t="str">
            <v>808257</v>
          </cell>
          <cell r="AK59">
            <v>7</v>
          </cell>
          <cell r="AL59">
            <v>5</v>
          </cell>
          <cell r="AM59">
            <v>2</v>
          </cell>
          <cell r="AN59">
            <v>8</v>
          </cell>
          <cell r="AO59">
            <v>0</v>
          </cell>
          <cell r="AP59">
            <v>8</v>
          </cell>
          <cell r="AS59">
            <v>43500</v>
          </cell>
          <cell r="AT59">
            <v>38</v>
          </cell>
          <cell r="AU59" t="str">
            <v>جواز سفر</v>
          </cell>
          <cell r="AV59" t="str">
            <v>P00446139</v>
          </cell>
          <cell r="AW59">
            <v>9</v>
          </cell>
          <cell r="AX59">
            <v>3</v>
          </cell>
          <cell r="AY59">
            <v>1</v>
          </cell>
          <cell r="AZ59">
            <v>6</v>
          </cell>
          <cell r="BA59">
            <v>4</v>
          </cell>
          <cell r="BB59">
            <v>4</v>
          </cell>
          <cell r="BC59">
            <v>0</v>
          </cell>
          <cell r="BD59">
            <v>0</v>
          </cell>
          <cell r="BE59" t="str">
            <v>117-8084154-3</v>
          </cell>
          <cell r="BF59" t="str">
            <v>رقيه محمد صالح الامين</v>
          </cell>
          <cell r="BG59" t="str">
            <v>بحرى</v>
          </cell>
          <cell r="BH59" t="str">
            <v>امدرمان الثورة - ح ( 21 )</v>
          </cell>
          <cell r="BI59" t="str">
            <v>0915903003</v>
          </cell>
          <cell r="BJ59" t="str">
            <v>احمد عبدالرحيم ابوبكر</v>
          </cell>
          <cell r="BK59" t="str">
            <v>0912691891</v>
          </cell>
          <cell r="BL59" t="str">
            <v>خالي الطرف</v>
          </cell>
          <cell r="BN59">
            <v>43500</v>
          </cell>
          <cell r="BS59" t="str">
            <v>إدارة الاعمال</v>
          </cell>
          <cell r="BT59" t="str">
            <v>بكلاريوس</v>
          </cell>
          <cell r="BU59" t="str">
            <v>جامعة امدرمان الاهلية</v>
          </cell>
          <cell r="BV59">
            <v>39426</v>
          </cell>
          <cell r="BW59" t="str">
            <v>Quick books - Excel</v>
          </cell>
          <cell r="BX59" t="str">
            <v>شهاده دورة تدريب</v>
          </cell>
          <cell r="BY59" t="str">
            <v>دريمز تور كمبيوتر</v>
          </cell>
          <cell r="BZ59">
            <v>39887</v>
          </cell>
          <cell r="CA59" t="str">
            <v>Professional office Management</v>
          </cell>
          <cell r="CB59" t="str">
            <v>دبلوم (معاهد)</v>
          </cell>
          <cell r="CC59" t="str">
            <v>الشبكه الوطنيه التعليميه باليونسكو</v>
          </cell>
          <cell r="CD59">
            <v>39503</v>
          </cell>
          <cell r="CE59" t="str">
            <v>Human Resources Specialist</v>
          </cell>
          <cell r="CF59" t="str">
            <v>شهاده دورة تدريب</v>
          </cell>
          <cell r="CG59" t="str">
            <v>American Institute of Professional Studies</v>
          </cell>
          <cell r="CH59">
            <v>42250</v>
          </cell>
          <cell r="CI59" t="str">
            <v>Job Analysis &amp; Performance</v>
          </cell>
          <cell r="CJ59" t="str">
            <v>شهاده دورة تدريب</v>
          </cell>
          <cell r="CK59" t="str">
            <v>American Institute of Professional Studies</v>
          </cell>
          <cell r="CL59">
            <v>42016</v>
          </cell>
          <cell r="CM59" t="str">
            <v>Award IN Leadership Management</v>
          </cell>
          <cell r="CN59" t="str">
            <v>شهاده دورة تدريب</v>
          </cell>
          <cell r="CO59" t="str">
            <v>Charisma Workforce Development</v>
          </cell>
          <cell r="CP59">
            <v>42166</v>
          </cell>
          <cell r="CQ59" t="str">
            <v>شركة الاسكلا السياحية</v>
          </cell>
          <cell r="CR59" t="str">
            <v>إدارة افراد وشئون إداريه</v>
          </cell>
          <cell r="CS59">
            <v>39219</v>
          </cell>
          <cell r="CT59">
            <v>39946</v>
          </cell>
          <cell r="EK59">
            <v>30</v>
          </cell>
          <cell r="EQ59">
            <v>30</v>
          </cell>
          <cell r="ER59">
            <v>135</v>
          </cell>
          <cell r="FG59" t="str">
            <v>نائب مدير الموارد المكلف</v>
          </cell>
          <cell r="FH59" t="str">
            <v>محمد على عبدالرحيم ابوبكر</v>
          </cell>
          <cell r="FI59" t="str">
            <v>117-8084154-3</v>
          </cell>
          <cell r="FJ59">
            <v>3</v>
          </cell>
          <cell r="FK59">
            <v>4</v>
          </cell>
          <cell r="FL59">
            <v>5</v>
          </cell>
          <cell r="FM59">
            <v>1</v>
          </cell>
          <cell r="FN59">
            <v>4</v>
          </cell>
          <cell r="FO59">
            <v>8</v>
          </cell>
          <cell r="FP59">
            <v>0</v>
          </cell>
          <cell r="FQ59">
            <v>8</v>
          </cell>
          <cell r="FR59">
            <v>7</v>
          </cell>
          <cell r="FS59">
            <v>1</v>
          </cell>
          <cell r="FT59">
            <v>1</v>
          </cell>
          <cell r="GF59" t="str">
            <v>الخرطوم</v>
          </cell>
          <cell r="GG59" t="str">
            <v>ام درمان</v>
          </cell>
          <cell r="GH59">
            <v>42444</v>
          </cell>
          <cell r="GI59">
            <v>5</v>
          </cell>
          <cell r="GJ59">
            <v>1</v>
          </cell>
          <cell r="GK59">
            <v>3</v>
          </cell>
          <cell r="GL59">
            <v>0</v>
          </cell>
          <cell r="GM59">
            <v>6</v>
          </cell>
          <cell r="GN59">
            <v>1</v>
          </cell>
          <cell r="GO59">
            <v>0</v>
          </cell>
          <cell r="GP59">
            <v>2</v>
          </cell>
          <cell r="GQ59" t="str">
            <v>إستقاله</v>
          </cell>
          <cell r="GR59">
            <v>43160</v>
          </cell>
          <cell r="GS59">
            <v>1</v>
          </cell>
          <cell r="GT59">
            <v>0</v>
          </cell>
          <cell r="GU59">
            <v>3</v>
          </cell>
          <cell r="GV59">
            <v>0</v>
          </cell>
          <cell r="GW59">
            <v>8</v>
          </cell>
          <cell r="GX59">
            <v>1</v>
          </cell>
          <cell r="GY59">
            <v>0</v>
          </cell>
          <cell r="GZ59">
            <v>2</v>
          </cell>
          <cell r="HA59" t="str">
            <v>سوداني</v>
          </cell>
        </row>
        <row r="60">
          <cell r="A60">
            <v>59</v>
          </cell>
          <cell r="O60">
            <v>0</v>
          </cell>
          <cell r="P60">
            <v>0</v>
          </cell>
          <cell r="R60">
            <v>0</v>
          </cell>
          <cell r="T60" t="str">
            <v>m</v>
          </cell>
          <cell r="AG60">
            <v>9</v>
          </cell>
          <cell r="AH60">
            <v>1</v>
          </cell>
          <cell r="AS60">
            <v>43500</v>
          </cell>
          <cell r="AT60">
            <v>119</v>
          </cell>
          <cell r="BN60">
            <v>43500</v>
          </cell>
          <cell r="EQ60">
            <v>0</v>
          </cell>
          <cell r="FG60" t="e">
            <v>#N/A</v>
          </cell>
          <cell r="FH60" t="e">
            <v>#N/A</v>
          </cell>
          <cell r="FI60">
            <v>0</v>
          </cell>
        </row>
        <row r="61">
          <cell r="A61">
            <v>60</v>
          </cell>
          <cell r="B61" t="str">
            <v>جعفر مصطفى على محمد</v>
          </cell>
          <cell r="C61" t="str">
            <v>جعفر</v>
          </cell>
          <cell r="D61" t="str">
            <v>مصطفى</v>
          </cell>
          <cell r="E61" t="str">
            <v>على</v>
          </cell>
          <cell r="F61" t="str">
            <v>محمد</v>
          </cell>
          <cell r="G61" t="str">
            <v>المصنع</v>
          </cell>
          <cell r="H61" t="str">
            <v>الانتاج</v>
          </cell>
          <cell r="I61" t="str">
            <v>الزوايا</v>
          </cell>
          <cell r="K61" t="str">
            <v>عامل</v>
          </cell>
          <cell r="L61" t="str">
            <v>مشغل</v>
          </cell>
          <cell r="M61">
            <v>40028</v>
          </cell>
          <cell r="N61">
            <v>43500</v>
          </cell>
          <cell r="O61">
            <v>9</v>
          </cell>
          <cell r="P61">
            <v>6</v>
          </cell>
          <cell r="R61">
            <v>285</v>
          </cell>
          <cell r="Z61">
            <v>28856</v>
          </cell>
          <cell r="AG61">
            <v>9</v>
          </cell>
          <cell r="AH61">
            <v>1</v>
          </cell>
          <cell r="AI61" t="str">
            <v>تسنين</v>
          </cell>
          <cell r="AJ61" t="str">
            <v>3327549</v>
          </cell>
          <cell r="AK61">
            <v>9</v>
          </cell>
          <cell r="AL61">
            <v>4</v>
          </cell>
          <cell r="AM61">
            <v>5</v>
          </cell>
          <cell r="AN61">
            <v>7</v>
          </cell>
          <cell r="AO61">
            <v>2</v>
          </cell>
          <cell r="AP61">
            <v>3</v>
          </cell>
          <cell r="AQ61">
            <v>3</v>
          </cell>
          <cell r="AS61">
            <v>43500</v>
          </cell>
          <cell r="AT61">
            <v>40</v>
          </cell>
          <cell r="BG61" t="str">
            <v>بحرى</v>
          </cell>
          <cell r="BH61" t="str">
            <v>الحاج يوسف - دار السلام - المغاربه</v>
          </cell>
          <cell r="BI61" t="str">
            <v>0969629670</v>
          </cell>
          <cell r="BJ61" t="str">
            <v>عاصم محمد فضل</v>
          </cell>
          <cell r="BK61" t="str">
            <v>0912643851</v>
          </cell>
          <cell r="BN61">
            <v>43500</v>
          </cell>
          <cell r="EM61">
            <v>60</v>
          </cell>
          <cell r="EO61">
            <v>30</v>
          </cell>
          <cell r="EQ61">
            <v>90</v>
          </cell>
          <cell r="ER61">
            <v>162</v>
          </cell>
          <cell r="ES61">
            <v>40028</v>
          </cell>
          <cell r="ET61">
            <v>40392</v>
          </cell>
          <cell r="EU61" t="str">
            <v>عامل</v>
          </cell>
          <cell r="FG61" t="str">
            <v xml:space="preserve"> مدير الانتاج</v>
          </cell>
          <cell r="FH61" t="str">
            <v>هشام عيسى محمد عبدالكريم</v>
          </cell>
          <cell r="FI61">
            <v>0</v>
          </cell>
        </row>
        <row r="62">
          <cell r="A62">
            <v>61</v>
          </cell>
          <cell r="O62">
            <v>0</v>
          </cell>
          <cell r="P62">
            <v>0</v>
          </cell>
          <cell r="R62">
            <v>0</v>
          </cell>
          <cell r="T62" t="str">
            <v>m</v>
          </cell>
          <cell r="AG62">
            <v>9</v>
          </cell>
          <cell r="AH62">
            <v>1</v>
          </cell>
          <cell r="AS62">
            <v>43500</v>
          </cell>
          <cell r="AT62">
            <v>119</v>
          </cell>
          <cell r="BN62">
            <v>43500</v>
          </cell>
          <cell r="EQ62">
            <v>0</v>
          </cell>
          <cell r="FG62" t="e">
            <v>#N/A</v>
          </cell>
          <cell r="FH62" t="e">
            <v>#N/A</v>
          </cell>
          <cell r="FI62">
            <v>0</v>
          </cell>
        </row>
        <row r="63">
          <cell r="A63">
            <v>62</v>
          </cell>
          <cell r="B63" t="str">
            <v>زكى الصديق محمد مصطفى</v>
          </cell>
          <cell r="C63" t="str">
            <v>زكى</v>
          </cell>
          <cell r="D63" t="str">
            <v>الصديق</v>
          </cell>
          <cell r="E63" t="str">
            <v>محمد</v>
          </cell>
          <cell r="F63" t="str">
            <v>مصطفى</v>
          </cell>
          <cell r="G63" t="str">
            <v>المصنع</v>
          </cell>
          <cell r="H63" t="str">
            <v>المستودعات</v>
          </cell>
          <cell r="I63" t="str">
            <v>قطع الغيار</v>
          </cell>
          <cell r="K63" t="str">
            <v>محاسب</v>
          </cell>
          <cell r="L63" t="str">
            <v>مسئول مستودع ق غ</v>
          </cell>
          <cell r="M63">
            <v>40105</v>
          </cell>
          <cell r="N63">
            <v>43500</v>
          </cell>
          <cell r="O63">
            <v>9</v>
          </cell>
          <cell r="P63">
            <v>3</v>
          </cell>
          <cell r="R63">
            <v>277.5</v>
          </cell>
          <cell r="Z63">
            <v>20455</v>
          </cell>
          <cell r="AG63">
            <v>9</v>
          </cell>
          <cell r="AH63">
            <v>1</v>
          </cell>
          <cell r="AI63" t="str">
            <v>تسنين</v>
          </cell>
          <cell r="AJ63" t="str">
            <v>25460</v>
          </cell>
          <cell r="AK63">
            <v>0</v>
          </cell>
          <cell r="AL63">
            <v>6</v>
          </cell>
          <cell r="AM63">
            <v>4</v>
          </cell>
          <cell r="AN63">
            <v>5</v>
          </cell>
          <cell r="AO63">
            <v>2</v>
          </cell>
          <cell r="AS63">
            <v>43500</v>
          </cell>
          <cell r="AT63">
            <v>63</v>
          </cell>
          <cell r="BE63" t="str">
            <v>120-5138893-9</v>
          </cell>
          <cell r="BF63" t="str">
            <v>امنه عبدالله عمر</v>
          </cell>
          <cell r="BG63" t="str">
            <v>الجزيره</v>
          </cell>
          <cell r="BH63" t="str">
            <v>المسعوديه</v>
          </cell>
          <cell r="BI63" t="str">
            <v>0919004145</v>
          </cell>
          <cell r="BJ63" t="str">
            <v>نزار عوض</v>
          </cell>
          <cell r="BK63" t="str">
            <v>0921287510</v>
          </cell>
          <cell r="BL63" t="str">
            <v>كبار سن</v>
          </cell>
          <cell r="BN63">
            <v>43500</v>
          </cell>
          <cell r="BS63" t="str">
            <v>محاسبة</v>
          </cell>
          <cell r="BT63" t="str">
            <v>بكلاريوس</v>
          </cell>
          <cell r="BU63" t="str">
            <v>جامعه القاهره فرع الخرطوم</v>
          </cell>
          <cell r="BV63">
            <v>32417</v>
          </cell>
          <cell r="BX63" t="str">
            <v>دبلوم (معاهد)</v>
          </cell>
          <cell r="BY63" t="str">
            <v>معهد الخرطوم للكمبيوتر واللغات</v>
          </cell>
          <cell r="CB63" t="str">
            <v>دبلوم (معاهد)</v>
          </cell>
          <cell r="CC63" t="str">
            <v>مركز خدمات الحاسب الالى زليتن</v>
          </cell>
          <cell r="CD63">
            <v>33593</v>
          </cell>
          <cell r="CQ63" t="str">
            <v>مصنع اسمنت زليتن</v>
          </cell>
          <cell r="CR63" t="str">
            <v>محاسب</v>
          </cell>
          <cell r="CS63">
            <v>32902</v>
          </cell>
          <cell r="CT63">
            <v>34160</v>
          </cell>
          <cell r="CV63" t="str">
            <v>الشركه السعوديه للتجاره الفنيه</v>
          </cell>
          <cell r="CW63" t="str">
            <v>محاسب</v>
          </cell>
          <cell r="CX63">
            <v>36872</v>
          </cell>
          <cell r="CY63">
            <v>37633</v>
          </cell>
          <cell r="DA63" t="str">
            <v>معهد الكافى للحاسب الالى</v>
          </cell>
          <cell r="DB63" t="str">
            <v>محاسب</v>
          </cell>
          <cell r="DC63">
            <v>37637</v>
          </cell>
          <cell r="DD63">
            <v>37955</v>
          </cell>
          <cell r="DF63" t="str">
            <v>الانتماء للتجاره</v>
          </cell>
          <cell r="DG63" t="str">
            <v>محاسب</v>
          </cell>
          <cell r="EJ63">
            <v>20</v>
          </cell>
          <cell r="EK63">
            <v>26</v>
          </cell>
          <cell r="EL63">
            <v>22</v>
          </cell>
          <cell r="EP63">
            <v>30</v>
          </cell>
          <cell r="EQ63">
            <v>98</v>
          </cell>
          <cell r="ER63">
            <v>105</v>
          </cell>
          <cell r="ES63">
            <v>39911</v>
          </cell>
          <cell r="ET63">
            <v>40275</v>
          </cell>
          <cell r="EU63" t="str">
            <v>محاسب</v>
          </cell>
          <cell r="FG63" t="str">
            <v>مدير المستودعات</v>
          </cell>
          <cell r="FH63" t="str">
            <v>على احمد على بابكر</v>
          </cell>
          <cell r="FI63" t="str">
            <v>120-5138893-9</v>
          </cell>
        </row>
        <row r="64">
          <cell r="A64">
            <v>63</v>
          </cell>
          <cell r="O64">
            <v>0</v>
          </cell>
          <cell r="P64">
            <v>0</v>
          </cell>
          <cell r="R64">
            <v>0</v>
          </cell>
          <cell r="T64" t="str">
            <v>m</v>
          </cell>
          <cell r="AG64">
            <v>9</v>
          </cell>
          <cell r="AH64">
            <v>1</v>
          </cell>
          <cell r="AS64">
            <v>43500</v>
          </cell>
          <cell r="AT64">
            <v>119</v>
          </cell>
          <cell r="BN64">
            <v>43500</v>
          </cell>
          <cell r="EQ64">
            <v>0</v>
          </cell>
          <cell r="FG64" t="e">
            <v>#N/A</v>
          </cell>
          <cell r="FH64" t="e">
            <v>#N/A</v>
          </cell>
          <cell r="FI64">
            <v>0</v>
          </cell>
        </row>
        <row r="65">
          <cell r="A65">
            <v>64</v>
          </cell>
          <cell r="O65">
            <v>0</v>
          </cell>
          <cell r="P65">
            <v>0</v>
          </cell>
          <cell r="R65">
            <v>0</v>
          </cell>
          <cell r="T65" t="str">
            <v>m</v>
          </cell>
          <cell r="AG65">
            <v>9</v>
          </cell>
          <cell r="AH65">
            <v>1</v>
          </cell>
          <cell r="AS65">
            <v>43500</v>
          </cell>
          <cell r="AT65">
            <v>119</v>
          </cell>
          <cell r="BN65">
            <v>43500</v>
          </cell>
          <cell r="EQ65">
            <v>0</v>
          </cell>
          <cell r="FG65" t="e">
            <v>#N/A</v>
          </cell>
          <cell r="FH65" t="e">
            <v>#N/A</v>
          </cell>
          <cell r="FI65">
            <v>0</v>
          </cell>
        </row>
        <row r="66">
          <cell r="A66">
            <v>65</v>
          </cell>
          <cell r="B66" t="str">
            <v>عاطف محمد احمد عثمان</v>
          </cell>
          <cell r="C66" t="str">
            <v>عاطف</v>
          </cell>
          <cell r="D66" t="str">
            <v>محمد</v>
          </cell>
          <cell r="E66" t="str">
            <v>احمد</v>
          </cell>
          <cell r="F66" t="str">
            <v>عثمان</v>
          </cell>
          <cell r="G66" t="str">
            <v>المصنع</v>
          </cell>
          <cell r="H66" t="str">
            <v>المستودعات</v>
          </cell>
          <cell r="I66" t="str">
            <v>المنتج الجاهز</v>
          </cell>
          <cell r="K66" t="str">
            <v>امين مستودع</v>
          </cell>
          <cell r="L66" t="str">
            <v>امين مستودع م ج</v>
          </cell>
          <cell r="M66">
            <v>41626</v>
          </cell>
          <cell r="N66">
            <v>43500</v>
          </cell>
          <cell r="O66">
            <v>5</v>
          </cell>
          <cell r="P66">
            <v>1</v>
          </cell>
          <cell r="R66">
            <v>152.5</v>
          </cell>
          <cell r="X66">
            <v>40269</v>
          </cell>
          <cell r="Z66">
            <v>29342</v>
          </cell>
          <cell r="AG66">
            <v>9</v>
          </cell>
          <cell r="AH66">
            <v>1</v>
          </cell>
          <cell r="AI66" t="str">
            <v>ميلاد</v>
          </cell>
          <cell r="AJ66" t="str">
            <v>304846</v>
          </cell>
          <cell r="AK66">
            <v>6</v>
          </cell>
          <cell r="AL66">
            <v>4</v>
          </cell>
          <cell r="AM66">
            <v>8</v>
          </cell>
          <cell r="AN66">
            <v>4</v>
          </cell>
          <cell r="AO66">
            <v>0</v>
          </cell>
          <cell r="AP66">
            <v>3</v>
          </cell>
          <cell r="AS66">
            <v>43500</v>
          </cell>
          <cell r="AT66">
            <v>38</v>
          </cell>
          <cell r="AU66" t="str">
            <v>جنسيه</v>
          </cell>
          <cell r="AV66" t="str">
            <v>0378434</v>
          </cell>
          <cell r="AW66">
            <v>4</v>
          </cell>
          <cell r="AX66">
            <v>3</v>
          </cell>
          <cell r="AY66">
            <v>4</v>
          </cell>
          <cell r="AZ66">
            <v>8</v>
          </cell>
          <cell r="BA66">
            <v>7</v>
          </cell>
          <cell r="BB66">
            <v>3</v>
          </cell>
          <cell r="BC66">
            <v>0</v>
          </cell>
          <cell r="BE66" t="str">
            <v>118-5623770-1</v>
          </cell>
          <cell r="BF66" t="str">
            <v>سعيده عبدالجليل احمد</v>
          </cell>
          <cell r="BG66" t="str">
            <v>بحرى</v>
          </cell>
          <cell r="BH66" t="str">
            <v>الحاج يوسف - المغاربه</v>
          </cell>
          <cell r="BI66" t="str">
            <v>0912450503</v>
          </cell>
          <cell r="BJ66" t="str">
            <v>فضل محمد فضل</v>
          </cell>
          <cell r="BK66" t="str">
            <v>0912825113</v>
          </cell>
          <cell r="BL66" t="str">
            <v>خالي الطرف</v>
          </cell>
          <cell r="BN66">
            <v>43500</v>
          </cell>
          <cell r="BS66" t="str">
            <v>تقنيه معلومات</v>
          </cell>
          <cell r="BT66" t="str">
            <v>دبلوم وسيط</v>
          </cell>
          <cell r="BU66" t="str">
            <v>جامعة النيلين</v>
          </cell>
          <cell r="BV66">
            <v>39460</v>
          </cell>
          <cell r="BW66" t="str">
            <v>Advanced Management Of Warehouse &amp; Inventory</v>
          </cell>
          <cell r="BX66" t="str">
            <v>شهاده دورة تدريب</v>
          </cell>
          <cell r="BY66" t="str">
            <v>American Institute of Professional Studies</v>
          </cell>
          <cell r="BZ66">
            <v>42593</v>
          </cell>
          <cell r="CQ66" t="str">
            <v>المصنع السودانى الماليزى</v>
          </cell>
          <cell r="CR66" t="str">
            <v>امين مستودع</v>
          </cell>
          <cell r="CS66">
            <v>38018</v>
          </cell>
          <cell r="CT66">
            <v>39447</v>
          </cell>
          <cell r="EN66">
            <v>30</v>
          </cell>
          <cell r="EQ66">
            <v>30</v>
          </cell>
          <cell r="ER66">
            <v>50</v>
          </cell>
          <cell r="ES66">
            <v>41596</v>
          </cell>
          <cell r="ET66">
            <v>41960</v>
          </cell>
          <cell r="EU66" t="str">
            <v>امين مستودع</v>
          </cell>
          <cell r="FG66" t="str">
            <v>مدير المستودعات</v>
          </cell>
          <cell r="FH66" t="str">
            <v>على احمد على بابكر</v>
          </cell>
          <cell r="FI66" t="str">
            <v>118-5623770-1</v>
          </cell>
        </row>
        <row r="67">
          <cell r="A67">
            <v>66</v>
          </cell>
          <cell r="B67" t="str">
            <v>عباس عبدالله على بابكر</v>
          </cell>
          <cell r="C67" t="str">
            <v>عباس</v>
          </cell>
          <cell r="D67" t="str">
            <v>عبدالله</v>
          </cell>
          <cell r="E67" t="str">
            <v>على</v>
          </cell>
          <cell r="F67" t="str">
            <v>بابكر</v>
          </cell>
          <cell r="G67" t="str">
            <v>المصنع</v>
          </cell>
          <cell r="H67" t="str">
            <v>الانتاج</v>
          </cell>
          <cell r="I67" t="str">
            <v>الاشراف</v>
          </cell>
          <cell r="K67" t="str">
            <v>عامل</v>
          </cell>
          <cell r="L67" t="str">
            <v>مشرف ورديه</v>
          </cell>
          <cell r="M67">
            <v>40430</v>
          </cell>
          <cell r="N67">
            <v>43500</v>
          </cell>
          <cell r="O67">
            <v>8</v>
          </cell>
          <cell r="P67">
            <v>4</v>
          </cell>
          <cell r="R67">
            <v>250</v>
          </cell>
          <cell r="Z67">
            <v>25204</v>
          </cell>
          <cell r="AG67">
            <v>9</v>
          </cell>
          <cell r="AH67">
            <v>1</v>
          </cell>
          <cell r="AI67" t="str">
            <v>تسنين</v>
          </cell>
          <cell r="AJ67" t="str">
            <v>142075</v>
          </cell>
          <cell r="AK67">
            <v>5</v>
          </cell>
          <cell r="AL67">
            <v>7</v>
          </cell>
          <cell r="AM67">
            <v>0</v>
          </cell>
          <cell r="AN67">
            <v>2</v>
          </cell>
          <cell r="AO67">
            <v>4</v>
          </cell>
          <cell r="AP67">
            <v>1</v>
          </cell>
          <cell r="AS67">
            <v>43500</v>
          </cell>
          <cell r="AT67">
            <v>50</v>
          </cell>
          <cell r="AU67" t="str">
            <v>جنسيه</v>
          </cell>
          <cell r="AV67" t="str">
            <v>0109396</v>
          </cell>
          <cell r="AW67">
            <v>6</v>
          </cell>
          <cell r="AX67">
            <v>9</v>
          </cell>
          <cell r="AY67">
            <v>3</v>
          </cell>
          <cell r="AZ67">
            <v>9</v>
          </cell>
          <cell r="BA67">
            <v>0</v>
          </cell>
          <cell r="BB67">
            <v>1</v>
          </cell>
          <cell r="BC67">
            <v>0</v>
          </cell>
          <cell r="BF67" t="str">
            <v xml:space="preserve">ليلى ابوبكر </v>
          </cell>
          <cell r="BG67" t="str">
            <v>الجزيره</v>
          </cell>
          <cell r="BH67" t="str">
            <v>الجزيره - المسعوديه</v>
          </cell>
          <cell r="BI67" t="str">
            <v>0911609406</v>
          </cell>
          <cell r="BJ67" t="str">
            <v>خليل عبدالله على</v>
          </cell>
          <cell r="BK67" t="str">
            <v>0911380376</v>
          </cell>
          <cell r="BL67" t="str">
            <v>خالي الطرف</v>
          </cell>
          <cell r="BN67">
            <v>43500</v>
          </cell>
          <cell r="CQ67" t="str">
            <v>هيئه الاستخبارات والامن</v>
          </cell>
          <cell r="CS67">
            <v>34700</v>
          </cell>
          <cell r="CT67">
            <v>37622</v>
          </cell>
          <cell r="CV67" t="str">
            <v>جامعه العلوم الطبيه والتكنولوجيا</v>
          </cell>
          <cell r="CW67" t="str">
            <v>فرد نظام عام</v>
          </cell>
          <cell r="CX67">
            <v>39849</v>
          </cell>
          <cell r="CY67">
            <v>40213</v>
          </cell>
          <cell r="EO67">
            <v>30</v>
          </cell>
          <cell r="EP67">
            <v>30</v>
          </cell>
          <cell r="EQ67">
            <v>60</v>
          </cell>
          <cell r="ER67">
            <v>139</v>
          </cell>
          <cell r="ES67">
            <v>40440</v>
          </cell>
          <cell r="ET67">
            <v>40804</v>
          </cell>
          <cell r="EU67" t="str">
            <v>عامل</v>
          </cell>
          <cell r="FG67" t="str">
            <v xml:space="preserve"> مدير الانتاج</v>
          </cell>
          <cell r="FH67" t="str">
            <v>هشام عيسى محمد عبدالكريم</v>
          </cell>
          <cell r="FI67">
            <v>0</v>
          </cell>
        </row>
        <row r="68">
          <cell r="A68">
            <v>67</v>
          </cell>
          <cell r="B68" t="str">
            <v>عبدالمعز على عبدالرحمن محمد على</v>
          </cell>
          <cell r="G68" t="str">
            <v>المصنع</v>
          </cell>
          <cell r="H68" t="str">
            <v>الانتاج</v>
          </cell>
          <cell r="K68" t="str">
            <v>عامل</v>
          </cell>
          <cell r="L68" t="str">
            <v>عامل</v>
          </cell>
          <cell r="M68">
            <v>40453</v>
          </cell>
          <cell r="O68" t="e">
            <v>#NUM!</v>
          </cell>
          <cell r="P68" t="e">
            <v>#NUM!</v>
          </cell>
          <cell r="R68" t="e">
            <v>#NUM!</v>
          </cell>
          <cell r="T68" t="str">
            <v>m</v>
          </cell>
          <cell r="Z68">
            <v>30448</v>
          </cell>
          <cell r="AG68">
            <v>9</v>
          </cell>
          <cell r="AH68">
            <v>1</v>
          </cell>
          <cell r="AI68" t="str">
            <v>ميلاد</v>
          </cell>
          <cell r="AJ68">
            <v>298796</v>
          </cell>
          <cell r="AS68">
            <v>43500</v>
          </cell>
          <cell r="AT68">
            <v>35</v>
          </cell>
          <cell r="AU68" t="str">
            <v>جنسيه</v>
          </cell>
          <cell r="AV68">
            <v>247881</v>
          </cell>
          <cell r="AW68">
            <v>1</v>
          </cell>
          <cell r="AX68">
            <v>8</v>
          </cell>
          <cell r="AY68">
            <v>8</v>
          </cell>
          <cell r="AZ68">
            <v>7</v>
          </cell>
          <cell r="BA68">
            <v>4</v>
          </cell>
          <cell r="BB68">
            <v>2</v>
          </cell>
          <cell r="BF68" t="str">
            <v>عزيزه خالد فضل</v>
          </cell>
          <cell r="BH68" t="str">
            <v>الكلاكله - الوحده</v>
          </cell>
          <cell r="BL68" t="str">
            <v>خالي الطرف</v>
          </cell>
          <cell r="BN68">
            <v>43500</v>
          </cell>
          <cell r="BS68" t="str">
            <v>تقانة المعلومات</v>
          </cell>
          <cell r="BT68" t="str">
            <v>دبلوم وسيط</v>
          </cell>
          <cell r="BU68" t="str">
            <v>جامعة النيلين</v>
          </cell>
          <cell r="BV68">
            <v>39653</v>
          </cell>
          <cell r="EQ68">
            <v>0</v>
          </cell>
          <cell r="FG68" t="str">
            <v xml:space="preserve"> مدير الانتاج</v>
          </cell>
          <cell r="FH68" t="str">
            <v>هشام عيسى محمد عبدالكريم</v>
          </cell>
          <cell r="FI68">
            <v>0</v>
          </cell>
        </row>
        <row r="69">
          <cell r="A69">
            <v>68</v>
          </cell>
          <cell r="B69" t="str">
            <v>على الامين محمد على</v>
          </cell>
          <cell r="C69" t="str">
            <v>على</v>
          </cell>
          <cell r="D69" t="str">
            <v>الامين</v>
          </cell>
          <cell r="E69" t="str">
            <v>محمد</v>
          </cell>
          <cell r="F69" t="str">
            <v>على</v>
          </cell>
          <cell r="G69" t="str">
            <v>المصنع</v>
          </cell>
          <cell r="H69" t="str">
            <v>الانتاج</v>
          </cell>
          <cell r="I69" t="str">
            <v>الصاج والزنك</v>
          </cell>
          <cell r="K69" t="str">
            <v>عامل</v>
          </cell>
          <cell r="L69" t="str">
            <v>مساعد مشغل</v>
          </cell>
          <cell r="M69">
            <v>40422</v>
          </cell>
          <cell r="N69">
            <v>43500</v>
          </cell>
          <cell r="O69">
            <v>8</v>
          </cell>
          <cell r="P69">
            <v>5</v>
          </cell>
          <cell r="R69">
            <v>252.5</v>
          </cell>
          <cell r="Z69">
            <v>20090</v>
          </cell>
          <cell r="AG69">
            <v>9</v>
          </cell>
          <cell r="AH69">
            <v>1</v>
          </cell>
          <cell r="AI69" t="str">
            <v>تسنين</v>
          </cell>
          <cell r="AJ69" t="str">
            <v>3056016</v>
          </cell>
          <cell r="AK69">
            <v>6</v>
          </cell>
          <cell r="AL69">
            <v>1</v>
          </cell>
          <cell r="AM69">
            <v>0</v>
          </cell>
          <cell r="AN69">
            <v>6</v>
          </cell>
          <cell r="AO69">
            <v>5</v>
          </cell>
          <cell r="AP69">
            <v>0</v>
          </cell>
          <cell r="AQ69">
            <v>3</v>
          </cell>
          <cell r="AS69">
            <v>43500</v>
          </cell>
          <cell r="AT69">
            <v>64</v>
          </cell>
          <cell r="AU69" t="str">
            <v>جنسيه</v>
          </cell>
          <cell r="AV69" t="str">
            <v>501770</v>
          </cell>
          <cell r="AW69">
            <v>0</v>
          </cell>
          <cell r="AX69">
            <v>7</v>
          </cell>
          <cell r="AY69">
            <v>7</v>
          </cell>
          <cell r="AZ69">
            <v>1</v>
          </cell>
          <cell r="BA69">
            <v>0</v>
          </cell>
          <cell r="BB69">
            <v>5</v>
          </cell>
          <cell r="BF69" t="str">
            <v>كلتوم بركات محمد</v>
          </cell>
          <cell r="BG69" t="str">
            <v>الجزيره</v>
          </cell>
          <cell r="BH69" t="str">
            <v>الجزيره - المسعوديه</v>
          </cell>
          <cell r="BI69" t="str">
            <v>0966929772</v>
          </cell>
          <cell r="BL69" t="str">
            <v>كبار سن</v>
          </cell>
          <cell r="BN69">
            <v>43500</v>
          </cell>
          <cell r="EK69">
            <v>30</v>
          </cell>
          <cell r="EM69">
            <v>30</v>
          </cell>
          <cell r="EQ69">
            <v>60</v>
          </cell>
          <cell r="ER69">
            <v>95</v>
          </cell>
          <cell r="ES69">
            <v>40422</v>
          </cell>
          <cell r="ET69">
            <v>40786</v>
          </cell>
          <cell r="EU69" t="str">
            <v>عامل</v>
          </cell>
          <cell r="FG69" t="str">
            <v xml:space="preserve"> مدير الانتاج</v>
          </cell>
          <cell r="FH69" t="str">
            <v>هشام عيسى محمد عبدالكريم</v>
          </cell>
          <cell r="FI69">
            <v>0</v>
          </cell>
        </row>
        <row r="70">
          <cell r="A70">
            <v>69</v>
          </cell>
          <cell r="O70">
            <v>0</v>
          </cell>
          <cell r="P70">
            <v>0</v>
          </cell>
          <cell r="R70">
            <v>0</v>
          </cell>
          <cell r="T70" t="str">
            <v>m</v>
          </cell>
          <cell r="AG70">
            <v>9</v>
          </cell>
          <cell r="AH70">
            <v>1</v>
          </cell>
          <cell r="AS70">
            <v>43500</v>
          </cell>
          <cell r="AT70">
            <v>119</v>
          </cell>
          <cell r="BN70">
            <v>43500</v>
          </cell>
          <cell r="EQ70">
            <v>0</v>
          </cell>
          <cell r="FG70" t="e">
            <v>#N/A</v>
          </cell>
          <cell r="FH70" t="e">
            <v>#N/A</v>
          </cell>
          <cell r="FI70">
            <v>0</v>
          </cell>
        </row>
        <row r="71">
          <cell r="A71">
            <v>70</v>
          </cell>
          <cell r="O71">
            <v>0</v>
          </cell>
          <cell r="P71">
            <v>0</v>
          </cell>
          <cell r="R71">
            <v>0</v>
          </cell>
          <cell r="T71" t="str">
            <v>m</v>
          </cell>
          <cell r="AG71">
            <v>9</v>
          </cell>
          <cell r="AH71">
            <v>1</v>
          </cell>
          <cell r="AS71">
            <v>43500</v>
          </cell>
          <cell r="AT71">
            <v>119</v>
          </cell>
          <cell r="BN71">
            <v>43500</v>
          </cell>
          <cell r="EQ71">
            <v>0</v>
          </cell>
          <cell r="FG71" t="e">
            <v>#N/A</v>
          </cell>
          <cell r="FH71" t="e">
            <v>#N/A</v>
          </cell>
          <cell r="FI71">
            <v>0</v>
          </cell>
        </row>
        <row r="72">
          <cell r="A72">
            <v>71</v>
          </cell>
          <cell r="B72" t="str">
            <v>حسب الرسول عبدالرحمن الطيب الحسن</v>
          </cell>
          <cell r="C72" t="str">
            <v>حسب الرسول</v>
          </cell>
          <cell r="D72" t="str">
            <v>عبدالرحمن</v>
          </cell>
          <cell r="E72" t="str">
            <v>الطيب</v>
          </cell>
          <cell r="F72" t="str">
            <v>الحسن</v>
          </cell>
          <cell r="G72" t="str">
            <v>المصنع</v>
          </cell>
          <cell r="H72" t="str">
            <v>المستودعات</v>
          </cell>
          <cell r="I72" t="str">
            <v>المنتج الجاهز</v>
          </cell>
          <cell r="K72" t="str">
            <v>عامل</v>
          </cell>
          <cell r="L72" t="str">
            <v>امين مستودع م ج</v>
          </cell>
          <cell r="M72">
            <v>40458</v>
          </cell>
          <cell r="N72">
            <v>43500</v>
          </cell>
          <cell r="O72">
            <v>8</v>
          </cell>
          <cell r="P72">
            <v>3</v>
          </cell>
          <cell r="R72">
            <v>247.5</v>
          </cell>
          <cell r="X72">
            <v>41625</v>
          </cell>
          <cell r="Z72">
            <v>28158</v>
          </cell>
          <cell r="AG72">
            <v>9</v>
          </cell>
          <cell r="AH72">
            <v>1</v>
          </cell>
          <cell r="AI72" t="str">
            <v>ميلاد</v>
          </cell>
          <cell r="AJ72" t="str">
            <v>394800</v>
          </cell>
          <cell r="AK72">
            <v>0</v>
          </cell>
          <cell r="AL72">
            <v>0</v>
          </cell>
          <cell r="AM72">
            <v>8</v>
          </cell>
          <cell r="AN72">
            <v>4</v>
          </cell>
          <cell r="AO72">
            <v>9</v>
          </cell>
          <cell r="AP72">
            <v>3</v>
          </cell>
          <cell r="AS72">
            <v>43500</v>
          </cell>
          <cell r="AT72">
            <v>42</v>
          </cell>
          <cell r="AU72" t="str">
            <v>جنسيه</v>
          </cell>
          <cell r="AV72" t="str">
            <v>433670</v>
          </cell>
          <cell r="AW72">
            <v>0</v>
          </cell>
          <cell r="AX72">
            <v>7</v>
          </cell>
          <cell r="AY72">
            <v>6</v>
          </cell>
          <cell r="AZ72">
            <v>3</v>
          </cell>
          <cell r="BA72">
            <v>3</v>
          </cell>
          <cell r="BB72">
            <v>4</v>
          </cell>
          <cell r="BE72" t="str">
            <v>120-8780930-2</v>
          </cell>
          <cell r="BF72" t="str">
            <v>رقيه حمد الدرديرى</v>
          </cell>
          <cell r="BG72" t="str">
            <v>العربى</v>
          </cell>
          <cell r="BH72" t="str">
            <v>الفتيحاب</v>
          </cell>
          <cell r="BI72" t="str">
            <v>0910652818</v>
          </cell>
          <cell r="BJ72" t="str">
            <v>معتز عبدالرحمن</v>
          </cell>
          <cell r="BK72" t="str">
            <v>0926274293</v>
          </cell>
          <cell r="BL72" t="str">
            <v>خالي الطرف</v>
          </cell>
          <cell r="BN72">
            <v>43500</v>
          </cell>
          <cell r="BS72" t="str">
            <v>محاسبة</v>
          </cell>
          <cell r="BT72" t="str">
            <v>بكلاريوس الشرف</v>
          </cell>
          <cell r="BU72" t="str">
            <v>جامعة النيلين</v>
          </cell>
          <cell r="BV72">
            <v>40059</v>
          </cell>
          <cell r="BW72" t="str">
            <v>محاسبة</v>
          </cell>
          <cell r="BX72" t="str">
            <v>دبلوم تقني</v>
          </cell>
          <cell r="BY72" t="str">
            <v>جامعه امدرمان الاهليه</v>
          </cell>
          <cell r="BZ72">
            <v>37776</v>
          </cell>
          <cell r="CB72" t="str">
            <v>دبلوم (معاهد)</v>
          </cell>
          <cell r="CC72" t="str">
            <v xml:space="preserve">معهد المفتى </v>
          </cell>
          <cell r="CQ72" t="str">
            <v>مصنع الحورى لاعمال النجاره والحداده</v>
          </cell>
          <cell r="CR72" t="str">
            <v>محاسب</v>
          </cell>
          <cell r="CS72">
            <v>37622</v>
          </cell>
          <cell r="CT72">
            <v>38718</v>
          </cell>
          <cell r="EQ72">
            <v>0</v>
          </cell>
          <cell r="ER72">
            <v>170</v>
          </cell>
          <cell r="ES72">
            <v>40458</v>
          </cell>
          <cell r="ET72">
            <v>40822</v>
          </cell>
          <cell r="EU72" t="str">
            <v>عامل</v>
          </cell>
          <cell r="FB72">
            <v>41625</v>
          </cell>
          <cell r="FG72" t="str">
            <v>مدير المستودعات</v>
          </cell>
          <cell r="FH72" t="str">
            <v>على احمد على بابكر</v>
          </cell>
          <cell r="FI72" t="str">
            <v>120-8780930-2</v>
          </cell>
        </row>
        <row r="73">
          <cell r="A73">
            <v>72</v>
          </cell>
          <cell r="B73" t="str">
            <v>محمد عثمان عبدالله محمد</v>
          </cell>
          <cell r="C73" t="str">
            <v>محمد</v>
          </cell>
          <cell r="D73" t="str">
            <v>عثمان</v>
          </cell>
          <cell r="E73" t="str">
            <v>عبدالله</v>
          </cell>
          <cell r="F73" t="str">
            <v>محمد</v>
          </cell>
          <cell r="G73" t="str">
            <v>المصنع</v>
          </cell>
          <cell r="H73" t="str">
            <v>الموارد البشريه</v>
          </cell>
          <cell r="I73" t="str">
            <v>موظف</v>
          </cell>
          <cell r="K73" t="str">
            <v>عامل</v>
          </cell>
          <cell r="L73" t="str">
            <v>موظف موارد بشريه</v>
          </cell>
          <cell r="M73">
            <v>40471</v>
          </cell>
          <cell r="N73">
            <v>43500</v>
          </cell>
          <cell r="O73">
            <v>8</v>
          </cell>
          <cell r="P73">
            <v>3</v>
          </cell>
          <cell r="R73">
            <v>247.5</v>
          </cell>
          <cell r="Z73">
            <v>22282</v>
          </cell>
          <cell r="AG73">
            <v>9</v>
          </cell>
          <cell r="AH73">
            <v>1</v>
          </cell>
          <cell r="AI73" t="str">
            <v>ميلاد</v>
          </cell>
          <cell r="AJ73" t="str">
            <v>676437</v>
          </cell>
          <cell r="AK73">
            <v>7</v>
          </cell>
          <cell r="AL73">
            <v>3</v>
          </cell>
          <cell r="AM73">
            <v>4</v>
          </cell>
          <cell r="AN73">
            <v>6</v>
          </cell>
          <cell r="AO73">
            <v>7</v>
          </cell>
          <cell r="AP73">
            <v>6</v>
          </cell>
          <cell r="AS73">
            <v>43500</v>
          </cell>
          <cell r="AT73">
            <v>58</v>
          </cell>
          <cell r="AU73" t="str">
            <v>بطاقه قوميه</v>
          </cell>
          <cell r="AV73" t="str">
            <v>002482381</v>
          </cell>
          <cell r="BE73" t="str">
            <v>119-9391046-9</v>
          </cell>
          <cell r="BF73" t="str">
            <v>ست النفر الحسن حمد</v>
          </cell>
          <cell r="BG73" t="str">
            <v>بحرى</v>
          </cell>
          <cell r="BH73" t="str">
            <v>مرابيع الشريف - شرق النيل</v>
          </cell>
          <cell r="BI73" t="str">
            <v>0129376693</v>
          </cell>
          <cell r="BJ73" t="str">
            <v>الفاضل عثمان عبدالله</v>
          </cell>
          <cell r="BK73" t="str">
            <v>0124467093</v>
          </cell>
          <cell r="BL73" t="str">
            <v>كبار سن</v>
          </cell>
          <cell r="BN73">
            <v>43500</v>
          </cell>
          <cell r="BT73" t="str">
            <v>شهاده ثانويه</v>
          </cell>
          <cell r="BV73">
            <v>30243</v>
          </cell>
          <cell r="BX73" t="str">
            <v>شهاده دورة تدريب</v>
          </cell>
          <cell r="BY73" t="str">
            <v>سلاح المهندسين</v>
          </cell>
          <cell r="BZ73">
            <v>38405</v>
          </cell>
          <cell r="CQ73" t="str">
            <v>شركه سكر كنانه المحدوده</v>
          </cell>
          <cell r="CR73" t="str">
            <v>كاتب شئون العاملين</v>
          </cell>
          <cell r="CS73">
            <v>30407</v>
          </cell>
          <cell r="CT73">
            <v>33786</v>
          </cell>
          <cell r="CV73" t="str">
            <v>مسبك البيان التقنى</v>
          </cell>
          <cell r="CW73" t="str">
            <v>م شئون العاملين</v>
          </cell>
          <cell r="CX73">
            <v>37787</v>
          </cell>
          <cell r="CY73">
            <v>39417</v>
          </cell>
          <cell r="EL73">
            <v>30</v>
          </cell>
          <cell r="EN73">
            <v>30</v>
          </cell>
          <cell r="EP73">
            <v>30</v>
          </cell>
          <cell r="EQ73">
            <v>90</v>
          </cell>
          <cell r="ER73">
            <v>114</v>
          </cell>
          <cell r="ES73">
            <v>40471</v>
          </cell>
          <cell r="ET73">
            <v>40835</v>
          </cell>
          <cell r="EU73" t="str">
            <v>عامل</v>
          </cell>
          <cell r="FG73" t="str">
            <v>نائب مدير الموارد المكلف</v>
          </cell>
          <cell r="FH73" t="str">
            <v>محمد على عبدالرحيم ابوبكر</v>
          </cell>
          <cell r="FI73" t="str">
            <v>119-9391046-9</v>
          </cell>
        </row>
        <row r="74">
          <cell r="A74">
            <v>73</v>
          </cell>
          <cell r="B74" t="str">
            <v>ابوبكر على نعمان على</v>
          </cell>
          <cell r="C74" t="str">
            <v>ابوبكر</v>
          </cell>
          <cell r="D74" t="str">
            <v>على</v>
          </cell>
          <cell r="E74" t="str">
            <v>نعمان</v>
          </cell>
          <cell r="F74" t="str">
            <v>على</v>
          </cell>
          <cell r="G74" t="str">
            <v>المصنع</v>
          </cell>
          <cell r="H74" t="str">
            <v>الماليه</v>
          </cell>
          <cell r="L74" t="str">
            <v>محاسب</v>
          </cell>
          <cell r="M74">
            <v>40475</v>
          </cell>
          <cell r="N74">
            <v>43500</v>
          </cell>
          <cell r="O74">
            <v>8</v>
          </cell>
          <cell r="P74">
            <v>3</v>
          </cell>
          <cell r="R74">
            <v>247.5</v>
          </cell>
          <cell r="Z74">
            <v>30505</v>
          </cell>
          <cell r="AG74">
            <v>9</v>
          </cell>
          <cell r="AH74">
            <v>1</v>
          </cell>
          <cell r="AI74" t="str">
            <v>تسنين</v>
          </cell>
          <cell r="AJ74" t="str">
            <v>0051785</v>
          </cell>
          <cell r="AK74">
            <v>5</v>
          </cell>
          <cell r="AL74">
            <v>8</v>
          </cell>
          <cell r="AM74">
            <v>7</v>
          </cell>
          <cell r="AN74">
            <v>1</v>
          </cell>
          <cell r="AO74">
            <v>5</v>
          </cell>
          <cell r="AP74">
            <v>0</v>
          </cell>
          <cell r="AQ74">
            <v>0</v>
          </cell>
          <cell r="AS74">
            <v>43500</v>
          </cell>
          <cell r="AT74">
            <v>35</v>
          </cell>
          <cell r="AU74" t="str">
            <v>بطاقه قوميه</v>
          </cell>
          <cell r="AV74" t="str">
            <v>002045906</v>
          </cell>
          <cell r="AW74">
            <v>6</v>
          </cell>
          <cell r="AX74">
            <v>0</v>
          </cell>
          <cell r="AY74">
            <v>9</v>
          </cell>
          <cell r="AZ74">
            <v>5</v>
          </cell>
          <cell r="BA74">
            <v>4</v>
          </cell>
          <cell r="BB74">
            <v>0</v>
          </cell>
          <cell r="BC74">
            <v>2</v>
          </cell>
          <cell r="BD74">
            <v>0</v>
          </cell>
          <cell r="BF74" t="str">
            <v>زبيده عبدالرحمن بلال</v>
          </cell>
          <cell r="BG74" t="str">
            <v>الكلاكله</v>
          </cell>
          <cell r="BH74" t="str">
            <v>الخرطوم - الكلاكله - ابوادم</v>
          </cell>
          <cell r="BI74" t="str">
            <v>0911111597</v>
          </cell>
          <cell r="BJ74" t="str">
            <v>خالد على النعمان</v>
          </cell>
          <cell r="BK74" t="str">
            <v>0912419775</v>
          </cell>
          <cell r="BL74" t="str">
            <v>خالي الطرف</v>
          </cell>
          <cell r="BN74">
            <v>43500</v>
          </cell>
          <cell r="BS74" t="str">
            <v>تامين</v>
          </cell>
          <cell r="BT74" t="str">
            <v>بكلاريوس الشرف</v>
          </cell>
          <cell r="BU74" t="str">
            <v>جامعة النيلين</v>
          </cell>
          <cell r="BV74">
            <v>40059</v>
          </cell>
          <cell r="BX74" t="str">
            <v>دبلوم (معاهد)</v>
          </cell>
          <cell r="BY74" t="str">
            <v>الشركة العربية التقنية المحدودة</v>
          </cell>
          <cell r="BZ74">
            <v>40148</v>
          </cell>
          <cell r="CB74" t="str">
            <v>دبلوم (معاهد)</v>
          </cell>
          <cell r="CC74" t="str">
            <v>سوداكاد</v>
          </cell>
          <cell r="CD74">
            <v>41788</v>
          </cell>
          <cell r="CQ74" t="str">
            <v>شركه شيكان للتامين وإعادة التامين المحدوده</v>
          </cell>
          <cell r="CR74" t="str">
            <v>تدريب</v>
          </cell>
          <cell r="CS74">
            <v>39655</v>
          </cell>
          <cell r="CT74">
            <v>39671</v>
          </cell>
          <cell r="EL74">
            <v>30</v>
          </cell>
          <cell r="EO74">
            <v>30</v>
          </cell>
          <cell r="EQ74">
            <v>60</v>
          </cell>
          <cell r="ER74">
            <v>108</v>
          </cell>
          <cell r="FG74" t="str">
            <v>المدير المالي</v>
          </cell>
          <cell r="FH74" t="str">
            <v>بالانابه</v>
          </cell>
          <cell r="FI74">
            <v>0</v>
          </cell>
        </row>
        <row r="75">
          <cell r="A75">
            <v>74</v>
          </cell>
          <cell r="O75">
            <v>0</v>
          </cell>
          <cell r="P75">
            <v>0</v>
          </cell>
          <cell r="R75">
            <v>0</v>
          </cell>
          <cell r="T75" t="str">
            <v>m</v>
          </cell>
          <cell r="AG75">
            <v>9</v>
          </cell>
          <cell r="AH75">
            <v>1</v>
          </cell>
          <cell r="AS75">
            <v>43500</v>
          </cell>
          <cell r="AT75">
            <v>119</v>
          </cell>
          <cell r="BN75">
            <v>43500</v>
          </cell>
          <cell r="EQ75">
            <v>0</v>
          </cell>
          <cell r="FG75" t="e">
            <v>#N/A</v>
          </cell>
          <cell r="FH75" t="e">
            <v>#N/A</v>
          </cell>
          <cell r="FI75">
            <v>0</v>
          </cell>
        </row>
        <row r="76">
          <cell r="A76">
            <v>75</v>
          </cell>
          <cell r="O76">
            <v>0</v>
          </cell>
          <cell r="P76">
            <v>0</v>
          </cell>
          <cell r="R76">
            <v>0</v>
          </cell>
          <cell r="T76" t="str">
            <v>m</v>
          </cell>
          <cell r="AG76">
            <v>9</v>
          </cell>
          <cell r="AH76">
            <v>1</v>
          </cell>
          <cell r="AS76">
            <v>43500</v>
          </cell>
          <cell r="AT76">
            <v>119</v>
          </cell>
          <cell r="BN76">
            <v>43500</v>
          </cell>
          <cell r="EQ76">
            <v>0</v>
          </cell>
          <cell r="FG76" t="e">
            <v>#N/A</v>
          </cell>
          <cell r="FH76" t="e">
            <v>#N/A</v>
          </cell>
          <cell r="FI76">
            <v>0</v>
          </cell>
        </row>
        <row r="77">
          <cell r="A77">
            <v>76</v>
          </cell>
          <cell r="B77" t="str">
            <v>ادم الحسن محمد نور ابراهيم</v>
          </cell>
          <cell r="C77" t="str">
            <v>ادم</v>
          </cell>
          <cell r="D77" t="str">
            <v>الحسن</v>
          </cell>
          <cell r="E77" t="str">
            <v>محمد</v>
          </cell>
          <cell r="F77" t="str">
            <v>نور</v>
          </cell>
          <cell r="G77" t="str">
            <v>المصنع</v>
          </cell>
          <cell r="H77" t="str">
            <v>الانتاج</v>
          </cell>
          <cell r="I77" t="str">
            <v>المواسير</v>
          </cell>
          <cell r="K77" t="str">
            <v>فنى مشغل</v>
          </cell>
          <cell r="L77" t="str">
            <v>فورمان</v>
          </cell>
          <cell r="M77">
            <v>40526</v>
          </cell>
          <cell r="N77">
            <v>43500</v>
          </cell>
          <cell r="O77">
            <v>8</v>
          </cell>
          <cell r="P77">
            <v>1</v>
          </cell>
          <cell r="R77">
            <v>242.5</v>
          </cell>
          <cell r="Z77">
            <v>26299</v>
          </cell>
          <cell r="AG77">
            <v>9</v>
          </cell>
          <cell r="AH77">
            <v>1</v>
          </cell>
          <cell r="AI77" t="str">
            <v>تسنين</v>
          </cell>
          <cell r="AJ77" t="str">
            <v>131587</v>
          </cell>
          <cell r="AK77">
            <v>7</v>
          </cell>
          <cell r="AL77">
            <v>8</v>
          </cell>
          <cell r="AM77">
            <v>5</v>
          </cell>
          <cell r="AN77">
            <v>1</v>
          </cell>
          <cell r="AO77">
            <v>3</v>
          </cell>
          <cell r="AP77">
            <v>1</v>
          </cell>
          <cell r="AS77">
            <v>43500</v>
          </cell>
          <cell r="AT77">
            <v>47</v>
          </cell>
          <cell r="AU77" t="str">
            <v>جنسيه</v>
          </cell>
          <cell r="AV77" t="str">
            <v>0930377</v>
          </cell>
          <cell r="AW77">
            <v>7</v>
          </cell>
          <cell r="AX77">
            <v>7</v>
          </cell>
          <cell r="AY77">
            <v>3</v>
          </cell>
          <cell r="AZ77">
            <v>0</v>
          </cell>
          <cell r="BA77">
            <v>3</v>
          </cell>
          <cell r="BB77">
            <v>9</v>
          </cell>
          <cell r="BC77">
            <v>0</v>
          </cell>
          <cell r="BF77" t="str">
            <v>العافيه يوسف على</v>
          </cell>
          <cell r="BG77" t="str">
            <v>خاص</v>
          </cell>
          <cell r="BH77" t="str">
            <v>سوبا اللعوته - م (3) - منزل رقم 271</v>
          </cell>
          <cell r="BI77" t="str">
            <v>0901978816</v>
          </cell>
          <cell r="BJ77" t="str">
            <v>احمد على عبدالله</v>
          </cell>
          <cell r="BK77" t="str">
            <v>0917723199</v>
          </cell>
          <cell r="BL77" t="str">
            <v>خالي الطرف</v>
          </cell>
          <cell r="BN77">
            <v>43500</v>
          </cell>
          <cell r="BS77" t="str">
            <v>هندسة ميكانيكية ( إنتاج )</v>
          </cell>
          <cell r="BT77" t="str">
            <v>دبلوم تقني</v>
          </cell>
          <cell r="BU77" t="str">
            <v xml:space="preserve">جامعة وادى النيل </v>
          </cell>
          <cell r="BV77">
            <v>36708</v>
          </cell>
          <cell r="CQ77" t="str">
            <v xml:space="preserve">ليدر تكنولوجى </v>
          </cell>
          <cell r="CR77" t="str">
            <v>رئيس ورديه</v>
          </cell>
          <cell r="CS77">
            <v>39688</v>
          </cell>
          <cell r="CT77">
            <v>40407</v>
          </cell>
          <cell r="CV77" t="str">
            <v>المصنع السودانى الماليزى</v>
          </cell>
          <cell r="CW77" t="str">
            <v>مهندس فنى</v>
          </cell>
          <cell r="CX77">
            <v>36648</v>
          </cell>
          <cell r="CY77">
            <v>39473</v>
          </cell>
          <cell r="EK77">
            <v>30</v>
          </cell>
          <cell r="EM77">
            <v>30</v>
          </cell>
          <cell r="EN77">
            <v>30</v>
          </cell>
          <cell r="EO77">
            <v>30</v>
          </cell>
          <cell r="EQ77">
            <v>150</v>
          </cell>
          <cell r="ER77">
            <v>70</v>
          </cell>
          <cell r="FG77" t="str">
            <v xml:space="preserve"> مدير الانتاج</v>
          </cell>
          <cell r="FH77" t="str">
            <v>هشام عيسى محمد عبدالكريم</v>
          </cell>
          <cell r="FI77">
            <v>0</v>
          </cell>
          <cell r="HC77" t="str">
            <v>30</v>
          </cell>
        </row>
        <row r="78">
          <cell r="A78">
            <v>77</v>
          </cell>
          <cell r="O78">
            <v>0</v>
          </cell>
          <cell r="P78">
            <v>0</v>
          </cell>
          <cell r="R78">
            <v>0</v>
          </cell>
          <cell r="T78" t="str">
            <v>m</v>
          </cell>
          <cell r="AG78">
            <v>9</v>
          </cell>
          <cell r="AH78">
            <v>1</v>
          </cell>
          <cell r="AS78">
            <v>43500</v>
          </cell>
          <cell r="AT78">
            <v>119</v>
          </cell>
          <cell r="BN78">
            <v>43500</v>
          </cell>
          <cell r="EQ78">
            <v>0</v>
          </cell>
          <cell r="FG78" t="e">
            <v>#N/A</v>
          </cell>
          <cell r="FH78" t="e">
            <v>#N/A</v>
          </cell>
          <cell r="FI78">
            <v>0</v>
          </cell>
        </row>
        <row r="79">
          <cell r="A79">
            <v>78</v>
          </cell>
          <cell r="B79" t="str">
            <v>عبدالعظيم موسى نورالجليل تهور</v>
          </cell>
          <cell r="C79" t="str">
            <v>عبدالعظيم</v>
          </cell>
          <cell r="D79" t="str">
            <v>موسى</v>
          </cell>
          <cell r="E79" t="str">
            <v>نورالجليل</v>
          </cell>
          <cell r="F79" t="str">
            <v>تهور</v>
          </cell>
          <cell r="G79" t="str">
            <v>المصنع</v>
          </cell>
          <cell r="H79" t="str">
            <v>المستودعات</v>
          </cell>
          <cell r="I79" t="str">
            <v>التحميل</v>
          </cell>
          <cell r="K79" t="str">
            <v>عامل</v>
          </cell>
          <cell r="L79" t="str">
            <v>مشغل كرين</v>
          </cell>
          <cell r="M79">
            <v>40561</v>
          </cell>
          <cell r="N79">
            <v>43500</v>
          </cell>
          <cell r="O79">
            <v>8</v>
          </cell>
          <cell r="P79">
            <v>0</v>
          </cell>
          <cell r="R79">
            <v>240</v>
          </cell>
          <cell r="Z79">
            <v>21551</v>
          </cell>
          <cell r="AG79">
            <v>9</v>
          </cell>
          <cell r="AH79">
            <v>1</v>
          </cell>
          <cell r="AI79" t="str">
            <v>تسنين</v>
          </cell>
          <cell r="AJ79" t="str">
            <v>035507</v>
          </cell>
          <cell r="AK79">
            <v>7</v>
          </cell>
          <cell r="AL79">
            <v>0</v>
          </cell>
          <cell r="AM79">
            <v>5</v>
          </cell>
          <cell r="AN79">
            <v>5</v>
          </cell>
          <cell r="AO79">
            <v>3</v>
          </cell>
          <cell r="AP79">
            <v>0</v>
          </cell>
          <cell r="AS79">
            <v>43500</v>
          </cell>
          <cell r="AT79">
            <v>60</v>
          </cell>
          <cell r="AU79" t="str">
            <v>جواز سفر</v>
          </cell>
          <cell r="AV79" t="str">
            <v>03027047</v>
          </cell>
          <cell r="AW79">
            <v>7</v>
          </cell>
          <cell r="AX79">
            <v>4</v>
          </cell>
          <cell r="AY79">
            <v>0</v>
          </cell>
          <cell r="AZ79">
            <v>7</v>
          </cell>
          <cell r="BA79">
            <v>2</v>
          </cell>
          <cell r="BB79">
            <v>0</v>
          </cell>
          <cell r="BC79">
            <v>3</v>
          </cell>
          <cell r="BD79">
            <v>0</v>
          </cell>
          <cell r="BE79" t="str">
            <v>178-6930624-2</v>
          </cell>
          <cell r="BF79" t="str">
            <v>عائشه عبدالقادر تهور</v>
          </cell>
          <cell r="BG79" t="str">
            <v>العربى</v>
          </cell>
          <cell r="BH79" t="str">
            <v>بترى</v>
          </cell>
          <cell r="BI79" t="str">
            <v>0906896515</v>
          </cell>
          <cell r="BJ79" t="str">
            <v>محمد موسى</v>
          </cell>
          <cell r="BN79">
            <v>43500</v>
          </cell>
          <cell r="EL79">
            <v>30</v>
          </cell>
          <cell r="EM79">
            <v>30</v>
          </cell>
          <cell r="EO79">
            <v>30</v>
          </cell>
          <cell r="EQ79">
            <v>90</v>
          </cell>
          <cell r="ER79">
            <v>66</v>
          </cell>
          <cell r="FG79" t="str">
            <v>مدير المستودعات</v>
          </cell>
          <cell r="FH79" t="str">
            <v>على احمد على بابكر</v>
          </cell>
          <cell r="FI79" t="str">
            <v>178-6930624-2</v>
          </cell>
        </row>
        <row r="80">
          <cell r="A80">
            <v>79</v>
          </cell>
          <cell r="O80">
            <v>0</v>
          </cell>
          <cell r="P80">
            <v>0</v>
          </cell>
          <cell r="R80">
            <v>0</v>
          </cell>
          <cell r="T80" t="str">
            <v>m</v>
          </cell>
          <cell r="AG80">
            <v>9</v>
          </cell>
          <cell r="AH80">
            <v>1</v>
          </cell>
          <cell r="AS80">
            <v>43500</v>
          </cell>
          <cell r="AT80">
            <v>119</v>
          </cell>
          <cell r="BN80">
            <v>43500</v>
          </cell>
          <cell r="EQ80">
            <v>0</v>
          </cell>
          <cell r="FG80" t="e">
            <v>#N/A</v>
          </cell>
          <cell r="FH80" t="e">
            <v>#N/A</v>
          </cell>
          <cell r="FI80">
            <v>0</v>
          </cell>
        </row>
        <row r="81">
          <cell r="A81">
            <v>80</v>
          </cell>
          <cell r="B81" t="str">
            <v>صلاح جلال حسن عبدالله</v>
          </cell>
          <cell r="C81" t="str">
            <v>صلاح</v>
          </cell>
          <cell r="D81" t="str">
            <v>جلال</v>
          </cell>
          <cell r="E81" t="str">
            <v>حسن</v>
          </cell>
          <cell r="F81" t="str">
            <v>عبدالله</v>
          </cell>
          <cell r="G81" t="str">
            <v>المصنع</v>
          </cell>
          <cell r="H81" t="str">
            <v>المستودعات</v>
          </cell>
          <cell r="I81" t="str">
            <v>التحميل</v>
          </cell>
          <cell r="K81" t="str">
            <v>مشغل كرين</v>
          </cell>
          <cell r="L81" t="str">
            <v xml:space="preserve"> مشغل كرين</v>
          </cell>
          <cell r="M81">
            <v>40576</v>
          </cell>
          <cell r="N81">
            <v>43500</v>
          </cell>
          <cell r="O81">
            <v>8</v>
          </cell>
          <cell r="P81">
            <v>0</v>
          </cell>
          <cell r="R81">
            <v>240</v>
          </cell>
          <cell r="Z81">
            <v>28856</v>
          </cell>
          <cell r="AG81">
            <v>9</v>
          </cell>
          <cell r="AH81">
            <v>1</v>
          </cell>
          <cell r="AI81" t="str">
            <v>تسنين</v>
          </cell>
          <cell r="AJ81" t="str">
            <v>507837</v>
          </cell>
          <cell r="AK81">
            <v>7</v>
          </cell>
          <cell r="AL81">
            <v>3</v>
          </cell>
          <cell r="AM81">
            <v>8</v>
          </cell>
          <cell r="AN81">
            <v>7</v>
          </cell>
          <cell r="AO81">
            <v>0</v>
          </cell>
          <cell r="AP81">
            <v>5</v>
          </cell>
          <cell r="AS81">
            <v>43500</v>
          </cell>
          <cell r="AT81">
            <v>40</v>
          </cell>
          <cell r="AU81" t="str">
            <v>جنسيه</v>
          </cell>
          <cell r="AV81" t="str">
            <v>0820276</v>
          </cell>
          <cell r="AW81">
            <v>6</v>
          </cell>
          <cell r="AX81">
            <v>7</v>
          </cell>
          <cell r="AY81">
            <v>2</v>
          </cell>
          <cell r="AZ81">
            <v>0</v>
          </cell>
          <cell r="BA81">
            <v>2</v>
          </cell>
          <cell r="BB81">
            <v>8</v>
          </cell>
          <cell r="BC81">
            <v>0</v>
          </cell>
          <cell r="BE81" t="str">
            <v>178-4201309-6</v>
          </cell>
          <cell r="BF81" t="str">
            <v>عائشه عبدالعال جمعه</v>
          </cell>
          <cell r="BG81" t="str">
            <v>العربى</v>
          </cell>
          <cell r="BH81" t="str">
            <v>بترى</v>
          </cell>
          <cell r="BI81" t="str">
            <v>0117442393</v>
          </cell>
          <cell r="BJ81" t="str">
            <v xml:space="preserve">كمال عبدالمجيد </v>
          </cell>
          <cell r="BK81" t="str">
            <v>0912990702</v>
          </cell>
          <cell r="BL81" t="str">
            <v>خالي الطرف</v>
          </cell>
          <cell r="BN81">
            <v>43500</v>
          </cell>
          <cell r="BT81" t="str">
            <v>تدريب مهني</v>
          </cell>
          <cell r="CQ81" t="str">
            <v xml:space="preserve">ليدر تكنولوجى </v>
          </cell>
          <cell r="CR81" t="str">
            <v>سائق كرين</v>
          </cell>
          <cell r="CS81">
            <v>38245</v>
          </cell>
          <cell r="CT81">
            <v>40522</v>
          </cell>
          <cell r="EL81">
            <v>30</v>
          </cell>
          <cell r="EO81">
            <v>30</v>
          </cell>
          <cell r="EQ81">
            <v>60</v>
          </cell>
          <cell r="ER81">
            <v>114</v>
          </cell>
          <cell r="FG81" t="str">
            <v>مدير المستودعات</v>
          </cell>
          <cell r="FH81" t="str">
            <v>على احمد على بابكر</v>
          </cell>
          <cell r="FI81" t="str">
            <v>178-4201309-6</v>
          </cell>
        </row>
        <row r="82">
          <cell r="A82">
            <v>81</v>
          </cell>
          <cell r="O82">
            <v>0</v>
          </cell>
          <cell r="P82">
            <v>0</v>
          </cell>
          <cell r="R82">
            <v>0</v>
          </cell>
          <cell r="T82" t="str">
            <v>m</v>
          </cell>
          <cell r="AS82">
            <v>43500</v>
          </cell>
          <cell r="AT82">
            <v>119</v>
          </cell>
          <cell r="BN82">
            <v>43500</v>
          </cell>
          <cell r="EQ82">
            <v>0</v>
          </cell>
          <cell r="FG82" t="e">
            <v>#N/A</v>
          </cell>
          <cell r="FH82" t="e">
            <v>#N/A</v>
          </cell>
          <cell r="FI82">
            <v>0</v>
          </cell>
        </row>
        <row r="83">
          <cell r="A83">
            <v>82</v>
          </cell>
          <cell r="B83" t="str">
            <v>المهل محمد المهل</v>
          </cell>
          <cell r="O83">
            <v>0</v>
          </cell>
          <cell r="P83">
            <v>0</v>
          </cell>
          <cell r="R83">
            <v>0</v>
          </cell>
          <cell r="T83" t="str">
            <v>توفي</v>
          </cell>
          <cell r="AS83">
            <v>43500</v>
          </cell>
          <cell r="AT83">
            <v>119</v>
          </cell>
          <cell r="BN83">
            <v>43500</v>
          </cell>
          <cell r="EQ83">
            <v>0</v>
          </cell>
          <cell r="FG83" t="e">
            <v>#N/A</v>
          </cell>
          <cell r="FH83" t="e">
            <v>#N/A</v>
          </cell>
          <cell r="FI83">
            <v>0</v>
          </cell>
        </row>
        <row r="84">
          <cell r="A84">
            <v>83</v>
          </cell>
          <cell r="B84" t="str">
            <v>عبدالخالق شيخ الدين محمد فضل</v>
          </cell>
          <cell r="C84" t="str">
            <v>عبدالخالق</v>
          </cell>
          <cell r="D84" t="str">
            <v>شيخ الدين</v>
          </cell>
          <cell r="E84" t="str">
            <v>محمد</v>
          </cell>
          <cell r="F84" t="str">
            <v>فضل</v>
          </cell>
          <cell r="G84" t="str">
            <v>المصنع</v>
          </cell>
          <cell r="H84" t="str">
            <v>المستودعات</v>
          </cell>
          <cell r="K84" t="str">
            <v>عامل</v>
          </cell>
          <cell r="L84" t="str">
            <v>عامل</v>
          </cell>
          <cell r="M84">
            <v>40586</v>
          </cell>
          <cell r="O84" t="e">
            <v>#NUM!</v>
          </cell>
          <cell r="P84" t="e">
            <v>#NUM!</v>
          </cell>
          <cell r="R84" t="e">
            <v>#NUM!</v>
          </cell>
          <cell r="T84" t="str">
            <v>إستقال</v>
          </cell>
          <cell r="U84">
            <v>42631</v>
          </cell>
          <cell r="Z84">
            <v>31846</v>
          </cell>
          <cell r="AI84" t="str">
            <v>ميلاد</v>
          </cell>
          <cell r="AJ84" t="str">
            <v>070720</v>
          </cell>
          <cell r="AK84">
            <v>0</v>
          </cell>
          <cell r="AL84">
            <v>2</v>
          </cell>
          <cell r="AM84">
            <v>7</v>
          </cell>
          <cell r="AN84">
            <v>0</v>
          </cell>
          <cell r="AO84">
            <v>7</v>
          </cell>
          <cell r="AP84">
            <v>0</v>
          </cell>
          <cell r="AS84">
            <v>43500</v>
          </cell>
          <cell r="AT84">
            <v>31</v>
          </cell>
          <cell r="AU84" t="str">
            <v>جنسيه</v>
          </cell>
          <cell r="AV84" t="str">
            <v>0035425</v>
          </cell>
          <cell r="AW84">
            <v>5</v>
          </cell>
          <cell r="AX84">
            <v>2</v>
          </cell>
          <cell r="AY84">
            <v>4</v>
          </cell>
          <cell r="AZ84">
            <v>5</v>
          </cell>
          <cell r="BA84">
            <v>3</v>
          </cell>
          <cell r="BB84">
            <v>0</v>
          </cell>
          <cell r="BC84">
            <v>0</v>
          </cell>
          <cell r="BF84" t="str">
            <v>نبويه درار شيخ الدين</v>
          </cell>
          <cell r="BG84" t="str">
            <v>الكلاكله</v>
          </cell>
          <cell r="BH84" t="str">
            <v>الكلاكلة - الدخينات</v>
          </cell>
          <cell r="BI84" t="str">
            <v>0917099956</v>
          </cell>
          <cell r="BJ84" t="str">
            <v>خالد فضل على</v>
          </cell>
          <cell r="BK84" t="str">
            <v>0912448848</v>
          </cell>
          <cell r="BL84" t="str">
            <v>خالي الطرف</v>
          </cell>
          <cell r="BN84">
            <v>43500</v>
          </cell>
          <cell r="BS84" t="str">
            <v>محاسبة</v>
          </cell>
          <cell r="BT84" t="str">
            <v>دبلوم تقني</v>
          </cell>
          <cell r="BU84" t="str">
            <v>جامعة السودان للعلوم والتكنولوجيا</v>
          </cell>
          <cell r="BV84">
            <v>40087</v>
          </cell>
          <cell r="BW84" t="str">
            <v>علوم حاسوب</v>
          </cell>
          <cell r="BX84" t="str">
            <v>دبلوم (معاهد)</v>
          </cell>
          <cell r="BY84" t="str">
            <v>مركز البروف لعلوم الحاسوب</v>
          </cell>
          <cell r="BZ84">
            <v>40423</v>
          </cell>
          <cell r="EQ84">
            <v>0</v>
          </cell>
          <cell r="FG84" t="str">
            <v>مدير المستودعات</v>
          </cell>
          <cell r="FH84" t="str">
            <v>على احمد على بابكر</v>
          </cell>
          <cell r="FI84">
            <v>0</v>
          </cell>
        </row>
        <row r="85">
          <cell r="A85">
            <v>84</v>
          </cell>
          <cell r="O85">
            <v>0</v>
          </cell>
          <cell r="P85">
            <v>0</v>
          </cell>
          <cell r="R85">
            <v>0</v>
          </cell>
          <cell r="T85" t="str">
            <v>m</v>
          </cell>
          <cell r="AS85">
            <v>43500</v>
          </cell>
          <cell r="AT85">
            <v>119</v>
          </cell>
          <cell r="BN85">
            <v>43500</v>
          </cell>
          <cell r="EQ85">
            <v>0</v>
          </cell>
          <cell r="FG85" t="e">
            <v>#N/A</v>
          </cell>
          <cell r="FH85" t="e">
            <v>#N/A</v>
          </cell>
          <cell r="FI85">
            <v>0</v>
          </cell>
        </row>
        <row r="86">
          <cell r="A86">
            <v>85</v>
          </cell>
          <cell r="O86">
            <v>0</v>
          </cell>
          <cell r="P86">
            <v>0</v>
          </cell>
          <cell r="R86">
            <v>0</v>
          </cell>
          <cell r="T86" t="str">
            <v>m</v>
          </cell>
          <cell r="AS86">
            <v>43500</v>
          </cell>
          <cell r="AT86">
            <v>119</v>
          </cell>
          <cell r="BN86">
            <v>43500</v>
          </cell>
          <cell r="EQ86">
            <v>0</v>
          </cell>
          <cell r="FG86" t="e">
            <v>#N/A</v>
          </cell>
          <cell r="FH86" t="e">
            <v>#N/A</v>
          </cell>
          <cell r="FI86">
            <v>0</v>
          </cell>
        </row>
        <row r="87">
          <cell r="A87">
            <v>86</v>
          </cell>
          <cell r="O87">
            <v>0</v>
          </cell>
          <cell r="P87">
            <v>0</v>
          </cell>
          <cell r="R87">
            <v>0</v>
          </cell>
          <cell r="T87" t="str">
            <v>m</v>
          </cell>
          <cell r="AS87">
            <v>43500</v>
          </cell>
          <cell r="AT87">
            <v>119</v>
          </cell>
          <cell r="BN87">
            <v>43500</v>
          </cell>
          <cell r="EQ87">
            <v>0</v>
          </cell>
          <cell r="FG87" t="e">
            <v>#N/A</v>
          </cell>
          <cell r="FH87" t="e">
            <v>#N/A</v>
          </cell>
          <cell r="FI87">
            <v>0</v>
          </cell>
        </row>
        <row r="88">
          <cell r="A88">
            <v>87</v>
          </cell>
          <cell r="O88">
            <v>0</v>
          </cell>
          <cell r="P88">
            <v>0</v>
          </cell>
          <cell r="R88">
            <v>0</v>
          </cell>
          <cell r="T88" t="str">
            <v>m</v>
          </cell>
          <cell r="AS88">
            <v>43500</v>
          </cell>
          <cell r="AT88">
            <v>119</v>
          </cell>
          <cell r="BN88">
            <v>43500</v>
          </cell>
          <cell r="EQ88">
            <v>0</v>
          </cell>
          <cell r="FG88" t="e">
            <v>#N/A</v>
          </cell>
          <cell r="FH88" t="e">
            <v>#N/A</v>
          </cell>
          <cell r="FI88">
            <v>0</v>
          </cell>
        </row>
        <row r="89">
          <cell r="A89">
            <v>88</v>
          </cell>
          <cell r="B89" t="str">
            <v xml:space="preserve">عمار عوض النور حسين </v>
          </cell>
          <cell r="C89" t="str">
            <v>عمر</v>
          </cell>
          <cell r="D89" t="str">
            <v>عوض</v>
          </cell>
          <cell r="E89" t="str">
            <v>النور</v>
          </cell>
          <cell r="F89" t="str">
            <v>حسين</v>
          </cell>
          <cell r="G89" t="str">
            <v>المصنع</v>
          </cell>
          <cell r="H89" t="str">
            <v>المستودعات</v>
          </cell>
          <cell r="O89">
            <v>0</v>
          </cell>
          <cell r="P89">
            <v>0</v>
          </cell>
          <cell r="R89">
            <v>0</v>
          </cell>
          <cell r="T89" t="str">
            <v>m</v>
          </cell>
          <cell r="Z89">
            <v>29952</v>
          </cell>
          <cell r="AS89">
            <v>43500</v>
          </cell>
          <cell r="AT89">
            <v>37</v>
          </cell>
          <cell r="AU89" t="str">
            <v>جنسيه</v>
          </cell>
          <cell r="AV89">
            <v>314307</v>
          </cell>
          <cell r="AW89">
            <v>7</v>
          </cell>
          <cell r="AX89">
            <v>0</v>
          </cell>
          <cell r="AY89">
            <v>3</v>
          </cell>
          <cell r="AZ89">
            <v>4</v>
          </cell>
          <cell r="BA89">
            <v>1</v>
          </cell>
          <cell r="BB89">
            <v>3</v>
          </cell>
          <cell r="BF89" t="str">
            <v>خديجه خيرى</v>
          </cell>
          <cell r="BN89">
            <v>43500</v>
          </cell>
          <cell r="EQ89">
            <v>0</v>
          </cell>
          <cell r="FG89" t="str">
            <v>مدير المستودعات</v>
          </cell>
          <cell r="FH89" t="str">
            <v>على احمد على بابكر</v>
          </cell>
          <cell r="FI89">
            <v>0</v>
          </cell>
        </row>
        <row r="90">
          <cell r="A90">
            <v>89</v>
          </cell>
          <cell r="B90" t="str">
            <v>عماد الدين حمزه ادريس فضل</v>
          </cell>
          <cell r="C90" t="str">
            <v>عماد الدين</v>
          </cell>
          <cell r="D90" t="str">
            <v xml:space="preserve">حمزه </v>
          </cell>
          <cell r="E90" t="str">
            <v>ادريس</v>
          </cell>
          <cell r="F90" t="str">
            <v>فضل</v>
          </cell>
          <cell r="G90" t="str">
            <v>المصنع</v>
          </cell>
          <cell r="H90" t="str">
            <v>المستودعات</v>
          </cell>
          <cell r="I90" t="str">
            <v>التحميل</v>
          </cell>
          <cell r="K90" t="str">
            <v>عامل</v>
          </cell>
          <cell r="L90" t="str">
            <v xml:space="preserve"> مشغل كرين</v>
          </cell>
          <cell r="M90">
            <v>40654</v>
          </cell>
          <cell r="N90">
            <v>43500</v>
          </cell>
          <cell r="O90">
            <v>7</v>
          </cell>
          <cell r="P90">
            <v>9</v>
          </cell>
          <cell r="R90">
            <v>232.5</v>
          </cell>
          <cell r="Z90">
            <v>28856</v>
          </cell>
          <cell r="AG90">
            <v>9</v>
          </cell>
          <cell r="AH90">
            <v>1</v>
          </cell>
          <cell r="AI90" t="str">
            <v>تسنين</v>
          </cell>
          <cell r="AJ90" t="str">
            <v>626494</v>
          </cell>
          <cell r="AK90">
            <v>4</v>
          </cell>
          <cell r="AL90">
            <v>9</v>
          </cell>
          <cell r="AM90">
            <v>4</v>
          </cell>
          <cell r="AN90">
            <v>6</v>
          </cell>
          <cell r="AO90">
            <v>2</v>
          </cell>
          <cell r="AP90">
            <v>6</v>
          </cell>
          <cell r="AS90">
            <v>43500</v>
          </cell>
          <cell r="AT90">
            <v>40</v>
          </cell>
          <cell r="AU90" t="str">
            <v>جنسيه</v>
          </cell>
          <cell r="AV90" t="str">
            <v>0570038</v>
          </cell>
          <cell r="AW90">
            <v>8</v>
          </cell>
          <cell r="AX90">
            <v>3</v>
          </cell>
          <cell r="AY90">
            <v>0</v>
          </cell>
          <cell r="AZ90">
            <v>0</v>
          </cell>
          <cell r="BA90">
            <v>7</v>
          </cell>
          <cell r="BB90">
            <v>5</v>
          </cell>
          <cell r="BC90">
            <v>0</v>
          </cell>
          <cell r="BE90" t="str">
            <v>120-4498427-9</v>
          </cell>
          <cell r="BF90" t="str">
            <v>امنه احمد النور</v>
          </cell>
          <cell r="BG90" t="str">
            <v>العربى</v>
          </cell>
          <cell r="BH90" t="str">
            <v>الديوم الشرقية</v>
          </cell>
          <cell r="BI90" t="str">
            <v>0967060912</v>
          </cell>
          <cell r="BJ90" t="str">
            <v>إدريس حمزه</v>
          </cell>
          <cell r="BK90" t="str">
            <v>0122756550</v>
          </cell>
          <cell r="BN90">
            <v>43500</v>
          </cell>
          <cell r="BT90" t="str">
            <v>شهاده ثانويه</v>
          </cell>
          <cell r="EQ90">
            <v>0</v>
          </cell>
          <cell r="ER90">
            <v>132</v>
          </cell>
          <cell r="FG90" t="str">
            <v>مدير المستودعات</v>
          </cell>
          <cell r="FH90" t="str">
            <v>على احمد على بابكر</v>
          </cell>
          <cell r="FI90" t="str">
            <v>120-4498427-9</v>
          </cell>
        </row>
        <row r="91">
          <cell r="A91">
            <v>90</v>
          </cell>
          <cell r="B91" t="str">
            <v xml:space="preserve">وليد عيسى عبدالله عثمان </v>
          </cell>
          <cell r="C91" t="str">
            <v>وليد</v>
          </cell>
          <cell r="D91" t="str">
            <v>عيسى</v>
          </cell>
          <cell r="E91" t="str">
            <v>عبدالله</v>
          </cell>
          <cell r="F91" t="str">
            <v>عثمان</v>
          </cell>
          <cell r="G91" t="str">
            <v>المصنع</v>
          </cell>
          <cell r="H91" t="str">
            <v>المستودعات</v>
          </cell>
          <cell r="I91" t="str">
            <v>التحميل</v>
          </cell>
          <cell r="K91" t="str">
            <v>عامل</v>
          </cell>
          <cell r="L91" t="str">
            <v>مشغل كرين</v>
          </cell>
          <cell r="M91">
            <v>40654</v>
          </cell>
          <cell r="N91">
            <v>43500</v>
          </cell>
          <cell r="O91">
            <v>7</v>
          </cell>
          <cell r="P91">
            <v>9</v>
          </cell>
          <cell r="R91">
            <v>232.5</v>
          </cell>
          <cell r="Z91">
            <v>25934</v>
          </cell>
          <cell r="AG91">
            <v>9</v>
          </cell>
          <cell r="AH91">
            <v>1</v>
          </cell>
          <cell r="AI91" t="str">
            <v>تسنين</v>
          </cell>
          <cell r="AJ91" t="str">
            <v>584209</v>
          </cell>
          <cell r="AK91">
            <v>9</v>
          </cell>
          <cell r="AL91">
            <v>0</v>
          </cell>
          <cell r="AM91">
            <v>2</v>
          </cell>
          <cell r="AN91">
            <v>4</v>
          </cell>
          <cell r="AO91">
            <v>8</v>
          </cell>
          <cell r="AP91">
            <v>5</v>
          </cell>
          <cell r="AS91">
            <v>43500</v>
          </cell>
          <cell r="AT91">
            <v>48</v>
          </cell>
          <cell r="AU91" t="str">
            <v>بطاقه قوميه</v>
          </cell>
          <cell r="AV91" t="str">
            <v>005585627</v>
          </cell>
          <cell r="AW91">
            <v>7</v>
          </cell>
          <cell r="AX91">
            <v>2</v>
          </cell>
          <cell r="AY91">
            <v>6</v>
          </cell>
          <cell r="AZ91">
            <v>5</v>
          </cell>
          <cell r="BA91">
            <v>8</v>
          </cell>
          <cell r="BB91">
            <v>5</v>
          </cell>
          <cell r="BC91">
            <v>5</v>
          </cell>
          <cell r="BD91">
            <v>0</v>
          </cell>
          <cell r="BE91" t="str">
            <v>114-7203511-8</v>
          </cell>
          <cell r="BF91" t="str">
            <v>بلقيس عبدالرحيم احمد</v>
          </cell>
          <cell r="BG91" t="str">
            <v>الكلاكله</v>
          </cell>
          <cell r="BH91" t="str">
            <v>الكلاكله صنقعت - محطة ( 12 )</v>
          </cell>
          <cell r="BI91" t="str">
            <v>0127111180</v>
          </cell>
          <cell r="BJ91" t="str">
            <v>عيسى عبدالله عثمان</v>
          </cell>
          <cell r="BK91" t="str">
            <v>0117795782</v>
          </cell>
          <cell r="BN91">
            <v>43500</v>
          </cell>
          <cell r="EO91">
            <v>30</v>
          </cell>
          <cell r="EQ91">
            <v>30</v>
          </cell>
          <cell r="ER91">
            <v>131</v>
          </cell>
          <cell r="FG91" t="str">
            <v>مدير المستودعات</v>
          </cell>
          <cell r="FH91" t="str">
            <v>على احمد على بابكر</v>
          </cell>
          <cell r="FI91" t="str">
            <v>114-7203511-8</v>
          </cell>
        </row>
        <row r="92">
          <cell r="A92">
            <v>91</v>
          </cell>
          <cell r="O92">
            <v>0</v>
          </cell>
          <cell r="P92">
            <v>0</v>
          </cell>
          <cell r="R92">
            <v>0</v>
          </cell>
          <cell r="T92" t="str">
            <v>m</v>
          </cell>
          <cell r="AG92">
            <v>9</v>
          </cell>
          <cell r="AH92">
            <v>1</v>
          </cell>
          <cell r="AS92">
            <v>43500</v>
          </cell>
          <cell r="AT92">
            <v>119</v>
          </cell>
          <cell r="BN92">
            <v>43500</v>
          </cell>
          <cell r="EQ92">
            <v>0</v>
          </cell>
          <cell r="FG92" t="e">
            <v>#N/A</v>
          </cell>
          <cell r="FH92" t="e">
            <v>#N/A</v>
          </cell>
          <cell r="FI92">
            <v>0</v>
          </cell>
        </row>
        <row r="93">
          <cell r="A93">
            <v>92</v>
          </cell>
          <cell r="O93">
            <v>0</v>
          </cell>
          <cell r="P93">
            <v>0</v>
          </cell>
          <cell r="R93">
            <v>0</v>
          </cell>
          <cell r="T93" t="str">
            <v>m</v>
          </cell>
          <cell r="AG93">
            <v>9</v>
          </cell>
          <cell r="AH93">
            <v>1</v>
          </cell>
          <cell r="AS93">
            <v>43500</v>
          </cell>
          <cell r="AT93">
            <v>119</v>
          </cell>
          <cell r="BN93">
            <v>43500</v>
          </cell>
          <cell r="EQ93">
            <v>0</v>
          </cell>
          <cell r="FG93" t="e">
            <v>#N/A</v>
          </cell>
          <cell r="FH93" t="e">
            <v>#N/A</v>
          </cell>
          <cell r="FI93">
            <v>0</v>
          </cell>
        </row>
        <row r="94">
          <cell r="A94">
            <v>93</v>
          </cell>
          <cell r="B94" t="str">
            <v>ميسره ابراهيم المبارك محمد</v>
          </cell>
          <cell r="C94" t="str">
            <v>ميسره</v>
          </cell>
          <cell r="D94" t="str">
            <v>ابراهيم</v>
          </cell>
          <cell r="E94" t="str">
            <v>المبارك</v>
          </cell>
          <cell r="F94" t="str">
            <v>محمد</v>
          </cell>
          <cell r="G94" t="str">
            <v>المصنع</v>
          </cell>
          <cell r="H94" t="str">
            <v>الانتاج</v>
          </cell>
          <cell r="I94" t="str">
            <v>المواسير</v>
          </cell>
          <cell r="K94" t="str">
            <v>عامل</v>
          </cell>
          <cell r="L94" t="str">
            <v>مشغل</v>
          </cell>
          <cell r="M94">
            <v>40685</v>
          </cell>
          <cell r="N94">
            <v>43500</v>
          </cell>
          <cell r="O94">
            <v>7</v>
          </cell>
          <cell r="P94">
            <v>8</v>
          </cell>
          <cell r="R94">
            <v>230</v>
          </cell>
          <cell r="Z94">
            <v>27030</v>
          </cell>
          <cell r="AG94">
            <v>9</v>
          </cell>
          <cell r="AH94">
            <v>1</v>
          </cell>
          <cell r="AI94" t="str">
            <v>تسنين</v>
          </cell>
          <cell r="AJ94" t="str">
            <v>32443</v>
          </cell>
          <cell r="AK94">
            <v>3</v>
          </cell>
          <cell r="AL94">
            <v>4</v>
          </cell>
          <cell r="AM94">
            <v>4</v>
          </cell>
          <cell r="AN94">
            <v>2</v>
          </cell>
          <cell r="AO94">
            <v>3</v>
          </cell>
          <cell r="AS94">
            <v>43500</v>
          </cell>
          <cell r="AT94">
            <v>45</v>
          </cell>
          <cell r="BE94" t="str">
            <v>119-2875889-5</v>
          </cell>
          <cell r="BF94" t="str">
            <v>غتيم مصطفى محمد</v>
          </cell>
          <cell r="BG94" t="str">
            <v>العربى</v>
          </cell>
          <cell r="BH94" t="str">
            <v>الخرطوم - القوز م ( 2 )</v>
          </cell>
          <cell r="BI94" t="str">
            <v>0919555665</v>
          </cell>
          <cell r="BJ94" t="str">
            <v>احمد الياس</v>
          </cell>
          <cell r="BK94" t="str">
            <v>0912123019</v>
          </cell>
          <cell r="BL94" t="str">
            <v>خالي الطرف</v>
          </cell>
          <cell r="BN94">
            <v>43500</v>
          </cell>
          <cell r="BS94" t="str">
            <v>هندسة ميكانيكية ( إنتاج )</v>
          </cell>
          <cell r="BT94" t="str">
            <v>دبلوم تقني</v>
          </cell>
          <cell r="BU94" t="str">
            <v xml:space="preserve">جامعة وادى النيل </v>
          </cell>
          <cell r="EQ94">
            <v>0</v>
          </cell>
          <cell r="ER94">
            <v>151</v>
          </cell>
          <cell r="FG94" t="str">
            <v xml:space="preserve"> مدير الانتاج</v>
          </cell>
          <cell r="FH94" t="str">
            <v>هشام عيسى محمد عبدالكريم</v>
          </cell>
          <cell r="FI94" t="str">
            <v>119-2875889-5</v>
          </cell>
        </row>
        <row r="95">
          <cell r="A95">
            <v>94</v>
          </cell>
          <cell r="B95" t="str">
            <v>احمد حسن باباى حامد</v>
          </cell>
          <cell r="C95" t="str">
            <v>احمد</v>
          </cell>
          <cell r="D95" t="str">
            <v>حسن</v>
          </cell>
          <cell r="E95" t="str">
            <v>باباى</v>
          </cell>
          <cell r="F95" t="str">
            <v>حامد</v>
          </cell>
          <cell r="G95" t="str">
            <v>المصنع</v>
          </cell>
          <cell r="H95" t="str">
            <v>المستودعات</v>
          </cell>
          <cell r="I95" t="str">
            <v>قطع الغيار</v>
          </cell>
          <cell r="K95" t="str">
            <v>عامل</v>
          </cell>
          <cell r="L95" t="str">
            <v>امين مسودع ق غ</v>
          </cell>
          <cell r="M95">
            <v>40712</v>
          </cell>
          <cell r="N95">
            <v>43500</v>
          </cell>
          <cell r="O95">
            <v>7</v>
          </cell>
          <cell r="P95">
            <v>7</v>
          </cell>
          <cell r="R95">
            <v>227.5</v>
          </cell>
          <cell r="Z95">
            <v>21916</v>
          </cell>
          <cell r="AG95">
            <v>9</v>
          </cell>
          <cell r="AH95">
            <v>1</v>
          </cell>
          <cell r="AI95" t="str">
            <v>تسنين</v>
          </cell>
          <cell r="AJ95" t="str">
            <v>680224</v>
          </cell>
          <cell r="AK95">
            <v>4</v>
          </cell>
          <cell r="AL95">
            <v>2</v>
          </cell>
          <cell r="AM95">
            <v>2</v>
          </cell>
          <cell r="AN95">
            <v>0</v>
          </cell>
          <cell r="AO95">
            <v>8</v>
          </cell>
          <cell r="AP95">
            <v>6</v>
          </cell>
          <cell r="AS95">
            <v>43500</v>
          </cell>
          <cell r="AT95">
            <v>59</v>
          </cell>
          <cell r="AU95" t="str">
            <v>جنسيه</v>
          </cell>
          <cell r="AV95" t="str">
            <v>932683</v>
          </cell>
          <cell r="AW95">
            <v>3</v>
          </cell>
          <cell r="AX95">
            <v>8</v>
          </cell>
          <cell r="AY95">
            <v>6</v>
          </cell>
          <cell r="AZ95">
            <v>2</v>
          </cell>
          <cell r="BA95">
            <v>3</v>
          </cell>
          <cell r="BB95">
            <v>9</v>
          </cell>
          <cell r="BF95" t="str">
            <v>ام سلمى إسماعيل</v>
          </cell>
          <cell r="BG95" t="str">
            <v>العربى</v>
          </cell>
          <cell r="BH95" t="str">
            <v>بحرى - السامراب م ( 2 )</v>
          </cell>
          <cell r="BI95" t="str">
            <v>0900516510</v>
          </cell>
          <cell r="BJ95" t="str">
            <v>إسماعيل حسن باباى</v>
          </cell>
          <cell r="BK95" t="str">
            <v>0912810813</v>
          </cell>
          <cell r="BN95">
            <v>43500</v>
          </cell>
          <cell r="BT95" t="str">
            <v>شهاده متوسطه</v>
          </cell>
          <cell r="BV95">
            <v>28491</v>
          </cell>
          <cell r="EL95">
            <v>30</v>
          </cell>
          <cell r="EO95">
            <v>30</v>
          </cell>
          <cell r="EQ95">
            <v>90</v>
          </cell>
          <cell r="ER95">
            <v>93</v>
          </cell>
          <cell r="FG95" t="str">
            <v>مدير المستودعات</v>
          </cell>
          <cell r="FH95" t="str">
            <v>على احمد على بابكر</v>
          </cell>
          <cell r="FI95">
            <v>0</v>
          </cell>
          <cell r="HC95" t="str">
            <v>30</v>
          </cell>
        </row>
        <row r="96">
          <cell r="A96">
            <v>95</v>
          </cell>
          <cell r="O96">
            <v>0</v>
          </cell>
          <cell r="P96">
            <v>0</v>
          </cell>
          <cell r="R96">
            <v>0</v>
          </cell>
          <cell r="T96" t="str">
            <v>m</v>
          </cell>
          <cell r="AG96">
            <v>9</v>
          </cell>
          <cell r="AH96">
            <v>1</v>
          </cell>
          <cell r="AS96">
            <v>43500</v>
          </cell>
          <cell r="AT96">
            <v>119</v>
          </cell>
          <cell r="BN96">
            <v>43500</v>
          </cell>
          <cell r="EQ96">
            <v>0</v>
          </cell>
          <cell r="FG96" t="e">
            <v>#N/A</v>
          </cell>
          <cell r="FH96" t="e">
            <v>#N/A</v>
          </cell>
          <cell r="FI96">
            <v>0</v>
          </cell>
        </row>
        <row r="97">
          <cell r="A97">
            <v>96</v>
          </cell>
          <cell r="O97">
            <v>0</v>
          </cell>
          <cell r="P97">
            <v>0</v>
          </cell>
          <cell r="R97">
            <v>0</v>
          </cell>
          <cell r="T97" t="str">
            <v>m</v>
          </cell>
          <cell r="AG97">
            <v>9</v>
          </cell>
          <cell r="AH97">
            <v>1</v>
          </cell>
          <cell r="AS97">
            <v>43500</v>
          </cell>
          <cell r="AT97">
            <v>119</v>
          </cell>
          <cell r="BN97">
            <v>43500</v>
          </cell>
          <cell r="EQ97">
            <v>0</v>
          </cell>
          <cell r="FG97" t="e">
            <v>#N/A</v>
          </cell>
          <cell r="FH97" t="e">
            <v>#N/A</v>
          </cell>
          <cell r="FI97">
            <v>0</v>
          </cell>
        </row>
        <row r="98">
          <cell r="A98">
            <v>97</v>
          </cell>
          <cell r="B98" t="str">
            <v>محمد إدريس عبدالله</v>
          </cell>
          <cell r="G98" t="str">
            <v>المصنع</v>
          </cell>
          <cell r="H98" t="str">
            <v>الانتاج</v>
          </cell>
          <cell r="K98" t="str">
            <v>عامل</v>
          </cell>
          <cell r="L98" t="str">
            <v>عامل</v>
          </cell>
          <cell r="M98">
            <v>40740</v>
          </cell>
          <cell r="O98" t="e">
            <v>#NUM!</v>
          </cell>
          <cell r="P98" t="e">
            <v>#NUM!</v>
          </cell>
          <cell r="R98" t="e">
            <v>#NUM!</v>
          </cell>
          <cell r="T98" t="str">
            <v>m</v>
          </cell>
          <cell r="Z98">
            <v>28541</v>
          </cell>
          <cell r="AG98">
            <v>9</v>
          </cell>
          <cell r="AH98">
            <v>1</v>
          </cell>
          <cell r="AI98" t="str">
            <v>ميلاد</v>
          </cell>
          <cell r="AJ98">
            <v>191196</v>
          </cell>
          <cell r="AS98">
            <v>43500</v>
          </cell>
          <cell r="AT98">
            <v>40</v>
          </cell>
          <cell r="AU98" t="str">
            <v>جنسيه</v>
          </cell>
          <cell r="AV98" t="str">
            <v>0586210</v>
          </cell>
          <cell r="AW98">
            <v>0</v>
          </cell>
          <cell r="AX98">
            <v>1</v>
          </cell>
          <cell r="AY98">
            <v>2</v>
          </cell>
          <cell r="AZ98">
            <v>6</v>
          </cell>
          <cell r="BA98">
            <v>8</v>
          </cell>
          <cell r="BB98">
            <v>5</v>
          </cell>
          <cell r="BC98">
            <v>0</v>
          </cell>
          <cell r="BF98" t="str">
            <v>فاطمة عباس</v>
          </cell>
          <cell r="BG98" t="str">
            <v>العربى</v>
          </cell>
          <cell r="BH98" t="str">
            <v>بترى</v>
          </cell>
          <cell r="BI98" t="str">
            <v>0123747931</v>
          </cell>
          <cell r="BJ98" t="str">
            <v>بدر الدين مصطفى</v>
          </cell>
          <cell r="BL98" t="str">
            <v>خالي الطرف</v>
          </cell>
          <cell r="BN98">
            <v>43500</v>
          </cell>
          <cell r="BS98" t="str">
            <v>تربية ( كيمياء - احياء )</v>
          </cell>
          <cell r="BT98" t="str">
            <v>بكلاريوس الشرف</v>
          </cell>
          <cell r="BU98" t="str">
            <v>جامعة الدلنج</v>
          </cell>
          <cell r="BV98">
            <v>39340</v>
          </cell>
          <cell r="CQ98" t="str">
            <v>مركز توزيع زيوت صافولا ( ولاية الجزيرة )</v>
          </cell>
          <cell r="CR98" t="str">
            <v>مندوب مبيعات</v>
          </cell>
          <cell r="CS98">
            <v>39472</v>
          </cell>
          <cell r="CT98">
            <v>40178</v>
          </cell>
          <cell r="CV98" t="str">
            <v>هيلث كير للتسويق والمبيعات</v>
          </cell>
          <cell r="CW98" t="str">
            <v>مندوب مبيعات</v>
          </cell>
          <cell r="CX98">
            <v>39107</v>
          </cell>
          <cell r="CY98">
            <v>39461</v>
          </cell>
          <cell r="EQ98">
            <v>0</v>
          </cell>
          <cell r="FG98" t="str">
            <v xml:space="preserve"> مدير الانتاج</v>
          </cell>
          <cell r="FH98" t="str">
            <v>هشام عيسى محمد عبدالكريم</v>
          </cell>
          <cell r="FI98">
            <v>0</v>
          </cell>
        </row>
        <row r="99">
          <cell r="A99">
            <v>98</v>
          </cell>
          <cell r="B99" t="str">
            <v>على احمد موسى محمد</v>
          </cell>
          <cell r="C99" t="str">
            <v xml:space="preserve">على </v>
          </cell>
          <cell r="D99" t="str">
            <v>احمد</v>
          </cell>
          <cell r="E99" t="str">
            <v>موسى</v>
          </cell>
          <cell r="F99" t="str">
            <v>محمد</v>
          </cell>
          <cell r="G99" t="str">
            <v>المصنع</v>
          </cell>
          <cell r="H99" t="str">
            <v>الانتاج</v>
          </cell>
          <cell r="I99" t="str">
            <v>المواسير</v>
          </cell>
          <cell r="K99" t="str">
            <v>فنى انتاج</v>
          </cell>
          <cell r="L99" t="str">
            <v>مشغل</v>
          </cell>
          <cell r="M99">
            <v>41594</v>
          </cell>
          <cell r="N99">
            <v>43500</v>
          </cell>
          <cell r="O99">
            <v>5</v>
          </cell>
          <cell r="P99">
            <v>2</v>
          </cell>
          <cell r="R99">
            <v>155</v>
          </cell>
          <cell r="Z99">
            <v>31048</v>
          </cell>
          <cell r="AG99">
            <v>9</v>
          </cell>
          <cell r="AH99">
            <v>1</v>
          </cell>
          <cell r="AI99" t="str">
            <v>تسنين</v>
          </cell>
          <cell r="AJ99" t="str">
            <v>4126</v>
          </cell>
          <cell r="AK99">
            <v>6</v>
          </cell>
          <cell r="AL99">
            <v>2</v>
          </cell>
          <cell r="AM99">
            <v>1</v>
          </cell>
          <cell r="AN99">
            <v>4</v>
          </cell>
          <cell r="AS99">
            <v>43500</v>
          </cell>
          <cell r="AT99">
            <v>34</v>
          </cell>
          <cell r="BF99" t="str">
            <v>كلتوم محمد ابوعسة</v>
          </cell>
          <cell r="BG99" t="str">
            <v>الجزيره</v>
          </cell>
          <cell r="BH99" t="str">
            <v>المسعوديه</v>
          </cell>
          <cell r="BI99" t="str">
            <v>0919123482</v>
          </cell>
          <cell r="BJ99" t="str">
            <v>خلف الله عبدالصادق</v>
          </cell>
          <cell r="BK99" t="str">
            <v>0917813520</v>
          </cell>
          <cell r="BL99" t="str">
            <v>خالي الطرف</v>
          </cell>
          <cell r="BN99">
            <v>43500</v>
          </cell>
          <cell r="EQ99">
            <v>0</v>
          </cell>
          <cell r="ER99">
            <v>94</v>
          </cell>
          <cell r="ES99">
            <v>41594</v>
          </cell>
          <cell r="ET99">
            <v>41958</v>
          </cell>
          <cell r="EU99" t="str">
            <v>حداد</v>
          </cell>
          <cell r="FG99" t="str">
            <v xml:space="preserve"> مدير الانتاج</v>
          </cell>
          <cell r="FH99" t="str">
            <v>هشام عيسى محمد عبدالكريم</v>
          </cell>
          <cell r="FI99">
            <v>0</v>
          </cell>
        </row>
        <row r="100">
          <cell r="A100">
            <v>99</v>
          </cell>
          <cell r="O100">
            <v>0</v>
          </cell>
          <cell r="P100">
            <v>0</v>
          </cell>
          <cell r="R100">
            <v>0</v>
          </cell>
          <cell r="T100" t="str">
            <v>m</v>
          </cell>
          <cell r="AG100">
            <v>9</v>
          </cell>
          <cell r="AH100">
            <v>1</v>
          </cell>
          <cell r="AS100">
            <v>43500</v>
          </cell>
          <cell r="AT100">
            <v>119</v>
          </cell>
          <cell r="BN100">
            <v>43500</v>
          </cell>
          <cell r="EQ100">
            <v>0</v>
          </cell>
          <cell r="FG100" t="e">
            <v>#N/A</v>
          </cell>
          <cell r="FH100" t="e">
            <v>#N/A</v>
          </cell>
          <cell r="FI100">
            <v>0</v>
          </cell>
        </row>
        <row r="101">
          <cell r="A101">
            <v>100</v>
          </cell>
          <cell r="O101">
            <v>0</v>
          </cell>
          <cell r="P101">
            <v>0</v>
          </cell>
          <cell r="R101">
            <v>0</v>
          </cell>
          <cell r="T101" t="str">
            <v>m</v>
          </cell>
          <cell r="AG101">
            <v>9</v>
          </cell>
          <cell r="AH101">
            <v>1</v>
          </cell>
          <cell r="AS101">
            <v>43500</v>
          </cell>
          <cell r="AT101">
            <v>119</v>
          </cell>
          <cell r="BN101">
            <v>43500</v>
          </cell>
          <cell r="EQ101">
            <v>0</v>
          </cell>
          <cell r="FG101" t="e">
            <v>#N/A</v>
          </cell>
          <cell r="FH101" t="e">
            <v>#N/A</v>
          </cell>
          <cell r="FI101">
            <v>0</v>
          </cell>
        </row>
        <row r="102">
          <cell r="A102">
            <v>101</v>
          </cell>
          <cell r="B102" t="str">
            <v>الطيب امبلى احمد محمد</v>
          </cell>
          <cell r="C102" t="str">
            <v>الطيب</v>
          </cell>
          <cell r="D102" t="str">
            <v>امبلى</v>
          </cell>
          <cell r="E102" t="str">
            <v>احمد</v>
          </cell>
          <cell r="F102" t="str">
            <v>محمد</v>
          </cell>
          <cell r="G102" t="str">
            <v>الرئاسه</v>
          </cell>
          <cell r="H102" t="str">
            <v>الماليه</v>
          </cell>
          <cell r="K102" t="str">
            <v>محاسب</v>
          </cell>
          <cell r="L102" t="str">
            <v>رئيس حسابات المصنع</v>
          </cell>
          <cell r="M102">
            <v>40483</v>
          </cell>
          <cell r="N102">
            <v>43500</v>
          </cell>
          <cell r="O102">
            <v>8</v>
          </cell>
          <cell r="P102">
            <v>3</v>
          </cell>
          <cell r="R102">
            <v>247.5</v>
          </cell>
          <cell r="Z102">
            <v>27760</v>
          </cell>
          <cell r="AG102">
            <v>9</v>
          </cell>
          <cell r="AH102">
            <v>1</v>
          </cell>
          <cell r="AI102" t="str">
            <v>تسنين</v>
          </cell>
          <cell r="AJ102" t="str">
            <v>0744825</v>
          </cell>
          <cell r="AK102">
            <v>5</v>
          </cell>
          <cell r="AL102">
            <v>2</v>
          </cell>
          <cell r="AM102">
            <v>8</v>
          </cell>
          <cell r="AN102">
            <v>4</v>
          </cell>
          <cell r="AO102">
            <v>4</v>
          </cell>
          <cell r="AP102">
            <v>7</v>
          </cell>
          <cell r="AQ102">
            <v>0</v>
          </cell>
          <cell r="AS102">
            <v>43500</v>
          </cell>
          <cell r="AT102">
            <v>43</v>
          </cell>
          <cell r="AU102" t="str">
            <v>جنسيه</v>
          </cell>
          <cell r="AV102" t="str">
            <v>005382</v>
          </cell>
          <cell r="AW102">
            <v>2</v>
          </cell>
          <cell r="AX102">
            <v>8</v>
          </cell>
          <cell r="AY102">
            <v>3</v>
          </cell>
          <cell r="AZ102">
            <v>5</v>
          </cell>
          <cell r="BA102">
            <v>0</v>
          </cell>
          <cell r="BB102">
            <v>0</v>
          </cell>
          <cell r="BG102" t="str">
            <v>خاص</v>
          </cell>
          <cell r="BL102" t="str">
            <v>خالي الطرف</v>
          </cell>
          <cell r="BN102">
            <v>43500</v>
          </cell>
          <cell r="BS102" t="str">
            <v>إدارة الاعمال</v>
          </cell>
          <cell r="BT102" t="str">
            <v>بكلاريوس</v>
          </cell>
          <cell r="BU102" t="str">
            <v>جامعة امدرمان الاسلامية</v>
          </cell>
          <cell r="BV102">
            <v>37408</v>
          </cell>
          <cell r="EK102">
            <v>30</v>
          </cell>
          <cell r="EL102">
            <v>30</v>
          </cell>
          <cell r="EN102">
            <v>30</v>
          </cell>
          <cell r="EO102">
            <v>30</v>
          </cell>
          <cell r="EP102">
            <v>30</v>
          </cell>
          <cell r="EQ102">
            <v>180</v>
          </cell>
          <cell r="ER102">
            <v>56</v>
          </cell>
          <cell r="FG102" t="str">
            <v>المدير المالي</v>
          </cell>
          <cell r="FH102" t="str">
            <v>بالانابه</v>
          </cell>
          <cell r="FI102">
            <v>0</v>
          </cell>
          <cell r="HC102" t="str">
            <v>30</v>
          </cell>
        </row>
        <row r="103">
          <cell r="A103">
            <v>102</v>
          </cell>
          <cell r="B103" t="str">
            <v>محمد عمر محمد الامين</v>
          </cell>
          <cell r="C103" t="str">
            <v>محمد</v>
          </cell>
          <cell r="D103" t="str">
            <v>عمر</v>
          </cell>
          <cell r="E103" t="str">
            <v>محمد</v>
          </cell>
          <cell r="F103" t="str">
            <v>الامين</v>
          </cell>
          <cell r="G103" t="str">
            <v>المصنع</v>
          </cell>
          <cell r="H103" t="str">
            <v>الميكانيكا</v>
          </cell>
          <cell r="I103" t="str">
            <v>صيانه عامه</v>
          </cell>
          <cell r="K103" t="str">
            <v>تقني ميكانيكا</v>
          </cell>
          <cell r="L103" t="str">
            <v>تقنى ميكانيكا</v>
          </cell>
          <cell r="M103">
            <v>42470</v>
          </cell>
          <cell r="N103">
            <v>43500</v>
          </cell>
          <cell r="O103">
            <v>2</v>
          </cell>
          <cell r="P103">
            <v>9</v>
          </cell>
          <cell r="R103">
            <v>82.5</v>
          </cell>
          <cell r="T103" t="str">
            <v>فصل</v>
          </cell>
          <cell r="U103">
            <v>42829</v>
          </cell>
          <cell r="Z103">
            <v>30682</v>
          </cell>
          <cell r="AG103">
            <v>9</v>
          </cell>
          <cell r="AH103">
            <v>1</v>
          </cell>
          <cell r="AS103">
            <v>43500</v>
          </cell>
          <cell r="AT103">
            <v>35</v>
          </cell>
          <cell r="AU103" t="str">
            <v>بطاقه قوميه</v>
          </cell>
          <cell r="AV103" t="str">
            <v>000152335</v>
          </cell>
          <cell r="AW103">
            <v>5</v>
          </cell>
          <cell r="AX103">
            <v>3</v>
          </cell>
          <cell r="AY103">
            <v>3</v>
          </cell>
          <cell r="AZ103">
            <v>2</v>
          </cell>
          <cell r="BA103">
            <v>5</v>
          </cell>
          <cell r="BB103">
            <v>1</v>
          </cell>
          <cell r="BC103">
            <v>0</v>
          </cell>
          <cell r="BD103">
            <v>0</v>
          </cell>
          <cell r="BE103" t="str">
            <v>119-659664-23</v>
          </cell>
          <cell r="BL103" t="str">
            <v>خالي الطرف</v>
          </cell>
          <cell r="BN103">
            <v>43500</v>
          </cell>
          <cell r="BS103" t="str">
            <v>هندسة ميكانيكية ( إنتاج )</v>
          </cell>
          <cell r="BT103" t="str">
            <v>دبلوم تقني</v>
          </cell>
          <cell r="BU103" t="str">
            <v>جامعة امدرمان الاسلامية</v>
          </cell>
          <cell r="BV103">
            <v>39965</v>
          </cell>
          <cell r="BW103" t="str">
            <v>هايدروليك</v>
          </cell>
          <cell r="BX103" t="str">
            <v>شهاده دورة تدريب</v>
          </cell>
          <cell r="BY103" t="str">
            <v>Abdelbary Center For Engineering</v>
          </cell>
          <cell r="BZ103">
            <v>42463</v>
          </cell>
          <cell r="CA103" t="str">
            <v>Effective English Communication Skills</v>
          </cell>
          <cell r="CB103" t="str">
            <v>شهاده دورة تدريب</v>
          </cell>
          <cell r="CC103" t="str">
            <v>مركز إكسيمبلر للتدريب الهندسى</v>
          </cell>
          <cell r="CD103">
            <v>41183</v>
          </cell>
          <cell r="CE103" t="str">
            <v>حاسوب</v>
          </cell>
          <cell r="CF103" t="str">
            <v>دبلوم (معاهد)</v>
          </cell>
          <cell r="CG103" t="str">
            <v>شركة انفورميشن نت لخدمات الكمبيوتر</v>
          </cell>
          <cell r="CH103">
            <v>40237</v>
          </cell>
          <cell r="EQ103">
            <v>0</v>
          </cell>
          <cell r="FG103" t="str">
            <v>مدير الصيانه الميكانيكيه</v>
          </cell>
          <cell r="FH103" t="str">
            <v>محمد احمد محمد سليمان</v>
          </cell>
          <cell r="FI103" t="str">
            <v>119-659664-23</v>
          </cell>
        </row>
        <row r="104">
          <cell r="A104">
            <v>103</v>
          </cell>
          <cell r="B104" t="str">
            <v>يوسف عوض ابراهيم محمد</v>
          </cell>
          <cell r="C104" t="str">
            <v>يوسف</v>
          </cell>
          <cell r="D104" t="str">
            <v>عوض</v>
          </cell>
          <cell r="E104" t="str">
            <v>ابراهيم</v>
          </cell>
          <cell r="F104" t="str">
            <v>محمد</v>
          </cell>
          <cell r="G104" t="str">
            <v>المصنع</v>
          </cell>
          <cell r="H104" t="str">
            <v>الكهرباء</v>
          </cell>
          <cell r="I104" t="str">
            <v>كهرباء عامه</v>
          </cell>
          <cell r="K104" t="str">
            <v>تقنى كهرباء</v>
          </cell>
          <cell r="L104" t="str">
            <v>تقنى كهرباء</v>
          </cell>
          <cell r="M104">
            <v>40759</v>
          </cell>
          <cell r="N104">
            <v>43500</v>
          </cell>
          <cell r="O104">
            <v>7</v>
          </cell>
          <cell r="P104">
            <v>6</v>
          </cell>
          <cell r="R104">
            <v>225</v>
          </cell>
          <cell r="Z104">
            <v>30317</v>
          </cell>
          <cell r="AG104">
            <v>9</v>
          </cell>
          <cell r="AH104">
            <v>1</v>
          </cell>
          <cell r="AI104" t="str">
            <v>تسنين</v>
          </cell>
          <cell r="AJ104" t="str">
            <v>1157132</v>
          </cell>
          <cell r="AK104">
            <v>2</v>
          </cell>
          <cell r="AL104">
            <v>3</v>
          </cell>
          <cell r="AM104">
            <v>1</v>
          </cell>
          <cell r="AN104">
            <v>7</v>
          </cell>
          <cell r="AO104">
            <v>5</v>
          </cell>
          <cell r="AP104">
            <v>1</v>
          </cell>
          <cell r="AQ104">
            <v>1</v>
          </cell>
          <cell r="AS104">
            <v>43500</v>
          </cell>
          <cell r="AT104">
            <v>36</v>
          </cell>
          <cell r="AU104" t="str">
            <v>جواز سفر</v>
          </cell>
          <cell r="AV104" t="str">
            <v>P00867865</v>
          </cell>
          <cell r="AW104">
            <v>5</v>
          </cell>
          <cell r="AX104">
            <v>6</v>
          </cell>
          <cell r="AY104">
            <v>8</v>
          </cell>
          <cell r="AZ104">
            <v>7</v>
          </cell>
          <cell r="BA104">
            <v>6</v>
          </cell>
          <cell r="BB104">
            <v>8</v>
          </cell>
          <cell r="BC104">
            <v>0</v>
          </cell>
          <cell r="BD104">
            <v>0</v>
          </cell>
          <cell r="BE104" t="str">
            <v>120-2594-0160</v>
          </cell>
          <cell r="BF104" t="str">
            <v>حياة فضل الله رباح</v>
          </cell>
          <cell r="BG104" t="str">
            <v>الجزيره</v>
          </cell>
          <cell r="BH104" t="str">
            <v>سنار - السوكى</v>
          </cell>
          <cell r="BI104" t="str">
            <v>0911700435</v>
          </cell>
          <cell r="BJ104" t="str">
            <v>فائز عوض</v>
          </cell>
          <cell r="BK104" t="str">
            <v>0912200435</v>
          </cell>
          <cell r="BL104" t="str">
            <v>خالي الطرف</v>
          </cell>
          <cell r="BN104">
            <v>43500</v>
          </cell>
          <cell r="BS104" t="str">
            <v>هندسة كهرباء</v>
          </cell>
          <cell r="BT104" t="str">
            <v>دبلوم تقني</v>
          </cell>
          <cell r="BU104" t="str">
            <v>جامعة السودان للعلوم والتكنولوجيا</v>
          </cell>
          <cell r="BV104">
            <v>40163</v>
          </cell>
          <cell r="BX104" t="str">
            <v>شهاده دورة تدريب</v>
          </cell>
          <cell r="BY104" t="str">
            <v>الهيئة القومية للكهرباء</v>
          </cell>
          <cell r="BZ104">
            <v>40261</v>
          </cell>
          <cell r="CQ104" t="str">
            <v>شورا للاستشارات الهندسية</v>
          </cell>
          <cell r="CR104" t="str">
            <v>فنى كهرباء</v>
          </cell>
          <cell r="CS104">
            <v>39722</v>
          </cell>
          <cell r="CT104">
            <v>40118</v>
          </cell>
          <cell r="EO104">
            <v>30</v>
          </cell>
          <cell r="EQ104">
            <v>30</v>
          </cell>
          <cell r="ER104">
            <v>126</v>
          </cell>
          <cell r="FG104" t="str">
            <v>مدير الصيانه الكهربائيه</v>
          </cell>
          <cell r="FH104" t="str">
            <v>ماهر ضيف الله سليمان جابر</v>
          </cell>
          <cell r="FI104" t="str">
            <v>120-2594-0160</v>
          </cell>
        </row>
        <row r="105">
          <cell r="A105">
            <v>104</v>
          </cell>
          <cell r="O105">
            <v>0</v>
          </cell>
          <cell r="P105">
            <v>0</v>
          </cell>
          <cell r="R105">
            <v>0</v>
          </cell>
          <cell r="T105" t="str">
            <v>m</v>
          </cell>
          <cell r="AG105">
            <v>9</v>
          </cell>
          <cell r="AH105">
            <v>1</v>
          </cell>
          <cell r="AS105">
            <v>43500</v>
          </cell>
          <cell r="AT105">
            <v>119</v>
          </cell>
          <cell r="BN105">
            <v>43500</v>
          </cell>
          <cell r="EQ105">
            <v>0</v>
          </cell>
          <cell r="FG105" t="e">
            <v>#N/A</v>
          </cell>
          <cell r="FH105" t="e">
            <v>#N/A</v>
          </cell>
          <cell r="FI105">
            <v>0</v>
          </cell>
        </row>
        <row r="106">
          <cell r="A106">
            <v>105</v>
          </cell>
          <cell r="O106">
            <v>0</v>
          </cell>
          <cell r="P106">
            <v>0</v>
          </cell>
          <cell r="R106">
            <v>0</v>
          </cell>
          <cell r="T106" t="str">
            <v>m</v>
          </cell>
          <cell r="AG106">
            <v>9</v>
          </cell>
          <cell r="AH106">
            <v>1</v>
          </cell>
          <cell r="AS106">
            <v>43500</v>
          </cell>
          <cell r="AT106">
            <v>119</v>
          </cell>
          <cell r="BN106">
            <v>43500</v>
          </cell>
          <cell r="EQ106">
            <v>0</v>
          </cell>
          <cell r="FG106" t="e">
            <v>#N/A</v>
          </cell>
          <cell r="FH106" t="e">
            <v>#N/A</v>
          </cell>
          <cell r="FI106">
            <v>0</v>
          </cell>
        </row>
        <row r="107">
          <cell r="A107">
            <v>106</v>
          </cell>
          <cell r="O107">
            <v>0</v>
          </cell>
          <cell r="P107">
            <v>0</v>
          </cell>
          <cell r="R107">
            <v>0</v>
          </cell>
          <cell r="T107" t="str">
            <v>m</v>
          </cell>
          <cell r="AG107">
            <v>9</v>
          </cell>
          <cell r="AH107">
            <v>1</v>
          </cell>
          <cell r="AS107">
            <v>43500</v>
          </cell>
          <cell r="AT107">
            <v>119</v>
          </cell>
          <cell r="BN107">
            <v>43500</v>
          </cell>
          <cell r="EQ107">
            <v>0</v>
          </cell>
          <cell r="FG107" t="e">
            <v>#N/A</v>
          </cell>
          <cell r="FH107" t="e">
            <v>#N/A</v>
          </cell>
          <cell r="FI107">
            <v>0</v>
          </cell>
        </row>
        <row r="108">
          <cell r="A108">
            <v>107</v>
          </cell>
          <cell r="O108">
            <v>0</v>
          </cell>
          <cell r="P108">
            <v>0</v>
          </cell>
          <cell r="R108">
            <v>0</v>
          </cell>
          <cell r="T108" t="str">
            <v>m</v>
          </cell>
          <cell r="AG108">
            <v>9</v>
          </cell>
          <cell r="AH108">
            <v>1</v>
          </cell>
          <cell r="AS108">
            <v>43500</v>
          </cell>
          <cell r="AT108">
            <v>119</v>
          </cell>
          <cell r="BN108">
            <v>43500</v>
          </cell>
          <cell r="EQ108">
            <v>0</v>
          </cell>
          <cell r="FG108" t="e">
            <v>#N/A</v>
          </cell>
          <cell r="FH108" t="e">
            <v>#N/A</v>
          </cell>
          <cell r="FI108">
            <v>0</v>
          </cell>
        </row>
        <row r="109">
          <cell r="A109">
            <v>108</v>
          </cell>
          <cell r="B109" t="str">
            <v>خلف الله عبدالصادق محمد احمد</v>
          </cell>
          <cell r="C109" t="str">
            <v>خلف الله</v>
          </cell>
          <cell r="D109" t="str">
            <v>عبدالصادق</v>
          </cell>
          <cell r="E109" t="str">
            <v>محمد</v>
          </cell>
          <cell r="F109" t="str">
            <v>احمد</v>
          </cell>
          <cell r="G109" t="str">
            <v>المصنع</v>
          </cell>
          <cell r="H109" t="str">
            <v>الانتاج</v>
          </cell>
          <cell r="I109" t="str">
            <v>المواسير</v>
          </cell>
          <cell r="K109" t="str">
            <v>عامل</v>
          </cell>
          <cell r="L109" t="str">
            <v>مساعد مشغل</v>
          </cell>
          <cell r="M109">
            <v>40825</v>
          </cell>
          <cell r="N109">
            <v>43500</v>
          </cell>
          <cell r="O109">
            <v>7</v>
          </cell>
          <cell r="P109">
            <v>3</v>
          </cell>
          <cell r="R109">
            <v>217.5</v>
          </cell>
          <cell r="Z109">
            <v>33239</v>
          </cell>
          <cell r="AG109">
            <v>9</v>
          </cell>
          <cell r="AH109">
            <v>1</v>
          </cell>
          <cell r="AI109" t="str">
            <v>تسنين</v>
          </cell>
          <cell r="AJ109" t="str">
            <v>384699</v>
          </cell>
          <cell r="AK109">
            <v>9</v>
          </cell>
          <cell r="AL109">
            <v>9</v>
          </cell>
          <cell r="AM109">
            <v>6</v>
          </cell>
          <cell r="AN109">
            <v>4</v>
          </cell>
          <cell r="AO109">
            <v>8</v>
          </cell>
          <cell r="AP109">
            <v>3</v>
          </cell>
          <cell r="AS109">
            <v>43500</v>
          </cell>
          <cell r="AT109">
            <v>28</v>
          </cell>
          <cell r="AU109" t="str">
            <v>جنسيه</v>
          </cell>
          <cell r="AV109" t="str">
            <v>0556398</v>
          </cell>
          <cell r="AW109">
            <v>8</v>
          </cell>
          <cell r="AX109">
            <v>9</v>
          </cell>
          <cell r="AY109">
            <v>3</v>
          </cell>
          <cell r="AZ109">
            <v>6</v>
          </cell>
          <cell r="BA109">
            <v>5</v>
          </cell>
          <cell r="BB109">
            <v>5</v>
          </cell>
          <cell r="BC109">
            <v>0</v>
          </cell>
          <cell r="BG109" t="str">
            <v>الجزيره</v>
          </cell>
          <cell r="BH109" t="str">
            <v>الجزيره - المسعوديه</v>
          </cell>
          <cell r="BI109" t="str">
            <v>0917813520</v>
          </cell>
          <cell r="BJ109" t="str">
            <v>على احمد موسى</v>
          </cell>
          <cell r="BK109" t="str">
            <v>0919123482</v>
          </cell>
          <cell r="BL109" t="str">
            <v>خالي الطرف</v>
          </cell>
          <cell r="BN109">
            <v>43500</v>
          </cell>
          <cell r="EQ109">
            <v>0</v>
          </cell>
          <cell r="ER109">
            <v>149</v>
          </cell>
          <cell r="FG109" t="str">
            <v xml:space="preserve"> مدير الانتاج</v>
          </cell>
          <cell r="FH109" t="str">
            <v>هشام عيسى محمد عبدالكريم</v>
          </cell>
          <cell r="FI109">
            <v>0</v>
          </cell>
        </row>
        <row r="110">
          <cell r="A110">
            <v>109</v>
          </cell>
          <cell r="O110">
            <v>0</v>
          </cell>
          <cell r="P110">
            <v>0</v>
          </cell>
          <cell r="R110">
            <v>0</v>
          </cell>
          <cell r="T110" t="str">
            <v>m</v>
          </cell>
          <cell r="AG110">
            <v>9</v>
          </cell>
          <cell r="AH110">
            <v>1</v>
          </cell>
          <cell r="AS110">
            <v>43500</v>
          </cell>
          <cell r="AT110">
            <v>119</v>
          </cell>
          <cell r="BN110">
            <v>43500</v>
          </cell>
          <cell r="EQ110">
            <v>0</v>
          </cell>
          <cell r="FG110" t="e">
            <v>#N/A</v>
          </cell>
          <cell r="FH110" t="e">
            <v>#N/A</v>
          </cell>
          <cell r="FI110">
            <v>0</v>
          </cell>
        </row>
        <row r="111">
          <cell r="A111">
            <v>110</v>
          </cell>
          <cell r="O111">
            <v>0</v>
          </cell>
          <cell r="P111">
            <v>0</v>
          </cell>
          <cell r="R111">
            <v>0</v>
          </cell>
          <cell r="T111" t="str">
            <v>m</v>
          </cell>
          <cell r="AG111">
            <v>9</v>
          </cell>
          <cell r="AH111">
            <v>1</v>
          </cell>
          <cell r="AS111">
            <v>43500</v>
          </cell>
          <cell r="AT111">
            <v>119</v>
          </cell>
          <cell r="BN111">
            <v>43500</v>
          </cell>
          <cell r="EQ111">
            <v>0</v>
          </cell>
          <cell r="FG111" t="e">
            <v>#N/A</v>
          </cell>
          <cell r="FH111" t="e">
            <v>#N/A</v>
          </cell>
          <cell r="FI111">
            <v>0</v>
          </cell>
        </row>
        <row r="112">
          <cell r="A112">
            <v>111</v>
          </cell>
          <cell r="O112">
            <v>0</v>
          </cell>
          <cell r="P112">
            <v>0</v>
          </cell>
          <cell r="R112">
            <v>0</v>
          </cell>
          <cell r="T112" t="str">
            <v>m</v>
          </cell>
          <cell r="AG112">
            <v>9</v>
          </cell>
          <cell r="AH112">
            <v>1</v>
          </cell>
          <cell r="AS112">
            <v>43500</v>
          </cell>
          <cell r="AT112">
            <v>119</v>
          </cell>
          <cell r="BN112">
            <v>43500</v>
          </cell>
          <cell r="EQ112">
            <v>0</v>
          </cell>
          <cell r="FG112" t="e">
            <v>#N/A</v>
          </cell>
          <cell r="FH112" t="e">
            <v>#N/A</v>
          </cell>
          <cell r="FI112">
            <v>0</v>
          </cell>
        </row>
        <row r="113">
          <cell r="A113">
            <v>112</v>
          </cell>
          <cell r="B113" t="str">
            <v>محمد الامين حامد الامين</v>
          </cell>
          <cell r="C113" t="str">
            <v>محمد</v>
          </cell>
          <cell r="D113" t="str">
            <v>الامين</v>
          </cell>
          <cell r="E113" t="str">
            <v>حامد</v>
          </cell>
          <cell r="F113" t="str">
            <v>الامين</v>
          </cell>
          <cell r="G113" t="str">
            <v>المصنع</v>
          </cell>
          <cell r="H113" t="str">
            <v>الانتاج</v>
          </cell>
          <cell r="I113" t="str">
            <v>المواسير</v>
          </cell>
          <cell r="K113" t="str">
            <v>حداد</v>
          </cell>
          <cell r="L113" t="str">
            <v>مساعد مشغل</v>
          </cell>
          <cell r="M113">
            <v>41706</v>
          </cell>
          <cell r="N113">
            <v>43500</v>
          </cell>
          <cell r="O113">
            <v>4</v>
          </cell>
          <cell r="P113">
            <v>10</v>
          </cell>
          <cell r="R113">
            <v>145</v>
          </cell>
          <cell r="Z113">
            <v>31707</v>
          </cell>
          <cell r="AG113">
            <v>9</v>
          </cell>
          <cell r="AH113">
            <v>1</v>
          </cell>
          <cell r="AI113" t="str">
            <v>ميلاد</v>
          </cell>
          <cell r="AS113">
            <v>43500</v>
          </cell>
          <cell r="AT113">
            <v>32</v>
          </cell>
          <cell r="AU113" t="str">
            <v>جنسيه</v>
          </cell>
          <cell r="AV113" t="str">
            <v>0514341</v>
          </cell>
          <cell r="AW113">
            <v>1</v>
          </cell>
          <cell r="AX113">
            <v>4</v>
          </cell>
          <cell r="AY113">
            <v>3</v>
          </cell>
          <cell r="AZ113">
            <v>4</v>
          </cell>
          <cell r="BA113">
            <v>1</v>
          </cell>
          <cell r="BB113">
            <v>5</v>
          </cell>
          <cell r="BC113">
            <v>0</v>
          </cell>
          <cell r="BE113" t="str">
            <v>120-0259741-7</v>
          </cell>
          <cell r="BF113" t="str">
            <v>زينب النعيم</v>
          </cell>
          <cell r="BG113" t="str">
            <v>الكلاكله</v>
          </cell>
          <cell r="BH113" t="str">
            <v>الشقيلاب - موده</v>
          </cell>
          <cell r="BI113" t="str">
            <v>0908528679</v>
          </cell>
          <cell r="BJ113" t="str">
            <v>النعيم الامين</v>
          </cell>
          <cell r="BK113" t="str">
            <v>0916088846</v>
          </cell>
          <cell r="BL113" t="str">
            <v>خالي الطرف</v>
          </cell>
          <cell r="BN113">
            <v>43500</v>
          </cell>
          <cell r="BT113" t="str">
            <v>شهاده ثانويه</v>
          </cell>
          <cell r="BV113">
            <v>39508</v>
          </cell>
          <cell r="EQ113">
            <v>0</v>
          </cell>
          <cell r="ER113">
            <v>83</v>
          </cell>
          <cell r="ES113">
            <v>41706</v>
          </cell>
          <cell r="ET113">
            <v>41705</v>
          </cell>
          <cell r="EU113" t="str">
            <v>حداد</v>
          </cell>
          <cell r="FG113" t="str">
            <v xml:space="preserve"> مدير الانتاج</v>
          </cell>
          <cell r="FH113" t="str">
            <v>هشام عيسى محمد عبدالكريم</v>
          </cell>
          <cell r="FI113" t="str">
            <v>120-0259741-7</v>
          </cell>
        </row>
        <row r="114">
          <cell r="A114">
            <v>113</v>
          </cell>
          <cell r="B114" t="str">
            <v>على ابراهيم النعيم الحاج</v>
          </cell>
          <cell r="C114" t="str">
            <v>على</v>
          </cell>
          <cell r="D114" t="str">
            <v>ابراهيم</v>
          </cell>
          <cell r="E114" t="str">
            <v>النعيم</v>
          </cell>
          <cell r="F114" t="str">
            <v>الحاج</v>
          </cell>
          <cell r="G114" t="str">
            <v>المصنع</v>
          </cell>
          <cell r="H114" t="str">
            <v>الكهرباء</v>
          </cell>
          <cell r="I114" t="str">
            <v>كهرباء عامه</v>
          </cell>
          <cell r="K114" t="str">
            <v>فنى كهرباء</v>
          </cell>
          <cell r="L114" t="str">
            <v>فنى كهرباء</v>
          </cell>
          <cell r="M114">
            <v>42476</v>
          </cell>
          <cell r="N114">
            <v>43500</v>
          </cell>
          <cell r="O114">
            <v>2</v>
          </cell>
          <cell r="P114">
            <v>9</v>
          </cell>
          <cell r="R114">
            <v>82.5</v>
          </cell>
          <cell r="Z114">
            <v>30202</v>
          </cell>
          <cell r="AG114">
            <v>9</v>
          </cell>
          <cell r="AH114">
            <v>1</v>
          </cell>
          <cell r="AI114" t="str">
            <v>ميلاد</v>
          </cell>
          <cell r="AJ114" t="str">
            <v>162063</v>
          </cell>
          <cell r="AK114">
            <v>3</v>
          </cell>
          <cell r="AL114">
            <v>6</v>
          </cell>
          <cell r="AM114">
            <v>0</v>
          </cell>
          <cell r="AN114">
            <v>2</v>
          </cell>
          <cell r="AO114">
            <v>6</v>
          </cell>
          <cell r="AP114">
            <v>1</v>
          </cell>
          <cell r="AS114">
            <v>43500</v>
          </cell>
          <cell r="AT114">
            <v>36</v>
          </cell>
          <cell r="AU114" t="str">
            <v>بطاقه قوميه</v>
          </cell>
          <cell r="AV114" t="str">
            <v>003133440</v>
          </cell>
          <cell r="AW114">
            <v>0</v>
          </cell>
          <cell r="AX114">
            <v>4</v>
          </cell>
          <cell r="AY114">
            <v>4</v>
          </cell>
          <cell r="AZ114">
            <v>3</v>
          </cell>
          <cell r="BA114">
            <v>3</v>
          </cell>
          <cell r="BB114">
            <v>1</v>
          </cell>
          <cell r="BC114">
            <v>3</v>
          </cell>
          <cell r="BD114">
            <v>0</v>
          </cell>
          <cell r="BE114" t="str">
            <v>1203-0624-113</v>
          </cell>
          <cell r="BG114" t="str">
            <v>الكلاكله</v>
          </cell>
          <cell r="BH114" t="str">
            <v>الشقيلاب - موده</v>
          </cell>
          <cell r="BJ114" t="str">
            <v>محمد الامين النعيم</v>
          </cell>
          <cell r="BK114" t="str">
            <v>0908528679</v>
          </cell>
          <cell r="BL114" t="str">
            <v>خالي الطرف</v>
          </cell>
          <cell r="BN114">
            <v>43500</v>
          </cell>
          <cell r="BT114" t="str">
            <v>شهاده ثانويه</v>
          </cell>
          <cell r="BV114">
            <v>39508</v>
          </cell>
          <cell r="BX114" t="str">
            <v>شهاده دورة تدريب</v>
          </cell>
          <cell r="BY114" t="str">
            <v>الشركة السودانية لتوزيع الكهرباء المحدوده</v>
          </cell>
          <cell r="BZ114">
            <v>40442</v>
          </cell>
          <cell r="CQ114" t="str">
            <v>وزارة النقل والطرق والجسور</v>
          </cell>
          <cell r="CR114" t="str">
            <v>فنى كهرباء</v>
          </cell>
          <cell r="CS114">
            <v>38777</v>
          </cell>
          <cell r="CT114">
            <v>39629</v>
          </cell>
          <cell r="EQ114">
            <v>0</v>
          </cell>
          <cell r="FG114" t="str">
            <v>مدير الصيانه الكهربائيه</v>
          </cell>
          <cell r="FH114" t="str">
            <v>ماهر ضيف الله سليمان جابر</v>
          </cell>
          <cell r="FI114" t="str">
            <v>1203-0624-113</v>
          </cell>
        </row>
        <row r="115">
          <cell r="A115">
            <v>114</v>
          </cell>
          <cell r="B115" t="str">
            <v>فتحى عبدالوهاب الطيب محمد</v>
          </cell>
          <cell r="C115" t="str">
            <v>فتحى</v>
          </cell>
          <cell r="D115" t="str">
            <v>عبدالوهاب</v>
          </cell>
          <cell r="E115" t="str">
            <v>الطيب</v>
          </cell>
          <cell r="F115" t="str">
            <v>محمد</v>
          </cell>
          <cell r="G115" t="str">
            <v>المصنع</v>
          </cell>
          <cell r="H115" t="str">
            <v>الانتاج</v>
          </cell>
          <cell r="I115" t="str">
            <v>الصاج والزنك</v>
          </cell>
          <cell r="K115" t="str">
            <v>حداد</v>
          </cell>
          <cell r="L115" t="str">
            <v>مساعد مشغل</v>
          </cell>
          <cell r="M115">
            <v>40817</v>
          </cell>
          <cell r="N115">
            <v>43500</v>
          </cell>
          <cell r="O115">
            <v>7</v>
          </cell>
          <cell r="P115">
            <v>4</v>
          </cell>
          <cell r="R115">
            <v>220</v>
          </cell>
          <cell r="Z115">
            <v>25569</v>
          </cell>
          <cell r="AG115">
            <v>9</v>
          </cell>
          <cell r="AH115">
            <v>1</v>
          </cell>
          <cell r="AI115" t="str">
            <v>تسنين</v>
          </cell>
          <cell r="AJ115" t="str">
            <v>125353</v>
          </cell>
          <cell r="AK115">
            <v>3</v>
          </cell>
          <cell r="AL115">
            <v>5</v>
          </cell>
          <cell r="AM115">
            <v>3</v>
          </cell>
          <cell r="AN115">
            <v>5</v>
          </cell>
          <cell r="AO115">
            <v>2</v>
          </cell>
          <cell r="AP115">
            <v>1</v>
          </cell>
          <cell r="AS115">
            <v>43500</v>
          </cell>
          <cell r="AT115">
            <v>49</v>
          </cell>
          <cell r="AU115" t="str">
            <v>جنسيه</v>
          </cell>
          <cell r="AV115" t="str">
            <v>784645</v>
          </cell>
          <cell r="AW115">
            <v>5</v>
          </cell>
          <cell r="AX115">
            <v>4</v>
          </cell>
          <cell r="AY115">
            <v>6</v>
          </cell>
          <cell r="AZ115">
            <v>4</v>
          </cell>
          <cell r="BA115">
            <v>8</v>
          </cell>
          <cell r="BB115">
            <v>7</v>
          </cell>
          <cell r="BF115" t="str">
            <v>العاجبه عبدالمجيد محمد</v>
          </cell>
          <cell r="BG115" t="str">
            <v>العربى</v>
          </cell>
          <cell r="BH115" t="str">
            <v>بترى</v>
          </cell>
          <cell r="BI115" t="str">
            <v>0915628264</v>
          </cell>
          <cell r="BJ115" t="str">
            <v>عوض الكريم حامد</v>
          </cell>
          <cell r="BK115" t="str">
            <v>0912230513</v>
          </cell>
          <cell r="BN115">
            <v>43500</v>
          </cell>
          <cell r="CQ115" t="str">
            <v>الشركة السعودية السودانية للصناعات المعدنية</v>
          </cell>
          <cell r="CR115" t="str">
            <v>اللحام والتوضيب</v>
          </cell>
          <cell r="CS115">
            <v>35855</v>
          </cell>
          <cell r="CT115">
            <v>37956</v>
          </cell>
          <cell r="EQ115">
            <v>0</v>
          </cell>
          <cell r="ER115">
            <v>135</v>
          </cell>
          <cell r="FG115" t="str">
            <v xml:space="preserve"> مدير الانتاج</v>
          </cell>
          <cell r="FH115" t="str">
            <v>هشام عيسى محمد عبدالكريم</v>
          </cell>
          <cell r="FI115">
            <v>0</v>
          </cell>
        </row>
        <row r="116">
          <cell r="A116">
            <v>115</v>
          </cell>
          <cell r="O116">
            <v>0</v>
          </cell>
          <cell r="P116">
            <v>0</v>
          </cell>
          <cell r="R116">
            <v>0</v>
          </cell>
          <cell r="T116" t="str">
            <v>m</v>
          </cell>
          <cell r="AG116">
            <v>9</v>
          </cell>
          <cell r="AH116">
            <v>1</v>
          </cell>
          <cell r="AS116">
            <v>43500</v>
          </cell>
          <cell r="AT116">
            <v>119</v>
          </cell>
          <cell r="BN116">
            <v>43500</v>
          </cell>
          <cell r="EQ116">
            <v>0</v>
          </cell>
          <cell r="FG116" t="e">
            <v>#N/A</v>
          </cell>
          <cell r="FH116" t="e">
            <v>#N/A</v>
          </cell>
          <cell r="FI116">
            <v>0</v>
          </cell>
        </row>
        <row r="117">
          <cell r="A117">
            <v>116</v>
          </cell>
          <cell r="O117">
            <v>0</v>
          </cell>
          <cell r="P117">
            <v>0</v>
          </cell>
          <cell r="R117">
            <v>0</v>
          </cell>
          <cell r="T117" t="str">
            <v>m</v>
          </cell>
          <cell r="AG117">
            <v>9</v>
          </cell>
          <cell r="AH117">
            <v>1</v>
          </cell>
          <cell r="AS117">
            <v>43500</v>
          </cell>
          <cell r="AT117">
            <v>119</v>
          </cell>
          <cell r="BN117">
            <v>43500</v>
          </cell>
          <cell r="EQ117">
            <v>0</v>
          </cell>
          <cell r="FG117" t="e">
            <v>#N/A</v>
          </cell>
          <cell r="FH117" t="e">
            <v>#N/A</v>
          </cell>
          <cell r="FI117">
            <v>0</v>
          </cell>
        </row>
        <row r="118">
          <cell r="A118">
            <v>117</v>
          </cell>
          <cell r="O118">
            <v>0</v>
          </cell>
          <cell r="P118">
            <v>0</v>
          </cell>
          <cell r="R118">
            <v>0</v>
          </cell>
          <cell r="T118" t="str">
            <v>m</v>
          </cell>
          <cell r="AG118">
            <v>9</v>
          </cell>
          <cell r="AH118">
            <v>1</v>
          </cell>
          <cell r="AS118">
            <v>43500</v>
          </cell>
          <cell r="AT118">
            <v>119</v>
          </cell>
          <cell r="BN118">
            <v>43500</v>
          </cell>
          <cell r="EQ118">
            <v>0</v>
          </cell>
          <cell r="FG118" t="e">
            <v>#N/A</v>
          </cell>
          <cell r="FH118" t="e">
            <v>#N/A</v>
          </cell>
          <cell r="FI118">
            <v>0</v>
          </cell>
        </row>
        <row r="119">
          <cell r="A119">
            <v>118</v>
          </cell>
          <cell r="O119">
            <v>0</v>
          </cell>
          <cell r="P119">
            <v>0</v>
          </cell>
          <cell r="R119">
            <v>0</v>
          </cell>
          <cell r="T119" t="str">
            <v>m</v>
          </cell>
          <cell r="AG119">
            <v>9</v>
          </cell>
          <cell r="AH119">
            <v>1</v>
          </cell>
          <cell r="AS119">
            <v>43500</v>
          </cell>
          <cell r="AT119">
            <v>119</v>
          </cell>
          <cell r="BN119">
            <v>43500</v>
          </cell>
          <cell r="EQ119">
            <v>0</v>
          </cell>
          <cell r="FG119" t="e">
            <v>#N/A</v>
          </cell>
          <cell r="FH119" t="e">
            <v>#N/A</v>
          </cell>
          <cell r="FI119">
            <v>0</v>
          </cell>
        </row>
        <row r="120">
          <cell r="A120">
            <v>119</v>
          </cell>
          <cell r="O120">
            <v>0</v>
          </cell>
          <cell r="P120">
            <v>0</v>
          </cell>
          <cell r="R120">
            <v>0</v>
          </cell>
          <cell r="T120" t="str">
            <v>m</v>
          </cell>
          <cell r="AG120">
            <v>9</v>
          </cell>
          <cell r="AH120">
            <v>1</v>
          </cell>
          <cell r="AS120">
            <v>43500</v>
          </cell>
          <cell r="AT120">
            <v>119</v>
          </cell>
          <cell r="BN120">
            <v>43500</v>
          </cell>
          <cell r="EQ120">
            <v>0</v>
          </cell>
          <cell r="FG120" t="e">
            <v>#N/A</v>
          </cell>
          <cell r="FH120" t="e">
            <v>#N/A</v>
          </cell>
          <cell r="FI120">
            <v>0</v>
          </cell>
        </row>
        <row r="121">
          <cell r="A121">
            <v>120</v>
          </cell>
          <cell r="B121" t="str">
            <v>عبدالكريم عبدالله عبدالكريم</v>
          </cell>
          <cell r="G121" t="str">
            <v>المصنع</v>
          </cell>
          <cell r="H121" t="str">
            <v>الانتاج</v>
          </cell>
          <cell r="L121" t="str">
            <v>فني كهرباء</v>
          </cell>
          <cell r="O121">
            <v>0</v>
          </cell>
          <cell r="P121">
            <v>0</v>
          </cell>
          <cell r="R121">
            <v>0</v>
          </cell>
          <cell r="T121" t="str">
            <v>m</v>
          </cell>
          <cell r="Z121">
            <v>24246</v>
          </cell>
          <cell r="AG121">
            <v>9</v>
          </cell>
          <cell r="AH121">
            <v>1</v>
          </cell>
          <cell r="AI121" t="str">
            <v>ميلاد</v>
          </cell>
          <cell r="AJ121">
            <v>497601</v>
          </cell>
          <cell r="AK121">
            <v>1</v>
          </cell>
          <cell r="AL121">
            <v>0</v>
          </cell>
          <cell r="AM121">
            <v>6</v>
          </cell>
          <cell r="AN121">
            <v>7</v>
          </cell>
          <cell r="AO121">
            <v>9</v>
          </cell>
          <cell r="AP121">
            <v>4</v>
          </cell>
          <cell r="AS121">
            <v>43500</v>
          </cell>
          <cell r="AT121">
            <v>52</v>
          </cell>
          <cell r="AU121" t="str">
            <v>جنسيه</v>
          </cell>
          <cell r="AV121" t="str">
            <v>63846</v>
          </cell>
          <cell r="AW121">
            <v>6</v>
          </cell>
          <cell r="AX121">
            <v>4</v>
          </cell>
          <cell r="AY121">
            <v>8</v>
          </cell>
          <cell r="AZ121">
            <v>3</v>
          </cell>
          <cell r="BA121">
            <v>6</v>
          </cell>
          <cell r="BF121" t="str">
            <v>هانم إبراهيم</v>
          </cell>
          <cell r="BN121">
            <v>43500</v>
          </cell>
          <cell r="EQ121">
            <v>0</v>
          </cell>
          <cell r="FG121" t="str">
            <v xml:space="preserve"> مدير الانتاج</v>
          </cell>
          <cell r="FH121" t="str">
            <v>هشام عيسى محمد عبدالكريم</v>
          </cell>
          <cell r="FI121">
            <v>0</v>
          </cell>
        </row>
        <row r="122">
          <cell r="A122">
            <v>121</v>
          </cell>
          <cell r="O122">
            <v>0</v>
          </cell>
          <cell r="P122">
            <v>0</v>
          </cell>
          <cell r="R122">
            <v>0</v>
          </cell>
          <cell r="T122" t="str">
            <v>m</v>
          </cell>
          <cell r="AG122">
            <v>9</v>
          </cell>
          <cell r="AH122">
            <v>1</v>
          </cell>
          <cell r="AS122">
            <v>43500</v>
          </cell>
          <cell r="AT122">
            <v>119</v>
          </cell>
          <cell r="BN122">
            <v>43500</v>
          </cell>
          <cell r="EQ122">
            <v>0</v>
          </cell>
          <cell r="FG122" t="e">
            <v>#N/A</v>
          </cell>
          <cell r="FH122" t="e">
            <v>#N/A</v>
          </cell>
          <cell r="FI122">
            <v>0</v>
          </cell>
        </row>
        <row r="123">
          <cell r="A123">
            <v>122</v>
          </cell>
          <cell r="O123">
            <v>0</v>
          </cell>
          <cell r="P123">
            <v>0</v>
          </cell>
          <cell r="R123">
            <v>0</v>
          </cell>
          <cell r="T123" t="str">
            <v>m</v>
          </cell>
          <cell r="AG123">
            <v>9</v>
          </cell>
          <cell r="AH123">
            <v>1</v>
          </cell>
          <cell r="AS123">
            <v>43500</v>
          </cell>
          <cell r="AT123">
            <v>119</v>
          </cell>
          <cell r="BN123">
            <v>43500</v>
          </cell>
          <cell r="EQ123">
            <v>0</v>
          </cell>
          <cell r="FG123" t="e">
            <v>#N/A</v>
          </cell>
          <cell r="FH123" t="e">
            <v>#N/A</v>
          </cell>
          <cell r="FI123">
            <v>0</v>
          </cell>
        </row>
        <row r="124">
          <cell r="A124">
            <v>123</v>
          </cell>
          <cell r="O124">
            <v>0</v>
          </cell>
          <cell r="P124">
            <v>0</v>
          </cell>
          <cell r="R124">
            <v>0</v>
          </cell>
          <cell r="T124" t="str">
            <v>m</v>
          </cell>
          <cell r="AG124">
            <v>9</v>
          </cell>
          <cell r="AH124">
            <v>1</v>
          </cell>
          <cell r="AS124">
            <v>43500</v>
          </cell>
          <cell r="AT124">
            <v>119</v>
          </cell>
          <cell r="BN124">
            <v>43500</v>
          </cell>
          <cell r="EQ124">
            <v>0</v>
          </cell>
          <cell r="FG124" t="e">
            <v>#N/A</v>
          </cell>
          <cell r="FH124" t="e">
            <v>#N/A</v>
          </cell>
          <cell r="FI124">
            <v>0</v>
          </cell>
        </row>
        <row r="125">
          <cell r="A125">
            <v>124</v>
          </cell>
          <cell r="O125">
            <v>0</v>
          </cell>
          <cell r="P125">
            <v>0</v>
          </cell>
          <cell r="R125">
            <v>0</v>
          </cell>
          <cell r="T125" t="str">
            <v>m</v>
          </cell>
          <cell r="AG125">
            <v>9</v>
          </cell>
          <cell r="AH125">
            <v>1</v>
          </cell>
          <cell r="AS125">
            <v>43500</v>
          </cell>
          <cell r="AT125">
            <v>119</v>
          </cell>
          <cell r="BN125">
            <v>43500</v>
          </cell>
          <cell r="EQ125">
            <v>0</v>
          </cell>
          <cell r="FG125" t="e">
            <v>#N/A</v>
          </cell>
          <cell r="FH125" t="e">
            <v>#N/A</v>
          </cell>
          <cell r="FI125">
            <v>0</v>
          </cell>
        </row>
        <row r="126">
          <cell r="A126">
            <v>125</v>
          </cell>
          <cell r="B126" t="str">
            <v>هشام بشري محمد احمد</v>
          </cell>
          <cell r="C126" t="str">
            <v>هشام</v>
          </cell>
          <cell r="D126" t="str">
            <v>بشري</v>
          </cell>
          <cell r="E126" t="str">
            <v>محمد</v>
          </cell>
          <cell r="F126" t="str">
            <v>احمد</v>
          </cell>
          <cell r="G126" t="str">
            <v>المصنع</v>
          </cell>
          <cell r="H126" t="str">
            <v>الانتاج</v>
          </cell>
          <cell r="K126" t="str">
            <v>عامل</v>
          </cell>
          <cell r="L126" t="str">
            <v>عامل</v>
          </cell>
          <cell r="M126">
            <v>43359</v>
          </cell>
          <cell r="O126" t="e">
            <v>#NUM!</v>
          </cell>
          <cell r="P126" t="e">
            <v>#NUM!</v>
          </cell>
          <cell r="R126" t="e">
            <v>#NUM!</v>
          </cell>
          <cell r="Z126">
            <v>27395</v>
          </cell>
          <cell r="AI126" t="str">
            <v>تسنين</v>
          </cell>
          <cell r="AJ126" t="str">
            <v>24233199</v>
          </cell>
          <cell r="AK126">
            <v>9</v>
          </cell>
          <cell r="AL126">
            <v>9</v>
          </cell>
          <cell r="AM126">
            <v>1</v>
          </cell>
          <cell r="AN126">
            <v>3</v>
          </cell>
          <cell r="AO126">
            <v>3</v>
          </cell>
          <cell r="AP126">
            <v>2</v>
          </cell>
          <cell r="AQ126">
            <v>4</v>
          </cell>
          <cell r="AR126">
            <v>2</v>
          </cell>
          <cell r="AS126">
            <v>43500</v>
          </cell>
          <cell r="AT126">
            <v>44</v>
          </cell>
          <cell r="AU126" t="str">
            <v>جنسيه</v>
          </cell>
          <cell r="AV126" t="str">
            <v>068605</v>
          </cell>
          <cell r="AW126">
            <v>5</v>
          </cell>
          <cell r="AX126">
            <v>0</v>
          </cell>
          <cell r="AY126">
            <v>6</v>
          </cell>
          <cell r="AZ126">
            <v>8</v>
          </cell>
          <cell r="BA126">
            <v>6</v>
          </cell>
          <cell r="BE126" t="str">
            <v>101-0146193-9</v>
          </cell>
          <cell r="BF126" t="str">
            <v>قمر محمد على</v>
          </cell>
          <cell r="BG126" t="str">
            <v>بحرى</v>
          </cell>
          <cell r="BH126" t="str">
            <v>الحاج يوسف - الشقله</v>
          </cell>
          <cell r="BI126" t="str">
            <v>0118702685</v>
          </cell>
          <cell r="BJ126" t="str">
            <v>ماجد بشير محمد</v>
          </cell>
          <cell r="BL126" t="str">
            <v>خالي الطرف</v>
          </cell>
          <cell r="BN126">
            <v>43500</v>
          </cell>
          <cell r="BS126" t="str">
            <v>المحاسبة</v>
          </cell>
          <cell r="BT126" t="str">
            <v>بكلاريوس</v>
          </cell>
          <cell r="BU126" t="str">
            <v>كلية الخرطوم التقنية</v>
          </cell>
          <cell r="BV126">
            <v>37196</v>
          </cell>
          <cell r="CQ126" t="str">
            <v>شركة ذات العماد للصناعه المحدوده</v>
          </cell>
          <cell r="CR126" t="str">
            <v>مشغل كرين</v>
          </cell>
          <cell r="CS126">
            <v>40918</v>
          </cell>
          <cell r="CT126">
            <v>41462</v>
          </cell>
          <cell r="EQ126">
            <v>0</v>
          </cell>
          <cell r="FG126" t="str">
            <v xml:space="preserve"> مدير الانتاج</v>
          </cell>
          <cell r="FH126" t="str">
            <v>هشام عيسى محمد عبدالكريم</v>
          </cell>
          <cell r="FI126" t="str">
            <v>101-0146193-9</v>
          </cell>
        </row>
        <row r="127">
          <cell r="A127">
            <v>126</v>
          </cell>
          <cell r="O127">
            <v>0</v>
          </cell>
          <cell r="P127">
            <v>0</v>
          </cell>
          <cell r="R127">
            <v>0</v>
          </cell>
          <cell r="T127" t="str">
            <v>m</v>
          </cell>
          <cell r="AG127">
            <v>9</v>
          </cell>
          <cell r="AH127">
            <v>1</v>
          </cell>
          <cell r="AS127">
            <v>43500</v>
          </cell>
          <cell r="AT127">
            <v>119</v>
          </cell>
          <cell r="BN127">
            <v>43500</v>
          </cell>
          <cell r="EQ127">
            <v>0</v>
          </cell>
          <cell r="FG127" t="e">
            <v>#N/A</v>
          </cell>
          <cell r="FH127" t="e">
            <v>#N/A</v>
          </cell>
          <cell r="FI127">
            <v>0</v>
          </cell>
        </row>
        <row r="128">
          <cell r="A128">
            <v>127</v>
          </cell>
          <cell r="B128" t="str">
            <v>الامين صباح الخير محمد احمد</v>
          </cell>
          <cell r="C128" t="str">
            <v>الامين</v>
          </cell>
          <cell r="D128" t="str">
            <v>صباح الخير</v>
          </cell>
          <cell r="E128" t="str">
            <v>محمد</v>
          </cell>
          <cell r="F128" t="str">
            <v>احمد</v>
          </cell>
          <cell r="G128" t="str">
            <v>المصنع</v>
          </cell>
          <cell r="H128" t="str">
            <v>الانتاج</v>
          </cell>
          <cell r="I128" t="str">
            <v>المواسير</v>
          </cell>
          <cell r="K128" t="str">
            <v>عامل</v>
          </cell>
          <cell r="L128" t="str">
            <v>مشغل</v>
          </cell>
          <cell r="M128">
            <v>40919</v>
          </cell>
          <cell r="N128">
            <v>43500</v>
          </cell>
          <cell r="O128">
            <v>7</v>
          </cell>
          <cell r="P128">
            <v>0</v>
          </cell>
          <cell r="R128">
            <v>210</v>
          </cell>
          <cell r="Z128">
            <v>29042</v>
          </cell>
          <cell r="AG128">
            <v>9</v>
          </cell>
          <cell r="AH128">
            <v>1</v>
          </cell>
          <cell r="AI128" t="str">
            <v>ميلاد</v>
          </cell>
          <cell r="AJ128" t="str">
            <v>370783</v>
          </cell>
          <cell r="AK128">
            <v>3</v>
          </cell>
          <cell r="AL128">
            <v>8</v>
          </cell>
          <cell r="AM128">
            <v>7</v>
          </cell>
          <cell r="AN128">
            <v>0</v>
          </cell>
          <cell r="AO128">
            <v>7</v>
          </cell>
          <cell r="AP128">
            <v>3</v>
          </cell>
          <cell r="AS128">
            <v>43500</v>
          </cell>
          <cell r="AT128">
            <v>39</v>
          </cell>
          <cell r="AU128" t="str">
            <v>جنسيه</v>
          </cell>
          <cell r="AV128" t="str">
            <v>0130460</v>
          </cell>
          <cell r="AW128">
            <v>0</v>
          </cell>
          <cell r="AX128">
            <v>6</v>
          </cell>
          <cell r="AY128">
            <v>4</v>
          </cell>
          <cell r="AZ128">
            <v>0</v>
          </cell>
          <cell r="BA128">
            <v>3</v>
          </cell>
          <cell r="BB128">
            <v>1</v>
          </cell>
          <cell r="BC128">
            <v>0</v>
          </cell>
          <cell r="BE128" t="str">
            <v>120-3421885-0</v>
          </cell>
          <cell r="BF128" t="str">
            <v>التومه الفضل محمد</v>
          </cell>
          <cell r="BG128" t="str">
            <v>بحرى</v>
          </cell>
          <cell r="BH128" t="str">
            <v>بحرى - السامراب - اماسينا</v>
          </cell>
          <cell r="BI128" t="str">
            <v>0913898366</v>
          </cell>
          <cell r="BJ128" t="str">
            <v>امام صباح الخير</v>
          </cell>
          <cell r="BK128" t="str">
            <v>0915425026</v>
          </cell>
          <cell r="BL128" t="str">
            <v>خالي الطرف</v>
          </cell>
          <cell r="BN128">
            <v>43500</v>
          </cell>
          <cell r="CQ128" t="str">
            <v>وزارة الزراعة والثروه الحيوانية</v>
          </cell>
          <cell r="CR128" t="str">
            <v>زيات اليات ثقيلة</v>
          </cell>
          <cell r="CS128">
            <v>37622</v>
          </cell>
          <cell r="CT128">
            <v>39083</v>
          </cell>
          <cell r="EM128">
            <v>30</v>
          </cell>
          <cell r="EQ128">
            <v>30</v>
          </cell>
          <cell r="ER128">
            <v>99</v>
          </cell>
          <cell r="FG128" t="str">
            <v xml:space="preserve"> مدير الانتاج</v>
          </cell>
          <cell r="FH128" t="str">
            <v>هشام عيسى محمد عبدالكريم</v>
          </cell>
          <cell r="FI128" t="str">
            <v>120-3421885-0</v>
          </cell>
        </row>
        <row r="129">
          <cell r="A129">
            <v>128</v>
          </cell>
          <cell r="B129" t="str">
            <v>عثمان سليمان محمد احمد</v>
          </cell>
          <cell r="C129" t="str">
            <v>عثمان</v>
          </cell>
          <cell r="D129" t="str">
            <v>سليمان</v>
          </cell>
          <cell r="E129" t="str">
            <v>محمد</v>
          </cell>
          <cell r="F129" t="str">
            <v>احمد</v>
          </cell>
          <cell r="G129" t="str">
            <v>المصنع</v>
          </cell>
          <cell r="H129" t="str">
            <v>الانتاج</v>
          </cell>
          <cell r="I129" t="str">
            <v>الصاج والزنك</v>
          </cell>
          <cell r="K129" t="str">
            <v>عامل</v>
          </cell>
          <cell r="L129" t="str">
            <v>مشغل</v>
          </cell>
          <cell r="M129">
            <v>40919</v>
          </cell>
          <cell r="N129">
            <v>43500</v>
          </cell>
          <cell r="O129">
            <v>7</v>
          </cell>
          <cell r="P129">
            <v>0</v>
          </cell>
          <cell r="R129">
            <v>210</v>
          </cell>
          <cell r="Z129">
            <v>21951</v>
          </cell>
          <cell r="AG129">
            <v>9</v>
          </cell>
          <cell r="AH129">
            <v>1</v>
          </cell>
          <cell r="AI129" t="str">
            <v>ميلاد</v>
          </cell>
          <cell r="AJ129" t="str">
            <v>102070</v>
          </cell>
          <cell r="AK129">
            <v>0</v>
          </cell>
          <cell r="AL129">
            <v>7</v>
          </cell>
          <cell r="AM129">
            <v>0</v>
          </cell>
          <cell r="AN129">
            <v>2</v>
          </cell>
          <cell r="AO129">
            <v>0</v>
          </cell>
          <cell r="AP129">
            <v>1</v>
          </cell>
          <cell r="AS129">
            <v>43500</v>
          </cell>
          <cell r="AT129">
            <v>58</v>
          </cell>
          <cell r="AU129" t="str">
            <v>جنسيه</v>
          </cell>
          <cell r="AV129" t="str">
            <v>546675</v>
          </cell>
          <cell r="AW129">
            <v>5</v>
          </cell>
          <cell r="AX129">
            <v>7</v>
          </cell>
          <cell r="AY129">
            <v>6</v>
          </cell>
          <cell r="AZ129">
            <v>6</v>
          </cell>
          <cell r="BA129">
            <v>4</v>
          </cell>
          <cell r="BB129">
            <v>5</v>
          </cell>
          <cell r="BG129" t="str">
            <v>بحرى</v>
          </cell>
          <cell r="BH129" t="str">
            <v>الحاج يوسف - الشقله - الردميه</v>
          </cell>
          <cell r="BI129" t="str">
            <v>0126873175</v>
          </cell>
          <cell r="BJ129" t="str">
            <v>محمد عثمان</v>
          </cell>
          <cell r="BK129" t="str">
            <v>0129376693</v>
          </cell>
          <cell r="BL129" t="str">
            <v>كبار سن</v>
          </cell>
          <cell r="BN129">
            <v>43500</v>
          </cell>
          <cell r="BT129" t="str">
            <v>تدريب مهني</v>
          </cell>
          <cell r="BU129" t="str">
            <v>كلية الدراسات الاضافيه</v>
          </cell>
          <cell r="BV129">
            <v>29901</v>
          </cell>
          <cell r="CQ129" t="str">
            <v>مسبك البيان التقنى</v>
          </cell>
          <cell r="CR129" t="str">
            <v>فنى ماكينة نظافة</v>
          </cell>
          <cell r="CS129">
            <v>38749</v>
          </cell>
          <cell r="CT129">
            <v>40064</v>
          </cell>
          <cell r="CV129" t="str">
            <v>مسبك البيان التقنى</v>
          </cell>
          <cell r="CW129" t="str">
            <v>عامل مخزن</v>
          </cell>
          <cell r="CX129">
            <v>40065</v>
          </cell>
          <cell r="CY129">
            <v>40744</v>
          </cell>
          <cell r="EM129">
            <v>30</v>
          </cell>
          <cell r="EQ129">
            <v>30</v>
          </cell>
          <cell r="ER129">
            <v>113</v>
          </cell>
          <cell r="FG129" t="str">
            <v xml:space="preserve"> مدير الانتاج</v>
          </cell>
          <cell r="FH129" t="str">
            <v>هشام عيسى محمد عبدالكريم</v>
          </cell>
          <cell r="FI129">
            <v>0</v>
          </cell>
        </row>
        <row r="130">
          <cell r="A130">
            <v>129</v>
          </cell>
          <cell r="B130" t="str">
            <v>قريب الله صلاح على إبراهيم</v>
          </cell>
          <cell r="C130" t="str">
            <v>قريب الله</v>
          </cell>
          <cell r="D130" t="str">
            <v>صلاح</v>
          </cell>
          <cell r="E130" t="str">
            <v>على</v>
          </cell>
          <cell r="F130" t="str">
            <v>ابراهيم</v>
          </cell>
          <cell r="G130" t="str">
            <v>المصنع</v>
          </cell>
          <cell r="H130" t="str">
            <v>الانتاج</v>
          </cell>
          <cell r="M130">
            <v>42948</v>
          </cell>
          <cell r="N130">
            <v>43030</v>
          </cell>
          <cell r="O130">
            <v>0</v>
          </cell>
          <cell r="P130">
            <v>2</v>
          </cell>
          <cell r="R130">
            <v>5</v>
          </cell>
          <cell r="T130" t="str">
            <v>m</v>
          </cell>
          <cell r="X130">
            <v>40924</v>
          </cell>
          <cell r="Z130">
            <v>30317</v>
          </cell>
          <cell r="AI130" t="str">
            <v>تسنين</v>
          </cell>
          <cell r="AJ130">
            <v>1365071</v>
          </cell>
          <cell r="AK130">
            <v>1</v>
          </cell>
          <cell r="AL130">
            <v>7</v>
          </cell>
          <cell r="AM130">
            <v>0</v>
          </cell>
          <cell r="AN130">
            <v>5</v>
          </cell>
          <cell r="AO130">
            <v>6</v>
          </cell>
          <cell r="AP130">
            <v>3</v>
          </cell>
          <cell r="AQ130">
            <v>1</v>
          </cell>
          <cell r="AS130">
            <v>43500</v>
          </cell>
          <cell r="AT130">
            <v>36</v>
          </cell>
          <cell r="AU130" t="str">
            <v>جنسيه</v>
          </cell>
          <cell r="AV130" t="str">
            <v>0850857</v>
          </cell>
          <cell r="AW130">
            <v>7</v>
          </cell>
          <cell r="AX130">
            <v>5</v>
          </cell>
          <cell r="AY130">
            <v>8</v>
          </cell>
          <cell r="AZ130">
            <v>0</v>
          </cell>
          <cell r="BA130">
            <v>5</v>
          </cell>
          <cell r="BB130">
            <v>8</v>
          </cell>
          <cell r="BC130">
            <v>0</v>
          </cell>
          <cell r="BE130" t="str">
            <v>178-8945861-2</v>
          </cell>
          <cell r="BF130" t="str">
            <v>سميره التوم حسن</v>
          </cell>
          <cell r="BG130" t="str">
            <v>الجزيره</v>
          </cell>
          <cell r="BH130" t="str">
            <v>الجزيره - المسيد - الهبيكة</v>
          </cell>
          <cell r="BI130" t="str">
            <v>0901342007</v>
          </cell>
          <cell r="BJ130" t="str">
            <v>محمد صلاح على</v>
          </cell>
          <cell r="BK130" t="str">
            <v>0918871279</v>
          </cell>
          <cell r="BL130" t="str">
            <v>خالي الطرف</v>
          </cell>
          <cell r="BN130">
            <v>43500</v>
          </cell>
          <cell r="BS130" t="str">
            <v>محاسبة</v>
          </cell>
          <cell r="BT130" t="str">
            <v>بكلاريوس</v>
          </cell>
          <cell r="BU130" t="str">
            <v xml:space="preserve">جامعة وادى النيل </v>
          </cell>
          <cell r="BV130">
            <v>40630</v>
          </cell>
          <cell r="CQ130" t="str">
            <v>بنك الشمال الاسلامى</v>
          </cell>
          <cell r="CR130" t="str">
            <v>متدرب</v>
          </cell>
          <cell r="CS130">
            <v>40616</v>
          </cell>
          <cell r="CT130">
            <v>40646</v>
          </cell>
          <cell r="EQ130">
            <v>0</v>
          </cell>
          <cell r="FG130" t="str">
            <v xml:space="preserve"> مدير الانتاج</v>
          </cell>
          <cell r="FH130" t="str">
            <v>هشام عيسى محمد عبدالكريم</v>
          </cell>
          <cell r="FI130" t="str">
            <v>178-8945861-2</v>
          </cell>
        </row>
        <row r="131">
          <cell r="A131">
            <v>130</v>
          </cell>
          <cell r="B131" t="str">
            <v>الامين الحاج محمد الطيب</v>
          </cell>
          <cell r="C131" t="str">
            <v>الامين</v>
          </cell>
          <cell r="D131" t="str">
            <v>الحاج</v>
          </cell>
          <cell r="E131" t="str">
            <v>محمد</v>
          </cell>
          <cell r="F131" t="str">
            <v>الطيب</v>
          </cell>
          <cell r="G131" t="str">
            <v>المصنع</v>
          </cell>
          <cell r="H131" t="str">
            <v>المستودعات</v>
          </cell>
          <cell r="K131" t="str">
            <v>امين مستودع</v>
          </cell>
          <cell r="L131" t="str">
            <v>امين مستودع ق غ</v>
          </cell>
          <cell r="M131">
            <v>43041</v>
          </cell>
          <cell r="N131">
            <v>43500</v>
          </cell>
          <cell r="O131">
            <v>1</v>
          </cell>
          <cell r="P131">
            <v>3</v>
          </cell>
          <cell r="R131">
            <v>37.5</v>
          </cell>
          <cell r="Z131">
            <v>30682</v>
          </cell>
          <cell r="AI131" t="str">
            <v>تسنين</v>
          </cell>
          <cell r="AJ131" t="str">
            <v>893242</v>
          </cell>
          <cell r="AK131">
            <v>2</v>
          </cell>
          <cell r="AL131">
            <v>4</v>
          </cell>
          <cell r="AM131">
            <v>2</v>
          </cell>
          <cell r="AN131">
            <v>3</v>
          </cell>
          <cell r="AO131">
            <v>9</v>
          </cell>
          <cell r="AP131">
            <v>8</v>
          </cell>
          <cell r="AS131">
            <v>43500</v>
          </cell>
          <cell r="AT131">
            <v>35</v>
          </cell>
          <cell r="AU131" t="str">
            <v>جواز سفر</v>
          </cell>
          <cell r="AV131" t="str">
            <v>01436981</v>
          </cell>
          <cell r="AW131">
            <v>1</v>
          </cell>
          <cell r="AX131">
            <v>8</v>
          </cell>
          <cell r="AY131">
            <v>9</v>
          </cell>
          <cell r="AZ131">
            <v>6</v>
          </cell>
          <cell r="BA131">
            <v>3</v>
          </cell>
          <cell r="BB131">
            <v>4</v>
          </cell>
          <cell r="BC131">
            <v>1</v>
          </cell>
          <cell r="BD131">
            <v>0</v>
          </cell>
          <cell r="BE131" t="str">
            <v>120-9337294-7</v>
          </cell>
          <cell r="BF131" t="str">
            <v>عائشه الحاج الطيب</v>
          </cell>
          <cell r="BG131" t="str">
            <v>الجزيره</v>
          </cell>
          <cell r="BH131" t="str">
            <v>الجزيرة - المسعودية</v>
          </cell>
          <cell r="BI131" t="str">
            <v>0992263994</v>
          </cell>
          <cell r="BJ131" t="str">
            <v>الحاج محمد الطيب</v>
          </cell>
          <cell r="BK131" t="str">
            <v>0128886955</v>
          </cell>
          <cell r="BL131" t="str">
            <v>خالي الطرف</v>
          </cell>
          <cell r="BN131">
            <v>43500</v>
          </cell>
          <cell r="BS131" t="str">
            <v>هندسة تصنيع غذائى</v>
          </cell>
          <cell r="BT131" t="str">
            <v>بكلاريوس الشرف</v>
          </cell>
          <cell r="BU131" t="str">
            <v>جامعة الامام المهدى</v>
          </cell>
          <cell r="BV131">
            <v>39812</v>
          </cell>
          <cell r="CQ131" t="str">
            <v>الهيئه السودانية للمواصفات والمقاييس</v>
          </cell>
          <cell r="CR131" t="str">
            <v>خدمه وطنيه</v>
          </cell>
          <cell r="CS131">
            <v>39839</v>
          </cell>
          <cell r="EQ131">
            <v>0</v>
          </cell>
          <cell r="FG131" t="str">
            <v>مدير المستودعات</v>
          </cell>
          <cell r="FH131" t="str">
            <v>على احمد على بابكر</v>
          </cell>
          <cell r="FI131" t="str">
            <v>120-9337294-7</v>
          </cell>
        </row>
        <row r="132">
          <cell r="A132">
            <v>131</v>
          </cell>
          <cell r="O132">
            <v>0</v>
          </cell>
          <cell r="P132">
            <v>0</v>
          </cell>
          <cell r="R132">
            <v>0</v>
          </cell>
          <cell r="T132" t="str">
            <v>m</v>
          </cell>
          <cell r="AG132">
            <v>9</v>
          </cell>
          <cell r="AH132">
            <v>1</v>
          </cell>
          <cell r="AS132">
            <v>43500</v>
          </cell>
          <cell r="AT132">
            <v>119</v>
          </cell>
          <cell r="BN132">
            <v>43500</v>
          </cell>
          <cell r="EQ132">
            <v>0</v>
          </cell>
          <cell r="FG132" t="e">
            <v>#N/A</v>
          </cell>
          <cell r="FH132" t="e">
            <v>#N/A</v>
          </cell>
          <cell r="FI132">
            <v>0</v>
          </cell>
        </row>
        <row r="133">
          <cell r="A133">
            <v>132</v>
          </cell>
          <cell r="O133">
            <v>0</v>
          </cell>
          <cell r="P133">
            <v>0</v>
          </cell>
          <cell r="R133">
            <v>0</v>
          </cell>
          <cell r="T133" t="str">
            <v>m</v>
          </cell>
          <cell r="AG133">
            <v>9</v>
          </cell>
          <cell r="AH133">
            <v>1</v>
          </cell>
          <cell r="AS133">
            <v>43500</v>
          </cell>
          <cell r="AT133">
            <v>119</v>
          </cell>
          <cell r="BN133">
            <v>43500</v>
          </cell>
          <cell r="EQ133">
            <v>0</v>
          </cell>
          <cell r="FG133" t="e">
            <v>#N/A</v>
          </cell>
          <cell r="FH133" t="e">
            <v>#N/A</v>
          </cell>
          <cell r="FI133">
            <v>0</v>
          </cell>
        </row>
        <row r="134">
          <cell r="A134">
            <v>133</v>
          </cell>
          <cell r="O134">
            <v>0</v>
          </cell>
          <cell r="P134">
            <v>0</v>
          </cell>
          <cell r="R134">
            <v>0</v>
          </cell>
          <cell r="T134" t="str">
            <v>m</v>
          </cell>
          <cell r="AG134">
            <v>9</v>
          </cell>
          <cell r="AH134">
            <v>1</v>
          </cell>
          <cell r="AS134">
            <v>43500</v>
          </cell>
          <cell r="AT134">
            <v>119</v>
          </cell>
          <cell r="BN134">
            <v>43500</v>
          </cell>
          <cell r="EQ134">
            <v>0</v>
          </cell>
          <cell r="FG134" t="e">
            <v>#N/A</v>
          </cell>
          <cell r="FH134" t="e">
            <v>#N/A</v>
          </cell>
          <cell r="FI134">
            <v>0</v>
          </cell>
        </row>
        <row r="135">
          <cell r="A135">
            <v>134</v>
          </cell>
          <cell r="O135">
            <v>0</v>
          </cell>
          <cell r="P135">
            <v>0</v>
          </cell>
          <cell r="R135">
            <v>0</v>
          </cell>
          <cell r="T135" t="str">
            <v>m</v>
          </cell>
          <cell r="AG135">
            <v>9</v>
          </cell>
          <cell r="AH135">
            <v>1</v>
          </cell>
          <cell r="AS135">
            <v>43500</v>
          </cell>
          <cell r="AT135">
            <v>119</v>
          </cell>
          <cell r="BN135">
            <v>43500</v>
          </cell>
          <cell r="EQ135">
            <v>0</v>
          </cell>
          <cell r="FG135" t="e">
            <v>#N/A</v>
          </cell>
          <cell r="FH135" t="e">
            <v>#N/A</v>
          </cell>
          <cell r="FI135">
            <v>0</v>
          </cell>
        </row>
        <row r="136">
          <cell r="A136">
            <v>135</v>
          </cell>
          <cell r="O136">
            <v>0</v>
          </cell>
          <cell r="P136">
            <v>0</v>
          </cell>
          <cell r="R136">
            <v>0</v>
          </cell>
          <cell r="T136" t="str">
            <v>m</v>
          </cell>
          <cell r="AG136">
            <v>9</v>
          </cell>
          <cell r="AH136">
            <v>1</v>
          </cell>
          <cell r="AS136">
            <v>43500</v>
          </cell>
          <cell r="AT136">
            <v>119</v>
          </cell>
          <cell r="BN136">
            <v>43500</v>
          </cell>
          <cell r="EQ136">
            <v>0</v>
          </cell>
          <cell r="FG136" t="e">
            <v>#N/A</v>
          </cell>
          <cell r="FH136" t="e">
            <v>#N/A</v>
          </cell>
          <cell r="FI136">
            <v>0</v>
          </cell>
        </row>
        <row r="137">
          <cell r="A137">
            <v>136</v>
          </cell>
          <cell r="O137">
            <v>0</v>
          </cell>
          <cell r="P137">
            <v>0</v>
          </cell>
          <cell r="R137">
            <v>0</v>
          </cell>
          <cell r="T137" t="str">
            <v>m</v>
          </cell>
          <cell r="AG137">
            <v>9</v>
          </cell>
          <cell r="AH137">
            <v>1</v>
          </cell>
          <cell r="AS137">
            <v>43500</v>
          </cell>
          <cell r="AT137">
            <v>119</v>
          </cell>
          <cell r="BN137">
            <v>43500</v>
          </cell>
          <cell r="EQ137">
            <v>0</v>
          </cell>
          <cell r="FG137" t="e">
            <v>#N/A</v>
          </cell>
          <cell r="FH137" t="e">
            <v>#N/A</v>
          </cell>
          <cell r="FI137">
            <v>0</v>
          </cell>
        </row>
        <row r="138">
          <cell r="A138">
            <v>137</v>
          </cell>
          <cell r="O138">
            <v>0</v>
          </cell>
          <cell r="P138">
            <v>0</v>
          </cell>
          <cell r="R138">
            <v>0</v>
          </cell>
          <cell r="T138" t="str">
            <v>m</v>
          </cell>
          <cell r="AG138">
            <v>9</v>
          </cell>
          <cell r="AH138">
            <v>1</v>
          </cell>
          <cell r="AS138">
            <v>43500</v>
          </cell>
          <cell r="AT138">
            <v>119</v>
          </cell>
          <cell r="BN138">
            <v>43500</v>
          </cell>
          <cell r="EQ138">
            <v>0</v>
          </cell>
          <cell r="FG138" t="e">
            <v>#N/A</v>
          </cell>
          <cell r="FH138" t="e">
            <v>#N/A</v>
          </cell>
          <cell r="FI138">
            <v>0</v>
          </cell>
        </row>
        <row r="139">
          <cell r="A139">
            <v>138</v>
          </cell>
          <cell r="B139" t="str">
            <v>المبارك محمد ابراهيم عبدالله</v>
          </cell>
          <cell r="C139" t="str">
            <v>المبارك</v>
          </cell>
          <cell r="D139" t="str">
            <v>محمد</v>
          </cell>
          <cell r="E139" t="str">
            <v>ابراهيم</v>
          </cell>
          <cell r="F139" t="str">
            <v>عبدالله</v>
          </cell>
          <cell r="G139" t="str">
            <v>المصنع</v>
          </cell>
          <cell r="H139" t="str">
            <v>الجوده</v>
          </cell>
          <cell r="K139" t="str">
            <v>عامل</v>
          </cell>
          <cell r="L139" t="str">
            <v>مسئول قسم الجوده</v>
          </cell>
          <cell r="M139">
            <v>40925</v>
          </cell>
          <cell r="N139">
            <v>43500</v>
          </cell>
          <cell r="O139">
            <v>7</v>
          </cell>
          <cell r="P139">
            <v>0</v>
          </cell>
          <cell r="R139">
            <v>210</v>
          </cell>
          <cell r="Z139">
            <v>29587</v>
          </cell>
          <cell r="AG139">
            <v>9</v>
          </cell>
          <cell r="AH139">
            <v>1</v>
          </cell>
          <cell r="AI139" t="str">
            <v>تسنين</v>
          </cell>
          <cell r="AJ139" t="str">
            <v>034758</v>
          </cell>
          <cell r="AK139">
            <v>8</v>
          </cell>
          <cell r="AL139">
            <v>5</v>
          </cell>
          <cell r="AM139">
            <v>7</v>
          </cell>
          <cell r="AN139">
            <v>4</v>
          </cell>
          <cell r="AO139">
            <v>3</v>
          </cell>
          <cell r="AP139">
            <v>0</v>
          </cell>
          <cell r="AS139">
            <v>43500</v>
          </cell>
          <cell r="AT139">
            <v>38</v>
          </cell>
          <cell r="AU139" t="str">
            <v>جنسيه</v>
          </cell>
          <cell r="AV139" t="str">
            <v>449777</v>
          </cell>
          <cell r="AW139">
            <v>7</v>
          </cell>
          <cell r="AX139">
            <v>7</v>
          </cell>
          <cell r="AY139">
            <v>7</v>
          </cell>
          <cell r="AZ139">
            <v>9</v>
          </cell>
          <cell r="BA139">
            <v>4</v>
          </cell>
          <cell r="BB139">
            <v>4</v>
          </cell>
          <cell r="BF139" t="str">
            <v>السيده العوض الفاضل</v>
          </cell>
          <cell r="BG139" t="str">
            <v>الجزيره</v>
          </cell>
          <cell r="BH139" t="str">
            <v>ود لميد - المسيد</v>
          </cell>
          <cell r="BI139" t="str">
            <v>0918318213</v>
          </cell>
          <cell r="BJ139" t="str">
            <v>عادل العوض الفاضل</v>
          </cell>
          <cell r="BK139" t="str">
            <v>0912913002</v>
          </cell>
          <cell r="BL139" t="str">
            <v>خالي الطرف</v>
          </cell>
          <cell r="BN139">
            <v>43500</v>
          </cell>
          <cell r="BT139" t="str">
            <v>شهاده ثانويه</v>
          </cell>
          <cell r="BV139">
            <v>36617</v>
          </cell>
          <cell r="BW139" t="str">
            <v>حاسوب</v>
          </cell>
          <cell r="BX139" t="str">
            <v>دبلوم (معاهد)</v>
          </cell>
          <cell r="BY139" t="str">
            <v>مركز القيصر للغات والترجمة</v>
          </cell>
          <cell r="BZ139">
            <v>39180</v>
          </cell>
          <cell r="EQ139">
            <v>0</v>
          </cell>
          <cell r="ER139">
            <v>126</v>
          </cell>
          <cell r="FG139" t="str">
            <v>مسئول قسم الجوده</v>
          </cell>
          <cell r="FH139" t="str">
            <v>المبارك محمد ابراهيم</v>
          </cell>
          <cell r="FI139">
            <v>0</v>
          </cell>
        </row>
        <row r="140">
          <cell r="A140">
            <v>139</v>
          </cell>
          <cell r="O140">
            <v>0</v>
          </cell>
          <cell r="P140">
            <v>0</v>
          </cell>
          <cell r="R140">
            <v>0</v>
          </cell>
          <cell r="T140" t="str">
            <v>m</v>
          </cell>
          <cell r="AG140">
            <v>9</v>
          </cell>
          <cell r="AH140">
            <v>1</v>
          </cell>
          <cell r="AS140">
            <v>43500</v>
          </cell>
          <cell r="AT140">
            <v>119</v>
          </cell>
          <cell r="BN140">
            <v>43500</v>
          </cell>
          <cell r="EQ140">
            <v>0</v>
          </cell>
          <cell r="FG140" t="e">
            <v>#N/A</v>
          </cell>
          <cell r="FH140" t="e">
            <v>#N/A</v>
          </cell>
          <cell r="FI140">
            <v>0</v>
          </cell>
        </row>
        <row r="141">
          <cell r="A141">
            <v>140</v>
          </cell>
          <cell r="B141" t="str">
            <v>ادم عبدالشافع امام محمد</v>
          </cell>
          <cell r="C141" t="str">
            <v>ادم</v>
          </cell>
          <cell r="D141" t="str">
            <v>عبدالشافع</v>
          </cell>
          <cell r="E141" t="str">
            <v>امام</v>
          </cell>
          <cell r="F141" t="str">
            <v>محمد</v>
          </cell>
          <cell r="G141" t="str">
            <v>المصنع</v>
          </cell>
          <cell r="H141" t="str">
            <v>الانتاج</v>
          </cell>
          <cell r="I141" t="str">
            <v>المواسير</v>
          </cell>
          <cell r="K141" t="str">
            <v>عامل</v>
          </cell>
          <cell r="L141" t="str">
            <v>مشغل</v>
          </cell>
          <cell r="M141">
            <v>40926</v>
          </cell>
          <cell r="N141">
            <v>43500</v>
          </cell>
          <cell r="O141">
            <v>7</v>
          </cell>
          <cell r="P141">
            <v>0</v>
          </cell>
          <cell r="R141">
            <v>210</v>
          </cell>
          <cell r="Z141">
            <v>20821</v>
          </cell>
          <cell r="AG141">
            <v>9</v>
          </cell>
          <cell r="AH141">
            <v>1</v>
          </cell>
          <cell r="AI141" t="str">
            <v>تسنين</v>
          </cell>
          <cell r="AJ141" t="str">
            <v>887445</v>
          </cell>
          <cell r="AK141">
            <v>5</v>
          </cell>
          <cell r="AL141">
            <v>4</v>
          </cell>
          <cell r="AM141">
            <v>4</v>
          </cell>
          <cell r="AN141">
            <v>7</v>
          </cell>
          <cell r="AO141">
            <v>8</v>
          </cell>
          <cell r="AP141">
            <v>8</v>
          </cell>
          <cell r="AS141">
            <v>43500</v>
          </cell>
          <cell r="AT141">
            <v>62</v>
          </cell>
          <cell r="AU141" t="str">
            <v>بطاقه قوميه</v>
          </cell>
          <cell r="AV141" t="str">
            <v>002409567</v>
          </cell>
          <cell r="AW141">
            <v>7</v>
          </cell>
          <cell r="AX141">
            <v>6</v>
          </cell>
          <cell r="AY141">
            <v>5</v>
          </cell>
          <cell r="AZ141">
            <v>9</v>
          </cell>
          <cell r="BA141">
            <v>0</v>
          </cell>
          <cell r="BB141">
            <v>4</v>
          </cell>
          <cell r="BC141">
            <v>2</v>
          </cell>
          <cell r="BD141">
            <v>0</v>
          </cell>
          <cell r="BF141" t="str">
            <v xml:space="preserve">عائشه احمد </v>
          </cell>
          <cell r="BG141" t="str">
            <v>الكلاكله</v>
          </cell>
          <cell r="BH141" t="str">
            <v>محليه جبل اولياء - مدينة الرشيد</v>
          </cell>
          <cell r="BI141" t="str">
            <v>0913689351</v>
          </cell>
          <cell r="BJ141" t="str">
            <v>فيصل سليمان</v>
          </cell>
          <cell r="BN141">
            <v>43500</v>
          </cell>
          <cell r="EQ141">
            <v>0</v>
          </cell>
          <cell r="ER141">
            <v>137</v>
          </cell>
          <cell r="FG141" t="str">
            <v xml:space="preserve"> مدير الانتاج</v>
          </cell>
          <cell r="FH141" t="str">
            <v>هشام عيسى محمد عبدالكريم</v>
          </cell>
          <cell r="FI141">
            <v>0</v>
          </cell>
        </row>
        <row r="142">
          <cell r="A142">
            <v>141</v>
          </cell>
          <cell r="B142" t="str">
            <v>مزمل عبدالله مزمل عبدالله</v>
          </cell>
          <cell r="C142" t="str">
            <v>مزمل</v>
          </cell>
          <cell r="D142" t="str">
            <v>عبدالله</v>
          </cell>
          <cell r="E142" t="str">
            <v>مزمل</v>
          </cell>
          <cell r="F142" t="str">
            <v>عبدالله</v>
          </cell>
          <cell r="G142" t="str">
            <v>المصنع</v>
          </cell>
          <cell r="H142" t="str">
            <v>الرقابه الداخليه</v>
          </cell>
          <cell r="K142" t="str">
            <v>مراجع داخلى</v>
          </cell>
          <cell r="L142" t="str">
            <v>مراجع</v>
          </cell>
          <cell r="M142">
            <v>40892</v>
          </cell>
          <cell r="N142">
            <v>43500</v>
          </cell>
          <cell r="O142">
            <v>7</v>
          </cell>
          <cell r="P142">
            <v>1</v>
          </cell>
          <cell r="R142">
            <v>212.5</v>
          </cell>
          <cell r="Z142">
            <v>25947</v>
          </cell>
          <cell r="AG142">
            <v>9</v>
          </cell>
          <cell r="AH142">
            <v>1</v>
          </cell>
          <cell r="AI142" t="str">
            <v>ميلاد</v>
          </cell>
          <cell r="AJ142" t="str">
            <v>407995</v>
          </cell>
          <cell r="AK142">
            <v>5</v>
          </cell>
          <cell r="AL142">
            <v>9</v>
          </cell>
          <cell r="AM142">
            <v>9</v>
          </cell>
          <cell r="AN142">
            <v>7</v>
          </cell>
          <cell r="AO142">
            <v>0</v>
          </cell>
          <cell r="AP142">
            <v>4</v>
          </cell>
          <cell r="AS142">
            <v>43500</v>
          </cell>
          <cell r="AT142">
            <v>48</v>
          </cell>
          <cell r="AU142" t="str">
            <v>بطاقه قوميه</v>
          </cell>
          <cell r="AV142" t="str">
            <v>003330423</v>
          </cell>
          <cell r="AW142">
            <v>3</v>
          </cell>
          <cell r="AX142">
            <v>2</v>
          </cell>
          <cell r="AY142">
            <v>4</v>
          </cell>
          <cell r="AZ142">
            <v>0</v>
          </cell>
          <cell r="BA142">
            <v>3</v>
          </cell>
          <cell r="BB142">
            <v>3</v>
          </cell>
          <cell r="BC142">
            <v>3</v>
          </cell>
          <cell r="BD142">
            <v>0</v>
          </cell>
          <cell r="BF142" t="str">
            <v>نجاة محمود</v>
          </cell>
          <cell r="BG142" t="str">
            <v>بحرى</v>
          </cell>
          <cell r="BH142" t="str">
            <v>الكاملين م ( 2 ) - المعموره م ( 84 )</v>
          </cell>
          <cell r="BI142" t="str">
            <v>0918312308</v>
          </cell>
          <cell r="BJ142" t="str">
            <v>محمد الدالى خالد</v>
          </cell>
          <cell r="BK142" t="str">
            <v>0915053199</v>
          </cell>
          <cell r="BL142" t="str">
            <v>خالي الطرف</v>
          </cell>
          <cell r="BN142">
            <v>43500</v>
          </cell>
          <cell r="BS142" t="str">
            <v>العلوم  فى الدراسات الاقتصاديه والاجتماعيه</v>
          </cell>
          <cell r="BT142" t="str">
            <v>بكلاريوس</v>
          </cell>
          <cell r="BU142" t="str">
            <v>جامعة الخرطوم</v>
          </cell>
          <cell r="BV142">
            <v>34513</v>
          </cell>
          <cell r="BW142" t="str">
            <v>المحاسبه المالية - التكاليف والضرائب - الشركات والبنوك</v>
          </cell>
          <cell r="BX142" t="str">
            <v>دبلوم (معاهد)</v>
          </cell>
          <cell r="BY142" t="str">
            <v>معهد الصديق للدراسات التجارية والفنية</v>
          </cell>
          <cell r="BZ142">
            <v>34592</v>
          </cell>
          <cell r="CA142" t="str">
            <v>الحاسوب</v>
          </cell>
          <cell r="CB142" t="str">
            <v>دبلوم (معاهد)</v>
          </cell>
          <cell r="CC142" t="str">
            <v>معهد الافاق التعليمى - صنعاء</v>
          </cell>
          <cell r="CD142">
            <v>35570</v>
          </cell>
          <cell r="CQ142" t="str">
            <v>الشركة الافريقية للدعم اللوجستى</v>
          </cell>
          <cell r="CR142" t="str">
            <v>مدير مشروعات</v>
          </cell>
          <cell r="CS142">
            <v>38565</v>
          </cell>
          <cell r="CT142">
            <v>39203</v>
          </cell>
          <cell r="CV142" t="str">
            <v>شركة ميج للتعمير المحدودة</v>
          </cell>
          <cell r="CW142" t="str">
            <v>مدير مشروعات</v>
          </cell>
          <cell r="CX142">
            <v>37316</v>
          </cell>
          <cell r="CY142">
            <v>38412</v>
          </cell>
          <cell r="DA142" t="str">
            <v>شركة كراون للتجارة الدولية المحدودة</v>
          </cell>
          <cell r="DB142" t="str">
            <v>مدير مالى</v>
          </cell>
          <cell r="DC142">
            <v>35551</v>
          </cell>
          <cell r="DD142">
            <v>36712</v>
          </cell>
          <cell r="DF142" t="str">
            <v>شركة الالكترونيات العامة المحدودة</v>
          </cell>
          <cell r="DG142" t="str">
            <v>مدير مالى</v>
          </cell>
          <cell r="DH142">
            <v>34660</v>
          </cell>
          <cell r="DI142">
            <v>35517</v>
          </cell>
          <cell r="EM142">
            <v>30</v>
          </cell>
          <cell r="EN142">
            <v>90</v>
          </cell>
          <cell r="EQ142">
            <v>120</v>
          </cell>
          <cell r="ER142">
            <v>28</v>
          </cell>
          <cell r="FG142" t="str">
            <v>المدير الادارى</v>
          </cell>
          <cell r="FH142" t="str">
            <v>احمد عبدالرحيم ابوبكر محمد</v>
          </cell>
          <cell r="FI142">
            <v>0</v>
          </cell>
        </row>
        <row r="143">
          <cell r="A143">
            <v>142</v>
          </cell>
          <cell r="B143" t="str">
            <v>امير عبدالله مزمل عبدالله</v>
          </cell>
          <cell r="G143" t="str">
            <v>المصنع</v>
          </cell>
          <cell r="H143" t="str">
            <v>الانتاج</v>
          </cell>
          <cell r="K143" t="str">
            <v>عامل</v>
          </cell>
          <cell r="L143" t="str">
            <v>عامل</v>
          </cell>
          <cell r="M143">
            <v>42983</v>
          </cell>
          <cell r="N143">
            <v>43500</v>
          </cell>
          <cell r="O143">
            <v>1</v>
          </cell>
          <cell r="P143">
            <v>4</v>
          </cell>
          <cell r="R143">
            <v>40</v>
          </cell>
          <cell r="T143" t="str">
            <v>فصل</v>
          </cell>
          <cell r="U143">
            <v>43067</v>
          </cell>
          <cell r="Z143">
            <v>23012</v>
          </cell>
          <cell r="AI143" t="str">
            <v>تسنين</v>
          </cell>
          <cell r="AJ143" t="str">
            <v>401650</v>
          </cell>
          <cell r="AK143">
            <v>0</v>
          </cell>
          <cell r="AL143">
            <v>5</v>
          </cell>
          <cell r="AM143">
            <v>6</v>
          </cell>
          <cell r="AN143">
            <v>1</v>
          </cell>
          <cell r="AO143">
            <v>0</v>
          </cell>
          <cell r="AP143">
            <v>4</v>
          </cell>
          <cell r="AS143">
            <v>43500</v>
          </cell>
          <cell r="AT143">
            <v>56</v>
          </cell>
          <cell r="AU143" t="str">
            <v>بطاقه قوميه</v>
          </cell>
          <cell r="AV143" t="str">
            <v>003187582</v>
          </cell>
          <cell r="AW143">
            <v>2</v>
          </cell>
          <cell r="AX143">
            <v>8</v>
          </cell>
          <cell r="AY143">
            <v>5</v>
          </cell>
          <cell r="AZ143">
            <v>7</v>
          </cell>
          <cell r="BA143">
            <v>8</v>
          </cell>
          <cell r="BB143">
            <v>1</v>
          </cell>
          <cell r="BC143">
            <v>3</v>
          </cell>
          <cell r="BD143">
            <v>0</v>
          </cell>
          <cell r="BE143" t="str">
            <v>190-3161518-8</v>
          </cell>
          <cell r="BF143" t="str">
            <v>نجاة محمود</v>
          </cell>
          <cell r="BG143" t="str">
            <v>العربى</v>
          </cell>
          <cell r="BH143" t="str">
            <v>الكاملين</v>
          </cell>
          <cell r="BJ143" t="str">
            <v>مزمل عبدالله مزمل</v>
          </cell>
          <cell r="BL143" t="str">
            <v>كبار سن</v>
          </cell>
          <cell r="BN143">
            <v>43500</v>
          </cell>
          <cell r="CQ143" t="str">
            <v>شركة ذات العماد للصناعه المحدوده</v>
          </cell>
          <cell r="CR143" t="str">
            <v>عامل</v>
          </cell>
          <cell r="CS143">
            <v>40947</v>
          </cell>
          <cell r="CT143">
            <v>41274</v>
          </cell>
          <cell r="EQ143">
            <v>0</v>
          </cell>
          <cell r="FG143" t="str">
            <v xml:space="preserve"> مدير الانتاج</v>
          </cell>
          <cell r="FH143" t="str">
            <v>هشام عيسى محمد عبدالكريم</v>
          </cell>
          <cell r="FI143" t="str">
            <v>190-3161518-8</v>
          </cell>
        </row>
        <row r="144">
          <cell r="A144">
            <v>143</v>
          </cell>
          <cell r="O144">
            <v>0</v>
          </cell>
          <cell r="P144">
            <v>0</v>
          </cell>
          <cell r="R144">
            <v>0</v>
          </cell>
          <cell r="T144" t="str">
            <v>m</v>
          </cell>
          <cell r="AG144">
            <v>9</v>
          </cell>
          <cell r="AH144">
            <v>1</v>
          </cell>
          <cell r="AS144">
            <v>43500</v>
          </cell>
          <cell r="AT144">
            <v>119</v>
          </cell>
          <cell r="BN144">
            <v>43500</v>
          </cell>
          <cell r="EQ144">
            <v>0</v>
          </cell>
          <cell r="FG144" t="e">
            <v>#N/A</v>
          </cell>
          <cell r="FH144" t="e">
            <v>#N/A</v>
          </cell>
          <cell r="FI144">
            <v>0</v>
          </cell>
        </row>
        <row r="145">
          <cell r="A145">
            <v>144</v>
          </cell>
          <cell r="B145" t="str">
            <v>محمد عبدالرحمن قرشى ناصر</v>
          </cell>
          <cell r="C145" t="str">
            <v>محمد</v>
          </cell>
          <cell r="D145" t="str">
            <v>عبدالرحمن</v>
          </cell>
          <cell r="E145" t="str">
            <v>قرشى</v>
          </cell>
          <cell r="F145" t="str">
            <v>ناصر</v>
          </cell>
          <cell r="G145" t="str">
            <v>المصنع</v>
          </cell>
          <cell r="H145" t="str">
            <v>الجوده</v>
          </cell>
          <cell r="K145" t="str">
            <v>عامل</v>
          </cell>
          <cell r="L145" t="str">
            <v>مراقب انتاج</v>
          </cell>
          <cell r="M145">
            <v>40936</v>
          </cell>
          <cell r="N145">
            <v>43500</v>
          </cell>
          <cell r="O145">
            <v>7</v>
          </cell>
          <cell r="P145">
            <v>0</v>
          </cell>
          <cell r="R145">
            <v>210</v>
          </cell>
          <cell r="Z145">
            <v>28491</v>
          </cell>
          <cell r="AG145">
            <v>9</v>
          </cell>
          <cell r="AH145">
            <v>1</v>
          </cell>
          <cell r="AI145" t="str">
            <v>تسنين</v>
          </cell>
          <cell r="AJ145" t="str">
            <v>631317</v>
          </cell>
          <cell r="AK145">
            <v>7</v>
          </cell>
          <cell r="AL145">
            <v>1</v>
          </cell>
          <cell r="AM145">
            <v>3</v>
          </cell>
          <cell r="AN145">
            <v>1</v>
          </cell>
          <cell r="AO145">
            <v>3</v>
          </cell>
          <cell r="AP145">
            <v>6</v>
          </cell>
          <cell r="AS145">
            <v>43500</v>
          </cell>
          <cell r="AT145">
            <v>41</v>
          </cell>
          <cell r="AU145" t="str">
            <v>بطاقه قوميه</v>
          </cell>
          <cell r="AV145" t="str">
            <v>002545893</v>
          </cell>
          <cell r="AW145">
            <v>3</v>
          </cell>
          <cell r="AX145">
            <v>9</v>
          </cell>
          <cell r="AY145">
            <v>8</v>
          </cell>
          <cell r="AZ145">
            <v>5</v>
          </cell>
          <cell r="BA145">
            <v>4</v>
          </cell>
          <cell r="BB145">
            <v>2</v>
          </cell>
          <cell r="BC145">
            <v>0</v>
          </cell>
          <cell r="BD145">
            <v>0</v>
          </cell>
          <cell r="BF145" t="str">
            <v>ضوه محمد ضوين</v>
          </cell>
          <cell r="BG145" t="str">
            <v>الجزيره</v>
          </cell>
          <cell r="BL145" t="str">
            <v>خالي الطرف</v>
          </cell>
          <cell r="BN145">
            <v>43500</v>
          </cell>
          <cell r="BT145" t="str">
            <v>شهاده ثانويه</v>
          </cell>
          <cell r="BV145">
            <v>35886</v>
          </cell>
          <cell r="EQ145">
            <v>0</v>
          </cell>
          <cell r="ER145">
            <v>111</v>
          </cell>
          <cell r="FG145" t="str">
            <v>مسئول قسم الجوده</v>
          </cell>
          <cell r="FH145" t="str">
            <v>المبارك محمد ابراهيم</v>
          </cell>
          <cell r="FI145">
            <v>0</v>
          </cell>
        </row>
        <row r="146">
          <cell r="A146">
            <v>145</v>
          </cell>
          <cell r="O146">
            <v>0</v>
          </cell>
          <cell r="P146">
            <v>0</v>
          </cell>
          <cell r="R146">
            <v>0</v>
          </cell>
          <cell r="T146" t="str">
            <v>m</v>
          </cell>
          <cell r="AG146">
            <v>9</v>
          </cell>
          <cell r="AH146">
            <v>1</v>
          </cell>
          <cell r="AS146">
            <v>43500</v>
          </cell>
          <cell r="AT146">
            <v>119</v>
          </cell>
          <cell r="BN146">
            <v>43500</v>
          </cell>
          <cell r="EQ146">
            <v>0</v>
          </cell>
          <cell r="FG146" t="e">
            <v>#N/A</v>
          </cell>
          <cell r="FH146" t="e">
            <v>#N/A</v>
          </cell>
          <cell r="FI146">
            <v>0</v>
          </cell>
        </row>
        <row r="147">
          <cell r="A147">
            <v>146</v>
          </cell>
          <cell r="O147">
            <v>0</v>
          </cell>
          <cell r="P147">
            <v>0</v>
          </cell>
          <cell r="R147">
            <v>0</v>
          </cell>
          <cell r="T147" t="str">
            <v>m</v>
          </cell>
          <cell r="AG147">
            <v>9</v>
          </cell>
          <cell r="AH147">
            <v>1</v>
          </cell>
          <cell r="AS147">
            <v>43500</v>
          </cell>
          <cell r="AT147">
            <v>119</v>
          </cell>
          <cell r="BN147">
            <v>43500</v>
          </cell>
          <cell r="EQ147">
            <v>0</v>
          </cell>
          <cell r="FG147" t="e">
            <v>#N/A</v>
          </cell>
          <cell r="FH147" t="e">
            <v>#N/A</v>
          </cell>
          <cell r="FI147">
            <v>0</v>
          </cell>
        </row>
        <row r="148">
          <cell r="A148">
            <v>147</v>
          </cell>
          <cell r="B148" t="str">
            <v>عبد الله عبد الكريم عبد الله عبدالكريم</v>
          </cell>
          <cell r="C148" t="str">
            <v>عبدالله</v>
          </cell>
          <cell r="D148" t="str">
            <v>عبدالكريم</v>
          </cell>
          <cell r="E148" t="str">
            <v>عبدالله</v>
          </cell>
          <cell r="F148" t="str">
            <v>عبدالكريم</v>
          </cell>
          <cell r="G148" t="str">
            <v>المصنع</v>
          </cell>
          <cell r="H148" t="str">
            <v>الكهرباء</v>
          </cell>
          <cell r="K148" t="str">
            <v>فنى كهرباء</v>
          </cell>
          <cell r="L148" t="str">
            <v>فنى كهرباء</v>
          </cell>
          <cell r="M148">
            <v>42583</v>
          </cell>
          <cell r="N148">
            <v>43500</v>
          </cell>
          <cell r="O148">
            <v>2</v>
          </cell>
          <cell r="P148">
            <v>6</v>
          </cell>
          <cell r="R148">
            <v>75</v>
          </cell>
          <cell r="Z148">
            <v>28126</v>
          </cell>
          <cell r="AG148">
            <v>9</v>
          </cell>
          <cell r="AH148">
            <v>1</v>
          </cell>
          <cell r="AI148" t="str">
            <v>تسنين</v>
          </cell>
          <cell r="AJ148" t="str">
            <v>1415070</v>
          </cell>
          <cell r="AK148">
            <v>0</v>
          </cell>
          <cell r="AL148">
            <v>7</v>
          </cell>
          <cell r="AM148">
            <v>0</v>
          </cell>
          <cell r="AN148">
            <v>5</v>
          </cell>
          <cell r="AO148">
            <v>1</v>
          </cell>
          <cell r="AP148">
            <v>4</v>
          </cell>
          <cell r="AQ148">
            <v>1</v>
          </cell>
          <cell r="AS148">
            <v>43500</v>
          </cell>
          <cell r="AT148">
            <v>42</v>
          </cell>
          <cell r="AU148" t="str">
            <v>بطاقه قوميه</v>
          </cell>
          <cell r="AV148" t="str">
            <v>002227441</v>
          </cell>
          <cell r="AW148">
            <v>1</v>
          </cell>
          <cell r="AX148">
            <v>4</v>
          </cell>
          <cell r="AY148">
            <v>4</v>
          </cell>
          <cell r="AZ148">
            <v>7</v>
          </cell>
          <cell r="BA148">
            <v>2</v>
          </cell>
          <cell r="BB148">
            <v>2</v>
          </cell>
          <cell r="BC148">
            <v>2</v>
          </cell>
          <cell r="BD148">
            <v>0</v>
          </cell>
          <cell r="BF148" t="str">
            <v>عائشه موسى محمد</v>
          </cell>
          <cell r="BG148" t="str">
            <v>العربى</v>
          </cell>
          <cell r="BH148" t="str">
            <v>الازهرى</v>
          </cell>
          <cell r="BI148" t="str">
            <v>0913700414</v>
          </cell>
          <cell r="BJ148" t="str">
            <v>عبدالكريم الخير</v>
          </cell>
          <cell r="BK148" t="str">
            <v>0917918825</v>
          </cell>
          <cell r="BL148" t="str">
            <v>خالي الطرف</v>
          </cell>
          <cell r="BN148">
            <v>43500</v>
          </cell>
          <cell r="EQ148">
            <v>0</v>
          </cell>
          <cell r="FG148" t="str">
            <v>مدير الصيانه الكهربائيه</v>
          </cell>
          <cell r="FH148" t="str">
            <v>ماهر ضيف الله سليمان جابر</v>
          </cell>
          <cell r="FI148">
            <v>0</v>
          </cell>
        </row>
        <row r="149">
          <cell r="A149">
            <v>148</v>
          </cell>
          <cell r="O149">
            <v>0</v>
          </cell>
          <cell r="P149">
            <v>0</v>
          </cell>
          <cell r="R149">
            <v>0</v>
          </cell>
          <cell r="T149" t="str">
            <v>m</v>
          </cell>
          <cell r="AG149">
            <v>9</v>
          </cell>
          <cell r="AH149">
            <v>1</v>
          </cell>
          <cell r="AS149">
            <v>43500</v>
          </cell>
          <cell r="AT149">
            <v>119</v>
          </cell>
          <cell r="BN149">
            <v>43500</v>
          </cell>
          <cell r="EQ149">
            <v>0</v>
          </cell>
          <cell r="FG149" t="e">
            <v>#N/A</v>
          </cell>
          <cell r="FH149" t="e">
            <v>#N/A</v>
          </cell>
          <cell r="FI149">
            <v>0</v>
          </cell>
        </row>
        <row r="150">
          <cell r="A150">
            <v>149</v>
          </cell>
          <cell r="B150" t="str">
            <v>عمار فضل الله الطاهر سليمان</v>
          </cell>
          <cell r="G150" t="str">
            <v>المصنع</v>
          </cell>
          <cell r="H150" t="str">
            <v>الميكانيكا</v>
          </cell>
          <cell r="L150" t="str">
            <v>سباك</v>
          </cell>
          <cell r="M150">
            <v>41534</v>
          </cell>
          <cell r="O150" t="e">
            <v>#NUM!</v>
          </cell>
          <cell r="P150" t="e">
            <v>#NUM!</v>
          </cell>
          <cell r="R150" t="e">
            <v>#NUM!</v>
          </cell>
          <cell r="T150" t="str">
            <v>m</v>
          </cell>
          <cell r="X150">
            <v>40947</v>
          </cell>
          <cell r="AG150">
            <v>9</v>
          </cell>
          <cell r="AH150">
            <v>1</v>
          </cell>
          <cell r="AS150">
            <v>43500</v>
          </cell>
          <cell r="AT150">
            <v>119</v>
          </cell>
          <cell r="BH150" t="str">
            <v>الكلاكلة</v>
          </cell>
          <cell r="BN150">
            <v>43500</v>
          </cell>
          <cell r="EQ150">
            <v>0</v>
          </cell>
          <cell r="EW150">
            <v>41534</v>
          </cell>
          <cell r="EX150">
            <v>41898</v>
          </cell>
          <cell r="EY150" t="str">
            <v>فنى صيانة</v>
          </cell>
          <cell r="FG150" t="str">
            <v>مدير الصيانه الميكانيكيه</v>
          </cell>
          <cell r="FH150" t="str">
            <v>محمد احمد محمد سليمان</v>
          </cell>
          <cell r="FI150">
            <v>0</v>
          </cell>
        </row>
        <row r="151">
          <cell r="A151">
            <v>150</v>
          </cell>
          <cell r="O151">
            <v>0</v>
          </cell>
          <cell r="P151">
            <v>0</v>
          </cell>
          <cell r="R151">
            <v>0</v>
          </cell>
          <cell r="T151" t="str">
            <v>m</v>
          </cell>
          <cell r="AG151">
            <v>9</v>
          </cell>
          <cell r="AH151">
            <v>1</v>
          </cell>
          <cell r="AS151">
            <v>43500</v>
          </cell>
          <cell r="AT151">
            <v>119</v>
          </cell>
          <cell r="BN151">
            <v>43500</v>
          </cell>
          <cell r="EQ151">
            <v>0</v>
          </cell>
          <cell r="FG151" t="e">
            <v>#N/A</v>
          </cell>
          <cell r="FH151" t="e">
            <v>#N/A</v>
          </cell>
          <cell r="FI151">
            <v>0</v>
          </cell>
        </row>
        <row r="152">
          <cell r="A152">
            <v>151</v>
          </cell>
          <cell r="B152" t="str">
            <v>عيدالله احمد الضيف عبدالله</v>
          </cell>
          <cell r="C152" t="str">
            <v>عيدالله</v>
          </cell>
          <cell r="D152" t="str">
            <v>احمد</v>
          </cell>
          <cell r="E152" t="str">
            <v>الضيف</v>
          </cell>
          <cell r="F152" t="str">
            <v>عبدالله</v>
          </cell>
          <cell r="G152" t="str">
            <v>المصنع</v>
          </cell>
          <cell r="H152" t="str">
            <v>الجوده</v>
          </cell>
          <cell r="K152" t="str">
            <v>عامل</v>
          </cell>
          <cell r="L152" t="str">
            <v>مراقب انتاج</v>
          </cell>
          <cell r="M152">
            <v>40947</v>
          </cell>
          <cell r="N152">
            <v>43500</v>
          </cell>
          <cell r="O152">
            <v>6</v>
          </cell>
          <cell r="P152">
            <v>11</v>
          </cell>
          <cell r="R152">
            <v>207.5</v>
          </cell>
          <cell r="Z152">
            <v>23377</v>
          </cell>
          <cell r="AG152">
            <v>9</v>
          </cell>
          <cell r="AH152">
            <v>1</v>
          </cell>
          <cell r="AI152" t="str">
            <v>تسنين</v>
          </cell>
          <cell r="AS152">
            <v>43500</v>
          </cell>
          <cell r="AT152">
            <v>55</v>
          </cell>
          <cell r="AU152" t="str">
            <v>جنسيه</v>
          </cell>
          <cell r="AV152" t="str">
            <v>216265</v>
          </cell>
          <cell r="AW152">
            <v>5</v>
          </cell>
          <cell r="AX152">
            <v>6</v>
          </cell>
          <cell r="AY152">
            <v>2</v>
          </cell>
          <cell r="AZ152">
            <v>6</v>
          </cell>
          <cell r="BA152">
            <v>1</v>
          </cell>
          <cell r="BB152">
            <v>2</v>
          </cell>
          <cell r="BG152" t="str">
            <v>الجزيره</v>
          </cell>
          <cell r="BH152" t="str">
            <v>الكاملين</v>
          </cell>
          <cell r="BI152" t="str">
            <v>0920229797</v>
          </cell>
          <cell r="BJ152" t="str">
            <v>يوسف دفع الله</v>
          </cell>
          <cell r="BN152">
            <v>43500</v>
          </cell>
          <cell r="EL152">
            <v>30</v>
          </cell>
          <cell r="EP152">
            <v>30</v>
          </cell>
          <cell r="EQ152">
            <v>60</v>
          </cell>
          <cell r="ER152">
            <v>54</v>
          </cell>
          <cell r="FG152" t="str">
            <v>مسئول قسم الجوده</v>
          </cell>
          <cell r="FH152" t="str">
            <v>المبارك محمد ابراهيم</v>
          </cell>
          <cell r="FI152">
            <v>0</v>
          </cell>
        </row>
        <row r="153">
          <cell r="A153">
            <v>152</v>
          </cell>
          <cell r="O153">
            <v>0</v>
          </cell>
          <cell r="P153">
            <v>0</v>
          </cell>
          <cell r="R153">
            <v>0</v>
          </cell>
          <cell r="T153" t="str">
            <v>m</v>
          </cell>
          <cell r="AS153">
            <v>43500</v>
          </cell>
          <cell r="AT153">
            <v>119</v>
          </cell>
          <cell r="BN153">
            <v>43500</v>
          </cell>
          <cell r="EQ153">
            <v>0</v>
          </cell>
          <cell r="FG153" t="e">
            <v>#N/A</v>
          </cell>
          <cell r="FH153" t="e">
            <v>#N/A</v>
          </cell>
          <cell r="FI153">
            <v>0</v>
          </cell>
        </row>
        <row r="154">
          <cell r="A154">
            <v>153</v>
          </cell>
          <cell r="O154">
            <v>0</v>
          </cell>
          <cell r="P154">
            <v>0</v>
          </cell>
          <cell r="R154">
            <v>0</v>
          </cell>
          <cell r="T154" t="str">
            <v>m</v>
          </cell>
          <cell r="AS154">
            <v>43500</v>
          </cell>
          <cell r="AT154">
            <v>119</v>
          </cell>
          <cell r="BN154">
            <v>43500</v>
          </cell>
          <cell r="EQ154">
            <v>0</v>
          </cell>
          <cell r="FG154" t="e">
            <v>#N/A</v>
          </cell>
          <cell r="FH154" t="e">
            <v>#N/A</v>
          </cell>
          <cell r="FI154">
            <v>0</v>
          </cell>
        </row>
        <row r="155">
          <cell r="A155">
            <v>154</v>
          </cell>
          <cell r="O155">
            <v>0</v>
          </cell>
          <cell r="P155">
            <v>0</v>
          </cell>
          <cell r="R155">
            <v>0</v>
          </cell>
          <cell r="T155" t="str">
            <v>m</v>
          </cell>
          <cell r="AS155">
            <v>43500</v>
          </cell>
          <cell r="AT155">
            <v>119</v>
          </cell>
          <cell r="BN155">
            <v>43500</v>
          </cell>
          <cell r="EQ155">
            <v>0</v>
          </cell>
          <cell r="FG155" t="e">
            <v>#N/A</v>
          </cell>
          <cell r="FH155" t="e">
            <v>#N/A</v>
          </cell>
          <cell r="FI155">
            <v>0</v>
          </cell>
        </row>
        <row r="156">
          <cell r="A156">
            <v>155</v>
          </cell>
          <cell r="O156">
            <v>0</v>
          </cell>
          <cell r="P156">
            <v>0</v>
          </cell>
          <cell r="R156">
            <v>0</v>
          </cell>
          <cell r="T156" t="str">
            <v>m</v>
          </cell>
          <cell r="AS156">
            <v>43500</v>
          </cell>
          <cell r="AT156">
            <v>119</v>
          </cell>
          <cell r="BN156">
            <v>43500</v>
          </cell>
          <cell r="EQ156">
            <v>0</v>
          </cell>
          <cell r="FG156" t="e">
            <v>#N/A</v>
          </cell>
          <cell r="FH156" t="e">
            <v>#N/A</v>
          </cell>
          <cell r="FI156">
            <v>0</v>
          </cell>
        </row>
        <row r="157">
          <cell r="A157">
            <v>156</v>
          </cell>
          <cell r="O157">
            <v>0</v>
          </cell>
          <cell r="P157">
            <v>0</v>
          </cell>
          <cell r="R157">
            <v>0</v>
          </cell>
          <cell r="T157" t="str">
            <v>m</v>
          </cell>
          <cell r="AS157">
            <v>43500</v>
          </cell>
          <cell r="AT157">
            <v>119</v>
          </cell>
          <cell r="BN157">
            <v>43500</v>
          </cell>
          <cell r="EQ157">
            <v>0</v>
          </cell>
          <cell r="FG157" t="e">
            <v>#N/A</v>
          </cell>
          <cell r="FH157" t="e">
            <v>#N/A</v>
          </cell>
          <cell r="FI157">
            <v>0</v>
          </cell>
        </row>
        <row r="158">
          <cell r="A158">
            <v>157</v>
          </cell>
          <cell r="O158">
            <v>0</v>
          </cell>
          <cell r="P158">
            <v>0</v>
          </cell>
          <cell r="R158">
            <v>0</v>
          </cell>
          <cell r="T158" t="str">
            <v>m</v>
          </cell>
          <cell r="AS158">
            <v>43500</v>
          </cell>
          <cell r="AT158">
            <v>119</v>
          </cell>
          <cell r="BN158">
            <v>43500</v>
          </cell>
          <cell r="EQ158">
            <v>0</v>
          </cell>
          <cell r="FG158" t="e">
            <v>#N/A</v>
          </cell>
          <cell r="FH158" t="e">
            <v>#N/A</v>
          </cell>
          <cell r="FI158">
            <v>0</v>
          </cell>
        </row>
        <row r="159">
          <cell r="A159">
            <v>158</v>
          </cell>
          <cell r="O159">
            <v>0</v>
          </cell>
          <cell r="P159">
            <v>0</v>
          </cell>
          <cell r="R159">
            <v>0</v>
          </cell>
          <cell r="T159" t="str">
            <v>m</v>
          </cell>
          <cell r="AS159">
            <v>43500</v>
          </cell>
          <cell r="AT159">
            <v>119</v>
          </cell>
          <cell r="BN159">
            <v>43500</v>
          </cell>
          <cell r="EQ159">
            <v>0</v>
          </cell>
          <cell r="FG159" t="e">
            <v>#N/A</v>
          </cell>
          <cell r="FH159" t="e">
            <v>#N/A</v>
          </cell>
          <cell r="FI159">
            <v>0</v>
          </cell>
        </row>
        <row r="160">
          <cell r="A160">
            <v>159</v>
          </cell>
          <cell r="O160">
            <v>0</v>
          </cell>
          <cell r="P160">
            <v>0</v>
          </cell>
          <cell r="R160">
            <v>0</v>
          </cell>
          <cell r="T160" t="str">
            <v>m</v>
          </cell>
          <cell r="AS160">
            <v>43500</v>
          </cell>
          <cell r="AT160">
            <v>119</v>
          </cell>
          <cell r="BN160">
            <v>43500</v>
          </cell>
          <cell r="EQ160">
            <v>0</v>
          </cell>
          <cell r="FG160" t="e">
            <v>#N/A</v>
          </cell>
          <cell r="FH160" t="e">
            <v>#N/A</v>
          </cell>
          <cell r="FI160">
            <v>0</v>
          </cell>
        </row>
        <row r="161">
          <cell r="A161">
            <v>160</v>
          </cell>
          <cell r="O161">
            <v>0</v>
          </cell>
          <cell r="P161">
            <v>0</v>
          </cell>
          <cell r="R161">
            <v>0</v>
          </cell>
          <cell r="T161" t="str">
            <v>m</v>
          </cell>
          <cell r="AS161">
            <v>43500</v>
          </cell>
          <cell r="AT161">
            <v>119</v>
          </cell>
          <cell r="BN161">
            <v>43500</v>
          </cell>
          <cell r="EQ161">
            <v>0</v>
          </cell>
          <cell r="FG161" t="e">
            <v>#N/A</v>
          </cell>
          <cell r="FH161" t="e">
            <v>#N/A</v>
          </cell>
          <cell r="FI161">
            <v>0</v>
          </cell>
        </row>
        <row r="162">
          <cell r="A162">
            <v>161</v>
          </cell>
          <cell r="O162">
            <v>0</v>
          </cell>
          <cell r="P162">
            <v>0</v>
          </cell>
          <cell r="R162">
            <v>0</v>
          </cell>
          <cell r="T162" t="str">
            <v>m</v>
          </cell>
          <cell r="AS162">
            <v>43500</v>
          </cell>
          <cell r="AT162">
            <v>119</v>
          </cell>
          <cell r="BN162">
            <v>43500</v>
          </cell>
          <cell r="EQ162">
            <v>0</v>
          </cell>
          <cell r="FG162" t="e">
            <v>#N/A</v>
          </cell>
          <cell r="FH162" t="e">
            <v>#N/A</v>
          </cell>
          <cell r="FI162">
            <v>0</v>
          </cell>
        </row>
        <row r="163">
          <cell r="A163">
            <v>162</v>
          </cell>
          <cell r="O163">
            <v>0</v>
          </cell>
          <cell r="P163">
            <v>0</v>
          </cell>
          <cell r="R163">
            <v>0</v>
          </cell>
          <cell r="T163" t="str">
            <v>m</v>
          </cell>
          <cell r="AS163">
            <v>43500</v>
          </cell>
          <cell r="AT163">
            <v>119</v>
          </cell>
          <cell r="BN163">
            <v>43500</v>
          </cell>
          <cell r="EQ163">
            <v>0</v>
          </cell>
          <cell r="FG163" t="e">
            <v>#N/A</v>
          </cell>
          <cell r="FH163" t="e">
            <v>#N/A</v>
          </cell>
          <cell r="FI163">
            <v>0</v>
          </cell>
        </row>
        <row r="164">
          <cell r="A164">
            <v>163</v>
          </cell>
          <cell r="O164">
            <v>0</v>
          </cell>
          <cell r="P164">
            <v>0</v>
          </cell>
          <cell r="R164">
            <v>0</v>
          </cell>
          <cell r="T164" t="str">
            <v>m</v>
          </cell>
          <cell r="AS164">
            <v>43500</v>
          </cell>
          <cell r="AT164">
            <v>119</v>
          </cell>
          <cell r="BN164">
            <v>43500</v>
          </cell>
          <cell r="EQ164">
            <v>0</v>
          </cell>
          <cell r="FG164" t="e">
            <v>#N/A</v>
          </cell>
          <cell r="FH164" t="e">
            <v>#N/A</v>
          </cell>
          <cell r="FI164">
            <v>0</v>
          </cell>
        </row>
        <row r="165">
          <cell r="A165">
            <v>164</v>
          </cell>
          <cell r="B165" t="str">
            <v>عز الدين بحر عباس النو</v>
          </cell>
          <cell r="G165" t="str">
            <v>المصنع</v>
          </cell>
          <cell r="H165" t="str">
            <v>الخدمات</v>
          </cell>
          <cell r="L165" t="str">
            <v>جناينى</v>
          </cell>
          <cell r="M165">
            <v>42142</v>
          </cell>
          <cell r="O165" t="e">
            <v>#NUM!</v>
          </cell>
          <cell r="P165" t="e">
            <v>#NUM!</v>
          </cell>
          <cell r="R165" t="e">
            <v>#NUM!</v>
          </cell>
          <cell r="T165" t="str">
            <v>m</v>
          </cell>
          <cell r="X165">
            <v>41216</v>
          </cell>
          <cell r="AS165">
            <v>43500</v>
          </cell>
          <cell r="AT165">
            <v>119</v>
          </cell>
          <cell r="BH165" t="str">
            <v>سوبا - الجامعة</v>
          </cell>
          <cell r="BN165">
            <v>43500</v>
          </cell>
          <cell r="EQ165">
            <v>0</v>
          </cell>
          <cell r="ES165">
            <v>42142</v>
          </cell>
          <cell r="ET165">
            <v>42507</v>
          </cell>
          <cell r="EU165" t="str">
            <v>جناينى</v>
          </cell>
          <cell r="FB165">
            <v>40979</v>
          </cell>
          <cell r="FG165" t="str">
            <v>المدير الادارى</v>
          </cell>
          <cell r="FH165" t="str">
            <v>احمد عبدالرحيم ابوبكر محمد</v>
          </cell>
          <cell r="FI165">
            <v>0</v>
          </cell>
        </row>
        <row r="166">
          <cell r="A166">
            <v>165</v>
          </cell>
          <cell r="O166">
            <v>0</v>
          </cell>
          <cell r="P166">
            <v>0</v>
          </cell>
          <cell r="R166">
            <v>0</v>
          </cell>
          <cell r="T166" t="str">
            <v>m</v>
          </cell>
          <cell r="AS166">
            <v>43500</v>
          </cell>
          <cell r="AT166">
            <v>119</v>
          </cell>
          <cell r="BN166">
            <v>43500</v>
          </cell>
          <cell r="EQ166">
            <v>0</v>
          </cell>
          <cell r="FG166" t="e">
            <v>#N/A</v>
          </cell>
          <cell r="FH166" t="e">
            <v>#N/A</v>
          </cell>
          <cell r="FI166">
            <v>0</v>
          </cell>
        </row>
        <row r="167">
          <cell r="A167">
            <v>166</v>
          </cell>
          <cell r="O167">
            <v>0</v>
          </cell>
          <cell r="P167">
            <v>0</v>
          </cell>
          <cell r="R167">
            <v>0</v>
          </cell>
          <cell r="T167" t="str">
            <v>m</v>
          </cell>
          <cell r="AS167">
            <v>43500</v>
          </cell>
          <cell r="AT167">
            <v>119</v>
          </cell>
          <cell r="BN167">
            <v>43500</v>
          </cell>
          <cell r="EQ167">
            <v>0</v>
          </cell>
          <cell r="FG167" t="e">
            <v>#N/A</v>
          </cell>
          <cell r="FH167" t="e">
            <v>#N/A</v>
          </cell>
          <cell r="FI167">
            <v>0</v>
          </cell>
        </row>
        <row r="168">
          <cell r="A168">
            <v>167</v>
          </cell>
          <cell r="O168">
            <v>0</v>
          </cell>
          <cell r="P168">
            <v>0</v>
          </cell>
          <cell r="R168">
            <v>0</v>
          </cell>
          <cell r="T168" t="str">
            <v>m</v>
          </cell>
          <cell r="AS168">
            <v>43500</v>
          </cell>
          <cell r="AT168">
            <v>119</v>
          </cell>
          <cell r="BN168">
            <v>43500</v>
          </cell>
          <cell r="EQ168">
            <v>0</v>
          </cell>
          <cell r="FG168" t="e">
            <v>#N/A</v>
          </cell>
          <cell r="FH168" t="e">
            <v>#N/A</v>
          </cell>
          <cell r="FI168">
            <v>0</v>
          </cell>
        </row>
        <row r="169">
          <cell r="A169">
            <v>168</v>
          </cell>
          <cell r="B169" t="str">
            <v>عماد الدين ادم محمد عبدالله</v>
          </cell>
          <cell r="C169" t="str">
            <v>عماد الدين</v>
          </cell>
          <cell r="D169" t="str">
            <v>ادم</v>
          </cell>
          <cell r="E169" t="str">
            <v>محمد</v>
          </cell>
          <cell r="F169" t="str">
            <v>عبدالله</v>
          </cell>
          <cell r="G169" t="str">
            <v>المصنع</v>
          </cell>
          <cell r="H169" t="str">
            <v>المستودعات</v>
          </cell>
          <cell r="I169" t="str">
            <v>التحميل</v>
          </cell>
          <cell r="K169" t="str">
            <v>عامل</v>
          </cell>
          <cell r="L169" t="str">
            <v>مشغل كرين</v>
          </cell>
          <cell r="M169">
            <v>40982</v>
          </cell>
          <cell r="N169">
            <v>43500</v>
          </cell>
          <cell r="O169">
            <v>6</v>
          </cell>
          <cell r="P169">
            <v>10</v>
          </cell>
          <cell r="R169">
            <v>205</v>
          </cell>
          <cell r="Z169">
            <v>27787</v>
          </cell>
          <cell r="AG169">
            <v>9</v>
          </cell>
          <cell r="AH169">
            <v>1</v>
          </cell>
          <cell r="AI169" t="str">
            <v>ميلاد</v>
          </cell>
          <cell r="AJ169" t="str">
            <v>058969</v>
          </cell>
          <cell r="AK169">
            <v>9</v>
          </cell>
          <cell r="AL169">
            <v>6</v>
          </cell>
          <cell r="AM169">
            <v>9</v>
          </cell>
          <cell r="AN169">
            <v>8</v>
          </cell>
          <cell r="AO169">
            <v>5</v>
          </cell>
          <cell r="AP169">
            <v>0</v>
          </cell>
          <cell r="AS169">
            <v>43500</v>
          </cell>
          <cell r="AT169">
            <v>43</v>
          </cell>
          <cell r="AU169" t="str">
            <v>بطاقه قوميه</v>
          </cell>
          <cell r="AV169" t="str">
            <v>004036541</v>
          </cell>
          <cell r="AW169">
            <v>1</v>
          </cell>
          <cell r="AX169">
            <v>4</v>
          </cell>
          <cell r="AY169">
            <v>5</v>
          </cell>
          <cell r="AZ169">
            <v>6</v>
          </cell>
          <cell r="BA169">
            <v>3</v>
          </cell>
          <cell r="BB169">
            <v>0</v>
          </cell>
          <cell r="BC169">
            <v>4</v>
          </cell>
          <cell r="BD169">
            <v>0</v>
          </cell>
          <cell r="BF169" t="str">
            <v>حليمه عبدالله ادم</v>
          </cell>
          <cell r="BG169" t="str">
            <v>بحرى</v>
          </cell>
          <cell r="BH169" t="str">
            <v>كافورى م ( 4 )</v>
          </cell>
          <cell r="BI169" t="str">
            <v>0903909099</v>
          </cell>
          <cell r="BJ169" t="str">
            <v>النور اسحاق عبدالله</v>
          </cell>
          <cell r="BL169" t="str">
            <v>خالي الطرف</v>
          </cell>
          <cell r="BN169">
            <v>43500</v>
          </cell>
          <cell r="BT169" t="str">
            <v>شهاده ثانويه</v>
          </cell>
          <cell r="BV169">
            <v>36251</v>
          </cell>
          <cell r="EM169">
            <v>30</v>
          </cell>
          <cell r="EQ169">
            <v>30</v>
          </cell>
          <cell r="ER169">
            <v>95</v>
          </cell>
          <cell r="FG169" t="str">
            <v>مدير المستودعات</v>
          </cell>
          <cell r="FH169" t="str">
            <v>على احمد على بابكر</v>
          </cell>
          <cell r="FI169">
            <v>0</v>
          </cell>
        </row>
        <row r="170">
          <cell r="A170">
            <v>169</v>
          </cell>
          <cell r="O170">
            <v>0</v>
          </cell>
          <cell r="P170">
            <v>0</v>
          </cell>
          <cell r="R170">
            <v>0</v>
          </cell>
          <cell r="T170" t="str">
            <v>m</v>
          </cell>
          <cell r="AS170">
            <v>43500</v>
          </cell>
          <cell r="AT170">
            <v>119</v>
          </cell>
          <cell r="BN170">
            <v>43500</v>
          </cell>
          <cell r="EQ170">
            <v>0</v>
          </cell>
          <cell r="FG170" t="e">
            <v>#N/A</v>
          </cell>
          <cell r="FH170" t="e">
            <v>#N/A</v>
          </cell>
          <cell r="FI170">
            <v>0</v>
          </cell>
        </row>
        <row r="171">
          <cell r="A171">
            <v>170</v>
          </cell>
          <cell r="O171">
            <v>0</v>
          </cell>
          <cell r="P171">
            <v>0</v>
          </cell>
          <cell r="R171">
            <v>0</v>
          </cell>
          <cell r="T171" t="str">
            <v>m</v>
          </cell>
          <cell r="AS171">
            <v>43500</v>
          </cell>
          <cell r="AT171">
            <v>119</v>
          </cell>
          <cell r="BN171">
            <v>43500</v>
          </cell>
          <cell r="EQ171">
            <v>0</v>
          </cell>
          <cell r="FG171" t="e">
            <v>#N/A</v>
          </cell>
          <cell r="FH171" t="e">
            <v>#N/A</v>
          </cell>
          <cell r="FI171">
            <v>0</v>
          </cell>
        </row>
        <row r="172">
          <cell r="A172">
            <v>171</v>
          </cell>
          <cell r="O172">
            <v>0</v>
          </cell>
          <cell r="P172">
            <v>0</v>
          </cell>
          <cell r="R172">
            <v>0</v>
          </cell>
          <cell r="T172" t="str">
            <v>m</v>
          </cell>
          <cell r="AS172">
            <v>43500</v>
          </cell>
          <cell r="AT172">
            <v>119</v>
          </cell>
          <cell r="BN172">
            <v>43500</v>
          </cell>
          <cell r="EQ172">
            <v>0</v>
          </cell>
          <cell r="FG172" t="e">
            <v>#N/A</v>
          </cell>
          <cell r="FH172" t="e">
            <v>#N/A</v>
          </cell>
          <cell r="FI172">
            <v>0</v>
          </cell>
        </row>
        <row r="173">
          <cell r="A173">
            <v>172</v>
          </cell>
          <cell r="O173">
            <v>0</v>
          </cell>
          <cell r="P173">
            <v>0</v>
          </cell>
          <cell r="R173">
            <v>0</v>
          </cell>
          <cell r="T173" t="str">
            <v>m</v>
          </cell>
          <cell r="AS173">
            <v>43500</v>
          </cell>
          <cell r="AT173">
            <v>119</v>
          </cell>
          <cell r="BN173">
            <v>43500</v>
          </cell>
          <cell r="EQ173">
            <v>0</v>
          </cell>
          <cell r="FG173" t="e">
            <v>#N/A</v>
          </cell>
          <cell r="FH173" t="e">
            <v>#N/A</v>
          </cell>
          <cell r="FI173">
            <v>0</v>
          </cell>
        </row>
        <row r="174">
          <cell r="A174">
            <v>173</v>
          </cell>
          <cell r="B174" t="str">
            <v>محمود على محمود ابوحسنيه</v>
          </cell>
          <cell r="C174" t="str">
            <v>محمود</v>
          </cell>
          <cell r="D174" t="str">
            <v>على</v>
          </cell>
          <cell r="E174" t="str">
            <v>محمود</v>
          </cell>
          <cell r="F174" t="str">
            <v>ابوحسنيه</v>
          </cell>
          <cell r="G174" t="str">
            <v>أجانب</v>
          </cell>
          <cell r="H174" t="str">
            <v>الميكانيكا</v>
          </cell>
          <cell r="L174" t="str">
            <v>مهندس ميكانيكا</v>
          </cell>
          <cell r="M174">
            <v>40971</v>
          </cell>
          <cell r="N174">
            <v>43500</v>
          </cell>
          <cell r="O174">
            <v>6</v>
          </cell>
          <cell r="P174">
            <v>11</v>
          </cell>
          <cell r="R174">
            <v>207.5</v>
          </cell>
          <cell r="T174" t="str">
            <v>m</v>
          </cell>
          <cell r="Z174">
            <v>31551</v>
          </cell>
          <cell r="AG174">
            <v>9</v>
          </cell>
          <cell r="AH174">
            <v>1</v>
          </cell>
          <cell r="AS174">
            <v>43500</v>
          </cell>
          <cell r="AT174">
            <v>32</v>
          </cell>
          <cell r="AU174" t="str">
            <v>جواز سفر</v>
          </cell>
          <cell r="AV174" t="str">
            <v>L691345</v>
          </cell>
          <cell r="BF174" t="str">
            <v>ذهبيه</v>
          </cell>
          <cell r="BG174" t="str">
            <v>خاص</v>
          </cell>
          <cell r="BN174">
            <v>43500</v>
          </cell>
          <cell r="EQ174">
            <v>0</v>
          </cell>
          <cell r="ER174">
            <v>132</v>
          </cell>
          <cell r="FG174" t="str">
            <v>مدير الصيانه الميكانيكيه</v>
          </cell>
          <cell r="FH174" t="str">
            <v>محمد احمد محمد سليمان</v>
          </cell>
          <cell r="FI174">
            <v>0</v>
          </cell>
        </row>
        <row r="175">
          <cell r="A175">
            <v>174</v>
          </cell>
          <cell r="O175">
            <v>0</v>
          </cell>
          <cell r="P175">
            <v>0</v>
          </cell>
          <cell r="R175">
            <v>0</v>
          </cell>
          <cell r="T175" t="str">
            <v>m</v>
          </cell>
          <cell r="AS175">
            <v>43500</v>
          </cell>
          <cell r="AT175">
            <v>119</v>
          </cell>
          <cell r="BN175">
            <v>43500</v>
          </cell>
          <cell r="EQ175">
            <v>0</v>
          </cell>
          <cell r="FG175" t="e">
            <v>#N/A</v>
          </cell>
          <cell r="FH175" t="e">
            <v>#N/A</v>
          </cell>
          <cell r="FI175">
            <v>0</v>
          </cell>
        </row>
        <row r="176">
          <cell r="A176">
            <v>175</v>
          </cell>
          <cell r="B176" t="str">
            <v>MOHAMMED SAIFUL ISLAM</v>
          </cell>
          <cell r="G176" t="str">
            <v>أجانب</v>
          </cell>
          <cell r="H176" t="str">
            <v>الانتاج</v>
          </cell>
          <cell r="N176">
            <v>43500</v>
          </cell>
          <cell r="O176">
            <v>119</v>
          </cell>
          <cell r="P176">
            <v>1</v>
          </cell>
          <cell r="R176">
            <v>3572.5</v>
          </cell>
          <cell r="T176" t="str">
            <v>m</v>
          </cell>
          <cell r="AG176">
            <v>9</v>
          </cell>
          <cell r="AH176">
            <v>1</v>
          </cell>
          <cell r="AS176">
            <v>43500</v>
          </cell>
          <cell r="AT176">
            <v>119</v>
          </cell>
          <cell r="BN176">
            <v>43500</v>
          </cell>
          <cell r="EQ176">
            <v>0</v>
          </cell>
          <cell r="FG176" t="str">
            <v xml:space="preserve"> مدير الانتاج</v>
          </cell>
          <cell r="FH176" t="str">
            <v>هشام عيسى محمد عبدالكريم</v>
          </cell>
          <cell r="FI176">
            <v>0</v>
          </cell>
        </row>
        <row r="177">
          <cell r="A177">
            <v>176</v>
          </cell>
          <cell r="B177" t="str">
            <v>MOHAMMED RASHEL</v>
          </cell>
          <cell r="G177" t="str">
            <v>أجانب</v>
          </cell>
          <cell r="H177" t="str">
            <v>الانتاج</v>
          </cell>
          <cell r="N177">
            <v>43500</v>
          </cell>
          <cell r="O177">
            <v>119</v>
          </cell>
          <cell r="P177">
            <v>1</v>
          </cell>
          <cell r="R177">
            <v>3572.5</v>
          </cell>
          <cell r="T177" t="str">
            <v>m</v>
          </cell>
          <cell r="AG177">
            <v>9</v>
          </cell>
          <cell r="AH177">
            <v>1</v>
          </cell>
          <cell r="AS177">
            <v>43500</v>
          </cell>
          <cell r="AT177">
            <v>119</v>
          </cell>
          <cell r="BN177">
            <v>43500</v>
          </cell>
          <cell r="EQ177">
            <v>0</v>
          </cell>
          <cell r="FG177" t="str">
            <v xml:space="preserve"> مدير الانتاج</v>
          </cell>
          <cell r="FH177" t="str">
            <v>هشام عيسى محمد عبدالكريم</v>
          </cell>
          <cell r="FI177">
            <v>0</v>
          </cell>
        </row>
        <row r="178">
          <cell r="A178">
            <v>177</v>
          </cell>
          <cell r="B178" t="str">
            <v>SHAFUL ALAM</v>
          </cell>
          <cell r="G178" t="str">
            <v>أجانب</v>
          </cell>
          <cell r="H178" t="str">
            <v>الانتاج</v>
          </cell>
          <cell r="N178">
            <v>43500</v>
          </cell>
          <cell r="O178">
            <v>119</v>
          </cell>
          <cell r="P178">
            <v>1</v>
          </cell>
          <cell r="R178">
            <v>3572.5</v>
          </cell>
          <cell r="T178" t="str">
            <v>m</v>
          </cell>
          <cell r="AG178">
            <v>9</v>
          </cell>
          <cell r="AH178">
            <v>1</v>
          </cell>
          <cell r="AS178">
            <v>43500</v>
          </cell>
          <cell r="AT178">
            <v>119</v>
          </cell>
          <cell r="BN178">
            <v>43500</v>
          </cell>
          <cell r="EQ178">
            <v>0</v>
          </cell>
          <cell r="FG178" t="str">
            <v xml:space="preserve"> مدير الانتاج</v>
          </cell>
          <cell r="FH178" t="str">
            <v>هشام عيسى محمد عبدالكريم</v>
          </cell>
          <cell r="FI178">
            <v>0</v>
          </cell>
        </row>
        <row r="179">
          <cell r="A179">
            <v>178</v>
          </cell>
          <cell r="B179" t="str">
            <v>DULAL MIAH</v>
          </cell>
          <cell r="G179" t="str">
            <v>أجانب</v>
          </cell>
          <cell r="H179" t="str">
            <v>الانتاج</v>
          </cell>
          <cell r="N179">
            <v>43500</v>
          </cell>
          <cell r="O179">
            <v>119</v>
          </cell>
          <cell r="P179">
            <v>1</v>
          </cell>
          <cell r="R179">
            <v>3572.5</v>
          </cell>
          <cell r="T179" t="str">
            <v>m</v>
          </cell>
          <cell r="AG179">
            <v>9</v>
          </cell>
          <cell r="AH179">
            <v>1</v>
          </cell>
          <cell r="AS179">
            <v>43500</v>
          </cell>
          <cell r="AT179">
            <v>119</v>
          </cell>
          <cell r="BN179">
            <v>43500</v>
          </cell>
          <cell r="EQ179">
            <v>0</v>
          </cell>
          <cell r="FG179" t="str">
            <v xml:space="preserve"> مدير الانتاج</v>
          </cell>
          <cell r="FH179" t="str">
            <v>هشام عيسى محمد عبدالكريم</v>
          </cell>
          <cell r="FI179">
            <v>0</v>
          </cell>
        </row>
        <row r="180">
          <cell r="A180">
            <v>179</v>
          </cell>
          <cell r="B180" t="str">
            <v>NURUL HAQUE ASIM UDDIN</v>
          </cell>
          <cell r="G180" t="str">
            <v>أجانب</v>
          </cell>
          <cell r="H180" t="str">
            <v>الانتاج</v>
          </cell>
          <cell r="N180">
            <v>43500</v>
          </cell>
          <cell r="O180">
            <v>119</v>
          </cell>
          <cell r="P180">
            <v>1</v>
          </cell>
          <cell r="R180">
            <v>3572.5</v>
          </cell>
          <cell r="T180" t="str">
            <v>m</v>
          </cell>
          <cell r="AG180">
            <v>9</v>
          </cell>
          <cell r="AH180">
            <v>1</v>
          </cell>
          <cell r="AS180">
            <v>43500</v>
          </cell>
          <cell r="AT180">
            <v>119</v>
          </cell>
          <cell r="BN180">
            <v>43500</v>
          </cell>
          <cell r="EQ180">
            <v>0</v>
          </cell>
          <cell r="FG180" t="str">
            <v xml:space="preserve"> مدير الانتاج</v>
          </cell>
          <cell r="FH180" t="str">
            <v>هشام عيسى محمد عبدالكريم</v>
          </cell>
          <cell r="FI180">
            <v>0</v>
          </cell>
        </row>
        <row r="181">
          <cell r="A181">
            <v>180</v>
          </cell>
          <cell r="B181" t="str">
            <v>MOHAMMED KHABIR MIAH</v>
          </cell>
          <cell r="G181" t="str">
            <v>أجانب</v>
          </cell>
          <cell r="H181" t="str">
            <v>الانتاج</v>
          </cell>
          <cell r="N181">
            <v>43500</v>
          </cell>
          <cell r="O181">
            <v>119</v>
          </cell>
          <cell r="P181">
            <v>1</v>
          </cell>
          <cell r="R181">
            <v>3572.5</v>
          </cell>
          <cell r="T181" t="str">
            <v>m</v>
          </cell>
          <cell r="AG181">
            <v>9</v>
          </cell>
          <cell r="AH181">
            <v>1</v>
          </cell>
          <cell r="AS181">
            <v>43500</v>
          </cell>
          <cell r="AT181">
            <v>119</v>
          </cell>
          <cell r="BN181">
            <v>43500</v>
          </cell>
          <cell r="EQ181">
            <v>0</v>
          </cell>
          <cell r="FG181" t="str">
            <v xml:space="preserve"> مدير الانتاج</v>
          </cell>
          <cell r="FH181" t="str">
            <v>هشام عيسى محمد عبدالكريم</v>
          </cell>
          <cell r="FI181">
            <v>0</v>
          </cell>
        </row>
        <row r="182">
          <cell r="A182">
            <v>181</v>
          </cell>
          <cell r="B182" t="str">
            <v>NURUL ALAM HASHEMKHAN</v>
          </cell>
          <cell r="G182" t="str">
            <v>أجانب</v>
          </cell>
          <cell r="H182" t="str">
            <v>الميكانيكا</v>
          </cell>
          <cell r="I182" t="str">
            <v>المخارط</v>
          </cell>
          <cell r="M182">
            <v>39057</v>
          </cell>
          <cell r="N182">
            <v>42750</v>
          </cell>
          <cell r="O182">
            <v>10</v>
          </cell>
          <cell r="P182">
            <v>1</v>
          </cell>
          <cell r="R182">
            <v>302.5</v>
          </cell>
          <cell r="T182" t="str">
            <v>فصل</v>
          </cell>
          <cell r="V182">
            <v>42750</v>
          </cell>
          <cell r="AG182">
            <v>9</v>
          </cell>
          <cell r="AH182">
            <v>1</v>
          </cell>
          <cell r="AS182">
            <v>43500</v>
          </cell>
          <cell r="AT182">
            <v>119</v>
          </cell>
          <cell r="BN182">
            <v>43500</v>
          </cell>
          <cell r="EQ182">
            <v>0</v>
          </cell>
          <cell r="FG182" t="str">
            <v>مدير الصيانه الميكانيكيه</v>
          </cell>
          <cell r="FH182" t="str">
            <v>محمد احمد محمد سليمان</v>
          </cell>
          <cell r="FI182">
            <v>0</v>
          </cell>
        </row>
        <row r="183">
          <cell r="A183">
            <v>182</v>
          </cell>
          <cell r="B183" t="str">
            <v>MAHE ALAM PATAWARI</v>
          </cell>
          <cell r="G183" t="str">
            <v>أجانب</v>
          </cell>
          <cell r="H183" t="str">
            <v>الانتاج</v>
          </cell>
          <cell r="N183">
            <v>43500</v>
          </cell>
          <cell r="O183">
            <v>119</v>
          </cell>
          <cell r="P183">
            <v>1</v>
          </cell>
          <cell r="R183">
            <v>3572.5</v>
          </cell>
          <cell r="T183" t="str">
            <v>m</v>
          </cell>
          <cell r="AG183">
            <v>9</v>
          </cell>
          <cell r="AH183">
            <v>1</v>
          </cell>
          <cell r="AS183">
            <v>43500</v>
          </cell>
          <cell r="AT183">
            <v>119</v>
          </cell>
          <cell r="BN183">
            <v>43500</v>
          </cell>
          <cell r="EQ183">
            <v>0</v>
          </cell>
          <cell r="FG183" t="str">
            <v xml:space="preserve"> مدير الانتاج</v>
          </cell>
          <cell r="FH183" t="str">
            <v>هشام عيسى محمد عبدالكريم</v>
          </cell>
          <cell r="FI183">
            <v>0</v>
          </cell>
        </row>
        <row r="184">
          <cell r="A184">
            <v>183</v>
          </cell>
          <cell r="B184" t="str">
            <v>MOHAMMED HOSSAIN AHMED</v>
          </cell>
          <cell r="G184" t="str">
            <v>أجانب</v>
          </cell>
          <cell r="H184" t="str">
            <v>الانتاج</v>
          </cell>
          <cell r="N184">
            <v>42735</v>
          </cell>
          <cell r="O184">
            <v>116</v>
          </cell>
          <cell r="P184">
            <v>11</v>
          </cell>
          <cell r="R184">
            <v>3507.5</v>
          </cell>
          <cell r="T184" t="str">
            <v>فصل</v>
          </cell>
          <cell r="V184">
            <v>42735</v>
          </cell>
          <cell r="AG184">
            <v>9</v>
          </cell>
          <cell r="AH184">
            <v>1</v>
          </cell>
          <cell r="AS184">
            <v>43500</v>
          </cell>
          <cell r="AT184">
            <v>119</v>
          </cell>
          <cell r="BN184">
            <v>43500</v>
          </cell>
          <cell r="EQ184">
            <v>0</v>
          </cell>
          <cell r="FG184" t="str">
            <v xml:space="preserve"> مدير الانتاج</v>
          </cell>
          <cell r="FH184" t="str">
            <v>هشام عيسى محمد عبدالكريم</v>
          </cell>
          <cell r="FI184">
            <v>0</v>
          </cell>
        </row>
        <row r="185">
          <cell r="A185">
            <v>184</v>
          </cell>
          <cell r="B185" t="str">
            <v>SHAWKAT ALI MOHAMMED</v>
          </cell>
          <cell r="G185" t="str">
            <v>أجانب</v>
          </cell>
          <cell r="H185" t="str">
            <v>الانتاج</v>
          </cell>
          <cell r="N185">
            <v>42735</v>
          </cell>
          <cell r="O185">
            <v>116</v>
          </cell>
          <cell r="P185">
            <v>11</v>
          </cell>
          <cell r="R185">
            <v>3507.5</v>
          </cell>
          <cell r="T185" t="str">
            <v>فصل</v>
          </cell>
          <cell r="V185">
            <v>42735</v>
          </cell>
          <cell r="AG185">
            <v>9</v>
          </cell>
          <cell r="AH185">
            <v>1</v>
          </cell>
          <cell r="AS185">
            <v>43500</v>
          </cell>
          <cell r="AT185">
            <v>119</v>
          </cell>
          <cell r="BN185">
            <v>43500</v>
          </cell>
          <cell r="EQ185">
            <v>0</v>
          </cell>
          <cell r="FG185" t="str">
            <v xml:space="preserve"> مدير الانتاج</v>
          </cell>
          <cell r="FH185" t="str">
            <v>هشام عيسى محمد عبدالكريم</v>
          </cell>
          <cell r="FI185">
            <v>0</v>
          </cell>
        </row>
        <row r="186">
          <cell r="A186">
            <v>185</v>
          </cell>
          <cell r="B186" t="str">
            <v>MAKSUDUR RAHMAN BAZLUR</v>
          </cell>
          <cell r="G186" t="str">
            <v>أجانب</v>
          </cell>
          <cell r="H186" t="str">
            <v>الانتاج</v>
          </cell>
          <cell r="N186">
            <v>43500</v>
          </cell>
          <cell r="O186">
            <v>119</v>
          </cell>
          <cell r="P186">
            <v>1</v>
          </cell>
          <cell r="R186">
            <v>3572.5</v>
          </cell>
          <cell r="T186" t="str">
            <v>m</v>
          </cell>
          <cell r="AG186">
            <v>9</v>
          </cell>
          <cell r="AH186">
            <v>1</v>
          </cell>
          <cell r="AS186">
            <v>43500</v>
          </cell>
          <cell r="AT186">
            <v>119</v>
          </cell>
          <cell r="BN186">
            <v>43500</v>
          </cell>
          <cell r="EQ186">
            <v>0</v>
          </cell>
          <cell r="FG186" t="str">
            <v xml:space="preserve"> مدير الانتاج</v>
          </cell>
          <cell r="FH186" t="str">
            <v>هشام عيسى محمد عبدالكريم</v>
          </cell>
          <cell r="FI186">
            <v>0</v>
          </cell>
        </row>
        <row r="187">
          <cell r="A187">
            <v>186</v>
          </cell>
          <cell r="B187" t="str">
            <v>ABDUL HAI HURAN</v>
          </cell>
          <cell r="G187" t="str">
            <v>أجانب</v>
          </cell>
          <cell r="H187" t="str">
            <v>الانتاج</v>
          </cell>
          <cell r="N187">
            <v>42735</v>
          </cell>
          <cell r="O187">
            <v>116</v>
          </cell>
          <cell r="P187">
            <v>11</v>
          </cell>
          <cell r="R187">
            <v>3507.5</v>
          </cell>
          <cell r="T187" t="str">
            <v>فصل</v>
          </cell>
          <cell r="V187">
            <v>42735</v>
          </cell>
          <cell r="AG187">
            <v>9</v>
          </cell>
          <cell r="AH187">
            <v>1</v>
          </cell>
          <cell r="AS187">
            <v>43500</v>
          </cell>
          <cell r="AT187">
            <v>119</v>
          </cell>
          <cell r="BN187">
            <v>43500</v>
          </cell>
          <cell r="EQ187">
            <v>0</v>
          </cell>
          <cell r="FG187" t="str">
            <v xml:space="preserve"> مدير الانتاج</v>
          </cell>
          <cell r="FH187" t="str">
            <v>هشام عيسى محمد عبدالكريم</v>
          </cell>
          <cell r="FI187">
            <v>0</v>
          </cell>
        </row>
        <row r="188">
          <cell r="A188">
            <v>187</v>
          </cell>
          <cell r="B188" t="str">
            <v>ALA UDDEN HOSSIN</v>
          </cell>
          <cell r="G188" t="str">
            <v>أجانب</v>
          </cell>
          <cell r="H188" t="str">
            <v>الانتاج</v>
          </cell>
          <cell r="N188">
            <v>43500</v>
          </cell>
          <cell r="O188">
            <v>119</v>
          </cell>
          <cell r="P188">
            <v>1</v>
          </cell>
          <cell r="R188">
            <v>3572.5</v>
          </cell>
          <cell r="T188" t="str">
            <v>m</v>
          </cell>
          <cell r="AG188">
            <v>9</v>
          </cell>
          <cell r="AH188">
            <v>1</v>
          </cell>
          <cell r="AS188">
            <v>43500</v>
          </cell>
          <cell r="AT188">
            <v>119</v>
          </cell>
          <cell r="BN188">
            <v>43500</v>
          </cell>
          <cell r="EQ188">
            <v>0</v>
          </cell>
          <cell r="FG188" t="str">
            <v xml:space="preserve"> مدير الانتاج</v>
          </cell>
          <cell r="FH188" t="str">
            <v>هشام عيسى محمد عبدالكريم</v>
          </cell>
          <cell r="FI188">
            <v>0</v>
          </cell>
        </row>
        <row r="189">
          <cell r="A189">
            <v>189</v>
          </cell>
          <cell r="B189" t="str">
            <v>MD SALIM ABUL KASEM</v>
          </cell>
          <cell r="G189" t="str">
            <v>أجانب</v>
          </cell>
          <cell r="H189" t="str">
            <v>الانتاج</v>
          </cell>
          <cell r="N189">
            <v>42735</v>
          </cell>
          <cell r="O189">
            <v>116</v>
          </cell>
          <cell r="P189">
            <v>11</v>
          </cell>
          <cell r="R189">
            <v>3507.5</v>
          </cell>
          <cell r="T189" t="str">
            <v>فصل</v>
          </cell>
          <cell r="V189">
            <v>42735</v>
          </cell>
          <cell r="AG189">
            <v>9</v>
          </cell>
          <cell r="AH189">
            <v>1</v>
          </cell>
          <cell r="AS189">
            <v>43500</v>
          </cell>
          <cell r="AT189">
            <v>119</v>
          </cell>
          <cell r="BN189">
            <v>43500</v>
          </cell>
          <cell r="EQ189">
            <v>0</v>
          </cell>
          <cell r="FG189" t="str">
            <v xml:space="preserve"> مدير الانتاج</v>
          </cell>
          <cell r="FH189" t="str">
            <v>هشام عيسى محمد عبدالكريم</v>
          </cell>
          <cell r="FI189">
            <v>0</v>
          </cell>
        </row>
        <row r="190">
          <cell r="A190">
            <v>190</v>
          </cell>
          <cell r="B190" t="str">
            <v>SWAPAN MURSHED</v>
          </cell>
          <cell r="G190" t="str">
            <v>أجانب</v>
          </cell>
          <cell r="H190" t="str">
            <v>الانتاج</v>
          </cell>
          <cell r="N190">
            <v>43500</v>
          </cell>
          <cell r="O190">
            <v>119</v>
          </cell>
          <cell r="P190">
            <v>1</v>
          </cell>
          <cell r="R190">
            <v>3572.5</v>
          </cell>
          <cell r="T190" t="str">
            <v>m</v>
          </cell>
          <cell r="AG190">
            <v>9</v>
          </cell>
          <cell r="AH190">
            <v>1</v>
          </cell>
          <cell r="AS190">
            <v>43500</v>
          </cell>
          <cell r="AT190">
            <v>119</v>
          </cell>
          <cell r="BN190">
            <v>43500</v>
          </cell>
          <cell r="EQ190">
            <v>0</v>
          </cell>
          <cell r="FG190" t="str">
            <v xml:space="preserve"> مدير الانتاج</v>
          </cell>
          <cell r="FH190" t="str">
            <v>هشام عيسى محمد عبدالكريم</v>
          </cell>
          <cell r="FI190">
            <v>0</v>
          </cell>
        </row>
        <row r="191">
          <cell r="A191">
            <v>195</v>
          </cell>
          <cell r="B191" t="str">
            <v>ALI AHMED NURUL HAQUE</v>
          </cell>
          <cell r="G191" t="str">
            <v>أجانب</v>
          </cell>
          <cell r="H191" t="str">
            <v>الانتاج</v>
          </cell>
          <cell r="N191">
            <v>43500</v>
          </cell>
          <cell r="O191">
            <v>119</v>
          </cell>
          <cell r="P191">
            <v>1</v>
          </cell>
          <cell r="R191">
            <v>3572.5</v>
          </cell>
          <cell r="T191" t="str">
            <v>m</v>
          </cell>
          <cell r="AG191">
            <v>9</v>
          </cell>
          <cell r="AH191">
            <v>1</v>
          </cell>
          <cell r="AS191">
            <v>43500</v>
          </cell>
          <cell r="AT191">
            <v>119</v>
          </cell>
          <cell r="BN191">
            <v>43500</v>
          </cell>
          <cell r="EQ191">
            <v>0</v>
          </cell>
          <cell r="FG191" t="str">
            <v xml:space="preserve"> مدير الانتاج</v>
          </cell>
          <cell r="FH191" t="str">
            <v>هشام عيسى محمد عبدالكريم</v>
          </cell>
          <cell r="FI191">
            <v>0</v>
          </cell>
        </row>
        <row r="192">
          <cell r="A192">
            <v>196</v>
          </cell>
          <cell r="B192" t="str">
            <v>SHAHIN ABO TAHIR</v>
          </cell>
          <cell r="G192" t="str">
            <v>أجانب</v>
          </cell>
          <cell r="H192" t="str">
            <v>الانتاج</v>
          </cell>
          <cell r="N192">
            <v>43500</v>
          </cell>
          <cell r="O192">
            <v>119</v>
          </cell>
          <cell r="P192">
            <v>1</v>
          </cell>
          <cell r="R192">
            <v>3572.5</v>
          </cell>
          <cell r="T192" t="str">
            <v>m</v>
          </cell>
          <cell r="AG192">
            <v>9</v>
          </cell>
          <cell r="AH192">
            <v>1</v>
          </cell>
          <cell r="AS192">
            <v>43500</v>
          </cell>
          <cell r="AT192">
            <v>119</v>
          </cell>
          <cell r="BN192">
            <v>43500</v>
          </cell>
          <cell r="EQ192">
            <v>0</v>
          </cell>
          <cell r="FG192" t="str">
            <v xml:space="preserve"> مدير الانتاج</v>
          </cell>
          <cell r="FH192" t="str">
            <v>هشام عيسى محمد عبدالكريم</v>
          </cell>
          <cell r="FI192">
            <v>0</v>
          </cell>
        </row>
        <row r="193">
          <cell r="A193">
            <v>197</v>
          </cell>
          <cell r="B193" t="str">
            <v>ELIAS MOBARK HOSSIN</v>
          </cell>
          <cell r="G193" t="str">
            <v>أجانب</v>
          </cell>
          <cell r="H193" t="str">
            <v>الانتاج</v>
          </cell>
          <cell r="N193">
            <v>43500</v>
          </cell>
          <cell r="O193">
            <v>119</v>
          </cell>
          <cell r="P193">
            <v>1</v>
          </cell>
          <cell r="R193">
            <v>3572.5</v>
          </cell>
          <cell r="T193" t="str">
            <v>m</v>
          </cell>
          <cell r="AG193">
            <v>9</v>
          </cell>
          <cell r="AH193">
            <v>1</v>
          </cell>
          <cell r="AS193">
            <v>43500</v>
          </cell>
          <cell r="AT193">
            <v>119</v>
          </cell>
          <cell r="BN193">
            <v>43500</v>
          </cell>
          <cell r="EQ193">
            <v>0</v>
          </cell>
          <cell r="FG193" t="str">
            <v xml:space="preserve"> مدير الانتاج</v>
          </cell>
          <cell r="FH193" t="str">
            <v>هشام عيسى محمد عبدالكريم</v>
          </cell>
          <cell r="FI193">
            <v>0</v>
          </cell>
        </row>
        <row r="194">
          <cell r="A194">
            <v>198</v>
          </cell>
          <cell r="B194" t="str">
            <v>JAKIR ABDEL JALIL</v>
          </cell>
          <cell r="G194" t="str">
            <v>أجانب</v>
          </cell>
          <cell r="H194" t="str">
            <v>الانتاج</v>
          </cell>
          <cell r="N194">
            <v>43500</v>
          </cell>
          <cell r="O194">
            <v>119</v>
          </cell>
          <cell r="P194">
            <v>1</v>
          </cell>
          <cell r="R194">
            <v>3572.5</v>
          </cell>
          <cell r="T194" t="str">
            <v>m</v>
          </cell>
          <cell r="AG194">
            <v>9</v>
          </cell>
          <cell r="AH194">
            <v>1</v>
          </cell>
          <cell r="AS194">
            <v>43500</v>
          </cell>
          <cell r="AT194">
            <v>119</v>
          </cell>
          <cell r="BN194">
            <v>43500</v>
          </cell>
          <cell r="EQ194">
            <v>0</v>
          </cell>
          <cell r="FG194" t="str">
            <v xml:space="preserve"> مدير الانتاج</v>
          </cell>
          <cell r="FH194" t="str">
            <v>هشام عيسى محمد عبدالكريم</v>
          </cell>
          <cell r="FI194">
            <v>0</v>
          </cell>
        </row>
        <row r="195">
          <cell r="A195">
            <v>199</v>
          </cell>
          <cell r="O195">
            <v>0</v>
          </cell>
          <cell r="P195">
            <v>0</v>
          </cell>
          <cell r="R195">
            <v>0</v>
          </cell>
          <cell r="T195" t="str">
            <v>m</v>
          </cell>
          <cell r="AS195">
            <v>43500</v>
          </cell>
          <cell r="AT195">
            <v>119</v>
          </cell>
          <cell r="BN195">
            <v>43500</v>
          </cell>
          <cell r="EQ195">
            <v>0</v>
          </cell>
          <cell r="FG195" t="e">
            <v>#N/A</v>
          </cell>
          <cell r="FH195" t="e">
            <v>#N/A</v>
          </cell>
          <cell r="FI195">
            <v>0</v>
          </cell>
        </row>
        <row r="196">
          <cell r="A196">
            <v>200</v>
          </cell>
          <cell r="O196">
            <v>0</v>
          </cell>
          <cell r="P196">
            <v>0</v>
          </cell>
          <cell r="R196">
            <v>0</v>
          </cell>
          <cell r="T196" t="str">
            <v>m</v>
          </cell>
          <cell r="AS196">
            <v>43500</v>
          </cell>
          <cell r="AT196">
            <v>119</v>
          </cell>
          <cell r="BN196">
            <v>43500</v>
          </cell>
          <cell r="EQ196">
            <v>0</v>
          </cell>
          <cell r="FG196" t="e">
            <v>#N/A</v>
          </cell>
          <cell r="FH196" t="e">
            <v>#N/A</v>
          </cell>
          <cell r="FI196">
            <v>0</v>
          </cell>
        </row>
        <row r="197">
          <cell r="A197">
            <v>201</v>
          </cell>
          <cell r="B197" t="str">
            <v>زكرية يحى حسن احمد</v>
          </cell>
          <cell r="G197" t="str">
            <v>المصنع</v>
          </cell>
          <cell r="H197" t="str">
            <v>الانتاج</v>
          </cell>
          <cell r="L197" t="str">
            <v>فنى تشغيل</v>
          </cell>
          <cell r="M197">
            <v>42562</v>
          </cell>
          <cell r="O197" t="e">
            <v>#NUM!</v>
          </cell>
          <cell r="P197" t="e">
            <v>#NUM!</v>
          </cell>
          <cell r="R197" t="e">
            <v>#NUM!</v>
          </cell>
          <cell r="T197" t="str">
            <v>m</v>
          </cell>
          <cell r="Z197">
            <v>29221</v>
          </cell>
          <cell r="AI197" t="str">
            <v>تسنين</v>
          </cell>
          <cell r="AJ197">
            <v>110535</v>
          </cell>
          <cell r="AK197">
            <v>5</v>
          </cell>
          <cell r="AL197">
            <v>3</v>
          </cell>
          <cell r="AM197">
            <v>5</v>
          </cell>
          <cell r="AN197">
            <v>0</v>
          </cell>
          <cell r="AO197">
            <v>1</v>
          </cell>
          <cell r="AP197">
            <v>1</v>
          </cell>
          <cell r="AS197">
            <v>43500</v>
          </cell>
          <cell r="AT197">
            <v>39</v>
          </cell>
          <cell r="BE197" t="str">
            <v>120-8540496-6</v>
          </cell>
          <cell r="BF197" t="str">
            <v>رقيه محمد</v>
          </cell>
          <cell r="BG197" t="str">
            <v>الكلاكله</v>
          </cell>
          <cell r="BH197" t="str">
            <v>جبل اولياء</v>
          </cell>
          <cell r="BI197" t="str">
            <v>0928885567</v>
          </cell>
          <cell r="BJ197" t="str">
            <v>خالد محمد على</v>
          </cell>
          <cell r="BK197">
            <v>913626697</v>
          </cell>
          <cell r="BN197">
            <v>43500</v>
          </cell>
          <cell r="CQ197" t="str">
            <v>مصنع الامجد لحديد التسليح والصلب</v>
          </cell>
          <cell r="CR197" t="str">
            <v>فنى ميكانيكا</v>
          </cell>
          <cell r="CS197">
            <v>41098</v>
          </cell>
          <cell r="CT197">
            <v>41341</v>
          </cell>
          <cell r="CV197" t="str">
            <v>مصنع مينا للصناعات الحديديه</v>
          </cell>
          <cell r="CW197" t="str">
            <v>فنى</v>
          </cell>
          <cell r="CX197">
            <v>38353</v>
          </cell>
          <cell r="CY197">
            <v>39999</v>
          </cell>
          <cell r="EQ197">
            <v>0</v>
          </cell>
          <cell r="FG197" t="str">
            <v xml:space="preserve"> مدير الانتاج</v>
          </cell>
          <cell r="FH197" t="str">
            <v>هشام عيسى محمد عبدالكريم</v>
          </cell>
          <cell r="FI197" t="str">
            <v>120-8540496-6</v>
          </cell>
        </row>
        <row r="198">
          <cell r="A198">
            <v>202</v>
          </cell>
          <cell r="O198">
            <v>0</v>
          </cell>
          <cell r="P198">
            <v>0</v>
          </cell>
          <cell r="R198">
            <v>0</v>
          </cell>
          <cell r="T198" t="str">
            <v>m</v>
          </cell>
          <cell r="AS198">
            <v>43500</v>
          </cell>
          <cell r="AT198">
            <v>119</v>
          </cell>
          <cell r="BN198">
            <v>43500</v>
          </cell>
          <cell r="EQ198">
            <v>0</v>
          </cell>
          <cell r="FG198" t="e">
            <v>#N/A</v>
          </cell>
          <cell r="FH198" t="e">
            <v>#N/A</v>
          </cell>
          <cell r="FI198">
            <v>0</v>
          </cell>
        </row>
        <row r="199">
          <cell r="A199">
            <v>203</v>
          </cell>
          <cell r="O199">
            <v>0</v>
          </cell>
          <cell r="P199">
            <v>0</v>
          </cell>
          <cell r="R199">
            <v>0</v>
          </cell>
          <cell r="T199" t="str">
            <v>m</v>
          </cell>
          <cell r="AS199">
            <v>43500</v>
          </cell>
          <cell r="AT199">
            <v>119</v>
          </cell>
          <cell r="BN199">
            <v>43500</v>
          </cell>
          <cell r="EQ199">
            <v>0</v>
          </cell>
          <cell r="FG199" t="e">
            <v>#N/A</v>
          </cell>
          <cell r="FH199" t="e">
            <v>#N/A</v>
          </cell>
          <cell r="FI199">
            <v>0</v>
          </cell>
        </row>
        <row r="200">
          <cell r="A200">
            <v>204</v>
          </cell>
          <cell r="O200">
            <v>0</v>
          </cell>
          <cell r="P200">
            <v>0</v>
          </cell>
          <cell r="R200">
            <v>0</v>
          </cell>
          <cell r="T200" t="str">
            <v>m</v>
          </cell>
          <cell r="AS200">
            <v>43500</v>
          </cell>
          <cell r="AT200">
            <v>119</v>
          </cell>
          <cell r="BN200">
            <v>43500</v>
          </cell>
          <cell r="EQ200">
            <v>0</v>
          </cell>
          <cell r="FG200" t="e">
            <v>#N/A</v>
          </cell>
          <cell r="FH200" t="e">
            <v>#N/A</v>
          </cell>
          <cell r="FI200">
            <v>0</v>
          </cell>
        </row>
        <row r="201">
          <cell r="A201">
            <v>205</v>
          </cell>
          <cell r="O201">
            <v>0</v>
          </cell>
          <cell r="P201">
            <v>0</v>
          </cell>
          <cell r="R201">
            <v>0</v>
          </cell>
          <cell r="T201" t="str">
            <v>m</v>
          </cell>
          <cell r="AS201">
            <v>43500</v>
          </cell>
          <cell r="AT201">
            <v>119</v>
          </cell>
          <cell r="BN201">
            <v>43500</v>
          </cell>
          <cell r="EQ201">
            <v>0</v>
          </cell>
          <cell r="FG201" t="e">
            <v>#N/A</v>
          </cell>
          <cell r="FH201" t="e">
            <v>#N/A</v>
          </cell>
          <cell r="FI201">
            <v>0</v>
          </cell>
        </row>
        <row r="202">
          <cell r="A202">
            <v>206</v>
          </cell>
          <cell r="B202" t="str">
            <v>حسن محمد حسن كرم الله</v>
          </cell>
          <cell r="C202" t="str">
            <v>حسن</v>
          </cell>
          <cell r="D202" t="str">
            <v>محمد</v>
          </cell>
          <cell r="E202" t="str">
            <v>حسن</v>
          </cell>
          <cell r="F202" t="str">
            <v>كرم الله</v>
          </cell>
          <cell r="G202" t="str">
            <v>المصنع</v>
          </cell>
          <cell r="H202" t="str">
            <v>الجوده</v>
          </cell>
          <cell r="K202" t="str">
            <v>عامل</v>
          </cell>
          <cell r="L202" t="str">
            <v>مراقب انتاج</v>
          </cell>
          <cell r="M202">
            <v>41000</v>
          </cell>
          <cell r="N202">
            <v>43500</v>
          </cell>
          <cell r="O202">
            <v>6</v>
          </cell>
          <cell r="P202">
            <v>10</v>
          </cell>
          <cell r="R202">
            <v>205</v>
          </cell>
          <cell r="Z202">
            <v>31778</v>
          </cell>
          <cell r="AG202">
            <v>9</v>
          </cell>
          <cell r="AH202">
            <v>1</v>
          </cell>
          <cell r="AI202" t="str">
            <v>تسنين</v>
          </cell>
          <cell r="AJ202" t="str">
            <v>239045</v>
          </cell>
          <cell r="AK202">
            <v>5</v>
          </cell>
          <cell r="AL202">
            <v>4</v>
          </cell>
          <cell r="AM202">
            <v>0</v>
          </cell>
          <cell r="AN202">
            <v>9</v>
          </cell>
          <cell r="AO202">
            <v>3</v>
          </cell>
          <cell r="AP202">
            <v>2</v>
          </cell>
          <cell r="AS202">
            <v>43500</v>
          </cell>
          <cell r="AT202">
            <v>32</v>
          </cell>
          <cell r="AU202" t="str">
            <v>جنسيه</v>
          </cell>
          <cell r="AV202" t="str">
            <v>0870266</v>
          </cell>
          <cell r="AW202">
            <v>6</v>
          </cell>
          <cell r="AX202">
            <v>6</v>
          </cell>
          <cell r="AY202">
            <v>2</v>
          </cell>
          <cell r="AZ202">
            <v>0</v>
          </cell>
          <cell r="BA202">
            <v>7</v>
          </cell>
          <cell r="BB202">
            <v>8</v>
          </cell>
          <cell r="BC202">
            <v>0</v>
          </cell>
          <cell r="BF202" t="str">
            <v>بخيته بله حسن</v>
          </cell>
          <cell r="BG202" t="str">
            <v>العربى</v>
          </cell>
          <cell r="BH202" t="str">
            <v xml:space="preserve">سوبا اللعوته - م (4) </v>
          </cell>
          <cell r="BI202" t="str">
            <v>0923333202</v>
          </cell>
          <cell r="BJ202" t="str">
            <v>احمد محمد بشير</v>
          </cell>
          <cell r="BK202" t="str">
            <v>0907756237</v>
          </cell>
          <cell r="BL202" t="str">
            <v>خالي الطرف</v>
          </cell>
          <cell r="BN202">
            <v>43500</v>
          </cell>
          <cell r="BS202" t="str">
            <v>الإدارة والعلوم المالية</v>
          </cell>
          <cell r="BT202" t="str">
            <v>دبلوم وسيط</v>
          </cell>
          <cell r="BU202" t="str">
            <v>جامعة افريقيا العالمية</v>
          </cell>
          <cell r="BV202">
            <v>38718</v>
          </cell>
          <cell r="EQ202">
            <v>0</v>
          </cell>
          <cell r="ER202">
            <v>105</v>
          </cell>
          <cell r="ES202">
            <v>41000</v>
          </cell>
          <cell r="ET202">
            <v>41364</v>
          </cell>
          <cell r="EU202" t="str">
            <v>عامل</v>
          </cell>
          <cell r="FG202" t="str">
            <v>مسئول قسم الجوده</v>
          </cell>
          <cell r="FH202" t="str">
            <v>المبارك محمد ابراهيم</v>
          </cell>
          <cell r="FI202">
            <v>0</v>
          </cell>
        </row>
        <row r="203">
          <cell r="A203">
            <v>207</v>
          </cell>
          <cell r="B203" t="str">
            <v>على محمد على عثمان</v>
          </cell>
          <cell r="C203" t="str">
            <v>على</v>
          </cell>
          <cell r="D203" t="str">
            <v>محمد</v>
          </cell>
          <cell r="E203" t="str">
            <v>على</v>
          </cell>
          <cell r="F203" t="str">
            <v>عثمان</v>
          </cell>
          <cell r="G203" t="str">
            <v>المصنع</v>
          </cell>
          <cell r="H203" t="str">
            <v>الانتاج</v>
          </cell>
          <cell r="I203" t="str">
            <v>الخوص</v>
          </cell>
          <cell r="K203" t="str">
            <v>عامل</v>
          </cell>
          <cell r="L203" t="str">
            <v>فورمان</v>
          </cell>
          <cell r="M203">
            <v>41000</v>
          </cell>
          <cell r="N203">
            <v>43500</v>
          </cell>
          <cell r="O203">
            <v>6</v>
          </cell>
          <cell r="P203">
            <v>10</v>
          </cell>
          <cell r="R203">
            <v>205</v>
          </cell>
          <cell r="Z203">
            <v>28126</v>
          </cell>
          <cell r="AG203">
            <v>9</v>
          </cell>
          <cell r="AH203">
            <v>1</v>
          </cell>
          <cell r="AI203" t="str">
            <v>تسنين</v>
          </cell>
          <cell r="AJ203" t="str">
            <v>715125</v>
          </cell>
          <cell r="AK203">
            <v>5</v>
          </cell>
          <cell r="AL203">
            <v>2</v>
          </cell>
          <cell r="AM203">
            <v>1</v>
          </cell>
          <cell r="AN203">
            <v>5</v>
          </cell>
          <cell r="AO203">
            <v>1</v>
          </cell>
          <cell r="AP203">
            <v>7</v>
          </cell>
          <cell r="AS203">
            <v>43500</v>
          </cell>
          <cell r="AT203">
            <v>42</v>
          </cell>
          <cell r="AU203" t="str">
            <v>بطاقه قوميه</v>
          </cell>
          <cell r="AV203" t="str">
            <v>004489610</v>
          </cell>
          <cell r="AW203">
            <v>0</v>
          </cell>
          <cell r="AX203">
            <v>1</v>
          </cell>
          <cell r="AY203">
            <v>6</v>
          </cell>
          <cell r="AZ203">
            <v>9</v>
          </cell>
          <cell r="BA203">
            <v>8</v>
          </cell>
          <cell r="BB203">
            <v>4</v>
          </cell>
          <cell r="BC203">
            <v>4</v>
          </cell>
          <cell r="BD203">
            <v>0</v>
          </cell>
          <cell r="BE203" t="str">
            <v>116-6410648-6</v>
          </cell>
          <cell r="BF203" t="str">
            <v>منى احمد عبدالبنات فرح</v>
          </cell>
          <cell r="BG203" t="str">
            <v>العربى</v>
          </cell>
          <cell r="BH203" t="str">
            <v>امدرمان - الصالحه</v>
          </cell>
          <cell r="BI203" t="str">
            <v>0991180200</v>
          </cell>
          <cell r="BJ203" t="str">
            <v>نصر الدين محمد</v>
          </cell>
          <cell r="BK203" t="str">
            <v>0916936573</v>
          </cell>
          <cell r="BL203" t="str">
            <v>خالي الطرف</v>
          </cell>
          <cell r="BN203">
            <v>43500</v>
          </cell>
          <cell r="CQ203" t="str">
            <v xml:space="preserve">شركة شريان الشمال </v>
          </cell>
          <cell r="CR203" t="str">
            <v>عداد</v>
          </cell>
          <cell r="CS203">
            <v>38749</v>
          </cell>
          <cell r="CT203">
            <v>40770</v>
          </cell>
          <cell r="EL203">
            <v>30</v>
          </cell>
          <cell r="EQ203">
            <v>30</v>
          </cell>
          <cell r="ER203">
            <v>110</v>
          </cell>
          <cell r="ES203">
            <v>41000</v>
          </cell>
          <cell r="ET203">
            <v>41364</v>
          </cell>
          <cell r="EU203" t="str">
            <v>عامل</v>
          </cell>
          <cell r="FG203" t="str">
            <v xml:space="preserve"> مدير الانتاج</v>
          </cell>
          <cell r="FH203" t="str">
            <v>هشام عيسى محمد عبدالكريم</v>
          </cell>
          <cell r="FI203" t="str">
            <v>116-6410648-6</v>
          </cell>
        </row>
        <row r="204">
          <cell r="A204">
            <v>208</v>
          </cell>
          <cell r="O204">
            <v>0</v>
          </cell>
          <cell r="P204">
            <v>0</v>
          </cell>
          <cell r="R204">
            <v>0</v>
          </cell>
          <cell r="T204" t="str">
            <v>m</v>
          </cell>
          <cell r="AS204">
            <v>43500</v>
          </cell>
          <cell r="AT204">
            <v>119</v>
          </cell>
          <cell r="BN204">
            <v>43500</v>
          </cell>
          <cell r="EQ204">
            <v>0</v>
          </cell>
          <cell r="FG204" t="e">
            <v>#N/A</v>
          </cell>
          <cell r="FH204" t="e">
            <v>#N/A</v>
          </cell>
          <cell r="FI204">
            <v>0</v>
          </cell>
        </row>
        <row r="205">
          <cell r="A205">
            <v>209</v>
          </cell>
          <cell r="B205" t="str">
            <v>احمد عوض الله محمد طه</v>
          </cell>
          <cell r="G205" t="str">
            <v>المصنع</v>
          </cell>
          <cell r="O205">
            <v>0</v>
          </cell>
          <cell r="P205">
            <v>0</v>
          </cell>
          <cell r="R205">
            <v>0</v>
          </cell>
          <cell r="T205" t="str">
            <v>فصل</v>
          </cell>
          <cell r="U205">
            <v>41793</v>
          </cell>
          <cell r="AS205">
            <v>43500</v>
          </cell>
          <cell r="AT205">
            <v>119</v>
          </cell>
          <cell r="BN205">
            <v>43500</v>
          </cell>
          <cell r="EQ205">
            <v>0</v>
          </cell>
          <cell r="FG205" t="e">
            <v>#N/A</v>
          </cell>
          <cell r="FH205" t="e">
            <v>#N/A</v>
          </cell>
          <cell r="FI205">
            <v>0</v>
          </cell>
        </row>
        <row r="206">
          <cell r="A206">
            <v>210</v>
          </cell>
          <cell r="O206">
            <v>0</v>
          </cell>
          <cell r="P206">
            <v>0</v>
          </cell>
          <cell r="R206">
            <v>0</v>
          </cell>
          <cell r="T206" t="str">
            <v>m</v>
          </cell>
          <cell r="AS206">
            <v>43500</v>
          </cell>
          <cell r="AT206">
            <v>119</v>
          </cell>
          <cell r="BN206">
            <v>43500</v>
          </cell>
          <cell r="EQ206">
            <v>0</v>
          </cell>
          <cell r="FG206" t="e">
            <v>#N/A</v>
          </cell>
          <cell r="FH206" t="e">
            <v>#N/A</v>
          </cell>
          <cell r="FI206">
            <v>0</v>
          </cell>
        </row>
        <row r="207">
          <cell r="A207">
            <v>211</v>
          </cell>
          <cell r="B207" t="str">
            <v>صلاح إسحق اتيم ابكر عبدالله</v>
          </cell>
          <cell r="G207" t="str">
            <v>المصنع</v>
          </cell>
          <cell r="H207" t="str">
            <v>الانتاج</v>
          </cell>
          <cell r="O207">
            <v>0</v>
          </cell>
          <cell r="P207">
            <v>0</v>
          </cell>
          <cell r="R207">
            <v>0</v>
          </cell>
          <cell r="T207" t="str">
            <v>m</v>
          </cell>
          <cell r="Z207">
            <v>32143</v>
          </cell>
          <cell r="AI207" t="str">
            <v>تسنين</v>
          </cell>
          <cell r="AJ207">
            <v>1160746</v>
          </cell>
          <cell r="AK207">
            <v>6</v>
          </cell>
          <cell r="AL207">
            <v>4</v>
          </cell>
          <cell r="AM207">
            <v>7</v>
          </cell>
          <cell r="AN207">
            <v>0</v>
          </cell>
          <cell r="AO207">
            <v>6</v>
          </cell>
          <cell r="AP207">
            <v>1</v>
          </cell>
          <cell r="AQ207">
            <v>1</v>
          </cell>
          <cell r="AS207">
            <v>43500</v>
          </cell>
          <cell r="AT207">
            <v>31</v>
          </cell>
          <cell r="AU207" t="str">
            <v>جنسيه</v>
          </cell>
          <cell r="AV207">
            <v>150082</v>
          </cell>
          <cell r="AW207">
            <v>2</v>
          </cell>
          <cell r="AX207">
            <v>8</v>
          </cell>
          <cell r="AY207">
            <v>0</v>
          </cell>
          <cell r="AZ207">
            <v>0</v>
          </cell>
          <cell r="BA207">
            <v>5</v>
          </cell>
          <cell r="BB207">
            <v>1</v>
          </cell>
          <cell r="BE207" t="str">
            <v>120-0425726-9</v>
          </cell>
          <cell r="BF207" t="str">
            <v>عائشه هارون</v>
          </cell>
          <cell r="BG207" t="str">
            <v>العربى</v>
          </cell>
          <cell r="BH207" t="str">
            <v>السمير - المحطه</v>
          </cell>
          <cell r="BI207" t="str">
            <v>0909333830</v>
          </cell>
          <cell r="BJ207" t="str">
            <v>على يحى بن يحى</v>
          </cell>
          <cell r="BL207" t="str">
            <v>خالي الطرف</v>
          </cell>
          <cell r="BN207">
            <v>43500</v>
          </cell>
          <cell r="BT207" t="str">
            <v>شهاده ثانويه</v>
          </cell>
          <cell r="BV207">
            <v>40603</v>
          </cell>
          <cell r="CQ207" t="str">
            <v>شركة ذات العماد للصناعه المحدوده</v>
          </cell>
          <cell r="CR207" t="str">
            <v>مشغل كرين علوى</v>
          </cell>
          <cell r="CS207">
            <v>41000</v>
          </cell>
          <cell r="CT207">
            <v>41681</v>
          </cell>
          <cell r="EQ207">
            <v>0</v>
          </cell>
          <cell r="FG207" t="str">
            <v xml:space="preserve"> مدير الانتاج</v>
          </cell>
          <cell r="FH207" t="str">
            <v>هشام عيسى محمد عبدالكريم</v>
          </cell>
          <cell r="FI207" t="str">
            <v>120-0425726-9</v>
          </cell>
        </row>
        <row r="208">
          <cell r="A208">
            <v>212</v>
          </cell>
          <cell r="B208" t="str">
            <v>ابوبكر السمانى محمد احمد</v>
          </cell>
          <cell r="G208" t="str">
            <v>المصنع</v>
          </cell>
          <cell r="H208" t="str">
            <v>الانتاج</v>
          </cell>
          <cell r="M208">
            <v>41730</v>
          </cell>
          <cell r="O208" t="e">
            <v>#NUM!</v>
          </cell>
          <cell r="P208" t="e">
            <v>#NUM!</v>
          </cell>
          <cell r="R208" t="e">
            <v>#NUM!</v>
          </cell>
          <cell r="T208" t="str">
            <v>m</v>
          </cell>
          <cell r="AS208">
            <v>43500</v>
          </cell>
          <cell r="AT208">
            <v>119</v>
          </cell>
          <cell r="BH208" t="str">
            <v>الخرطوم - السلمة</v>
          </cell>
          <cell r="BN208">
            <v>43500</v>
          </cell>
          <cell r="EQ208">
            <v>0</v>
          </cell>
          <cell r="ES208">
            <v>41730</v>
          </cell>
          <cell r="ET208">
            <v>42094</v>
          </cell>
          <cell r="EU208" t="str">
            <v>عامل</v>
          </cell>
          <cell r="FG208" t="str">
            <v xml:space="preserve"> مدير الانتاج</v>
          </cell>
          <cell r="FH208" t="str">
            <v>هشام عيسى محمد عبدالكريم</v>
          </cell>
          <cell r="FI208">
            <v>0</v>
          </cell>
        </row>
        <row r="209">
          <cell r="A209">
            <v>213</v>
          </cell>
          <cell r="B209" t="str">
            <v>دفع الله سعيد محمد احمد</v>
          </cell>
          <cell r="C209" t="str">
            <v>دفع الله</v>
          </cell>
          <cell r="D209" t="str">
            <v>سعيد</v>
          </cell>
          <cell r="E209" t="str">
            <v>محمد</v>
          </cell>
          <cell r="F209" t="str">
            <v>احمد</v>
          </cell>
          <cell r="G209" t="str">
            <v>المصنع</v>
          </cell>
          <cell r="H209" t="str">
            <v>الانتاج</v>
          </cell>
          <cell r="I209" t="str">
            <v>المواسير</v>
          </cell>
          <cell r="K209" t="str">
            <v>عامل</v>
          </cell>
          <cell r="L209" t="str">
            <v>مشغل</v>
          </cell>
          <cell r="M209">
            <v>41000</v>
          </cell>
          <cell r="N209">
            <v>43500</v>
          </cell>
          <cell r="O209">
            <v>6</v>
          </cell>
          <cell r="P209">
            <v>10</v>
          </cell>
          <cell r="R209">
            <v>205</v>
          </cell>
          <cell r="Z209">
            <v>30682</v>
          </cell>
          <cell r="AG209">
            <v>9</v>
          </cell>
          <cell r="AH209">
            <v>1</v>
          </cell>
          <cell r="AI209" t="str">
            <v>تسنين</v>
          </cell>
          <cell r="AJ209" t="str">
            <v>031122</v>
          </cell>
          <cell r="AK209">
            <v>2</v>
          </cell>
          <cell r="AL209">
            <v>2</v>
          </cell>
          <cell r="AM209">
            <v>1</v>
          </cell>
          <cell r="AN209">
            <v>1</v>
          </cell>
          <cell r="AO209">
            <v>3</v>
          </cell>
          <cell r="AP209">
            <v>0</v>
          </cell>
          <cell r="AS209">
            <v>43500</v>
          </cell>
          <cell r="AT209">
            <v>35</v>
          </cell>
          <cell r="AU209" t="str">
            <v>جنسيه</v>
          </cell>
          <cell r="AV209" t="str">
            <v>0162321</v>
          </cell>
          <cell r="AW209">
            <v>1</v>
          </cell>
          <cell r="AX209">
            <v>2</v>
          </cell>
          <cell r="AY209">
            <v>3</v>
          </cell>
          <cell r="AZ209">
            <v>2</v>
          </cell>
          <cell r="BA209">
            <v>6</v>
          </cell>
          <cell r="BB209">
            <v>1</v>
          </cell>
          <cell r="BC209">
            <v>0</v>
          </cell>
          <cell r="BE209" t="str">
            <v>190-9328599-8</v>
          </cell>
          <cell r="BF209" t="str">
            <v>سعاد دفع الله مصطفى</v>
          </cell>
          <cell r="BG209" t="str">
            <v>الجزيره</v>
          </cell>
          <cell r="BH209" t="str">
            <v>الجزيره - المسعوديه</v>
          </cell>
          <cell r="BI209" t="str">
            <v>0927901775</v>
          </cell>
          <cell r="BJ209" t="str">
            <v>احمد إبراهيم</v>
          </cell>
          <cell r="BK209" t="str">
            <v>0910736881</v>
          </cell>
          <cell r="BN209">
            <v>43500</v>
          </cell>
          <cell r="BT209" t="str">
            <v>شهاده ثانويه</v>
          </cell>
          <cell r="BV209">
            <v>38412</v>
          </cell>
          <cell r="EQ209">
            <v>0</v>
          </cell>
          <cell r="ER209">
            <v>100</v>
          </cell>
          <cell r="ES209">
            <v>41001</v>
          </cell>
          <cell r="ET209">
            <v>41365</v>
          </cell>
          <cell r="EU209" t="str">
            <v>عامل</v>
          </cell>
          <cell r="FG209" t="str">
            <v xml:space="preserve"> مدير الانتاج</v>
          </cell>
          <cell r="FH209" t="str">
            <v>هشام عيسى محمد عبدالكريم</v>
          </cell>
          <cell r="FI209" t="str">
            <v>190-9328599-8</v>
          </cell>
        </row>
        <row r="210">
          <cell r="A210">
            <v>214</v>
          </cell>
          <cell r="O210">
            <v>0</v>
          </cell>
          <cell r="P210">
            <v>0</v>
          </cell>
          <cell r="R210">
            <v>0</v>
          </cell>
          <cell r="T210" t="str">
            <v>m</v>
          </cell>
          <cell r="AS210">
            <v>43500</v>
          </cell>
          <cell r="AT210">
            <v>119</v>
          </cell>
          <cell r="BN210">
            <v>43500</v>
          </cell>
          <cell r="EQ210">
            <v>0</v>
          </cell>
          <cell r="FG210" t="e">
            <v>#N/A</v>
          </cell>
          <cell r="FH210" t="e">
            <v>#N/A</v>
          </cell>
          <cell r="FI210">
            <v>0</v>
          </cell>
        </row>
        <row r="211">
          <cell r="A211">
            <v>215</v>
          </cell>
          <cell r="O211">
            <v>0</v>
          </cell>
          <cell r="P211">
            <v>0</v>
          </cell>
          <cell r="R211">
            <v>0</v>
          </cell>
          <cell r="T211" t="str">
            <v>m</v>
          </cell>
          <cell r="AS211">
            <v>43500</v>
          </cell>
          <cell r="AT211">
            <v>119</v>
          </cell>
          <cell r="BN211">
            <v>43500</v>
          </cell>
          <cell r="EQ211">
            <v>0</v>
          </cell>
          <cell r="FG211" t="e">
            <v>#N/A</v>
          </cell>
          <cell r="FH211" t="e">
            <v>#N/A</v>
          </cell>
          <cell r="FI211">
            <v>0</v>
          </cell>
        </row>
        <row r="212">
          <cell r="A212">
            <v>216</v>
          </cell>
          <cell r="O212">
            <v>0</v>
          </cell>
          <cell r="P212">
            <v>0</v>
          </cell>
          <cell r="R212">
            <v>0</v>
          </cell>
          <cell r="T212" t="str">
            <v>m</v>
          </cell>
          <cell r="AS212">
            <v>43500</v>
          </cell>
          <cell r="AT212">
            <v>119</v>
          </cell>
          <cell r="BN212">
            <v>43500</v>
          </cell>
          <cell r="EQ212">
            <v>0</v>
          </cell>
          <cell r="FG212" t="e">
            <v>#N/A</v>
          </cell>
          <cell r="FH212" t="e">
            <v>#N/A</v>
          </cell>
          <cell r="FI212">
            <v>0</v>
          </cell>
        </row>
        <row r="213">
          <cell r="A213">
            <v>217</v>
          </cell>
          <cell r="O213">
            <v>0</v>
          </cell>
          <cell r="P213">
            <v>0</v>
          </cell>
          <cell r="R213">
            <v>0</v>
          </cell>
          <cell r="T213" t="str">
            <v>m</v>
          </cell>
          <cell r="AS213">
            <v>43500</v>
          </cell>
          <cell r="AT213">
            <v>119</v>
          </cell>
          <cell r="BN213">
            <v>43500</v>
          </cell>
          <cell r="EQ213">
            <v>0</v>
          </cell>
          <cell r="FG213" t="e">
            <v>#N/A</v>
          </cell>
          <cell r="FH213" t="e">
            <v>#N/A</v>
          </cell>
          <cell r="FI213">
            <v>0</v>
          </cell>
        </row>
        <row r="214">
          <cell r="A214">
            <v>218</v>
          </cell>
          <cell r="O214">
            <v>0</v>
          </cell>
          <cell r="P214">
            <v>0</v>
          </cell>
          <cell r="R214">
            <v>0</v>
          </cell>
          <cell r="T214" t="str">
            <v>m</v>
          </cell>
          <cell r="AS214">
            <v>43500</v>
          </cell>
          <cell r="AT214">
            <v>119</v>
          </cell>
          <cell r="BN214">
            <v>43500</v>
          </cell>
          <cell r="EQ214">
            <v>0</v>
          </cell>
          <cell r="FG214" t="e">
            <v>#N/A</v>
          </cell>
          <cell r="FH214" t="e">
            <v>#N/A</v>
          </cell>
          <cell r="FI214">
            <v>0</v>
          </cell>
        </row>
        <row r="215">
          <cell r="A215">
            <v>219</v>
          </cell>
          <cell r="O215">
            <v>0</v>
          </cell>
          <cell r="P215">
            <v>0</v>
          </cell>
          <cell r="R215">
            <v>0</v>
          </cell>
          <cell r="T215" t="str">
            <v>m</v>
          </cell>
          <cell r="AS215">
            <v>43500</v>
          </cell>
          <cell r="AT215">
            <v>119</v>
          </cell>
          <cell r="BN215">
            <v>43500</v>
          </cell>
          <cell r="EQ215">
            <v>0</v>
          </cell>
          <cell r="FG215" t="e">
            <v>#N/A</v>
          </cell>
          <cell r="FH215" t="e">
            <v>#N/A</v>
          </cell>
          <cell r="FI215">
            <v>0</v>
          </cell>
        </row>
        <row r="216">
          <cell r="A216">
            <v>220</v>
          </cell>
          <cell r="O216">
            <v>0</v>
          </cell>
          <cell r="P216">
            <v>0</v>
          </cell>
          <cell r="R216">
            <v>0</v>
          </cell>
          <cell r="T216" t="str">
            <v>m</v>
          </cell>
          <cell r="AS216">
            <v>43500</v>
          </cell>
          <cell r="AT216">
            <v>119</v>
          </cell>
          <cell r="BN216">
            <v>43500</v>
          </cell>
          <cell r="EQ216">
            <v>0</v>
          </cell>
          <cell r="FG216" t="e">
            <v>#N/A</v>
          </cell>
          <cell r="FH216" t="e">
            <v>#N/A</v>
          </cell>
          <cell r="FI216">
            <v>0</v>
          </cell>
        </row>
        <row r="217">
          <cell r="A217">
            <v>221</v>
          </cell>
          <cell r="O217">
            <v>0</v>
          </cell>
          <cell r="P217">
            <v>0</v>
          </cell>
          <cell r="R217">
            <v>0</v>
          </cell>
          <cell r="T217" t="str">
            <v>m</v>
          </cell>
          <cell r="AS217">
            <v>43500</v>
          </cell>
          <cell r="AT217">
            <v>119</v>
          </cell>
          <cell r="BN217">
            <v>43500</v>
          </cell>
          <cell r="EQ217">
            <v>0</v>
          </cell>
          <cell r="FG217" t="e">
            <v>#N/A</v>
          </cell>
          <cell r="FH217" t="e">
            <v>#N/A</v>
          </cell>
          <cell r="FI217">
            <v>0</v>
          </cell>
        </row>
        <row r="218">
          <cell r="A218">
            <v>222</v>
          </cell>
          <cell r="O218">
            <v>0</v>
          </cell>
          <cell r="P218">
            <v>0</v>
          </cell>
          <cell r="R218">
            <v>0</v>
          </cell>
          <cell r="T218" t="str">
            <v>m</v>
          </cell>
          <cell r="AS218">
            <v>43500</v>
          </cell>
          <cell r="AT218">
            <v>119</v>
          </cell>
          <cell r="BN218">
            <v>43500</v>
          </cell>
          <cell r="EQ218">
            <v>0</v>
          </cell>
          <cell r="FG218" t="e">
            <v>#N/A</v>
          </cell>
          <cell r="FH218" t="e">
            <v>#N/A</v>
          </cell>
          <cell r="FI218">
            <v>0</v>
          </cell>
        </row>
        <row r="219">
          <cell r="A219">
            <v>223</v>
          </cell>
          <cell r="O219">
            <v>0</v>
          </cell>
          <cell r="P219">
            <v>0</v>
          </cell>
          <cell r="R219">
            <v>0</v>
          </cell>
          <cell r="T219" t="str">
            <v>m</v>
          </cell>
          <cell r="AS219">
            <v>43500</v>
          </cell>
          <cell r="AT219">
            <v>119</v>
          </cell>
          <cell r="BN219">
            <v>43500</v>
          </cell>
          <cell r="EQ219">
            <v>0</v>
          </cell>
          <cell r="FG219" t="e">
            <v>#N/A</v>
          </cell>
          <cell r="FH219" t="e">
            <v>#N/A</v>
          </cell>
          <cell r="FI219">
            <v>0</v>
          </cell>
        </row>
        <row r="220">
          <cell r="A220">
            <v>224</v>
          </cell>
          <cell r="O220">
            <v>0</v>
          </cell>
          <cell r="P220">
            <v>0</v>
          </cell>
          <cell r="R220">
            <v>0</v>
          </cell>
          <cell r="T220" t="str">
            <v>m</v>
          </cell>
          <cell r="AS220">
            <v>43500</v>
          </cell>
          <cell r="AT220">
            <v>119</v>
          </cell>
          <cell r="BN220">
            <v>43500</v>
          </cell>
          <cell r="EQ220">
            <v>0</v>
          </cell>
          <cell r="FG220" t="e">
            <v>#N/A</v>
          </cell>
          <cell r="FH220" t="e">
            <v>#N/A</v>
          </cell>
          <cell r="FI220">
            <v>0</v>
          </cell>
        </row>
        <row r="221">
          <cell r="A221">
            <v>225</v>
          </cell>
          <cell r="O221">
            <v>0</v>
          </cell>
          <cell r="P221">
            <v>0</v>
          </cell>
          <cell r="R221">
            <v>0</v>
          </cell>
          <cell r="T221" t="str">
            <v>m</v>
          </cell>
          <cell r="AS221">
            <v>43500</v>
          </cell>
          <cell r="AT221">
            <v>119</v>
          </cell>
          <cell r="BN221">
            <v>43500</v>
          </cell>
          <cell r="EQ221">
            <v>0</v>
          </cell>
          <cell r="FG221" t="e">
            <v>#N/A</v>
          </cell>
          <cell r="FH221" t="e">
            <v>#N/A</v>
          </cell>
          <cell r="FI221">
            <v>0</v>
          </cell>
        </row>
        <row r="222">
          <cell r="A222">
            <v>226</v>
          </cell>
          <cell r="O222">
            <v>0</v>
          </cell>
          <cell r="P222">
            <v>0</v>
          </cell>
          <cell r="R222">
            <v>0</v>
          </cell>
          <cell r="T222" t="str">
            <v>m</v>
          </cell>
          <cell r="AS222">
            <v>43500</v>
          </cell>
          <cell r="AT222">
            <v>119</v>
          </cell>
          <cell r="BN222">
            <v>43500</v>
          </cell>
          <cell r="EQ222">
            <v>0</v>
          </cell>
          <cell r="FG222" t="e">
            <v>#N/A</v>
          </cell>
          <cell r="FH222" t="e">
            <v>#N/A</v>
          </cell>
          <cell r="FI222">
            <v>0</v>
          </cell>
        </row>
        <row r="223">
          <cell r="A223">
            <v>227</v>
          </cell>
          <cell r="O223">
            <v>0</v>
          </cell>
          <cell r="P223">
            <v>0</v>
          </cell>
          <cell r="R223">
            <v>0</v>
          </cell>
          <cell r="T223" t="str">
            <v>m</v>
          </cell>
          <cell r="AS223">
            <v>43500</v>
          </cell>
          <cell r="AT223">
            <v>119</v>
          </cell>
          <cell r="BN223">
            <v>43500</v>
          </cell>
          <cell r="EQ223">
            <v>0</v>
          </cell>
          <cell r="FG223" t="e">
            <v>#N/A</v>
          </cell>
          <cell r="FH223" t="e">
            <v>#N/A</v>
          </cell>
          <cell r="FI223">
            <v>0</v>
          </cell>
        </row>
        <row r="224">
          <cell r="A224">
            <v>228</v>
          </cell>
          <cell r="O224">
            <v>0</v>
          </cell>
          <cell r="P224">
            <v>0</v>
          </cell>
          <cell r="R224">
            <v>0</v>
          </cell>
          <cell r="T224" t="str">
            <v>m</v>
          </cell>
          <cell r="AS224">
            <v>43500</v>
          </cell>
          <cell r="AT224">
            <v>119</v>
          </cell>
          <cell r="BN224">
            <v>43500</v>
          </cell>
          <cell r="EQ224">
            <v>0</v>
          </cell>
          <cell r="FG224" t="e">
            <v>#N/A</v>
          </cell>
          <cell r="FH224" t="e">
            <v>#N/A</v>
          </cell>
          <cell r="FI224">
            <v>0</v>
          </cell>
        </row>
        <row r="225">
          <cell r="A225">
            <v>230</v>
          </cell>
          <cell r="O225">
            <v>0</v>
          </cell>
          <cell r="P225">
            <v>0</v>
          </cell>
          <cell r="R225">
            <v>0</v>
          </cell>
          <cell r="T225" t="str">
            <v>m</v>
          </cell>
          <cell r="AS225">
            <v>43500</v>
          </cell>
          <cell r="AT225">
            <v>119</v>
          </cell>
          <cell r="BN225">
            <v>43500</v>
          </cell>
          <cell r="EQ225">
            <v>0</v>
          </cell>
          <cell r="FG225" t="e">
            <v>#N/A</v>
          </cell>
          <cell r="FH225" t="e">
            <v>#N/A</v>
          </cell>
          <cell r="FI225">
            <v>0</v>
          </cell>
        </row>
        <row r="226">
          <cell r="A226">
            <v>231</v>
          </cell>
          <cell r="O226">
            <v>0</v>
          </cell>
          <cell r="P226">
            <v>0</v>
          </cell>
          <cell r="R226">
            <v>0</v>
          </cell>
          <cell r="T226" t="str">
            <v>m</v>
          </cell>
          <cell r="AS226">
            <v>43500</v>
          </cell>
          <cell r="AT226">
            <v>119</v>
          </cell>
          <cell r="BN226">
            <v>43500</v>
          </cell>
          <cell r="EQ226">
            <v>0</v>
          </cell>
          <cell r="FG226" t="e">
            <v>#N/A</v>
          </cell>
          <cell r="FH226" t="e">
            <v>#N/A</v>
          </cell>
          <cell r="FI226">
            <v>0</v>
          </cell>
        </row>
        <row r="227">
          <cell r="A227">
            <v>232</v>
          </cell>
          <cell r="O227">
            <v>0</v>
          </cell>
          <cell r="P227">
            <v>0</v>
          </cell>
          <cell r="R227">
            <v>0</v>
          </cell>
          <cell r="T227" t="str">
            <v>m</v>
          </cell>
          <cell r="AS227">
            <v>43500</v>
          </cell>
          <cell r="AT227">
            <v>119</v>
          </cell>
          <cell r="BN227">
            <v>43500</v>
          </cell>
          <cell r="EQ227">
            <v>0</v>
          </cell>
          <cell r="FG227" t="e">
            <v>#N/A</v>
          </cell>
          <cell r="FH227" t="e">
            <v>#N/A</v>
          </cell>
          <cell r="FI227">
            <v>0</v>
          </cell>
        </row>
        <row r="228">
          <cell r="A228">
            <v>233</v>
          </cell>
          <cell r="O228">
            <v>0</v>
          </cell>
          <cell r="P228">
            <v>0</v>
          </cell>
          <cell r="R228">
            <v>0</v>
          </cell>
          <cell r="T228" t="str">
            <v>m</v>
          </cell>
          <cell r="AS228">
            <v>43500</v>
          </cell>
          <cell r="AT228">
            <v>119</v>
          </cell>
          <cell r="BN228">
            <v>43500</v>
          </cell>
          <cell r="EQ228">
            <v>0</v>
          </cell>
          <cell r="FG228" t="e">
            <v>#N/A</v>
          </cell>
          <cell r="FH228" t="e">
            <v>#N/A</v>
          </cell>
          <cell r="FI228">
            <v>0</v>
          </cell>
        </row>
        <row r="229">
          <cell r="A229">
            <v>234</v>
          </cell>
          <cell r="O229">
            <v>0</v>
          </cell>
          <cell r="P229">
            <v>0</v>
          </cell>
          <cell r="R229">
            <v>0</v>
          </cell>
          <cell r="T229" t="str">
            <v>m</v>
          </cell>
          <cell r="AS229">
            <v>43500</v>
          </cell>
          <cell r="AT229">
            <v>119</v>
          </cell>
          <cell r="BN229">
            <v>43500</v>
          </cell>
          <cell r="EQ229">
            <v>0</v>
          </cell>
          <cell r="FG229" t="e">
            <v>#N/A</v>
          </cell>
          <cell r="FH229" t="e">
            <v>#N/A</v>
          </cell>
          <cell r="FI229">
            <v>0</v>
          </cell>
        </row>
        <row r="230">
          <cell r="A230">
            <v>235</v>
          </cell>
          <cell r="O230">
            <v>0</v>
          </cell>
          <cell r="P230">
            <v>0</v>
          </cell>
          <cell r="R230">
            <v>0</v>
          </cell>
          <cell r="T230" t="str">
            <v>m</v>
          </cell>
          <cell r="AS230">
            <v>43500</v>
          </cell>
          <cell r="AT230">
            <v>119</v>
          </cell>
          <cell r="BN230">
            <v>43500</v>
          </cell>
          <cell r="EQ230">
            <v>0</v>
          </cell>
          <cell r="FG230" t="e">
            <v>#N/A</v>
          </cell>
          <cell r="FH230" t="e">
            <v>#N/A</v>
          </cell>
          <cell r="FI230">
            <v>0</v>
          </cell>
        </row>
        <row r="231">
          <cell r="A231">
            <v>236</v>
          </cell>
          <cell r="O231">
            <v>0</v>
          </cell>
          <cell r="P231">
            <v>0</v>
          </cell>
          <cell r="R231">
            <v>0</v>
          </cell>
          <cell r="T231" t="str">
            <v>m</v>
          </cell>
          <cell r="AS231">
            <v>43500</v>
          </cell>
          <cell r="AT231">
            <v>119</v>
          </cell>
          <cell r="BN231">
            <v>43500</v>
          </cell>
          <cell r="EQ231">
            <v>0</v>
          </cell>
          <cell r="FG231" t="e">
            <v>#N/A</v>
          </cell>
          <cell r="FH231" t="e">
            <v>#N/A</v>
          </cell>
          <cell r="FI231">
            <v>0</v>
          </cell>
        </row>
        <row r="232">
          <cell r="A232">
            <v>237</v>
          </cell>
          <cell r="O232">
            <v>0</v>
          </cell>
          <cell r="P232">
            <v>0</v>
          </cell>
          <cell r="R232">
            <v>0</v>
          </cell>
          <cell r="T232" t="str">
            <v>m</v>
          </cell>
          <cell r="AS232">
            <v>43500</v>
          </cell>
          <cell r="AT232">
            <v>119</v>
          </cell>
          <cell r="BN232">
            <v>43500</v>
          </cell>
          <cell r="EQ232">
            <v>0</v>
          </cell>
          <cell r="FG232" t="e">
            <v>#N/A</v>
          </cell>
          <cell r="FH232" t="e">
            <v>#N/A</v>
          </cell>
          <cell r="FI232">
            <v>0</v>
          </cell>
        </row>
        <row r="233">
          <cell r="A233">
            <v>238</v>
          </cell>
          <cell r="O233">
            <v>0</v>
          </cell>
          <cell r="P233">
            <v>0</v>
          </cell>
          <cell r="R233">
            <v>0</v>
          </cell>
          <cell r="T233" t="str">
            <v>m</v>
          </cell>
          <cell r="AS233">
            <v>43500</v>
          </cell>
          <cell r="AT233">
            <v>119</v>
          </cell>
          <cell r="BN233">
            <v>43500</v>
          </cell>
          <cell r="EQ233">
            <v>0</v>
          </cell>
          <cell r="FG233" t="e">
            <v>#N/A</v>
          </cell>
          <cell r="FH233" t="e">
            <v>#N/A</v>
          </cell>
          <cell r="FI233">
            <v>0</v>
          </cell>
        </row>
        <row r="234">
          <cell r="A234">
            <v>239</v>
          </cell>
          <cell r="O234">
            <v>0</v>
          </cell>
          <cell r="P234">
            <v>0</v>
          </cell>
          <cell r="R234">
            <v>0</v>
          </cell>
          <cell r="T234" t="str">
            <v>m</v>
          </cell>
          <cell r="AS234">
            <v>43500</v>
          </cell>
          <cell r="AT234">
            <v>119</v>
          </cell>
          <cell r="BN234">
            <v>43500</v>
          </cell>
          <cell r="EQ234">
            <v>0</v>
          </cell>
          <cell r="FG234" t="e">
            <v>#N/A</v>
          </cell>
          <cell r="FH234" t="e">
            <v>#N/A</v>
          </cell>
          <cell r="FI234">
            <v>0</v>
          </cell>
        </row>
        <row r="235">
          <cell r="A235">
            <v>240</v>
          </cell>
          <cell r="O235">
            <v>0</v>
          </cell>
          <cell r="P235">
            <v>0</v>
          </cell>
          <cell r="R235">
            <v>0</v>
          </cell>
          <cell r="T235" t="str">
            <v>m</v>
          </cell>
          <cell r="AS235">
            <v>43500</v>
          </cell>
          <cell r="AT235">
            <v>119</v>
          </cell>
          <cell r="BN235">
            <v>43500</v>
          </cell>
          <cell r="EQ235">
            <v>0</v>
          </cell>
          <cell r="FG235" t="e">
            <v>#N/A</v>
          </cell>
          <cell r="FH235" t="e">
            <v>#N/A</v>
          </cell>
          <cell r="FI235">
            <v>0</v>
          </cell>
        </row>
        <row r="236">
          <cell r="A236">
            <v>241</v>
          </cell>
          <cell r="B236" t="str">
            <v>سفيان يوسف مختار محمد الحاج</v>
          </cell>
          <cell r="C236" t="str">
            <v>سفيان</v>
          </cell>
          <cell r="D236" t="str">
            <v>يوسف</v>
          </cell>
          <cell r="E236" t="str">
            <v>مختار</v>
          </cell>
          <cell r="F236" t="str">
            <v>محمد</v>
          </cell>
          <cell r="G236" t="str">
            <v>المصنع</v>
          </cell>
          <cell r="H236" t="str">
            <v>الانتاج</v>
          </cell>
          <cell r="I236" t="str">
            <v>الزوايا</v>
          </cell>
          <cell r="K236" t="str">
            <v>عامل</v>
          </cell>
          <cell r="L236" t="str">
            <v>مساعد مشغل</v>
          </cell>
          <cell r="M236">
            <v>41023</v>
          </cell>
          <cell r="N236">
            <v>43500</v>
          </cell>
          <cell r="O236">
            <v>6</v>
          </cell>
          <cell r="P236">
            <v>9</v>
          </cell>
          <cell r="R236">
            <v>202.5</v>
          </cell>
          <cell r="Z236">
            <v>28491</v>
          </cell>
          <cell r="AG236">
            <v>9</v>
          </cell>
          <cell r="AH236">
            <v>1</v>
          </cell>
          <cell r="AJ236" t="str">
            <v>458628</v>
          </cell>
          <cell r="AK236">
            <v>8</v>
          </cell>
          <cell r="AL236">
            <v>2</v>
          </cell>
          <cell r="AM236">
            <v>6</v>
          </cell>
          <cell r="AN236">
            <v>8</v>
          </cell>
          <cell r="AO236">
            <v>5</v>
          </cell>
          <cell r="AP236">
            <v>4</v>
          </cell>
          <cell r="AS236">
            <v>43500</v>
          </cell>
          <cell r="AT236">
            <v>41</v>
          </cell>
          <cell r="AU236" t="str">
            <v>جنسيه</v>
          </cell>
          <cell r="AV236" t="str">
            <v>377095</v>
          </cell>
          <cell r="AW236">
            <v>5</v>
          </cell>
          <cell r="AX236">
            <v>9</v>
          </cell>
          <cell r="AY236">
            <v>0</v>
          </cell>
          <cell r="AZ236">
            <v>7</v>
          </cell>
          <cell r="BA236">
            <v>7</v>
          </cell>
          <cell r="BB236">
            <v>3</v>
          </cell>
          <cell r="BE236" t="str">
            <v>114-1744068-2</v>
          </cell>
          <cell r="BF236" t="str">
            <v>بخيته احمد محمد</v>
          </cell>
          <cell r="BG236" t="str">
            <v>العربى</v>
          </cell>
          <cell r="BH236" t="str">
            <v>بترى</v>
          </cell>
          <cell r="BI236" t="str">
            <v>0968334331</v>
          </cell>
          <cell r="BJ236" t="str">
            <v>محمد الفاضل</v>
          </cell>
          <cell r="BK236" t="str">
            <v>0925299440</v>
          </cell>
          <cell r="BL236" t="str">
            <v>خالي الطرف</v>
          </cell>
          <cell r="BN236">
            <v>43500</v>
          </cell>
          <cell r="EQ236">
            <v>0</v>
          </cell>
          <cell r="ER236">
            <v>126</v>
          </cell>
          <cell r="ES236">
            <v>41023</v>
          </cell>
          <cell r="ET236">
            <v>41387</v>
          </cell>
          <cell r="EU236" t="str">
            <v>عامل</v>
          </cell>
          <cell r="FG236" t="str">
            <v xml:space="preserve"> مدير الانتاج</v>
          </cell>
          <cell r="FH236" t="str">
            <v>هشام عيسى محمد عبدالكريم</v>
          </cell>
          <cell r="FI236" t="str">
            <v>114-1744068-2</v>
          </cell>
        </row>
        <row r="237">
          <cell r="A237">
            <v>242</v>
          </cell>
          <cell r="B237" t="str">
            <v>عبدالوكيل الجيلانى الختيم حسين</v>
          </cell>
          <cell r="C237" t="str">
            <v>عبدالوكيل</v>
          </cell>
          <cell r="D237" t="str">
            <v>الجيلانى</v>
          </cell>
          <cell r="E237" t="str">
            <v>الختيم</v>
          </cell>
          <cell r="F237" t="str">
            <v>حسين</v>
          </cell>
          <cell r="G237" t="str">
            <v>المصنع</v>
          </cell>
          <cell r="H237" t="str">
            <v>الاداره</v>
          </cell>
          <cell r="K237" t="str">
            <v>عامل</v>
          </cell>
          <cell r="L237" t="str">
            <v>موظف مشتروات</v>
          </cell>
          <cell r="M237">
            <v>41022</v>
          </cell>
          <cell r="N237">
            <v>43500</v>
          </cell>
          <cell r="O237">
            <v>6</v>
          </cell>
          <cell r="P237">
            <v>9</v>
          </cell>
          <cell r="R237">
            <v>202.5</v>
          </cell>
          <cell r="Z237">
            <v>23377</v>
          </cell>
          <cell r="AG237">
            <v>9</v>
          </cell>
          <cell r="AH237">
            <v>1</v>
          </cell>
          <cell r="AI237" t="str">
            <v>تسنين</v>
          </cell>
          <cell r="AJ237" t="str">
            <v>1871074</v>
          </cell>
          <cell r="AK237">
            <v>4</v>
          </cell>
          <cell r="AL237">
            <v>7</v>
          </cell>
          <cell r="AM237">
            <v>0</v>
          </cell>
          <cell r="AN237">
            <v>1</v>
          </cell>
          <cell r="AO237">
            <v>7</v>
          </cell>
          <cell r="AP237">
            <v>8</v>
          </cell>
          <cell r="AQ237">
            <v>1</v>
          </cell>
          <cell r="AS237">
            <v>43500</v>
          </cell>
          <cell r="AT237">
            <v>55</v>
          </cell>
          <cell r="AU237" t="str">
            <v>جواز سفر</v>
          </cell>
          <cell r="AV237" t="str">
            <v>408978</v>
          </cell>
          <cell r="AW237">
            <v>8</v>
          </cell>
          <cell r="AX237">
            <v>7</v>
          </cell>
          <cell r="AY237">
            <v>9</v>
          </cell>
          <cell r="AZ237">
            <v>8</v>
          </cell>
          <cell r="BA237">
            <v>0</v>
          </cell>
          <cell r="BB237">
            <v>4</v>
          </cell>
          <cell r="BE237" t="str">
            <v>120-8101719-8</v>
          </cell>
          <cell r="BF237" t="str">
            <v>شبك النور يعقوب</v>
          </cell>
          <cell r="BG237" t="str">
            <v>الكلاكله</v>
          </cell>
          <cell r="BH237" t="str">
            <v>ود الكرين</v>
          </cell>
          <cell r="BI237" t="str">
            <v>0111641006</v>
          </cell>
          <cell r="BJ237" t="str">
            <v>مصطفى قمر الدوله</v>
          </cell>
          <cell r="BK237" t="str">
            <v>0918897206</v>
          </cell>
          <cell r="BL237" t="str">
            <v>كبار سن</v>
          </cell>
          <cell r="BN237">
            <v>43500</v>
          </cell>
          <cell r="EL237">
            <v>30</v>
          </cell>
          <cell r="EM237">
            <v>30</v>
          </cell>
          <cell r="EN237">
            <v>30</v>
          </cell>
          <cell r="EP237">
            <v>30</v>
          </cell>
          <cell r="EQ237">
            <v>150</v>
          </cell>
          <cell r="ER237">
            <v>21</v>
          </cell>
          <cell r="ES237">
            <v>41022</v>
          </cell>
          <cell r="ET237">
            <v>41386</v>
          </cell>
          <cell r="EU237" t="str">
            <v>عامل</v>
          </cell>
          <cell r="FG237" t="str">
            <v>المدير الادارى</v>
          </cell>
          <cell r="FH237" t="str">
            <v>احمد عبدالرحيم ابوبكر محمد</v>
          </cell>
          <cell r="FI237" t="str">
            <v>120-8101719-8</v>
          </cell>
          <cell r="HC237" t="str">
            <v>30</v>
          </cell>
        </row>
        <row r="238">
          <cell r="A238">
            <v>247</v>
          </cell>
          <cell r="B238" t="str">
            <v>سليمان عبدالهادى سليمان عبد الهادى</v>
          </cell>
          <cell r="G238" t="str">
            <v>المصنع</v>
          </cell>
          <cell r="H238" t="str">
            <v>الامن و الحركه</v>
          </cell>
          <cell r="K238" t="str">
            <v>فرد امن</v>
          </cell>
          <cell r="L238" t="str">
            <v>فرد امن</v>
          </cell>
          <cell r="M238">
            <v>41024</v>
          </cell>
          <cell r="O238" t="e">
            <v>#NUM!</v>
          </cell>
          <cell r="P238" t="e">
            <v>#NUM!</v>
          </cell>
          <cell r="R238" t="e">
            <v>#NUM!</v>
          </cell>
          <cell r="T238" t="str">
            <v>m</v>
          </cell>
          <cell r="Z238">
            <v>29025</v>
          </cell>
          <cell r="AI238" t="str">
            <v>ميلاد</v>
          </cell>
          <cell r="AJ238" t="str">
            <v>0876488</v>
          </cell>
          <cell r="AK238">
            <v>8</v>
          </cell>
          <cell r="AL238">
            <v>8</v>
          </cell>
          <cell r="AM238">
            <v>4</v>
          </cell>
          <cell r="AN238">
            <v>6</v>
          </cell>
          <cell r="AO238">
            <v>7</v>
          </cell>
          <cell r="AP238">
            <v>8</v>
          </cell>
          <cell r="AQ238">
            <v>0</v>
          </cell>
          <cell r="AS238">
            <v>43500</v>
          </cell>
          <cell r="AT238">
            <v>39</v>
          </cell>
          <cell r="AU238" t="str">
            <v>جنسيه</v>
          </cell>
          <cell r="AV238" t="str">
            <v>422063</v>
          </cell>
          <cell r="AW238">
            <v>3</v>
          </cell>
          <cell r="AX238">
            <v>6</v>
          </cell>
          <cell r="AY238">
            <v>0</v>
          </cell>
          <cell r="AZ238">
            <v>2</v>
          </cell>
          <cell r="BA238">
            <v>2</v>
          </cell>
          <cell r="BB238">
            <v>4</v>
          </cell>
          <cell r="BF238" t="str">
            <v>نوره الضى عبدالهادى</v>
          </cell>
          <cell r="BH238" t="str">
            <v>امدرمان - امبده ح 14</v>
          </cell>
          <cell r="BI238" t="str">
            <v>0912362982</v>
          </cell>
          <cell r="BN238">
            <v>43500</v>
          </cell>
          <cell r="BX238" t="str">
            <v>شهاده ثانويه</v>
          </cell>
          <cell r="BZ238">
            <v>38412</v>
          </cell>
          <cell r="CQ238" t="str">
            <v>شركة بترونيدز للخدمات العالميه</v>
          </cell>
          <cell r="CR238" t="str">
            <v>حرس</v>
          </cell>
          <cell r="CS238">
            <v>39163</v>
          </cell>
          <cell r="CT238">
            <v>40733</v>
          </cell>
          <cell r="EQ238">
            <v>0</v>
          </cell>
          <cell r="FG238" t="str">
            <v>مدير الامن و الحركه</v>
          </cell>
          <cell r="FH238" t="str">
            <v>فارس حمدان عبدالله فارس</v>
          </cell>
          <cell r="FI238">
            <v>0</v>
          </cell>
        </row>
        <row r="239">
          <cell r="A239">
            <v>250</v>
          </cell>
          <cell r="B239" t="str">
            <v>عبدالكريم الخير الحاج عبدالكريم</v>
          </cell>
          <cell r="G239" t="str">
            <v>المصنع</v>
          </cell>
          <cell r="H239" t="str">
            <v>الانتاج</v>
          </cell>
          <cell r="K239" t="str">
            <v>حداد</v>
          </cell>
          <cell r="L239" t="str">
            <v>فنى إنتاج</v>
          </cell>
          <cell r="M239">
            <v>43497</v>
          </cell>
          <cell r="O239" t="e">
            <v>#NUM!</v>
          </cell>
          <cell r="P239" t="e">
            <v>#NUM!</v>
          </cell>
          <cell r="R239" t="e">
            <v>#NUM!</v>
          </cell>
          <cell r="T239" t="str">
            <v>m</v>
          </cell>
          <cell r="X239">
            <v>41042</v>
          </cell>
          <cell r="Z239">
            <v>32380</v>
          </cell>
          <cell r="AI239" t="str">
            <v>ميلاد</v>
          </cell>
          <cell r="AJ239" t="str">
            <v>849104</v>
          </cell>
          <cell r="AK239">
            <v>4</v>
          </cell>
          <cell r="AL239">
            <v>0</v>
          </cell>
          <cell r="AM239">
            <v>1</v>
          </cell>
          <cell r="AN239">
            <v>9</v>
          </cell>
          <cell r="AO239">
            <v>4</v>
          </cell>
          <cell r="AP239">
            <v>8</v>
          </cell>
          <cell r="AS239">
            <v>43500</v>
          </cell>
          <cell r="AT239">
            <v>30</v>
          </cell>
          <cell r="AU239" t="str">
            <v>بطاقه قوميه</v>
          </cell>
          <cell r="AV239" t="str">
            <v>001839798</v>
          </cell>
          <cell r="AW239">
            <v>8</v>
          </cell>
          <cell r="AX239">
            <v>9</v>
          </cell>
          <cell r="AY239">
            <v>7</v>
          </cell>
          <cell r="AZ239">
            <v>9</v>
          </cell>
          <cell r="BA239">
            <v>3</v>
          </cell>
          <cell r="BB239">
            <v>8</v>
          </cell>
          <cell r="BC239">
            <v>1</v>
          </cell>
          <cell r="BD239">
            <v>0</v>
          </cell>
          <cell r="BE239" t="str">
            <v>119-2492130-2</v>
          </cell>
          <cell r="BF239" t="str">
            <v>صفية عبدالله</v>
          </cell>
          <cell r="BG239" t="str">
            <v>الكلاكله</v>
          </cell>
          <cell r="BH239" t="str">
            <v>الانقاز - م 1</v>
          </cell>
          <cell r="BI239" t="str">
            <v>0917918825</v>
          </cell>
          <cell r="BJ239" t="str">
            <v>عبدالله عبدالكريم</v>
          </cell>
          <cell r="BL239" t="str">
            <v>خالي الطرف</v>
          </cell>
          <cell r="BN239">
            <v>43500</v>
          </cell>
          <cell r="BS239" t="str">
            <v>برادة الصيانة</v>
          </cell>
          <cell r="BT239" t="str">
            <v>تدريب مهني</v>
          </cell>
          <cell r="BU239" t="str">
            <v xml:space="preserve">المجلس الاعلى للتدريب المهنى </v>
          </cell>
          <cell r="BV239">
            <v>39263</v>
          </cell>
          <cell r="CQ239" t="str">
            <v xml:space="preserve">ليدر تكنولوجى </v>
          </cell>
          <cell r="CR239" t="str">
            <v>حداد</v>
          </cell>
          <cell r="CS239">
            <v>40565</v>
          </cell>
          <cell r="CT239">
            <v>40925</v>
          </cell>
          <cell r="CV239" t="str">
            <v>شركة ذات العماد للصناعة المحدودة</v>
          </cell>
          <cell r="CW239" t="str">
            <v>مشغل زاوية</v>
          </cell>
          <cell r="CX239">
            <v>41041</v>
          </cell>
          <cell r="CY239">
            <v>42277</v>
          </cell>
          <cell r="DA239" t="str">
            <v>شركة المصنع السودانى الماليزى</v>
          </cell>
          <cell r="DB239" t="str">
            <v>متدرب</v>
          </cell>
          <cell r="DC239">
            <v>38944</v>
          </cell>
          <cell r="DD239">
            <v>39216</v>
          </cell>
          <cell r="EQ239">
            <v>0</v>
          </cell>
          <cell r="FG239" t="str">
            <v xml:space="preserve"> مدير الانتاج</v>
          </cell>
          <cell r="FH239" t="str">
            <v>هشام عيسى محمد عبدالكريم</v>
          </cell>
          <cell r="FI239" t="str">
            <v>119-2492130-2</v>
          </cell>
        </row>
        <row r="240">
          <cell r="A240">
            <v>253</v>
          </cell>
          <cell r="B240" t="str">
            <v>ياسر سلمان القاسم</v>
          </cell>
          <cell r="G240" t="str">
            <v>المصنع</v>
          </cell>
          <cell r="H240" t="str">
            <v>الوحده العلاجيه</v>
          </cell>
          <cell r="L240" t="str">
            <v>فنى معمل</v>
          </cell>
          <cell r="M240">
            <v>41041</v>
          </cell>
          <cell r="N240">
            <v>42810</v>
          </cell>
          <cell r="O240">
            <v>4</v>
          </cell>
          <cell r="P240">
            <v>10</v>
          </cell>
          <cell r="R240">
            <v>145</v>
          </cell>
          <cell r="T240" t="str">
            <v>إستقال</v>
          </cell>
          <cell r="U240">
            <v>42810</v>
          </cell>
          <cell r="V240">
            <v>42810</v>
          </cell>
          <cell r="Z240">
            <v>27760</v>
          </cell>
          <cell r="AG240">
            <v>9</v>
          </cell>
          <cell r="AH240">
            <v>1</v>
          </cell>
          <cell r="AI240" t="str">
            <v>تسنين</v>
          </cell>
          <cell r="AJ240" t="str">
            <v>17086</v>
          </cell>
          <cell r="AK240">
            <v>6</v>
          </cell>
          <cell r="AL240">
            <v>8</v>
          </cell>
          <cell r="AM240">
            <v>0</v>
          </cell>
          <cell r="AN240">
            <v>7</v>
          </cell>
          <cell r="AO240">
            <v>1</v>
          </cell>
          <cell r="AS240">
            <v>43500</v>
          </cell>
          <cell r="AT240">
            <v>43</v>
          </cell>
          <cell r="AU240" t="str">
            <v>جنسيه</v>
          </cell>
          <cell r="AV240" t="str">
            <v>0674456</v>
          </cell>
          <cell r="AW240">
            <v>6</v>
          </cell>
          <cell r="AX240">
            <v>5</v>
          </cell>
          <cell r="AY240">
            <v>4</v>
          </cell>
          <cell r="AZ240">
            <v>4</v>
          </cell>
          <cell r="BA240">
            <v>7</v>
          </cell>
          <cell r="BB240">
            <v>6</v>
          </cell>
          <cell r="BC240">
            <v>0</v>
          </cell>
          <cell r="BF240" t="str">
            <v>بلوله على الطيب</v>
          </cell>
          <cell r="BG240" t="str">
            <v>جبره</v>
          </cell>
          <cell r="BH240" t="str">
            <v>جبره م (15) منزل رقم (1254)</v>
          </cell>
          <cell r="BI240" t="str">
            <v>0912560602</v>
          </cell>
          <cell r="BJ240" t="str">
            <v>السر على الامين</v>
          </cell>
          <cell r="BN240">
            <v>43500</v>
          </cell>
          <cell r="BS240" t="str">
            <v>فنى مختبرات - ملاريا</v>
          </cell>
          <cell r="BT240" t="str">
            <v>شهاده كورس</v>
          </cell>
          <cell r="BU240" t="str">
            <v>اكاديمية العلوم الطبية والتكنولوجيا</v>
          </cell>
          <cell r="BV240">
            <v>35810</v>
          </cell>
          <cell r="EQ240">
            <v>0</v>
          </cell>
          <cell r="FG240" t="str">
            <v>المدير الادارى</v>
          </cell>
          <cell r="FH240" t="str">
            <v>احمد عبدالرحيم ابوبكر محمد</v>
          </cell>
          <cell r="FI240">
            <v>0</v>
          </cell>
        </row>
        <row r="241">
          <cell r="A241">
            <v>260</v>
          </cell>
          <cell r="B241" t="str">
            <v>محمد عبدالمنعم عطا الفضيل خليفه</v>
          </cell>
          <cell r="C241" t="str">
            <v>محمد</v>
          </cell>
          <cell r="D241" t="str">
            <v>عبدالمنعم</v>
          </cell>
          <cell r="E241" t="str">
            <v>عطا</v>
          </cell>
          <cell r="F241" t="str">
            <v>الفضيل</v>
          </cell>
          <cell r="G241" t="str">
            <v>المصنع</v>
          </cell>
          <cell r="H241" t="str">
            <v>الانتاج</v>
          </cell>
          <cell r="I241" t="str">
            <v>الاكسبنده</v>
          </cell>
          <cell r="K241" t="str">
            <v>مشغل خوص</v>
          </cell>
          <cell r="L241" t="str">
            <v>مشغل</v>
          </cell>
          <cell r="M241">
            <v>42312</v>
          </cell>
          <cell r="N241">
            <v>43500</v>
          </cell>
          <cell r="O241">
            <v>3</v>
          </cell>
          <cell r="P241">
            <v>3</v>
          </cell>
          <cell r="R241">
            <v>97.5</v>
          </cell>
          <cell r="X241">
            <v>41046</v>
          </cell>
          <cell r="Z241">
            <v>30095</v>
          </cell>
          <cell r="AG241">
            <v>9</v>
          </cell>
          <cell r="AH241">
            <v>1</v>
          </cell>
          <cell r="AI241" t="str">
            <v>ميلاد</v>
          </cell>
          <cell r="AJ241" t="str">
            <v>721639</v>
          </cell>
          <cell r="AK241">
            <v>9</v>
          </cell>
          <cell r="AL241">
            <v>3</v>
          </cell>
          <cell r="AM241">
            <v>6</v>
          </cell>
          <cell r="AN241">
            <v>1</v>
          </cell>
          <cell r="AO241">
            <v>2</v>
          </cell>
          <cell r="AP241">
            <v>7</v>
          </cell>
          <cell r="AS241">
            <v>43500</v>
          </cell>
          <cell r="AT241">
            <v>36</v>
          </cell>
          <cell r="AU241" t="str">
            <v>بطاقه شخصيه</v>
          </cell>
          <cell r="AV241" t="str">
            <v>120304003</v>
          </cell>
          <cell r="BE241" t="str">
            <v>122-3663663-9</v>
          </cell>
          <cell r="BF241" t="str">
            <v>ام الحسن الكاشف</v>
          </cell>
          <cell r="BG241" t="str">
            <v>الكلاكله</v>
          </cell>
          <cell r="BH241" t="str">
            <v>الكلاكله اللفه - ابو ادم - اللفه م ( 6 )</v>
          </cell>
          <cell r="BI241" t="str">
            <v>0922212640</v>
          </cell>
          <cell r="BJ241" t="str">
            <v>عبد المنعم</v>
          </cell>
          <cell r="BK241" t="str">
            <v>0923469636</v>
          </cell>
          <cell r="BL241" t="str">
            <v>خالي الطرف</v>
          </cell>
          <cell r="BN241">
            <v>43500</v>
          </cell>
          <cell r="BS241" t="str">
            <v>العلوم الرياضيه والحاسوب</v>
          </cell>
          <cell r="BT241" t="str">
            <v>دبلوم وسيط</v>
          </cell>
          <cell r="BU241" t="str">
            <v>جامعة الجزيرة</v>
          </cell>
          <cell r="BV241">
            <v>37885</v>
          </cell>
          <cell r="EQ241">
            <v>0</v>
          </cell>
          <cell r="ER241">
            <v>8</v>
          </cell>
          <cell r="FB241">
            <v>41046</v>
          </cell>
          <cell r="FG241" t="str">
            <v xml:space="preserve"> مدير الانتاج</v>
          </cell>
          <cell r="FH241" t="str">
            <v>هشام عيسى محمد عبدالكريم</v>
          </cell>
          <cell r="FI241" t="str">
            <v>122-3663663-9</v>
          </cell>
        </row>
        <row r="242">
          <cell r="A242">
            <v>262</v>
          </cell>
          <cell r="B242" t="str">
            <v>انس يحيى حسن عبد الله</v>
          </cell>
          <cell r="G242" t="str">
            <v>المصنع</v>
          </cell>
          <cell r="H242" t="str">
            <v>الامن و الحركه</v>
          </cell>
          <cell r="L242" t="str">
            <v>فرد امن</v>
          </cell>
          <cell r="M242">
            <v>41603</v>
          </cell>
          <cell r="O242" t="e">
            <v>#NUM!</v>
          </cell>
          <cell r="P242" t="e">
            <v>#NUM!</v>
          </cell>
          <cell r="R242" t="e">
            <v>#NUM!</v>
          </cell>
          <cell r="T242" t="str">
            <v>m</v>
          </cell>
          <cell r="AS242">
            <v>43500</v>
          </cell>
          <cell r="AT242">
            <v>119</v>
          </cell>
          <cell r="BH242" t="str">
            <v>الخرطوم - الازهرى</v>
          </cell>
          <cell r="BN242">
            <v>43500</v>
          </cell>
          <cell r="EQ242">
            <v>0</v>
          </cell>
          <cell r="ES242">
            <v>41603</v>
          </cell>
          <cell r="ET242">
            <v>41967</v>
          </cell>
          <cell r="EU242" t="str">
            <v>فرد امن</v>
          </cell>
          <cell r="FG242" t="str">
            <v>مدير الامن و الحركه</v>
          </cell>
          <cell r="FH242" t="str">
            <v>فارس حمدان عبدالله فارس</v>
          </cell>
          <cell r="FI242">
            <v>0</v>
          </cell>
        </row>
        <row r="243">
          <cell r="A243">
            <v>265</v>
          </cell>
          <cell r="B243" t="str">
            <v>نصر الدين عبد الحميد عبد الماجد</v>
          </cell>
          <cell r="O243">
            <v>0</v>
          </cell>
          <cell r="P243">
            <v>0</v>
          </cell>
          <cell r="R243">
            <v>0</v>
          </cell>
          <cell r="T243" t="str">
            <v>m</v>
          </cell>
          <cell r="AS243">
            <v>43500</v>
          </cell>
          <cell r="AT243">
            <v>119</v>
          </cell>
          <cell r="BN243">
            <v>43500</v>
          </cell>
          <cell r="EQ243">
            <v>0</v>
          </cell>
          <cell r="FG243" t="e">
            <v>#N/A</v>
          </cell>
          <cell r="FH243" t="e">
            <v>#N/A</v>
          </cell>
          <cell r="FI243">
            <v>0</v>
          </cell>
        </row>
        <row r="244">
          <cell r="A244">
            <v>275</v>
          </cell>
          <cell r="B244" t="str">
            <v>ابوبكر موسى محمد ادريس</v>
          </cell>
          <cell r="C244" t="str">
            <v>ابوبكر</v>
          </cell>
          <cell r="D244" t="str">
            <v>موسى</v>
          </cell>
          <cell r="E244" t="str">
            <v>محمد</v>
          </cell>
          <cell r="F244" t="str">
            <v>ادريس</v>
          </cell>
          <cell r="G244" t="str">
            <v>المصنع</v>
          </cell>
          <cell r="H244" t="str">
            <v>الانتاج</v>
          </cell>
          <cell r="I244" t="str">
            <v>عداد</v>
          </cell>
          <cell r="L244" t="str">
            <v>عامل</v>
          </cell>
          <cell r="M244">
            <v>41074</v>
          </cell>
          <cell r="N244">
            <v>43500</v>
          </cell>
          <cell r="O244">
            <v>6</v>
          </cell>
          <cell r="P244">
            <v>7</v>
          </cell>
          <cell r="R244">
            <v>197.5</v>
          </cell>
          <cell r="T244" t="str">
            <v>إستقال</v>
          </cell>
          <cell r="U244">
            <v>43048</v>
          </cell>
          <cell r="Z244">
            <v>32874</v>
          </cell>
          <cell r="AG244">
            <v>9</v>
          </cell>
          <cell r="AH244">
            <v>1</v>
          </cell>
          <cell r="AI244" t="str">
            <v>تسنين</v>
          </cell>
          <cell r="AJ244" t="str">
            <v>191982</v>
          </cell>
          <cell r="AK244">
            <v>2</v>
          </cell>
          <cell r="AL244">
            <v>8</v>
          </cell>
          <cell r="AM244">
            <v>9</v>
          </cell>
          <cell r="AN244">
            <v>1</v>
          </cell>
          <cell r="AO244">
            <v>9</v>
          </cell>
          <cell r="AP244">
            <v>1</v>
          </cell>
          <cell r="AS244">
            <v>43500</v>
          </cell>
          <cell r="AT244">
            <v>29</v>
          </cell>
          <cell r="AU244" t="str">
            <v>جنسيه</v>
          </cell>
          <cell r="AV244" t="str">
            <v>0773179</v>
          </cell>
          <cell r="AW244">
            <v>9</v>
          </cell>
          <cell r="AX244">
            <v>7</v>
          </cell>
          <cell r="AY244">
            <v>1</v>
          </cell>
          <cell r="AZ244">
            <v>3</v>
          </cell>
          <cell r="BA244">
            <v>7</v>
          </cell>
          <cell r="BB244">
            <v>7</v>
          </cell>
          <cell r="BC244">
            <v>0</v>
          </cell>
          <cell r="BG244" t="str">
            <v>العربى</v>
          </cell>
          <cell r="BH244" t="str">
            <v>الازهرى وسط م (13) منزل رقم (212)</v>
          </cell>
          <cell r="BI244" t="str">
            <v>0917059717</v>
          </cell>
          <cell r="BJ244" t="str">
            <v>فرح موسى</v>
          </cell>
          <cell r="BK244" t="str">
            <v>0126644640</v>
          </cell>
          <cell r="BL244" t="str">
            <v>خالي الطرف</v>
          </cell>
          <cell r="BN244">
            <v>43500</v>
          </cell>
          <cell r="BT244" t="str">
            <v>شهاده ثانويه</v>
          </cell>
          <cell r="BV244">
            <v>40882</v>
          </cell>
          <cell r="BW244" t="str">
            <v>حاسوب</v>
          </cell>
          <cell r="BX244" t="str">
            <v>دبلوم (معاهد)</v>
          </cell>
          <cell r="BY244" t="str">
            <v>المركز التقنى الحديث لعلوم الكمبيوتر</v>
          </cell>
          <cell r="BZ244">
            <v>40595</v>
          </cell>
          <cell r="EQ244">
            <v>0</v>
          </cell>
          <cell r="ER244">
            <v>122</v>
          </cell>
          <cell r="FG244" t="str">
            <v xml:space="preserve"> مدير الانتاج</v>
          </cell>
          <cell r="FH244" t="str">
            <v>هشام عيسى محمد عبدالكريم</v>
          </cell>
          <cell r="FI244">
            <v>0</v>
          </cell>
        </row>
        <row r="245">
          <cell r="A245">
            <v>293</v>
          </cell>
          <cell r="B245" t="str">
            <v>ابراهيم عبدالماجد جاد الله عبدالماجد</v>
          </cell>
          <cell r="C245" t="str">
            <v>ابراهيم</v>
          </cell>
          <cell r="D245" t="str">
            <v>عبدالماجد</v>
          </cell>
          <cell r="E245" t="str">
            <v>جاد الله</v>
          </cell>
          <cell r="F245" t="str">
            <v>عبدالماجد</v>
          </cell>
          <cell r="G245" t="str">
            <v>المصنع</v>
          </cell>
          <cell r="H245" t="str">
            <v>الانتاج</v>
          </cell>
          <cell r="I245" t="str">
            <v>الزوايا</v>
          </cell>
          <cell r="K245" t="str">
            <v>عامل</v>
          </cell>
          <cell r="L245" t="str">
            <v>مشغل</v>
          </cell>
          <cell r="M245">
            <v>41100</v>
          </cell>
          <cell r="N245">
            <v>43500</v>
          </cell>
          <cell r="O245">
            <v>6</v>
          </cell>
          <cell r="P245">
            <v>6</v>
          </cell>
          <cell r="R245">
            <v>195</v>
          </cell>
          <cell r="Z245">
            <v>25204</v>
          </cell>
          <cell r="AG245">
            <v>9</v>
          </cell>
          <cell r="AH245">
            <v>1</v>
          </cell>
          <cell r="AS245">
            <v>43500</v>
          </cell>
          <cell r="AT245">
            <v>50</v>
          </cell>
          <cell r="AU245" t="str">
            <v>بطاقه قوميه</v>
          </cell>
          <cell r="AV245" t="str">
            <v>001671243</v>
          </cell>
          <cell r="AW245">
            <v>9</v>
          </cell>
          <cell r="AX245">
            <v>5</v>
          </cell>
          <cell r="AY245">
            <v>7</v>
          </cell>
          <cell r="AZ245">
            <v>7</v>
          </cell>
          <cell r="BA245">
            <v>7</v>
          </cell>
          <cell r="BB245">
            <v>2</v>
          </cell>
          <cell r="BF245" t="str">
            <v>رضينه عنبر فرج</v>
          </cell>
          <cell r="BG245" t="str">
            <v>العربى</v>
          </cell>
          <cell r="BH245" t="str">
            <v>سوبا - الحله</v>
          </cell>
          <cell r="BI245" t="str">
            <v>0914027040</v>
          </cell>
          <cell r="BJ245" t="str">
            <v>ابو زيد حسب الله</v>
          </cell>
          <cell r="BK245" t="str">
            <v>0915910323</v>
          </cell>
          <cell r="BL245" t="str">
            <v>خالي الطرف</v>
          </cell>
          <cell r="BN245">
            <v>43500</v>
          </cell>
          <cell r="EQ245">
            <v>0</v>
          </cell>
          <cell r="ER245">
            <v>125</v>
          </cell>
          <cell r="ES245">
            <v>41070</v>
          </cell>
          <cell r="ET245">
            <v>41069</v>
          </cell>
          <cell r="EU245" t="str">
            <v>عامل</v>
          </cell>
          <cell r="FG245" t="str">
            <v xml:space="preserve"> مدير الانتاج</v>
          </cell>
          <cell r="FH245" t="str">
            <v>هشام عيسى محمد عبدالكريم</v>
          </cell>
          <cell r="FI245">
            <v>0</v>
          </cell>
        </row>
        <row r="246">
          <cell r="A246">
            <v>297</v>
          </cell>
          <cell r="B246" t="str">
            <v>مقبول حماد كمريا توتو</v>
          </cell>
          <cell r="C246" t="str">
            <v>مقبول</v>
          </cell>
          <cell r="D246" t="str">
            <v>حماد</v>
          </cell>
          <cell r="E246" t="str">
            <v>كمريا</v>
          </cell>
          <cell r="F246" t="str">
            <v>توتو</v>
          </cell>
          <cell r="G246" t="str">
            <v>المصنع</v>
          </cell>
          <cell r="H246" t="str">
            <v>الانتاج</v>
          </cell>
          <cell r="I246" t="str">
            <v>عداد</v>
          </cell>
          <cell r="K246" t="str">
            <v>عامل</v>
          </cell>
          <cell r="L246" t="str">
            <v>مشغل</v>
          </cell>
          <cell r="M246">
            <v>41101</v>
          </cell>
          <cell r="N246">
            <v>43500</v>
          </cell>
          <cell r="O246">
            <v>6</v>
          </cell>
          <cell r="P246">
            <v>6</v>
          </cell>
          <cell r="R246">
            <v>195</v>
          </cell>
          <cell r="Z246">
            <v>28856</v>
          </cell>
          <cell r="AG246">
            <v>9</v>
          </cell>
          <cell r="AH246">
            <v>1</v>
          </cell>
          <cell r="AI246" t="str">
            <v>تسنين</v>
          </cell>
          <cell r="AJ246" t="str">
            <v>092031</v>
          </cell>
          <cell r="AK246">
            <v>1</v>
          </cell>
          <cell r="AL246">
            <v>3</v>
          </cell>
          <cell r="AM246">
            <v>0</v>
          </cell>
          <cell r="AN246">
            <v>2</v>
          </cell>
          <cell r="AO246">
            <v>9</v>
          </cell>
          <cell r="AP246">
            <v>0</v>
          </cell>
          <cell r="AS246">
            <v>43500</v>
          </cell>
          <cell r="AT246">
            <v>40</v>
          </cell>
          <cell r="AU246" t="str">
            <v>بطاقه قوميه</v>
          </cell>
          <cell r="AV246" t="str">
            <v>002593242</v>
          </cell>
          <cell r="AW246">
            <v>2</v>
          </cell>
          <cell r="AX246">
            <v>4</v>
          </cell>
          <cell r="AY246">
            <v>2</v>
          </cell>
          <cell r="AZ246">
            <v>3</v>
          </cell>
          <cell r="BA246">
            <v>9</v>
          </cell>
          <cell r="BB246">
            <v>5</v>
          </cell>
          <cell r="BC246">
            <v>2</v>
          </cell>
          <cell r="BD246">
            <v>0</v>
          </cell>
          <cell r="BF246" t="str">
            <v>مهيله إدريس</v>
          </cell>
          <cell r="BG246" t="str">
            <v>العربى</v>
          </cell>
          <cell r="BH246" t="str">
            <v>امدرمان - امبده ح ( 14 ) م ( 46 )</v>
          </cell>
          <cell r="BI246" t="str">
            <v>0926627211</v>
          </cell>
          <cell r="BJ246" t="str">
            <v>ضيين كوكو</v>
          </cell>
          <cell r="BK246" t="str">
            <v>0913896635</v>
          </cell>
          <cell r="BL246" t="str">
            <v>خالي الطرف</v>
          </cell>
          <cell r="BN246">
            <v>43500</v>
          </cell>
          <cell r="EQ246">
            <v>0</v>
          </cell>
          <cell r="ER246">
            <v>115</v>
          </cell>
          <cell r="FG246" t="str">
            <v xml:space="preserve"> مدير الانتاج</v>
          </cell>
          <cell r="FH246" t="str">
            <v>هشام عيسى محمد عبدالكريم</v>
          </cell>
          <cell r="FI246">
            <v>0</v>
          </cell>
        </row>
        <row r="247">
          <cell r="A247">
            <v>301</v>
          </cell>
          <cell r="B247" t="str">
            <v>موسى محمد حماد ماهل</v>
          </cell>
          <cell r="C247" t="str">
            <v>موسى</v>
          </cell>
          <cell r="D247" t="str">
            <v>محمد</v>
          </cell>
          <cell r="E247" t="str">
            <v>حماد</v>
          </cell>
          <cell r="F247" t="str">
            <v>ماهل</v>
          </cell>
          <cell r="G247" t="str">
            <v>المصنع</v>
          </cell>
          <cell r="H247" t="str">
            <v>الانتاج</v>
          </cell>
          <cell r="I247" t="str">
            <v>الزوايا</v>
          </cell>
          <cell r="K247" t="str">
            <v>عامل</v>
          </cell>
          <cell r="L247" t="str">
            <v>مساعد مشغل</v>
          </cell>
          <cell r="M247">
            <v>41692</v>
          </cell>
          <cell r="N247">
            <v>43500</v>
          </cell>
          <cell r="O247">
            <v>4</v>
          </cell>
          <cell r="P247">
            <v>11</v>
          </cell>
          <cell r="R247">
            <v>147.5</v>
          </cell>
          <cell r="X247">
            <v>41153</v>
          </cell>
          <cell r="Z247">
            <v>23012</v>
          </cell>
          <cell r="AG247">
            <v>9</v>
          </cell>
          <cell r="AH247">
            <v>1</v>
          </cell>
          <cell r="AI247" t="str">
            <v>تسنين</v>
          </cell>
          <cell r="AJ247" t="str">
            <v>2003932</v>
          </cell>
          <cell r="AK247">
            <v>2</v>
          </cell>
          <cell r="AL247">
            <v>3</v>
          </cell>
          <cell r="AM247">
            <v>9</v>
          </cell>
          <cell r="AN247">
            <v>3</v>
          </cell>
          <cell r="AO247">
            <v>0</v>
          </cell>
          <cell r="AP247">
            <v>0</v>
          </cell>
          <cell r="AQ247">
            <v>2</v>
          </cell>
          <cell r="AS247">
            <v>43500</v>
          </cell>
          <cell r="AT247">
            <v>56</v>
          </cell>
          <cell r="BG247" t="str">
            <v>بحرى</v>
          </cell>
          <cell r="BH247" t="str">
            <v xml:space="preserve">بحرى - </v>
          </cell>
          <cell r="BI247" t="str">
            <v>0968686992</v>
          </cell>
          <cell r="BJ247" t="str">
            <v>اباذر موسى محمد</v>
          </cell>
          <cell r="BK247" t="str">
            <v>0927670022</v>
          </cell>
          <cell r="BL247" t="str">
            <v>كبار سن</v>
          </cell>
          <cell r="BN247">
            <v>43500</v>
          </cell>
          <cell r="EQ247">
            <v>0</v>
          </cell>
          <cell r="ER247">
            <v>67</v>
          </cell>
          <cell r="ES247">
            <v>41692</v>
          </cell>
          <cell r="ET247">
            <v>42056</v>
          </cell>
          <cell r="EU247" t="str">
            <v>عامل</v>
          </cell>
          <cell r="FB247">
            <v>41153</v>
          </cell>
          <cell r="FG247" t="str">
            <v xml:space="preserve"> مدير الانتاج</v>
          </cell>
          <cell r="FH247" t="str">
            <v>هشام عيسى محمد عبدالكريم</v>
          </cell>
          <cell r="FI247">
            <v>0</v>
          </cell>
        </row>
        <row r="248">
          <cell r="A248">
            <v>317</v>
          </cell>
          <cell r="B248" t="str">
            <v>تسفاى دسو ابلى</v>
          </cell>
          <cell r="C248" t="str">
            <v>تسفاى</v>
          </cell>
          <cell r="D248" t="str">
            <v>دسو</v>
          </cell>
          <cell r="E248" t="str">
            <v>ابلى</v>
          </cell>
          <cell r="G248" t="str">
            <v>المصنع</v>
          </cell>
          <cell r="H248" t="str">
            <v>الانتاج</v>
          </cell>
          <cell r="K248" t="str">
            <v>عامل</v>
          </cell>
          <cell r="L248" t="str">
            <v>عامل</v>
          </cell>
          <cell r="M248">
            <v>41153</v>
          </cell>
          <cell r="N248">
            <v>42667</v>
          </cell>
          <cell r="O248">
            <v>4</v>
          </cell>
          <cell r="P248">
            <v>1</v>
          </cell>
          <cell r="R248">
            <v>122.5</v>
          </cell>
          <cell r="T248" t="str">
            <v>إستقال</v>
          </cell>
          <cell r="U248">
            <v>42667</v>
          </cell>
          <cell r="V248">
            <v>42667</v>
          </cell>
          <cell r="AG248">
            <v>9</v>
          </cell>
          <cell r="AH248">
            <v>1</v>
          </cell>
          <cell r="AS248">
            <v>43500</v>
          </cell>
          <cell r="AT248">
            <v>119</v>
          </cell>
          <cell r="BN248">
            <v>43500</v>
          </cell>
          <cell r="EQ248">
            <v>0</v>
          </cell>
          <cell r="FG248" t="str">
            <v xml:space="preserve"> مدير الانتاج</v>
          </cell>
          <cell r="FH248" t="str">
            <v>هشام عيسى محمد عبدالكريم</v>
          </cell>
          <cell r="FI248">
            <v>0</v>
          </cell>
        </row>
        <row r="249">
          <cell r="A249">
            <v>322</v>
          </cell>
          <cell r="B249" t="str">
            <v>نزار عوض حسين محمد</v>
          </cell>
          <cell r="C249" t="str">
            <v>نزار</v>
          </cell>
          <cell r="D249" t="str">
            <v>عوض</v>
          </cell>
          <cell r="E249" t="str">
            <v>حسين</v>
          </cell>
          <cell r="F249" t="str">
            <v>محمد</v>
          </cell>
          <cell r="G249" t="str">
            <v>المصنع</v>
          </cell>
          <cell r="H249" t="str">
            <v>الانتاج</v>
          </cell>
          <cell r="I249" t="str">
            <v>الاكسبنده</v>
          </cell>
          <cell r="K249" t="str">
            <v>عامل</v>
          </cell>
          <cell r="L249" t="str">
            <v>مساعد مشغل</v>
          </cell>
          <cell r="M249">
            <v>41161</v>
          </cell>
          <cell r="N249">
            <v>43500</v>
          </cell>
          <cell r="O249">
            <v>6</v>
          </cell>
          <cell r="P249">
            <v>4</v>
          </cell>
          <cell r="R249">
            <v>190</v>
          </cell>
          <cell r="Z249">
            <v>26601</v>
          </cell>
          <cell r="AG249">
            <v>9</v>
          </cell>
          <cell r="AH249">
            <v>1</v>
          </cell>
          <cell r="AI249" t="str">
            <v>تسنين</v>
          </cell>
          <cell r="AJ249" t="str">
            <v>255648</v>
          </cell>
          <cell r="AK249">
            <v>8</v>
          </cell>
          <cell r="AL249">
            <v>4</v>
          </cell>
          <cell r="AM249">
            <v>6</v>
          </cell>
          <cell r="AN249">
            <v>5</v>
          </cell>
          <cell r="AO249">
            <v>5</v>
          </cell>
          <cell r="AP249">
            <v>2</v>
          </cell>
          <cell r="AS249">
            <v>43500</v>
          </cell>
          <cell r="AT249">
            <v>46</v>
          </cell>
          <cell r="AU249" t="str">
            <v>جنسيه</v>
          </cell>
          <cell r="AV249" t="str">
            <v>433789</v>
          </cell>
          <cell r="AW249">
            <v>9</v>
          </cell>
          <cell r="AX249">
            <v>8</v>
          </cell>
          <cell r="AY249">
            <v>7</v>
          </cell>
          <cell r="AZ249">
            <v>3</v>
          </cell>
          <cell r="BA249">
            <v>3</v>
          </cell>
          <cell r="BB249">
            <v>4</v>
          </cell>
          <cell r="BF249" t="str">
            <v>فاطمه محمد</v>
          </cell>
          <cell r="BG249" t="str">
            <v>الجزيره</v>
          </cell>
          <cell r="BH249" t="str">
            <v xml:space="preserve">المسعوديه </v>
          </cell>
          <cell r="BI249" t="str">
            <v>0921287510</v>
          </cell>
          <cell r="BJ249" t="str">
            <v>زكى الصديق محمد</v>
          </cell>
          <cell r="BK249" t="str">
            <v>0919004145</v>
          </cell>
          <cell r="BL249" t="str">
            <v>خالي الطرف</v>
          </cell>
          <cell r="BN249">
            <v>43500</v>
          </cell>
          <cell r="CQ249" t="str">
            <v>ورشة مارنجان الميكانيكية</v>
          </cell>
          <cell r="CR249" t="str">
            <v>خراط</v>
          </cell>
          <cell r="CS249">
            <v>32540</v>
          </cell>
          <cell r="EQ249">
            <v>0</v>
          </cell>
          <cell r="ER249">
            <v>121</v>
          </cell>
          <cell r="ES249">
            <v>41161</v>
          </cell>
          <cell r="ET249">
            <v>41890</v>
          </cell>
          <cell r="EU249" t="str">
            <v>عامل</v>
          </cell>
          <cell r="FG249" t="str">
            <v xml:space="preserve"> مدير الانتاج</v>
          </cell>
          <cell r="FH249" t="str">
            <v>هشام عيسى محمد عبدالكريم</v>
          </cell>
          <cell r="FI249">
            <v>0</v>
          </cell>
        </row>
        <row r="250">
          <cell r="A250">
            <v>326</v>
          </cell>
          <cell r="B250" t="str">
            <v>الطيب يونس عطيه</v>
          </cell>
          <cell r="G250" t="str">
            <v>المصنع</v>
          </cell>
          <cell r="H250" t="str">
            <v>الانتاج</v>
          </cell>
          <cell r="I250" t="str">
            <v>الاكسبنده</v>
          </cell>
          <cell r="L250" t="str">
            <v>مشغل</v>
          </cell>
          <cell r="M250">
            <v>41153</v>
          </cell>
          <cell r="N250">
            <v>42865</v>
          </cell>
          <cell r="O250">
            <v>4</v>
          </cell>
          <cell r="P250">
            <v>8</v>
          </cell>
          <cell r="R250">
            <v>140</v>
          </cell>
          <cell r="T250" t="str">
            <v>إستقال</v>
          </cell>
          <cell r="U250">
            <v>42865</v>
          </cell>
          <cell r="V250">
            <v>42856</v>
          </cell>
          <cell r="Z250">
            <v>27993</v>
          </cell>
          <cell r="AG250">
            <v>9</v>
          </cell>
          <cell r="AH250">
            <v>1</v>
          </cell>
          <cell r="AI250" t="str">
            <v>ميلاد</v>
          </cell>
          <cell r="AJ250" t="str">
            <v>580234</v>
          </cell>
          <cell r="AK250">
            <v>4</v>
          </cell>
          <cell r="AL250">
            <v>3</v>
          </cell>
          <cell r="AM250">
            <v>2</v>
          </cell>
          <cell r="AN250">
            <v>0</v>
          </cell>
          <cell r="AO250">
            <v>8</v>
          </cell>
          <cell r="AP250">
            <v>5</v>
          </cell>
          <cell r="AS250">
            <v>43500</v>
          </cell>
          <cell r="AT250">
            <v>42</v>
          </cell>
          <cell r="AU250" t="str">
            <v>جنسيه</v>
          </cell>
          <cell r="AV250" t="str">
            <v>0575162</v>
          </cell>
          <cell r="AW250">
            <v>2</v>
          </cell>
          <cell r="AX250">
            <v>6</v>
          </cell>
          <cell r="AY250">
            <v>1</v>
          </cell>
          <cell r="AZ250">
            <v>5</v>
          </cell>
          <cell r="BA250">
            <v>7</v>
          </cell>
          <cell r="BB250">
            <v>5</v>
          </cell>
          <cell r="BC250">
            <v>0</v>
          </cell>
          <cell r="BF250" t="str">
            <v>بخيته</v>
          </cell>
          <cell r="BG250" t="str">
            <v>بحرى</v>
          </cell>
          <cell r="BH250" t="str">
            <v>الجريف غرب</v>
          </cell>
          <cell r="BI250" t="str">
            <v>0907790319</v>
          </cell>
          <cell r="BJ250" t="str">
            <v>وليد عمر احمد</v>
          </cell>
          <cell r="BL250" t="str">
            <v>خالي الطرف</v>
          </cell>
          <cell r="BN250">
            <v>43500</v>
          </cell>
          <cell r="EQ250">
            <v>0</v>
          </cell>
          <cell r="ER250">
            <v>126</v>
          </cell>
          <cell r="FG250" t="str">
            <v xml:space="preserve"> مدير الانتاج</v>
          </cell>
          <cell r="FH250" t="str">
            <v>هشام عيسى محمد عبدالكريم</v>
          </cell>
          <cell r="FI250">
            <v>0</v>
          </cell>
        </row>
        <row r="251">
          <cell r="A251">
            <v>329</v>
          </cell>
          <cell r="B251" t="str">
            <v>فاطمة الامين محمد على</v>
          </cell>
          <cell r="G251" t="str">
            <v>المصنع</v>
          </cell>
          <cell r="H251" t="str">
            <v>الكهرباء</v>
          </cell>
          <cell r="L251" t="str">
            <v>مهندس كهرباء</v>
          </cell>
          <cell r="M251">
            <v>41175</v>
          </cell>
          <cell r="O251" t="e">
            <v>#NUM!</v>
          </cell>
          <cell r="P251" t="e">
            <v>#NUM!</v>
          </cell>
          <cell r="R251" t="e">
            <v>#NUM!</v>
          </cell>
          <cell r="T251" t="str">
            <v>فصل</v>
          </cell>
          <cell r="Z251">
            <v>32296</v>
          </cell>
          <cell r="AI251" t="str">
            <v>ميلاد بالخارج</v>
          </cell>
          <cell r="AJ251">
            <v>1981</v>
          </cell>
          <cell r="AK251">
            <v>1</v>
          </cell>
          <cell r="AL251">
            <v>8</v>
          </cell>
          <cell r="AM251">
            <v>9</v>
          </cell>
          <cell r="AN251">
            <v>1</v>
          </cell>
          <cell r="AS251">
            <v>43500</v>
          </cell>
          <cell r="AT251">
            <v>30</v>
          </cell>
          <cell r="BH251" t="str">
            <v>امدرمان - امبده ح 14</v>
          </cell>
          <cell r="BI251" t="str">
            <v>0903250325</v>
          </cell>
          <cell r="BJ251" t="str">
            <v>الامين محمد على</v>
          </cell>
          <cell r="BK251" t="str">
            <v>0122045474</v>
          </cell>
          <cell r="BN251">
            <v>43500</v>
          </cell>
          <cell r="BS251" t="str">
            <v>هندسة كهرباء تحكم</v>
          </cell>
          <cell r="BT251" t="str">
            <v>بكلاريوس الشرف</v>
          </cell>
          <cell r="BU251" t="str">
            <v>جامعة السودان للعلوم والتكنولوجيا</v>
          </cell>
          <cell r="BV251">
            <v>40101</v>
          </cell>
          <cell r="BW251" t="str">
            <v>اتوكاد</v>
          </cell>
          <cell r="BX251" t="str">
            <v>شهاده دورة تدريب</v>
          </cell>
          <cell r="BY251" t="str">
            <v>الصندوق القومى لتشغيل الخريجين - مركز التدريب</v>
          </cell>
          <cell r="BZ251">
            <v>40878</v>
          </cell>
          <cell r="CQ251" t="str">
            <v>جامعة السودان للعلوم والتكنولوجيا</v>
          </cell>
          <cell r="CR251" t="str">
            <v>كهرباء وتكييف</v>
          </cell>
          <cell r="CS251">
            <v>40335</v>
          </cell>
          <cell r="CT251">
            <v>40700</v>
          </cell>
          <cell r="EQ251">
            <v>0</v>
          </cell>
          <cell r="FG251" t="str">
            <v>مدير الصيانه الكهربائيه</v>
          </cell>
          <cell r="FH251" t="str">
            <v>ماهر ضيف الله سليمان جابر</v>
          </cell>
          <cell r="FI251">
            <v>0</v>
          </cell>
        </row>
        <row r="252">
          <cell r="A252">
            <v>330</v>
          </cell>
          <cell r="B252" t="str">
            <v>سلافه يونس حسن وقيع الله</v>
          </cell>
          <cell r="C252" t="str">
            <v>سلافه</v>
          </cell>
          <cell r="D252" t="str">
            <v>يونس</v>
          </cell>
          <cell r="E252" t="str">
            <v>حسن</v>
          </cell>
          <cell r="F252" t="str">
            <v>وقيع الله</v>
          </cell>
          <cell r="G252" t="str">
            <v>الرئاسه</v>
          </cell>
          <cell r="H252" t="str">
            <v>الاداره</v>
          </cell>
          <cell r="K252" t="str">
            <v>سكرتيرة</v>
          </cell>
          <cell r="L252" t="str">
            <v>سكرتيرة</v>
          </cell>
          <cell r="M252">
            <v>41177</v>
          </cell>
          <cell r="N252">
            <v>43500</v>
          </cell>
          <cell r="O252">
            <v>6</v>
          </cell>
          <cell r="P252">
            <v>4</v>
          </cell>
          <cell r="R252">
            <v>190</v>
          </cell>
          <cell r="Z252">
            <v>31485</v>
          </cell>
          <cell r="AG252">
            <v>9</v>
          </cell>
          <cell r="AH252">
            <v>1</v>
          </cell>
          <cell r="AS252">
            <v>43500</v>
          </cell>
          <cell r="AT252">
            <v>32</v>
          </cell>
          <cell r="BF252" t="str">
            <v>ام سلمة على</v>
          </cell>
          <cell r="BG252" t="str">
            <v>خاص</v>
          </cell>
          <cell r="BH252" t="str">
            <v>الصحافة شرق - م 38 - منزل 195</v>
          </cell>
          <cell r="BI252" t="str">
            <v>0924584332</v>
          </cell>
          <cell r="BJ252" t="str">
            <v>سامى يونس حسن</v>
          </cell>
          <cell r="BN252">
            <v>43500</v>
          </cell>
          <cell r="BS252" t="str">
            <v>ترجمة</v>
          </cell>
          <cell r="BT252" t="str">
            <v>دبلوم تقني</v>
          </cell>
          <cell r="BU252" t="str">
            <v>جامعة السودان للعلوم والتكنولوجيا</v>
          </cell>
          <cell r="BV252">
            <v>40462</v>
          </cell>
          <cell r="BW252" t="str">
            <v>حاسوب</v>
          </cell>
          <cell r="BX252" t="str">
            <v>دبلوم (معاهد)</v>
          </cell>
          <cell r="BY252" t="str">
            <v>دريمز تور كمبيوتر</v>
          </cell>
          <cell r="BZ252">
            <v>40471</v>
          </cell>
          <cell r="CQ252" t="str">
            <v>بتروناس</v>
          </cell>
          <cell r="CR252" t="str">
            <v>متدرب</v>
          </cell>
          <cell r="CS252">
            <v>40391</v>
          </cell>
          <cell r="CT252">
            <v>40267</v>
          </cell>
          <cell r="EQ252">
            <v>30</v>
          </cell>
          <cell r="ER252">
            <v>108</v>
          </cell>
          <cell r="ES252">
            <v>41177</v>
          </cell>
          <cell r="ET252">
            <v>41541</v>
          </cell>
          <cell r="EU252" t="str">
            <v>سكرتيرة</v>
          </cell>
          <cell r="FG252" t="str">
            <v>المدير الادارى</v>
          </cell>
          <cell r="FH252" t="str">
            <v>احمد عبدالرحيم ابوبكر محمد</v>
          </cell>
          <cell r="FI252">
            <v>0</v>
          </cell>
          <cell r="HC252" t="str">
            <v>30</v>
          </cell>
        </row>
        <row r="253">
          <cell r="A253">
            <v>346</v>
          </cell>
          <cell r="B253" t="str">
            <v>حمزه جاد الله ادريس جاد الله</v>
          </cell>
          <cell r="C253" t="str">
            <v>حمزه</v>
          </cell>
          <cell r="D253" t="str">
            <v>جاد الله</v>
          </cell>
          <cell r="E253" t="str">
            <v>ادريس</v>
          </cell>
          <cell r="F253" t="str">
            <v>جاد الله</v>
          </cell>
          <cell r="G253" t="str">
            <v>المصنع</v>
          </cell>
          <cell r="H253" t="str">
            <v>الوحده العلاجيه</v>
          </cell>
          <cell r="I253" t="str">
            <v>العياده</v>
          </cell>
          <cell r="K253" t="str">
            <v>ممرض</v>
          </cell>
          <cell r="L253" t="str">
            <v>ممرض</v>
          </cell>
          <cell r="M253">
            <v>41197</v>
          </cell>
          <cell r="N253">
            <v>43500</v>
          </cell>
          <cell r="O253">
            <v>6</v>
          </cell>
          <cell r="P253">
            <v>3</v>
          </cell>
          <cell r="R253">
            <v>187.5</v>
          </cell>
          <cell r="Z253">
            <v>21186</v>
          </cell>
          <cell r="AG253">
            <v>9</v>
          </cell>
          <cell r="AH253">
            <v>1</v>
          </cell>
          <cell r="AS253">
            <v>43500</v>
          </cell>
          <cell r="AT253">
            <v>61</v>
          </cell>
          <cell r="BE253" t="str">
            <v>190-2374220-5</v>
          </cell>
          <cell r="BF253" t="str">
            <v>التومه الطيب إدريس</v>
          </cell>
          <cell r="BG253" t="str">
            <v>العربى</v>
          </cell>
          <cell r="BH253" t="str">
            <v>بترى</v>
          </cell>
          <cell r="BI253" t="str">
            <v>0918231799</v>
          </cell>
          <cell r="BJ253" t="str">
            <v>على بترى</v>
          </cell>
          <cell r="BL253" t="str">
            <v>كبار سن</v>
          </cell>
          <cell r="BN253">
            <v>43500</v>
          </cell>
          <cell r="BS253" t="str">
            <v>شهادة تمريض</v>
          </cell>
          <cell r="BT253" t="str">
            <v>شهاده دورة تدريب</v>
          </cell>
          <cell r="BU253" t="str">
            <v>وزارة الصحة</v>
          </cell>
          <cell r="BV253">
            <v>29221</v>
          </cell>
          <cell r="BW253" t="str">
            <v>مساعدى الصيادله</v>
          </cell>
          <cell r="BX253" t="str">
            <v>شهاده دورة تدريب</v>
          </cell>
          <cell r="BY253" t="str">
            <v>التدريب الانتقائى لمساعدى الصيادله</v>
          </cell>
          <cell r="BZ253" t="str">
            <v>12/30/1418</v>
          </cell>
          <cell r="CQ253" t="str">
            <v>مستشفى سوبا الجامعى</v>
          </cell>
          <cell r="CR253" t="str">
            <v>ممرض</v>
          </cell>
          <cell r="CS253">
            <v>27596</v>
          </cell>
          <cell r="CT253">
            <v>29221</v>
          </cell>
          <cell r="CV253" t="str">
            <v>مركز صحى بلحمر</v>
          </cell>
          <cell r="CW253" t="str">
            <v>ممرض</v>
          </cell>
          <cell r="CX253" t="str">
            <v>3/11/1406</v>
          </cell>
          <cell r="CY253" t="str">
            <v>6/1/1431</v>
          </cell>
          <cell r="EQ253">
            <v>0</v>
          </cell>
          <cell r="ER253">
            <v>41</v>
          </cell>
          <cell r="ES253">
            <v>41184</v>
          </cell>
          <cell r="ET253">
            <v>41571</v>
          </cell>
          <cell r="EU253" t="str">
            <v>ممرض</v>
          </cell>
          <cell r="FG253" t="str">
            <v>المدير الادارى</v>
          </cell>
          <cell r="FH253" t="str">
            <v>احمد عبدالرحيم ابوبكر محمد</v>
          </cell>
          <cell r="FI253" t="str">
            <v>190-2374220-5</v>
          </cell>
        </row>
        <row r="254">
          <cell r="A254">
            <v>363</v>
          </cell>
          <cell r="B254" t="str">
            <v>محمد عبدالله محمد الطاهر</v>
          </cell>
          <cell r="C254" t="str">
            <v>محمد</v>
          </cell>
          <cell r="D254" t="str">
            <v>عبدالله</v>
          </cell>
          <cell r="E254" t="str">
            <v>محمد</v>
          </cell>
          <cell r="F254" t="str">
            <v>الطاهر</v>
          </cell>
          <cell r="G254" t="str">
            <v>المصنع</v>
          </cell>
          <cell r="H254" t="str">
            <v>الانتاج</v>
          </cell>
          <cell r="I254" t="str">
            <v>المواسير</v>
          </cell>
          <cell r="K254" t="str">
            <v>عامل</v>
          </cell>
          <cell r="L254" t="str">
            <v>مساعد مشغل</v>
          </cell>
          <cell r="M254">
            <v>41232</v>
          </cell>
          <cell r="N254">
            <v>43500</v>
          </cell>
          <cell r="O254">
            <v>6</v>
          </cell>
          <cell r="P254">
            <v>2</v>
          </cell>
          <cell r="R254">
            <v>185</v>
          </cell>
          <cell r="Z254">
            <v>27760</v>
          </cell>
          <cell r="AG254">
            <v>9</v>
          </cell>
          <cell r="AH254">
            <v>1</v>
          </cell>
          <cell r="AI254" t="str">
            <v>تسنين</v>
          </cell>
          <cell r="AJ254" t="str">
            <v>563076</v>
          </cell>
          <cell r="AK254">
            <v>6</v>
          </cell>
          <cell r="AL254">
            <v>7</v>
          </cell>
          <cell r="AM254">
            <v>0</v>
          </cell>
          <cell r="AN254">
            <v>3</v>
          </cell>
          <cell r="AO254">
            <v>6</v>
          </cell>
          <cell r="AP254">
            <v>5</v>
          </cell>
          <cell r="AS254">
            <v>43500</v>
          </cell>
          <cell r="AT254">
            <v>43</v>
          </cell>
          <cell r="AU254" t="str">
            <v>جنسيه</v>
          </cell>
          <cell r="AV254" t="str">
            <v>0941425</v>
          </cell>
          <cell r="AW254">
            <v>5</v>
          </cell>
          <cell r="AX254">
            <v>2</v>
          </cell>
          <cell r="AY254">
            <v>4</v>
          </cell>
          <cell r="AZ254">
            <v>1</v>
          </cell>
          <cell r="BA254">
            <v>4</v>
          </cell>
          <cell r="BB254">
            <v>9</v>
          </cell>
          <cell r="BC254">
            <v>0</v>
          </cell>
          <cell r="BE254" t="str">
            <v>114-0559349-5</v>
          </cell>
          <cell r="BF254" t="str">
            <v>فاطمه عبدالله محمد</v>
          </cell>
          <cell r="BH254" t="str">
            <v>السمير</v>
          </cell>
          <cell r="BI254" t="str">
            <v>0990473990</v>
          </cell>
          <cell r="BJ254" t="str">
            <v xml:space="preserve">ابكر محمد </v>
          </cell>
          <cell r="BK254" t="str">
            <v>0911370163</v>
          </cell>
          <cell r="BN254">
            <v>43500</v>
          </cell>
          <cell r="EQ254">
            <v>0</v>
          </cell>
          <cell r="ER254">
            <v>109</v>
          </cell>
          <cell r="ES254">
            <v>41225</v>
          </cell>
          <cell r="ET254">
            <v>41589</v>
          </cell>
          <cell r="EU254" t="str">
            <v>عامل</v>
          </cell>
          <cell r="FG254" t="str">
            <v xml:space="preserve"> مدير الانتاج</v>
          </cell>
          <cell r="FH254" t="str">
            <v>هشام عيسى محمد عبدالكريم</v>
          </cell>
          <cell r="FI254" t="str">
            <v>114-0559349-5</v>
          </cell>
        </row>
        <row r="255">
          <cell r="A255">
            <v>372</v>
          </cell>
          <cell r="B255" t="str">
            <v>معتز عوض مساعد محمد على</v>
          </cell>
          <cell r="C255" t="str">
            <v>معتز</v>
          </cell>
          <cell r="D255" t="str">
            <v>عوض</v>
          </cell>
          <cell r="E255" t="str">
            <v>مساعد</v>
          </cell>
          <cell r="F255" t="str">
            <v>محمد</v>
          </cell>
          <cell r="G255" t="str">
            <v>المصنع</v>
          </cell>
          <cell r="H255" t="str">
            <v>الجوده</v>
          </cell>
          <cell r="K255" t="str">
            <v>عامل</v>
          </cell>
          <cell r="L255" t="str">
            <v>مراقب انتاج</v>
          </cell>
          <cell r="M255">
            <v>43144</v>
          </cell>
          <cell r="N255">
            <v>43500</v>
          </cell>
          <cell r="O255">
            <v>0</v>
          </cell>
          <cell r="P255">
            <v>11</v>
          </cell>
          <cell r="R255">
            <v>27.5</v>
          </cell>
          <cell r="X255">
            <v>41244</v>
          </cell>
          <cell r="Z255">
            <v>28658</v>
          </cell>
          <cell r="AG255">
            <v>9</v>
          </cell>
          <cell r="AH255">
            <v>1</v>
          </cell>
          <cell r="AI255" t="str">
            <v>ميلاد</v>
          </cell>
          <cell r="AJ255" t="str">
            <v>0711864</v>
          </cell>
          <cell r="AK255">
            <v>4</v>
          </cell>
          <cell r="AL255">
            <v>6</v>
          </cell>
          <cell r="AM255">
            <v>8</v>
          </cell>
          <cell r="AN255">
            <v>1</v>
          </cell>
          <cell r="AO255">
            <v>1</v>
          </cell>
          <cell r="AP255">
            <v>7</v>
          </cell>
          <cell r="AQ255">
            <v>0</v>
          </cell>
          <cell r="AS255">
            <v>43500</v>
          </cell>
          <cell r="AT255">
            <v>40</v>
          </cell>
          <cell r="AU255" t="str">
            <v>جنسيه</v>
          </cell>
          <cell r="AV255" t="str">
            <v>0084822</v>
          </cell>
          <cell r="AW255">
            <v>2</v>
          </cell>
          <cell r="AX255">
            <v>2</v>
          </cell>
          <cell r="AY255">
            <v>8</v>
          </cell>
          <cell r="AZ255">
            <v>4</v>
          </cell>
          <cell r="BA255">
            <v>8</v>
          </cell>
          <cell r="BB255">
            <v>0</v>
          </cell>
          <cell r="BC255">
            <v>0</v>
          </cell>
          <cell r="BF255" t="str">
            <v>فاطمه الصديق يوسف</v>
          </cell>
          <cell r="BG255" t="str">
            <v>العربى</v>
          </cell>
          <cell r="BH255" t="str">
            <v>ام درمان - الفتيحاب</v>
          </cell>
          <cell r="BJ255" t="str">
            <v>محمد ادريس</v>
          </cell>
          <cell r="BL255" t="str">
            <v>خالي الطرف</v>
          </cell>
          <cell r="BN255">
            <v>43500</v>
          </cell>
          <cell r="BS255" t="str">
            <v>التامين</v>
          </cell>
          <cell r="BT255" t="str">
            <v>بكلاريوس الشرف</v>
          </cell>
          <cell r="BU255" t="str">
            <v>جامعة النيلين</v>
          </cell>
          <cell r="BV255">
            <v>40423</v>
          </cell>
          <cell r="EQ255">
            <v>0</v>
          </cell>
          <cell r="ES255">
            <v>41244</v>
          </cell>
          <cell r="ET255">
            <v>41608</v>
          </cell>
          <cell r="EU255" t="str">
            <v>عامل</v>
          </cell>
          <cell r="FB255">
            <v>41244</v>
          </cell>
          <cell r="FE255">
            <v>41244</v>
          </cell>
          <cell r="FG255" t="str">
            <v>مسئول قسم الجوده</v>
          </cell>
          <cell r="FH255" t="str">
            <v>المبارك محمد ابراهيم</v>
          </cell>
          <cell r="FI255">
            <v>0</v>
          </cell>
        </row>
        <row r="256">
          <cell r="A256">
            <v>373</v>
          </cell>
          <cell r="B256" t="str">
            <v>عبدالحليم صالح احمد موسى</v>
          </cell>
          <cell r="C256" t="str">
            <v>عبدالحليم</v>
          </cell>
          <cell r="D256" t="str">
            <v>صالح</v>
          </cell>
          <cell r="E256" t="str">
            <v>احمد</v>
          </cell>
          <cell r="F256" t="str">
            <v>موسى</v>
          </cell>
          <cell r="G256" t="str">
            <v>المصنع</v>
          </cell>
          <cell r="H256" t="str">
            <v>الانتاج</v>
          </cell>
          <cell r="I256" t="str">
            <v>المواسير</v>
          </cell>
          <cell r="K256" t="str">
            <v>عامل</v>
          </cell>
          <cell r="L256" t="str">
            <v>مشغل</v>
          </cell>
          <cell r="M256">
            <v>41214</v>
          </cell>
          <cell r="N256">
            <v>43500</v>
          </cell>
          <cell r="O256">
            <v>6</v>
          </cell>
          <cell r="P256">
            <v>3</v>
          </cell>
          <cell r="R256">
            <v>187.5</v>
          </cell>
          <cell r="Z256">
            <v>27760</v>
          </cell>
          <cell r="AG256">
            <v>9</v>
          </cell>
          <cell r="AH256">
            <v>1</v>
          </cell>
          <cell r="AI256" t="str">
            <v>تسنين</v>
          </cell>
          <cell r="AJ256" t="str">
            <v>495936</v>
          </cell>
          <cell r="AK256">
            <v>6</v>
          </cell>
          <cell r="AL256">
            <v>3</v>
          </cell>
          <cell r="AM256">
            <v>9</v>
          </cell>
          <cell r="AN256">
            <v>5</v>
          </cell>
          <cell r="AO256">
            <v>9</v>
          </cell>
          <cell r="AP256">
            <v>4</v>
          </cell>
          <cell r="AS256">
            <v>43500</v>
          </cell>
          <cell r="AT256">
            <v>43</v>
          </cell>
          <cell r="AU256" t="str">
            <v>بطاقه قوميه</v>
          </cell>
          <cell r="AV256" t="str">
            <v>000235416</v>
          </cell>
          <cell r="AW256">
            <v>6</v>
          </cell>
          <cell r="AX256">
            <v>1</v>
          </cell>
          <cell r="AY256">
            <v>4</v>
          </cell>
          <cell r="AZ256">
            <v>5</v>
          </cell>
          <cell r="BA256">
            <v>3</v>
          </cell>
          <cell r="BB256">
            <v>2</v>
          </cell>
          <cell r="BC256">
            <v>0</v>
          </cell>
          <cell r="BD256">
            <v>0</v>
          </cell>
          <cell r="BF256" t="str">
            <v>خديجه حسن</v>
          </cell>
          <cell r="BH256" t="str">
            <v>السمير</v>
          </cell>
          <cell r="BI256" t="str">
            <v>0918057345</v>
          </cell>
          <cell r="BJ256" t="str">
            <v>إبراهيم إسماعيل</v>
          </cell>
          <cell r="BK256" t="str">
            <v>0900463908</v>
          </cell>
          <cell r="BL256" t="str">
            <v>خالي الطرف</v>
          </cell>
          <cell r="BN256">
            <v>43500</v>
          </cell>
          <cell r="BS256" t="str">
            <v>العلوم الإدارية</v>
          </cell>
          <cell r="BT256" t="str">
            <v>دبلوم وسيط</v>
          </cell>
          <cell r="BU256" t="str">
            <v>جامعة جوبا</v>
          </cell>
          <cell r="BV256">
            <v>40011</v>
          </cell>
          <cell r="EQ256">
            <v>0</v>
          </cell>
          <cell r="ER256">
            <v>107</v>
          </cell>
          <cell r="ES256">
            <v>41245</v>
          </cell>
          <cell r="ET256">
            <v>41609</v>
          </cell>
          <cell r="EU256" t="str">
            <v>عامل</v>
          </cell>
          <cell r="FG256" t="str">
            <v xml:space="preserve"> مدير الانتاج</v>
          </cell>
          <cell r="FH256" t="str">
            <v>هشام عيسى محمد عبدالكريم</v>
          </cell>
          <cell r="FI256">
            <v>0</v>
          </cell>
        </row>
        <row r="257">
          <cell r="A257">
            <v>374</v>
          </cell>
          <cell r="B257" t="str">
            <v>علم الدين ابراهيم النور اسحق</v>
          </cell>
          <cell r="C257" t="str">
            <v>علم الدين</v>
          </cell>
          <cell r="D257" t="str">
            <v>ابراهيم</v>
          </cell>
          <cell r="E257" t="str">
            <v>النور</v>
          </cell>
          <cell r="F257" t="str">
            <v>اسحق</v>
          </cell>
          <cell r="G257" t="str">
            <v>المصنع</v>
          </cell>
          <cell r="H257" t="str">
            <v>الامن و الحركه</v>
          </cell>
          <cell r="I257" t="str">
            <v>الامن</v>
          </cell>
          <cell r="K257" t="str">
            <v>فرد امن</v>
          </cell>
          <cell r="L257" t="str">
            <v>فرد امن</v>
          </cell>
          <cell r="M257">
            <v>41247</v>
          </cell>
          <cell r="N257">
            <v>43500</v>
          </cell>
          <cell r="O257">
            <v>6</v>
          </cell>
          <cell r="P257">
            <v>2</v>
          </cell>
          <cell r="R257">
            <v>185</v>
          </cell>
          <cell r="Z257">
            <v>26665</v>
          </cell>
          <cell r="AG257">
            <v>9</v>
          </cell>
          <cell r="AH257">
            <v>1</v>
          </cell>
          <cell r="AI257" t="str">
            <v>تسنين</v>
          </cell>
          <cell r="AJ257" t="str">
            <v>270950</v>
          </cell>
          <cell r="AK257">
            <v>0</v>
          </cell>
          <cell r="AL257">
            <v>5</v>
          </cell>
          <cell r="AM257">
            <v>9</v>
          </cell>
          <cell r="AN257">
            <v>0</v>
          </cell>
          <cell r="AO257">
            <v>7</v>
          </cell>
          <cell r="AP257">
            <v>2</v>
          </cell>
          <cell r="AS257">
            <v>43500</v>
          </cell>
          <cell r="AT257">
            <v>46</v>
          </cell>
          <cell r="AU257" t="str">
            <v>جنسيه</v>
          </cell>
          <cell r="AV257" t="str">
            <v>114164</v>
          </cell>
          <cell r="AW257">
            <v>4</v>
          </cell>
          <cell r="AX257">
            <v>6</v>
          </cell>
          <cell r="AY257">
            <v>1</v>
          </cell>
          <cell r="AZ257">
            <v>4</v>
          </cell>
          <cell r="BA257">
            <v>1</v>
          </cell>
          <cell r="BB257">
            <v>1</v>
          </cell>
          <cell r="BF257" t="str">
            <v>فاطمه عثمان احمد</v>
          </cell>
          <cell r="BG257" t="str">
            <v>العربى</v>
          </cell>
          <cell r="BH257" t="str">
            <v>امبده - الاصلاح</v>
          </cell>
          <cell r="BI257" t="str">
            <v>0924485293</v>
          </cell>
          <cell r="BJ257" t="str">
            <v xml:space="preserve">عبدالله </v>
          </cell>
          <cell r="BK257" t="str">
            <v>0912368350</v>
          </cell>
          <cell r="BL257" t="str">
            <v>خالي الطرف</v>
          </cell>
          <cell r="BN257">
            <v>43500</v>
          </cell>
          <cell r="CQ257" t="str">
            <v>الصفا للصناعات المتطوره</v>
          </cell>
          <cell r="CR257" t="str">
            <v>فرد امن</v>
          </cell>
          <cell r="EP257">
            <v>30</v>
          </cell>
          <cell r="EQ257">
            <v>30</v>
          </cell>
          <cell r="ER257">
            <v>58</v>
          </cell>
          <cell r="ES257">
            <v>41247</v>
          </cell>
          <cell r="ET257">
            <v>41611</v>
          </cell>
          <cell r="EU257" t="str">
            <v>فرد امن</v>
          </cell>
          <cell r="FG257" t="str">
            <v>مدير الامن و الحركه</v>
          </cell>
          <cell r="FH257" t="str">
            <v>فارس حمدان عبدالله فارس</v>
          </cell>
          <cell r="FI257">
            <v>0</v>
          </cell>
        </row>
        <row r="258">
          <cell r="A258">
            <v>376</v>
          </cell>
          <cell r="B258" t="str">
            <v>خضر ابراهيم خضر محمد</v>
          </cell>
          <cell r="C258" t="str">
            <v>خضر</v>
          </cell>
          <cell r="D258" t="str">
            <v>ابراهيم</v>
          </cell>
          <cell r="E258" t="str">
            <v>خضر</v>
          </cell>
          <cell r="F258" t="str">
            <v>محمد</v>
          </cell>
          <cell r="G258" t="str">
            <v>المصنع</v>
          </cell>
          <cell r="H258" t="str">
            <v>الانتاج</v>
          </cell>
          <cell r="I258" t="str">
            <v>الاكسبنده</v>
          </cell>
          <cell r="K258" t="str">
            <v>عامل</v>
          </cell>
          <cell r="L258" t="str">
            <v>عامل</v>
          </cell>
          <cell r="M258">
            <v>41249</v>
          </cell>
          <cell r="N258">
            <v>43500</v>
          </cell>
          <cell r="O258">
            <v>6</v>
          </cell>
          <cell r="P258">
            <v>1</v>
          </cell>
          <cell r="R258">
            <v>182.5</v>
          </cell>
          <cell r="Z258">
            <v>28792</v>
          </cell>
          <cell r="AG258">
            <v>9</v>
          </cell>
          <cell r="AH258">
            <v>1</v>
          </cell>
          <cell r="AI258" t="str">
            <v>ميلاد</v>
          </cell>
          <cell r="AJ258" t="str">
            <v>616536</v>
          </cell>
          <cell r="AK258">
            <v>6</v>
          </cell>
          <cell r="AL258">
            <v>3</v>
          </cell>
          <cell r="AM258">
            <v>5</v>
          </cell>
          <cell r="AN258">
            <v>6</v>
          </cell>
          <cell r="AO258">
            <v>1</v>
          </cell>
          <cell r="AP258">
            <v>6</v>
          </cell>
          <cell r="AS258">
            <v>43500</v>
          </cell>
          <cell r="AT258">
            <v>40</v>
          </cell>
          <cell r="AU258" t="str">
            <v>جنسيه</v>
          </cell>
          <cell r="AV258" t="str">
            <v>0396331</v>
          </cell>
          <cell r="AW258">
            <v>1</v>
          </cell>
          <cell r="AX258">
            <v>3</v>
          </cell>
          <cell r="AY258">
            <v>3</v>
          </cell>
          <cell r="AZ258">
            <v>6</v>
          </cell>
          <cell r="BA258">
            <v>9</v>
          </cell>
          <cell r="BB258">
            <v>3</v>
          </cell>
          <cell r="BC258">
            <v>0</v>
          </cell>
          <cell r="BE258" t="str">
            <v>119-4255759-6</v>
          </cell>
          <cell r="BF258" t="str">
            <v>سعاد إبراهيم عبدالله</v>
          </cell>
          <cell r="BG258" t="str">
            <v>الكلاكله</v>
          </cell>
          <cell r="BH258" t="str">
            <v>الكلاكله</v>
          </cell>
          <cell r="BI258" t="str">
            <v>0112073498</v>
          </cell>
          <cell r="BJ258" t="str">
            <v>وليد عيسى</v>
          </cell>
          <cell r="BK258" t="str">
            <v>0127111180</v>
          </cell>
          <cell r="BL258" t="str">
            <v>خالي الطرف</v>
          </cell>
          <cell r="BN258">
            <v>43500</v>
          </cell>
          <cell r="EQ258">
            <v>0</v>
          </cell>
          <cell r="ER258">
            <v>103</v>
          </cell>
          <cell r="ES258">
            <v>41249</v>
          </cell>
          <cell r="ET258">
            <v>41613</v>
          </cell>
          <cell r="EU258" t="str">
            <v>عامل</v>
          </cell>
          <cell r="FG258" t="str">
            <v xml:space="preserve"> مدير الانتاج</v>
          </cell>
          <cell r="FH258" t="str">
            <v>هشام عيسى محمد عبدالكريم</v>
          </cell>
          <cell r="FI258" t="str">
            <v>119-4255759-6</v>
          </cell>
        </row>
        <row r="259">
          <cell r="A259">
            <v>386</v>
          </cell>
          <cell r="B259" t="str">
            <v>محمد ادم محمد عريف</v>
          </cell>
          <cell r="G259" t="str">
            <v>المصنع</v>
          </cell>
          <cell r="H259" t="str">
            <v>الانتاج</v>
          </cell>
          <cell r="L259" t="str">
            <v>عامل</v>
          </cell>
          <cell r="M259">
            <v>41609</v>
          </cell>
          <cell r="O259" t="e">
            <v>#NUM!</v>
          </cell>
          <cell r="P259" t="e">
            <v>#NUM!</v>
          </cell>
          <cell r="R259" t="e">
            <v>#NUM!</v>
          </cell>
          <cell r="T259" t="str">
            <v>m</v>
          </cell>
          <cell r="Z259">
            <v>23774</v>
          </cell>
          <cell r="AI259" t="str">
            <v>ميلاد</v>
          </cell>
          <cell r="AJ259" t="str">
            <v>227855</v>
          </cell>
          <cell r="AK259">
            <v>5</v>
          </cell>
          <cell r="AL259">
            <v>5</v>
          </cell>
          <cell r="AM259">
            <v>8</v>
          </cell>
          <cell r="AN259">
            <v>7</v>
          </cell>
          <cell r="AO259">
            <v>2</v>
          </cell>
          <cell r="AP259">
            <v>2</v>
          </cell>
          <cell r="AS259">
            <v>43500</v>
          </cell>
          <cell r="AT259">
            <v>54</v>
          </cell>
          <cell r="AU259" t="str">
            <v>جنسيه</v>
          </cell>
          <cell r="AV259" t="str">
            <v>665601</v>
          </cell>
          <cell r="AW259">
            <v>1</v>
          </cell>
          <cell r="AX259">
            <v>0</v>
          </cell>
          <cell r="AY259">
            <v>6</v>
          </cell>
          <cell r="AZ259">
            <v>5</v>
          </cell>
          <cell r="BA259">
            <v>6</v>
          </cell>
          <cell r="BB259">
            <v>6</v>
          </cell>
          <cell r="BF259" t="str">
            <v>خادم الرسول</v>
          </cell>
          <cell r="BG259" t="str">
            <v>العربى</v>
          </cell>
          <cell r="BH259" t="str">
            <v>امدرمان - الفتح</v>
          </cell>
          <cell r="BI259" t="str">
            <v>0916992775</v>
          </cell>
          <cell r="BJ259" t="str">
            <v>ادم محمد</v>
          </cell>
          <cell r="BN259">
            <v>43500</v>
          </cell>
          <cell r="EQ259">
            <v>0</v>
          </cell>
          <cell r="FG259" t="str">
            <v xml:space="preserve"> مدير الانتاج</v>
          </cell>
          <cell r="FH259" t="str">
            <v>هشام عيسى محمد عبدالكريم</v>
          </cell>
          <cell r="FI259">
            <v>0</v>
          </cell>
        </row>
        <row r="260">
          <cell r="A260">
            <v>388</v>
          </cell>
          <cell r="B260" t="str">
            <v>MOHAMMED HAFEZ ULLAH</v>
          </cell>
          <cell r="G260" t="str">
            <v>أجانب</v>
          </cell>
          <cell r="H260" t="str">
            <v>الانتاج</v>
          </cell>
          <cell r="N260">
            <v>43500</v>
          </cell>
          <cell r="O260">
            <v>119</v>
          </cell>
          <cell r="P260">
            <v>1</v>
          </cell>
          <cell r="R260">
            <v>3572.5</v>
          </cell>
          <cell r="T260" t="str">
            <v>m</v>
          </cell>
          <cell r="AG260">
            <v>9</v>
          </cell>
          <cell r="AH260">
            <v>1</v>
          </cell>
          <cell r="AS260">
            <v>43500</v>
          </cell>
          <cell r="AT260">
            <v>119</v>
          </cell>
          <cell r="BN260">
            <v>43500</v>
          </cell>
          <cell r="EQ260">
            <v>0</v>
          </cell>
          <cell r="FG260" t="str">
            <v xml:space="preserve"> مدير الانتاج</v>
          </cell>
          <cell r="FH260" t="str">
            <v>هشام عيسى محمد عبدالكريم</v>
          </cell>
          <cell r="FI260">
            <v>0</v>
          </cell>
        </row>
        <row r="261">
          <cell r="A261">
            <v>389</v>
          </cell>
          <cell r="B261" t="str">
            <v>JASHIM UDDIN</v>
          </cell>
          <cell r="G261" t="str">
            <v>أجانب</v>
          </cell>
          <cell r="H261" t="str">
            <v>الانتاج</v>
          </cell>
          <cell r="N261">
            <v>43500</v>
          </cell>
          <cell r="O261">
            <v>119</v>
          </cell>
          <cell r="P261">
            <v>1</v>
          </cell>
          <cell r="R261">
            <v>3572.5</v>
          </cell>
          <cell r="T261" t="str">
            <v>m</v>
          </cell>
          <cell r="AG261">
            <v>9</v>
          </cell>
          <cell r="AH261">
            <v>1</v>
          </cell>
          <cell r="AS261">
            <v>43500</v>
          </cell>
          <cell r="AT261">
            <v>119</v>
          </cell>
          <cell r="BN261">
            <v>43500</v>
          </cell>
          <cell r="EQ261">
            <v>0</v>
          </cell>
          <cell r="FG261" t="str">
            <v xml:space="preserve"> مدير الانتاج</v>
          </cell>
          <cell r="FH261" t="str">
            <v>هشام عيسى محمد عبدالكريم</v>
          </cell>
          <cell r="FI261">
            <v>0</v>
          </cell>
        </row>
        <row r="262">
          <cell r="A262">
            <v>390</v>
          </cell>
          <cell r="B262" t="str">
            <v>MD SAZU MIAH</v>
          </cell>
          <cell r="G262" t="str">
            <v>أجانب</v>
          </cell>
          <cell r="H262" t="str">
            <v>الانتاج</v>
          </cell>
          <cell r="N262">
            <v>43500</v>
          </cell>
          <cell r="O262">
            <v>119</v>
          </cell>
          <cell r="P262">
            <v>1</v>
          </cell>
          <cell r="R262">
            <v>3572.5</v>
          </cell>
          <cell r="T262" t="str">
            <v>m</v>
          </cell>
          <cell r="AG262">
            <v>9</v>
          </cell>
          <cell r="AH262">
            <v>1</v>
          </cell>
          <cell r="AS262">
            <v>43500</v>
          </cell>
          <cell r="AT262">
            <v>119</v>
          </cell>
          <cell r="BN262">
            <v>43500</v>
          </cell>
          <cell r="EQ262">
            <v>0</v>
          </cell>
          <cell r="FG262" t="str">
            <v xml:space="preserve"> مدير الانتاج</v>
          </cell>
          <cell r="FH262" t="str">
            <v>هشام عيسى محمد عبدالكريم</v>
          </cell>
          <cell r="FI262">
            <v>0</v>
          </cell>
        </row>
        <row r="263">
          <cell r="A263">
            <v>391</v>
          </cell>
          <cell r="B263" t="str">
            <v>PRADIP CHANDRA</v>
          </cell>
          <cell r="G263" t="str">
            <v>أجانب</v>
          </cell>
          <cell r="H263" t="str">
            <v>الانتاج</v>
          </cell>
          <cell r="N263">
            <v>43500</v>
          </cell>
          <cell r="O263">
            <v>119</v>
          </cell>
          <cell r="P263">
            <v>1</v>
          </cell>
          <cell r="R263">
            <v>3572.5</v>
          </cell>
          <cell r="T263" t="str">
            <v>m</v>
          </cell>
          <cell r="AG263">
            <v>9</v>
          </cell>
          <cell r="AH263">
            <v>1</v>
          </cell>
          <cell r="AS263">
            <v>43500</v>
          </cell>
          <cell r="AT263">
            <v>119</v>
          </cell>
          <cell r="BN263">
            <v>43500</v>
          </cell>
          <cell r="EQ263">
            <v>0</v>
          </cell>
          <cell r="FG263" t="str">
            <v xml:space="preserve"> مدير الانتاج</v>
          </cell>
          <cell r="FH263" t="str">
            <v>هشام عيسى محمد عبدالكريم</v>
          </cell>
          <cell r="FI263">
            <v>0</v>
          </cell>
        </row>
        <row r="264">
          <cell r="A264">
            <v>393</v>
          </cell>
          <cell r="B264" t="str">
            <v>SHAJAHAN HOSSAIN</v>
          </cell>
          <cell r="G264" t="str">
            <v>أجانب</v>
          </cell>
          <cell r="H264" t="str">
            <v>الانتاج</v>
          </cell>
          <cell r="N264">
            <v>43500</v>
          </cell>
          <cell r="O264">
            <v>119</v>
          </cell>
          <cell r="P264">
            <v>1</v>
          </cell>
          <cell r="R264">
            <v>3572.5</v>
          </cell>
          <cell r="T264" t="str">
            <v>m</v>
          </cell>
          <cell r="AG264">
            <v>9</v>
          </cell>
          <cell r="AH264">
            <v>1</v>
          </cell>
          <cell r="AS264">
            <v>43500</v>
          </cell>
          <cell r="AT264">
            <v>119</v>
          </cell>
          <cell r="BN264">
            <v>43500</v>
          </cell>
          <cell r="EQ264">
            <v>0</v>
          </cell>
          <cell r="FG264" t="str">
            <v xml:space="preserve"> مدير الانتاج</v>
          </cell>
          <cell r="FH264" t="str">
            <v>هشام عيسى محمد عبدالكريم</v>
          </cell>
          <cell r="FI264">
            <v>0</v>
          </cell>
        </row>
        <row r="265">
          <cell r="A265">
            <v>403</v>
          </cell>
          <cell r="B265" t="str">
            <v>محمد صلاح جعفر حمد</v>
          </cell>
          <cell r="C265" t="str">
            <v>محمد</v>
          </cell>
          <cell r="D265" t="str">
            <v>صلاح</v>
          </cell>
          <cell r="E265" t="str">
            <v>جعفر</v>
          </cell>
          <cell r="F265" t="str">
            <v>حمد</v>
          </cell>
          <cell r="G265" t="str">
            <v>المصنع</v>
          </cell>
          <cell r="H265" t="str">
            <v>المستودعات</v>
          </cell>
          <cell r="I265" t="str">
            <v>الخام</v>
          </cell>
          <cell r="K265" t="str">
            <v>امين مستودع</v>
          </cell>
          <cell r="L265" t="str">
            <v>امين مستودع خام</v>
          </cell>
          <cell r="M265">
            <v>42472</v>
          </cell>
          <cell r="N265">
            <v>43500</v>
          </cell>
          <cell r="O265">
            <v>2</v>
          </cell>
          <cell r="P265">
            <v>9</v>
          </cell>
          <cell r="R265">
            <v>82.5</v>
          </cell>
          <cell r="Z265">
            <v>31490</v>
          </cell>
          <cell r="AG265">
            <v>9</v>
          </cell>
          <cell r="AH265">
            <v>1</v>
          </cell>
          <cell r="AI265" t="str">
            <v>ميلاد</v>
          </cell>
          <cell r="AJ265" t="str">
            <v>107094</v>
          </cell>
          <cell r="AK265">
            <v>4</v>
          </cell>
          <cell r="AL265">
            <v>9</v>
          </cell>
          <cell r="AM265">
            <v>0</v>
          </cell>
          <cell r="AN265">
            <v>7</v>
          </cell>
          <cell r="AO265">
            <v>0</v>
          </cell>
          <cell r="AP265">
            <v>1</v>
          </cell>
          <cell r="AS265">
            <v>43500</v>
          </cell>
          <cell r="AT265">
            <v>32</v>
          </cell>
          <cell r="BF265" t="str">
            <v>عوضيه سعيد حسن</v>
          </cell>
          <cell r="BG265" t="str">
            <v>الكلاكله</v>
          </cell>
          <cell r="BH265" t="str">
            <v>الكلاكله شرق - الاسكان م ( 5 )</v>
          </cell>
          <cell r="BI265" t="str">
            <v>0918487874</v>
          </cell>
          <cell r="BJ265" t="str">
            <v>ابوبكر على النعمان</v>
          </cell>
          <cell r="BK265" t="str">
            <v>0911111097</v>
          </cell>
          <cell r="BL265" t="str">
            <v>خالي الطرف</v>
          </cell>
          <cell r="BN265">
            <v>43500</v>
          </cell>
          <cell r="BS265" t="str">
            <v>الاقتصاد</v>
          </cell>
          <cell r="BT265" t="str">
            <v>بكلاريوس</v>
          </cell>
          <cell r="BU265" t="str">
            <v>جامعة امدرمان الاسلامية</v>
          </cell>
          <cell r="BV265">
            <v>39295</v>
          </cell>
          <cell r="BW265" t="str">
            <v>محاسبه الكترونيه</v>
          </cell>
          <cell r="BX265" t="str">
            <v>دبلوم (معاهد)</v>
          </cell>
          <cell r="BY265" t="str">
            <v>جامعة الخرطوم</v>
          </cell>
          <cell r="BZ265">
            <v>41830</v>
          </cell>
          <cell r="CA265" t="str">
            <v>حاسوب</v>
          </cell>
          <cell r="CB265" t="str">
            <v>دبلوم (معاهد)</v>
          </cell>
          <cell r="CC265" t="str">
            <v>Tamayouz Certificate Of Excellence</v>
          </cell>
          <cell r="CD265">
            <v>40878</v>
          </cell>
          <cell r="EQ265">
            <v>0</v>
          </cell>
          <cell r="FG265" t="str">
            <v>مدير المستودعات</v>
          </cell>
          <cell r="FH265" t="str">
            <v>على احمد على بابكر</v>
          </cell>
          <cell r="FI265">
            <v>0</v>
          </cell>
        </row>
        <row r="266">
          <cell r="A266">
            <v>404</v>
          </cell>
          <cell r="B266" t="str">
            <v>NASER UDDIN</v>
          </cell>
          <cell r="G266" t="str">
            <v>أجانب</v>
          </cell>
          <cell r="H266" t="str">
            <v>الانتاج</v>
          </cell>
          <cell r="N266">
            <v>43500</v>
          </cell>
          <cell r="O266">
            <v>119</v>
          </cell>
          <cell r="P266">
            <v>1</v>
          </cell>
          <cell r="R266">
            <v>3572.5</v>
          </cell>
          <cell r="T266" t="str">
            <v>m</v>
          </cell>
          <cell r="AG266">
            <v>9</v>
          </cell>
          <cell r="AH266">
            <v>1</v>
          </cell>
          <cell r="AS266">
            <v>43500</v>
          </cell>
          <cell r="AT266">
            <v>119</v>
          </cell>
          <cell r="BN266">
            <v>43500</v>
          </cell>
          <cell r="EQ266">
            <v>0</v>
          </cell>
          <cell r="FG266" t="str">
            <v xml:space="preserve"> مدير الانتاج</v>
          </cell>
          <cell r="FH266" t="str">
            <v>هشام عيسى محمد عبدالكريم</v>
          </cell>
          <cell r="FI266">
            <v>0</v>
          </cell>
        </row>
        <row r="267">
          <cell r="A267">
            <v>405</v>
          </cell>
          <cell r="B267" t="str">
            <v>ABDUL MOTALIB</v>
          </cell>
          <cell r="G267" t="str">
            <v>أجانب</v>
          </cell>
          <cell r="H267" t="str">
            <v>الانتاج</v>
          </cell>
          <cell r="N267">
            <v>43500</v>
          </cell>
          <cell r="O267">
            <v>119</v>
          </cell>
          <cell r="P267">
            <v>1</v>
          </cell>
          <cell r="R267">
            <v>3572.5</v>
          </cell>
          <cell r="T267" t="str">
            <v>m</v>
          </cell>
          <cell r="AG267">
            <v>9</v>
          </cell>
          <cell r="AH267">
            <v>1</v>
          </cell>
          <cell r="AS267">
            <v>43500</v>
          </cell>
          <cell r="AT267">
            <v>119</v>
          </cell>
          <cell r="BN267">
            <v>43500</v>
          </cell>
          <cell r="EQ267">
            <v>0</v>
          </cell>
          <cell r="FG267" t="str">
            <v xml:space="preserve"> مدير الانتاج</v>
          </cell>
          <cell r="FH267" t="str">
            <v>هشام عيسى محمد عبدالكريم</v>
          </cell>
          <cell r="FI267">
            <v>0</v>
          </cell>
        </row>
        <row r="268">
          <cell r="A268">
            <v>407</v>
          </cell>
          <cell r="B268" t="str">
            <v>احمد محمد سليمان محمد على</v>
          </cell>
          <cell r="G268" t="str">
            <v>الرئاسه</v>
          </cell>
          <cell r="H268" t="str">
            <v>المشتريات</v>
          </cell>
          <cell r="K268" t="str">
            <v>مندوب مشتريات</v>
          </cell>
          <cell r="L268" t="str">
            <v>موظف مشتروات</v>
          </cell>
          <cell r="M268">
            <v>41281</v>
          </cell>
          <cell r="N268">
            <v>43500</v>
          </cell>
          <cell r="O268">
            <v>6</v>
          </cell>
          <cell r="P268">
            <v>0</v>
          </cell>
          <cell r="R268">
            <v>180</v>
          </cell>
          <cell r="Z268">
            <v>31343</v>
          </cell>
          <cell r="AG268">
            <v>9</v>
          </cell>
          <cell r="AH268">
            <v>1</v>
          </cell>
          <cell r="AI268" t="str">
            <v>ميلاد</v>
          </cell>
          <cell r="AJ268" t="str">
            <v>271969</v>
          </cell>
          <cell r="AK268">
            <v>9</v>
          </cell>
          <cell r="AL268">
            <v>6</v>
          </cell>
          <cell r="AM268">
            <v>9</v>
          </cell>
          <cell r="AN268">
            <v>1</v>
          </cell>
          <cell r="AO268">
            <v>7</v>
          </cell>
          <cell r="AP268">
            <v>2</v>
          </cell>
          <cell r="AS268">
            <v>43500</v>
          </cell>
          <cell r="AT268">
            <v>33</v>
          </cell>
          <cell r="AU268" t="str">
            <v>جواز سفر</v>
          </cell>
          <cell r="AV268" t="str">
            <v>00701397</v>
          </cell>
          <cell r="AW268">
            <v>7</v>
          </cell>
          <cell r="AX268">
            <v>9</v>
          </cell>
          <cell r="AY268">
            <v>3</v>
          </cell>
          <cell r="AZ268">
            <v>1</v>
          </cell>
          <cell r="BA268">
            <v>0</v>
          </cell>
          <cell r="BB268">
            <v>7</v>
          </cell>
          <cell r="BC268">
            <v>0</v>
          </cell>
          <cell r="BD268">
            <v>0</v>
          </cell>
          <cell r="BE268" t="str">
            <v>112-5866558-0</v>
          </cell>
          <cell r="BF268" t="str">
            <v>بدريه عبد الحليم</v>
          </cell>
          <cell r="BH268" t="str">
            <v>امدرمان - الحتانه</v>
          </cell>
          <cell r="BI268" t="str">
            <v>0912445177</v>
          </cell>
          <cell r="BL268" t="str">
            <v>خالي الطرف</v>
          </cell>
          <cell r="BN268">
            <v>43500</v>
          </cell>
          <cell r="BS268" t="str">
            <v>هندسة بترول</v>
          </cell>
          <cell r="BT268" t="str">
            <v>دبلوم تقني</v>
          </cell>
          <cell r="BU268" t="str">
            <v>جامعة السودان للعلوم والتكنولوجيا</v>
          </cell>
          <cell r="BV268">
            <v>39680</v>
          </cell>
          <cell r="BW268" t="str">
            <v>حاسوب</v>
          </cell>
          <cell r="BX268" t="str">
            <v>دبلوم (معاهد)</v>
          </cell>
          <cell r="BY268" t="str">
            <v>مركز ام . اي . سي لعلوم الكمبيوتر</v>
          </cell>
          <cell r="BZ268">
            <v>39431</v>
          </cell>
          <cell r="CQ268" t="str">
            <v>الشركة السودانية لخطوط انابيب البترول</v>
          </cell>
          <cell r="CR268" t="str">
            <v>متدرب</v>
          </cell>
          <cell r="CS268">
            <v>39548</v>
          </cell>
          <cell r="CT268">
            <v>39639</v>
          </cell>
          <cell r="EN268">
            <v>30</v>
          </cell>
          <cell r="EO268">
            <v>30</v>
          </cell>
          <cell r="EP268">
            <v>30</v>
          </cell>
          <cell r="EQ268">
            <v>120</v>
          </cell>
          <cell r="ER268">
            <v>30</v>
          </cell>
          <cell r="FG268" t="str">
            <v>المدير الادارى</v>
          </cell>
          <cell r="FH268" t="str">
            <v>احمد عبدالرحيم ابوبكر محمد</v>
          </cell>
          <cell r="FI268" t="str">
            <v>112-5866558-0</v>
          </cell>
          <cell r="HC268" t="str">
            <v>30</v>
          </cell>
        </row>
        <row r="269">
          <cell r="A269">
            <v>408</v>
          </cell>
          <cell r="B269" t="str">
            <v>احمد محمد موسى حسن</v>
          </cell>
          <cell r="C269" t="str">
            <v>احمد</v>
          </cell>
          <cell r="D269" t="str">
            <v>محمد</v>
          </cell>
          <cell r="E269" t="str">
            <v>موسى</v>
          </cell>
          <cell r="F269" t="str">
            <v>حسن</v>
          </cell>
          <cell r="G269" t="str">
            <v>المصنع</v>
          </cell>
          <cell r="H269" t="str">
            <v>الانتاج</v>
          </cell>
          <cell r="I269" t="str">
            <v>اليات</v>
          </cell>
          <cell r="K269" t="str">
            <v>سائق رافعه شوكيه</v>
          </cell>
          <cell r="L269" t="str">
            <v>سائق اليات</v>
          </cell>
          <cell r="M269">
            <v>41282</v>
          </cell>
          <cell r="N269">
            <v>43500</v>
          </cell>
          <cell r="O269">
            <v>6</v>
          </cell>
          <cell r="P269">
            <v>0</v>
          </cell>
          <cell r="R269">
            <v>180</v>
          </cell>
          <cell r="Z269">
            <v>29952</v>
          </cell>
          <cell r="AG269">
            <v>9</v>
          </cell>
          <cell r="AH269">
            <v>1</v>
          </cell>
          <cell r="AS269">
            <v>43500</v>
          </cell>
          <cell r="AT269">
            <v>37</v>
          </cell>
          <cell r="BE269" t="str">
            <v>119-1920242-5</v>
          </cell>
          <cell r="BF269" t="str">
            <v>عائشه محمد عبدالله</v>
          </cell>
          <cell r="BG269" t="str">
            <v>الكلاكله</v>
          </cell>
          <cell r="BH269" t="str">
            <v>الكلاكلة - الفتيح</v>
          </cell>
          <cell r="BI269" t="str">
            <v>0916733425</v>
          </cell>
          <cell r="BJ269" t="str">
            <v>احمد سعيد</v>
          </cell>
          <cell r="BK269" t="str">
            <v>0915395776</v>
          </cell>
          <cell r="BL269" t="str">
            <v>خالي الطرف</v>
          </cell>
          <cell r="BN269">
            <v>43500</v>
          </cell>
          <cell r="EM269">
            <v>30</v>
          </cell>
          <cell r="EO269">
            <v>30</v>
          </cell>
          <cell r="EQ269">
            <v>60</v>
          </cell>
          <cell r="ER269">
            <v>26</v>
          </cell>
          <cell r="ES269">
            <v>41282</v>
          </cell>
          <cell r="ET269">
            <v>41646</v>
          </cell>
          <cell r="EU269" t="str">
            <v>سائق رافعة شوكية</v>
          </cell>
          <cell r="FG269" t="str">
            <v xml:space="preserve"> مدير الانتاج</v>
          </cell>
          <cell r="FH269" t="str">
            <v>هشام عيسى محمد عبدالكريم</v>
          </cell>
          <cell r="FI269" t="str">
            <v>119-1920242-5</v>
          </cell>
        </row>
        <row r="270">
          <cell r="A270">
            <v>410</v>
          </cell>
          <cell r="B270" t="str">
            <v>امير احمد البشرى عبدالرحيم</v>
          </cell>
          <cell r="C270" t="str">
            <v>امير</v>
          </cell>
          <cell r="D270" t="str">
            <v>احمد</v>
          </cell>
          <cell r="E270" t="str">
            <v>البشرى</v>
          </cell>
          <cell r="F270" t="str">
            <v>عبدالرحيم</v>
          </cell>
          <cell r="G270" t="str">
            <v>المصنع</v>
          </cell>
          <cell r="H270" t="str">
            <v>الكمبيوتر</v>
          </cell>
          <cell r="I270" t="str">
            <v>الكمبيوتر</v>
          </cell>
          <cell r="K270" t="str">
            <v>مهندس كمبيوتر</v>
          </cell>
          <cell r="L270" t="str">
            <v>مهندس كمبيوتر</v>
          </cell>
          <cell r="M270">
            <v>41275</v>
          </cell>
          <cell r="N270">
            <v>43500</v>
          </cell>
          <cell r="O270">
            <v>6</v>
          </cell>
          <cell r="P270">
            <v>1</v>
          </cell>
          <cell r="R270">
            <v>182.5</v>
          </cell>
          <cell r="Z270">
            <v>28796</v>
          </cell>
          <cell r="AG270">
            <v>9</v>
          </cell>
          <cell r="AH270">
            <v>1</v>
          </cell>
          <cell r="AI270" t="str">
            <v>ميلاد</v>
          </cell>
          <cell r="AJ270" t="str">
            <v>202366</v>
          </cell>
          <cell r="AK270">
            <v>6</v>
          </cell>
          <cell r="AL270">
            <v>6</v>
          </cell>
          <cell r="AM270">
            <v>3</v>
          </cell>
          <cell r="AN270">
            <v>2</v>
          </cell>
          <cell r="AO270">
            <v>0</v>
          </cell>
          <cell r="AP270">
            <v>2</v>
          </cell>
          <cell r="AS270">
            <v>43500</v>
          </cell>
          <cell r="AT270">
            <v>40</v>
          </cell>
          <cell r="BF270" t="str">
            <v>احسان مالك</v>
          </cell>
          <cell r="BG270" t="str">
            <v>بحرى</v>
          </cell>
          <cell r="BL270" t="str">
            <v>خالي الطرف</v>
          </cell>
          <cell r="BN270">
            <v>43500</v>
          </cell>
          <cell r="BS270" t="str">
            <v>هندسة حاسوب</v>
          </cell>
          <cell r="BT270" t="str">
            <v>دبلوم تقني</v>
          </cell>
          <cell r="BU270" t="str">
            <v>جامعة امدرمان الاسلامية</v>
          </cell>
          <cell r="BV270">
            <v>37987</v>
          </cell>
          <cell r="CQ270" t="str">
            <v>المستقبل لإمدادات الكهرباء</v>
          </cell>
          <cell r="CR270" t="str">
            <v>مهندس صيانة حاسوب</v>
          </cell>
          <cell r="CS270">
            <v>40575</v>
          </cell>
          <cell r="CT270">
            <v>40797</v>
          </cell>
          <cell r="CV270" t="str">
            <v>الجزيرة الهندسية</v>
          </cell>
          <cell r="CW270" t="str">
            <v>مهندس صيانة حاسوب</v>
          </cell>
          <cell r="CX270">
            <v>39387</v>
          </cell>
          <cell r="CY270">
            <v>40026</v>
          </cell>
          <cell r="DA270" t="str">
            <v>المصنع السودانى الماليزى</v>
          </cell>
          <cell r="DB270" t="str">
            <v>مهندس كمبيوتر</v>
          </cell>
          <cell r="DC270">
            <v>38281</v>
          </cell>
          <cell r="DD270">
            <v>39386</v>
          </cell>
          <cell r="EQ270">
            <v>0</v>
          </cell>
          <cell r="ER270">
            <v>40</v>
          </cell>
          <cell r="ES270">
            <v>41275</v>
          </cell>
          <cell r="ET270">
            <v>42004</v>
          </cell>
          <cell r="EU270" t="str">
            <v>مهندس كمبيوتر</v>
          </cell>
          <cell r="FG270" t="str">
            <v>مدير قسم الكمبيوتر</v>
          </cell>
          <cell r="FH270" t="str">
            <v>معتز عمر مصطفى</v>
          </cell>
          <cell r="FI270">
            <v>0</v>
          </cell>
        </row>
        <row r="271">
          <cell r="A271">
            <v>411</v>
          </cell>
          <cell r="B271" t="str">
            <v>الحاج بليله عمر بليله</v>
          </cell>
          <cell r="C271" t="str">
            <v>الحاج</v>
          </cell>
          <cell r="D271" t="str">
            <v>بليله</v>
          </cell>
          <cell r="E271" t="str">
            <v>عمر</v>
          </cell>
          <cell r="F271" t="str">
            <v>بليله</v>
          </cell>
          <cell r="G271" t="str">
            <v>المصنع</v>
          </cell>
          <cell r="H271" t="str">
            <v>الانتاج</v>
          </cell>
          <cell r="K271" t="str">
            <v>فرد امن</v>
          </cell>
          <cell r="L271" t="str">
            <v>مشغل كرين</v>
          </cell>
          <cell r="M271">
            <v>41296</v>
          </cell>
          <cell r="N271">
            <v>43500</v>
          </cell>
          <cell r="O271">
            <v>6</v>
          </cell>
          <cell r="P271">
            <v>0</v>
          </cell>
          <cell r="R271">
            <v>180</v>
          </cell>
          <cell r="Z271">
            <v>32301</v>
          </cell>
          <cell r="AG271">
            <v>9</v>
          </cell>
          <cell r="AH271">
            <v>1</v>
          </cell>
          <cell r="AI271" t="str">
            <v>ميلاد</v>
          </cell>
          <cell r="AJ271" t="str">
            <v>86171</v>
          </cell>
          <cell r="AK271">
            <v>1</v>
          </cell>
          <cell r="AL271">
            <v>7</v>
          </cell>
          <cell r="AM271">
            <v>1</v>
          </cell>
          <cell r="AN271">
            <v>6</v>
          </cell>
          <cell r="AO271">
            <v>8</v>
          </cell>
          <cell r="AS271">
            <v>43500</v>
          </cell>
          <cell r="AT271">
            <v>30</v>
          </cell>
          <cell r="AU271" t="str">
            <v>جنسيه</v>
          </cell>
          <cell r="AV271" t="str">
            <v>0897174</v>
          </cell>
          <cell r="AW271">
            <v>4</v>
          </cell>
          <cell r="AX271">
            <v>7</v>
          </cell>
          <cell r="AY271">
            <v>1</v>
          </cell>
          <cell r="AZ271">
            <v>7</v>
          </cell>
          <cell r="BA271">
            <v>9</v>
          </cell>
          <cell r="BB271">
            <v>8</v>
          </cell>
          <cell r="BC271">
            <v>0</v>
          </cell>
          <cell r="BE271" t="str">
            <v>119-0564988-9</v>
          </cell>
          <cell r="BF271" t="str">
            <v>الدخيره حماد بليله</v>
          </cell>
          <cell r="BG271" t="str">
            <v>العربى</v>
          </cell>
          <cell r="BH271" t="str">
            <v>كررى - الحاره 16 مبروكه - منزل رقم (555)</v>
          </cell>
          <cell r="BI271" t="str">
            <v>0922551192</v>
          </cell>
          <cell r="BJ271" t="str">
            <v>ضو البيت</v>
          </cell>
          <cell r="BK271" t="str">
            <v>099439074</v>
          </cell>
          <cell r="BN271">
            <v>43500</v>
          </cell>
          <cell r="BT271" t="str">
            <v>شهاده ثانويه</v>
          </cell>
          <cell r="BV271">
            <v>38777</v>
          </cell>
          <cell r="EP271">
            <v>30</v>
          </cell>
          <cell r="EQ271">
            <v>30</v>
          </cell>
          <cell r="ER271">
            <v>67</v>
          </cell>
          <cell r="ES271">
            <v>41296</v>
          </cell>
          <cell r="ET271">
            <v>41660</v>
          </cell>
          <cell r="FG271" t="str">
            <v xml:space="preserve"> مدير الانتاج</v>
          </cell>
          <cell r="FH271" t="str">
            <v>هشام عيسى محمد عبدالكريم</v>
          </cell>
          <cell r="FI271" t="str">
            <v>119-0564988-9</v>
          </cell>
        </row>
        <row r="272">
          <cell r="A272">
            <v>413</v>
          </cell>
          <cell r="B272" t="str">
            <v xml:space="preserve">محمد الشفيع محمد </v>
          </cell>
          <cell r="G272" t="str">
            <v>المصنع</v>
          </cell>
          <cell r="H272" t="str">
            <v>المستودعات</v>
          </cell>
          <cell r="I272" t="str">
            <v>الميزان</v>
          </cell>
          <cell r="L272" t="str">
            <v>امين ميزان</v>
          </cell>
          <cell r="M272">
            <v>41307</v>
          </cell>
          <cell r="N272">
            <v>42705</v>
          </cell>
          <cell r="O272">
            <v>3</v>
          </cell>
          <cell r="P272">
            <v>9</v>
          </cell>
          <cell r="R272">
            <v>112.5</v>
          </cell>
          <cell r="T272" t="str">
            <v>إستقال</v>
          </cell>
          <cell r="U272">
            <v>42704</v>
          </cell>
          <cell r="V272">
            <v>42705</v>
          </cell>
          <cell r="Z272">
            <v>29221</v>
          </cell>
          <cell r="AG272">
            <v>9</v>
          </cell>
          <cell r="AH272">
            <v>1</v>
          </cell>
          <cell r="AI272" t="str">
            <v>تسنين</v>
          </cell>
          <cell r="AJ272" t="str">
            <v>118412</v>
          </cell>
          <cell r="AK272">
            <v>2</v>
          </cell>
          <cell r="AL272">
            <v>1</v>
          </cell>
          <cell r="AM272">
            <v>4</v>
          </cell>
          <cell r="AN272">
            <v>8</v>
          </cell>
          <cell r="AO272">
            <v>1</v>
          </cell>
          <cell r="AP272">
            <v>1</v>
          </cell>
          <cell r="AS272">
            <v>43500</v>
          </cell>
          <cell r="AT272">
            <v>39</v>
          </cell>
          <cell r="BE272" t="str">
            <v>120-6463222-4</v>
          </cell>
          <cell r="BF272" t="str">
            <v>عائشه وراق محمد</v>
          </cell>
          <cell r="BG272" t="str">
            <v>بحرى</v>
          </cell>
          <cell r="BH272" t="str">
            <v>اركويت - م 45</v>
          </cell>
          <cell r="BI272" t="str">
            <v>0920072771</v>
          </cell>
          <cell r="BL272" t="str">
            <v>خالي الطرف</v>
          </cell>
          <cell r="BN272">
            <v>43500</v>
          </cell>
          <cell r="EQ272">
            <v>0</v>
          </cell>
          <cell r="ES272">
            <v>41307</v>
          </cell>
          <cell r="ET272">
            <v>41671</v>
          </cell>
          <cell r="FG272" t="str">
            <v>مدير المستودعات</v>
          </cell>
          <cell r="FH272" t="str">
            <v>على احمد على بابكر</v>
          </cell>
          <cell r="FI272" t="str">
            <v>120-6463222-4</v>
          </cell>
        </row>
        <row r="273">
          <cell r="A273">
            <v>415</v>
          </cell>
          <cell r="B273" t="str">
            <v>عبدالخالق حسن محمد ابراهيم</v>
          </cell>
          <cell r="C273" t="str">
            <v>عبدالخالق</v>
          </cell>
          <cell r="D273" t="str">
            <v>حسن</v>
          </cell>
          <cell r="E273" t="str">
            <v>محمد</v>
          </cell>
          <cell r="F273" t="str">
            <v>ابراهيم</v>
          </cell>
          <cell r="G273" t="str">
            <v>المصنع</v>
          </cell>
          <cell r="H273" t="str">
            <v>الميكانيكا</v>
          </cell>
          <cell r="I273" t="str">
            <v>الميكانيكا</v>
          </cell>
          <cell r="K273" t="str">
            <v>فنى</v>
          </cell>
          <cell r="L273" t="str">
            <v>تقنى ميكانيكا</v>
          </cell>
          <cell r="M273">
            <v>41312</v>
          </cell>
          <cell r="N273">
            <v>43500</v>
          </cell>
          <cell r="O273">
            <v>5</v>
          </cell>
          <cell r="P273">
            <v>11</v>
          </cell>
          <cell r="R273">
            <v>177.5</v>
          </cell>
          <cell r="Z273">
            <v>31778</v>
          </cell>
          <cell r="AG273">
            <v>9</v>
          </cell>
          <cell r="AH273">
            <v>1</v>
          </cell>
          <cell r="AI273" t="str">
            <v>تسنين</v>
          </cell>
          <cell r="AJ273" t="str">
            <v>2359813</v>
          </cell>
          <cell r="AK273">
            <v>3</v>
          </cell>
          <cell r="AL273">
            <v>1</v>
          </cell>
          <cell r="AM273">
            <v>8</v>
          </cell>
          <cell r="AN273">
            <v>9</v>
          </cell>
          <cell r="AO273">
            <v>5</v>
          </cell>
          <cell r="AP273">
            <v>3</v>
          </cell>
          <cell r="AQ273">
            <v>2</v>
          </cell>
          <cell r="AS273">
            <v>43500</v>
          </cell>
          <cell r="AT273">
            <v>32</v>
          </cell>
          <cell r="AU273" t="str">
            <v>جنسيه</v>
          </cell>
          <cell r="AV273" t="str">
            <v>0589652</v>
          </cell>
          <cell r="AW273">
            <v>2</v>
          </cell>
          <cell r="AX273">
            <v>5</v>
          </cell>
          <cell r="AY273">
            <v>6</v>
          </cell>
          <cell r="AZ273">
            <v>9</v>
          </cell>
          <cell r="BA273">
            <v>8</v>
          </cell>
          <cell r="BB273">
            <v>5</v>
          </cell>
          <cell r="BC273">
            <v>0</v>
          </cell>
          <cell r="BF273" t="str">
            <v>مكه مصطفى على</v>
          </cell>
          <cell r="BG273" t="str">
            <v>الجزيره</v>
          </cell>
          <cell r="BH273" t="str">
            <v>الجزيره - جياد</v>
          </cell>
          <cell r="BI273" t="str">
            <v>0910612365</v>
          </cell>
          <cell r="BJ273" t="str">
            <v>محمد حسن محمد</v>
          </cell>
          <cell r="BK273" t="str">
            <v>0123558944</v>
          </cell>
          <cell r="BL273" t="str">
            <v>خالي الطرف</v>
          </cell>
          <cell r="BN273">
            <v>43500</v>
          </cell>
          <cell r="BS273" t="str">
            <v>هندسة ميكانيكية ( إنتاج )</v>
          </cell>
          <cell r="BT273" t="str">
            <v>دبلوم تقني</v>
          </cell>
          <cell r="BU273" t="str">
            <v>جامعة امدرمان الاسلامية</v>
          </cell>
          <cell r="BV273">
            <v>40452</v>
          </cell>
          <cell r="BX273" t="str">
            <v>شهاده دورة تدريب</v>
          </cell>
          <cell r="BY273" t="str">
            <v>جمعية الهلال الاحمر السودانيه</v>
          </cell>
          <cell r="BZ273">
            <v>40734</v>
          </cell>
          <cell r="CQ273" t="str">
            <v>مصنع سكر حلفا الجديدة</v>
          </cell>
          <cell r="CR273" t="str">
            <v>متدرب</v>
          </cell>
          <cell r="CS273">
            <v>39728</v>
          </cell>
          <cell r="CT273">
            <v>39749</v>
          </cell>
          <cell r="EQ273">
            <v>0</v>
          </cell>
          <cell r="ER273">
            <v>115</v>
          </cell>
          <cell r="ES273">
            <v>41312</v>
          </cell>
          <cell r="ET273">
            <v>41676</v>
          </cell>
          <cell r="EU273" t="str">
            <v>فنى</v>
          </cell>
          <cell r="FG273" t="str">
            <v>مدير الصيانه الميكانيكيه</v>
          </cell>
          <cell r="FH273" t="str">
            <v>محمد احمد محمد سليمان</v>
          </cell>
          <cell r="FI273">
            <v>0</v>
          </cell>
        </row>
        <row r="274">
          <cell r="A274">
            <v>418</v>
          </cell>
          <cell r="B274" t="str">
            <v>معتز موسى وجين دارموس</v>
          </cell>
          <cell r="C274" t="str">
            <v>معتز</v>
          </cell>
          <cell r="D274" t="str">
            <v>موسى</v>
          </cell>
          <cell r="E274" t="str">
            <v>وجين</v>
          </cell>
          <cell r="F274" t="str">
            <v>دارموس</v>
          </cell>
          <cell r="G274" t="str">
            <v>المصنع</v>
          </cell>
          <cell r="H274" t="str">
            <v>الجوده</v>
          </cell>
          <cell r="K274" t="str">
            <v>مراقب انتاج</v>
          </cell>
          <cell r="L274" t="str">
            <v>مراقب انتاج</v>
          </cell>
          <cell r="M274">
            <v>43193</v>
          </cell>
          <cell r="N274">
            <v>43500</v>
          </cell>
          <cell r="O274">
            <v>0</v>
          </cell>
          <cell r="P274">
            <v>10</v>
          </cell>
          <cell r="R274">
            <v>25</v>
          </cell>
          <cell r="X274">
            <v>41321</v>
          </cell>
          <cell r="AS274">
            <v>43500</v>
          </cell>
          <cell r="AT274">
            <v>119</v>
          </cell>
          <cell r="AU274" t="str">
            <v>بطاقه قوميه</v>
          </cell>
          <cell r="AV274" t="str">
            <v>002912527</v>
          </cell>
          <cell r="AW274">
            <v>7</v>
          </cell>
          <cell r="AX274">
            <v>2</v>
          </cell>
          <cell r="AY274">
            <v>5</v>
          </cell>
          <cell r="AZ274">
            <v>2</v>
          </cell>
          <cell r="BA274">
            <v>1</v>
          </cell>
          <cell r="BB274">
            <v>9</v>
          </cell>
          <cell r="BC274">
            <v>2</v>
          </cell>
          <cell r="BD274">
            <v>0</v>
          </cell>
          <cell r="BE274" t="str">
            <v>119-5621840-6</v>
          </cell>
          <cell r="BF274" t="str">
            <v>نعمه بكان حملين كرمون</v>
          </cell>
          <cell r="BG274" t="str">
            <v>العربى</v>
          </cell>
          <cell r="BH274" t="str">
            <v>ام درمان - الشرقية</v>
          </cell>
          <cell r="BJ274" t="str">
            <v>محمد كاتين ارقوق</v>
          </cell>
          <cell r="BL274" t="str">
            <v>خالي الطرف</v>
          </cell>
          <cell r="BN274">
            <v>43500</v>
          </cell>
          <cell r="BS274" t="str">
            <v>هندسة حاسوب</v>
          </cell>
          <cell r="BT274" t="str">
            <v>دبلوم تقني</v>
          </cell>
          <cell r="BU274" t="str">
            <v>جامعة السودان للعلوم والتكنولوجيا</v>
          </cell>
          <cell r="BV274">
            <v>40836</v>
          </cell>
          <cell r="EQ274">
            <v>0</v>
          </cell>
          <cell r="FG274" t="str">
            <v>مسئول قسم الجوده</v>
          </cell>
          <cell r="FH274" t="str">
            <v>المبارك محمد ابراهيم</v>
          </cell>
          <cell r="FI274" t="str">
            <v>119-5621840-6</v>
          </cell>
        </row>
        <row r="275">
          <cell r="A275">
            <v>420</v>
          </cell>
          <cell r="B275" t="str">
            <v>صلاح احمد الهادى</v>
          </cell>
          <cell r="G275" t="str">
            <v>المصنع</v>
          </cell>
          <cell r="H275" t="str">
            <v>الانتاج</v>
          </cell>
          <cell r="L275" t="str">
            <v>عامل</v>
          </cell>
          <cell r="O275">
            <v>0</v>
          </cell>
          <cell r="P275">
            <v>0</v>
          </cell>
          <cell r="R275">
            <v>0</v>
          </cell>
          <cell r="T275" t="str">
            <v>فصل</v>
          </cell>
          <cell r="U275">
            <v>41898</v>
          </cell>
          <cell r="AS275">
            <v>43500</v>
          </cell>
          <cell r="AT275">
            <v>119</v>
          </cell>
          <cell r="BN275">
            <v>43500</v>
          </cell>
          <cell r="EQ275">
            <v>0</v>
          </cell>
          <cell r="FG275" t="str">
            <v xml:space="preserve"> مدير الانتاج</v>
          </cell>
          <cell r="FH275" t="str">
            <v>هشام عيسى محمد عبدالكريم</v>
          </cell>
          <cell r="FI275">
            <v>0</v>
          </cell>
        </row>
        <row r="276">
          <cell r="A276">
            <v>425</v>
          </cell>
          <cell r="B276" t="str">
            <v>الفاتح محمد عامر سليمان</v>
          </cell>
          <cell r="C276" t="str">
            <v>الفاتح</v>
          </cell>
          <cell r="D276" t="str">
            <v>محمد</v>
          </cell>
          <cell r="E276" t="str">
            <v>عامر</v>
          </cell>
          <cell r="F276" t="str">
            <v>سليمان</v>
          </cell>
          <cell r="G276" t="str">
            <v>المصنع</v>
          </cell>
          <cell r="H276" t="str">
            <v>الميكانيكا</v>
          </cell>
          <cell r="I276" t="str">
            <v>مشرف صيانه</v>
          </cell>
          <cell r="K276" t="str">
            <v>مسئول صيانة</v>
          </cell>
          <cell r="L276" t="str">
            <v>مشرف صيانه</v>
          </cell>
          <cell r="M276">
            <v>41334</v>
          </cell>
          <cell r="N276">
            <v>43500</v>
          </cell>
          <cell r="O276">
            <v>5</v>
          </cell>
          <cell r="P276">
            <v>11</v>
          </cell>
          <cell r="R276">
            <v>177.5</v>
          </cell>
          <cell r="Z276">
            <v>23743</v>
          </cell>
          <cell r="AG276">
            <v>9</v>
          </cell>
          <cell r="AH276">
            <v>1</v>
          </cell>
          <cell r="AI276" t="str">
            <v>تسنين</v>
          </cell>
          <cell r="AJ276" t="str">
            <v>1334064</v>
          </cell>
          <cell r="AK276">
            <v>4</v>
          </cell>
          <cell r="AL276">
            <v>6</v>
          </cell>
          <cell r="AM276">
            <v>0</v>
          </cell>
          <cell r="AN276">
            <v>4</v>
          </cell>
          <cell r="AO276">
            <v>3</v>
          </cell>
          <cell r="AP276">
            <v>3</v>
          </cell>
          <cell r="AQ276">
            <v>1</v>
          </cell>
          <cell r="AS276">
            <v>43500</v>
          </cell>
          <cell r="AT276">
            <v>54</v>
          </cell>
          <cell r="AU276" t="str">
            <v>بطاقه قوميه</v>
          </cell>
          <cell r="AV276" t="str">
            <v>001734210</v>
          </cell>
          <cell r="AW276">
            <v>0</v>
          </cell>
          <cell r="AX276">
            <v>1</v>
          </cell>
          <cell r="AY276">
            <v>2</v>
          </cell>
          <cell r="AZ276">
            <v>4</v>
          </cell>
          <cell r="BA276">
            <v>3</v>
          </cell>
          <cell r="BB276">
            <v>7</v>
          </cell>
          <cell r="BC276">
            <v>1</v>
          </cell>
          <cell r="BD276">
            <v>0</v>
          </cell>
          <cell r="BE276" t="str">
            <v>178-1223999-1</v>
          </cell>
          <cell r="BG276" t="str">
            <v>العربى</v>
          </cell>
          <cell r="BH276" t="str">
            <v>سوبا - الحله</v>
          </cell>
          <cell r="BI276" t="str">
            <v>0912691360</v>
          </cell>
          <cell r="BJ276" t="str">
            <v>يحى عطيه</v>
          </cell>
          <cell r="BK276" t="str">
            <v>0129066540</v>
          </cell>
          <cell r="BL276" t="str">
            <v>كبار سن</v>
          </cell>
          <cell r="BN276">
            <v>43500</v>
          </cell>
          <cell r="CQ276" t="str">
            <v>المصنع السودانى الماليزى</v>
          </cell>
          <cell r="CR276" t="str">
            <v>فنى صيانه</v>
          </cell>
          <cell r="CS276">
            <v>36281</v>
          </cell>
          <cell r="CT276">
            <v>39675</v>
          </cell>
          <cell r="EN276">
            <v>30</v>
          </cell>
          <cell r="EQ276">
            <v>30</v>
          </cell>
          <cell r="ER276">
            <v>70</v>
          </cell>
          <cell r="ES276">
            <v>41334</v>
          </cell>
          <cell r="ET276">
            <v>41698</v>
          </cell>
          <cell r="EU276" t="str">
            <v>مسئول صيانة</v>
          </cell>
          <cell r="FG276" t="str">
            <v>مدير الصيانه الميكانيكيه</v>
          </cell>
          <cell r="FH276" t="str">
            <v>محمد احمد محمد سليمان</v>
          </cell>
          <cell r="FI276" t="str">
            <v>178-1223999-1</v>
          </cell>
        </row>
        <row r="277">
          <cell r="A277">
            <v>431</v>
          </cell>
          <cell r="B277" t="str">
            <v>عصمت الزبير عمر الحسين</v>
          </cell>
          <cell r="O277">
            <v>0</v>
          </cell>
          <cell r="P277">
            <v>0</v>
          </cell>
          <cell r="R277">
            <v>0</v>
          </cell>
          <cell r="T277" t="str">
            <v>إستقال</v>
          </cell>
          <cell r="U277">
            <v>41879</v>
          </cell>
          <cell r="AS277">
            <v>43500</v>
          </cell>
          <cell r="AT277">
            <v>119</v>
          </cell>
          <cell r="BN277">
            <v>43500</v>
          </cell>
          <cell r="EQ277">
            <v>0</v>
          </cell>
          <cell r="FG277" t="e">
            <v>#N/A</v>
          </cell>
          <cell r="FH277" t="e">
            <v>#N/A</v>
          </cell>
          <cell r="FI277">
            <v>0</v>
          </cell>
        </row>
        <row r="278">
          <cell r="A278">
            <v>434</v>
          </cell>
          <cell r="B278" t="str">
            <v>معاذ مجزوب بشير محمد</v>
          </cell>
          <cell r="C278" t="str">
            <v>معاذ</v>
          </cell>
          <cell r="D278" t="str">
            <v>مجزوب</v>
          </cell>
          <cell r="E278" t="str">
            <v>بشير</v>
          </cell>
          <cell r="F278" t="str">
            <v>محمد</v>
          </cell>
          <cell r="G278" t="str">
            <v>المصنع</v>
          </cell>
          <cell r="H278" t="str">
            <v>الانتاج</v>
          </cell>
          <cell r="I278" t="str">
            <v>المواسير</v>
          </cell>
          <cell r="K278" t="str">
            <v>عامل</v>
          </cell>
          <cell r="L278" t="str">
            <v>مساعد مشغل</v>
          </cell>
          <cell r="M278">
            <v>41352</v>
          </cell>
          <cell r="N278">
            <v>43500</v>
          </cell>
          <cell r="O278">
            <v>5</v>
          </cell>
          <cell r="P278">
            <v>10</v>
          </cell>
          <cell r="R278">
            <v>175</v>
          </cell>
          <cell r="Z278">
            <v>30801</v>
          </cell>
          <cell r="AG278">
            <v>9</v>
          </cell>
          <cell r="AH278">
            <v>1</v>
          </cell>
          <cell r="AI278" t="str">
            <v>ميلاد</v>
          </cell>
          <cell r="AJ278" t="str">
            <v>214952</v>
          </cell>
          <cell r="AK278">
            <v>2</v>
          </cell>
          <cell r="AL278">
            <v>5</v>
          </cell>
          <cell r="AM278">
            <v>9</v>
          </cell>
          <cell r="AN278">
            <v>4</v>
          </cell>
          <cell r="AO278">
            <v>1</v>
          </cell>
          <cell r="AP278">
            <v>2</v>
          </cell>
          <cell r="AS278">
            <v>43500</v>
          </cell>
          <cell r="AT278">
            <v>34</v>
          </cell>
          <cell r="AU278" t="str">
            <v>بطاقه قوميه</v>
          </cell>
          <cell r="AV278" t="str">
            <v>000325385</v>
          </cell>
          <cell r="AW278">
            <v>5</v>
          </cell>
          <cell r="AX278">
            <v>8</v>
          </cell>
          <cell r="AY278">
            <v>3</v>
          </cell>
          <cell r="AZ278">
            <v>5</v>
          </cell>
          <cell r="BA278">
            <v>2</v>
          </cell>
          <cell r="BB278">
            <v>3</v>
          </cell>
          <cell r="BC278">
            <v>0</v>
          </cell>
          <cell r="BD278">
            <v>0</v>
          </cell>
          <cell r="BF278" t="str">
            <v>احلام عبدالباقى</v>
          </cell>
          <cell r="BG278" t="str">
            <v>الجزيره</v>
          </cell>
          <cell r="BH278" t="str">
            <v>الجزيره - المسعوديه</v>
          </cell>
          <cell r="BI278" t="str">
            <v>0913923345</v>
          </cell>
          <cell r="BJ278" t="str">
            <v>على احمد موسى</v>
          </cell>
          <cell r="BK278" t="str">
            <v>0919123482</v>
          </cell>
          <cell r="BL278" t="str">
            <v>خالي الطرف</v>
          </cell>
          <cell r="BN278">
            <v>43500</v>
          </cell>
          <cell r="CQ278" t="str">
            <v>الشرطه</v>
          </cell>
          <cell r="CR278" t="str">
            <v>وكيل عريف</v>
          </cell>
          <cell r="CS278">
            <v>38470</v>
          </cell>
          <cell r="CT278">
            <v>41092</v>
          </cell>
          <cell r="EQ278">
            <v>0</v>
          </cell>
          <cell r="ER278">
            <v>114</v>
          </cell>
          <cell r="FG278" t="str">
            <v xml:space="preserve"> مدير الانتاج</v>
          </cell>
          <cell r="FH278" t="str">
            <v>هشام عيسى محمد عبدالكريم</v>
          </cell>
          <cell r="FI278">
            <v>0</v>
          </cell>
        </row>
        <row r="279">
          <cell r="A279">
            <v>436</v>
          </cell>
          <cell r="B279" t="str">
            <v>يوسف دفع الله الحسين بابكر</v>
          </cell>
          <cell r="C279" t="str">
            <v>يوسف</v>
          </cell>
          <cell r="D279" t="str">
            <v>دفع الله</v>
          </cell>
          <cell r="E279" t="str">
            <v>الحسين</v>
          </cell>
          <cell r="F279" t="str">
            <v>بابكر</v>
          </cell>
          <cell r="G279" t="str">
            <v>المصنع</v>
          </cell>
          <cell r="H279" t="str">
            <v>الانتاج</v>
          </cell>
          <cell r="I279" t="str">
            <v>المواسير</v>
          </cell>
          <cell r="K279" t="str">
            <v>عامل</v>
          </cell>
          <cell r="L279" t="str">
            <v>مساعد مشغل</v>
          </cell>
          <cell r="M279">
            <v>41356</v>
          </cell>
          <cell r="N279">
            <v>43500</v>
          </cell>
          <cell r="O279">
            <v>5</v>
          </cell>
          <cell r="P279">
            <v>10</v>
          </cell>
          <cell r="R279">
            <v>175</v>
          </cell>
          <cell r="Z279">
            <v>32853</v>
          </cell>
          <cell r="AG279">
            <v>9</v>
          </cell>
          <cell r="AH279">
            <v>1</v>
          </cell>
          <cell r="AI279" t="str">
            <v>ميلاد</v>
          </cell>
          <cell r="AJ279" t="str">
            <v>912865</v>
          </cell>
          <cell r="AK279">
            <v>5</v>
          </cell>
          <cell r="AL279">
            <v>6</v>
          </cell>
          <cell r="AM279">
            <v>8</v>
          </cell>
          <cell r="AN279">
            <v>2</v>
          </cell>
          <cell r="AO279">
            <v>1</v>
          </cell>
          <cell r="AP279">
            <v>9</v>
          </cell>
          <cell r="AS279">
            <v>43500</v>
          </cell>
          <cell r="AT279">
            <v>29</v>
          </cell>
          <cell r="AU279" t="str">
            <v>جنسيه</v>
          </cell>
          <cell r="AV279" t="str">
            <v>0729851</v>
          </cell>
          <cell r="AW279">
            <v>1</v>
          </cell>
          <cell r="AX279">
            <v>5</v>
          </cell>
          <cell r="AY279">
            <v>8</v>
          </cell>
          <cell r="AZ279">
            <v>9</v>
          </cell>
          <cell r="BA279">
            <v>2</v>
          </cell>
          <cell r="BB279">
            <v>7</v>
          </cell>
          <cell r="BC279">
            <v>0</v>
          </cell>
          <cell r="BE279" t="str">
            <v>120-1409946-9</v>
          </cell>
          <cell r="BF279" t="str">
            <v>انعام سعيد عبدالله</v>
          </cell>
          <cell r="BG279" t="str">
            <v>الجزيره</v>
          </cell>
          <cell r="BH279" t="str">
            <v>الجزيره - النوبه</v>
          </cell>
          <cell r="BI279" t="str">
            <v>0111998078</v>
          </cell>
          <cell r="BJ279" t="str">
            <v>ماهر الامين</v>
          </cell>
          <cell r="BK279" t="str">
            <v>0111998050</v>
          </cell>
          <cell r="BL279" t="str">
            <v>خالي الطرف</v>
          </cell>
          <cell r="BN279">
            <v>43500</v>
          </cell>
          <cell r="BT279" t="str">
            <v>تدريب مهني</v>
          </cell>
          <cell r="BU279" t="str">
            <v xml:space="preserve">المجلس الاعلى للتدريب المهنى </v>
          </cell>
          <cell r="BV279">
            <v>40122</v>
          </cell>
          <cell r="CQ279" t="str">
            <v>شركة جياد لصناعة السيارات والشاحنات المحدودة</v>
          </cell>
          <cell r="CR279" t="str">
            <v>متدرب</v>
          </cell>
          <cell r="CS279">
            <v>39357</v>
          </cell>
          <cell r="CT279">
            <v>39509</v>
          </cell>
          <cell r="EQ279">
            <v>0</v>
          </cell>
          <cell r="ER279">
            <v>73</v>
          </cell>
          <cell r="FG279" t="str">
            <v xml:space="preserve"> مدير الانتاج</v>
          </cell>
          <cell r="FH279" t="str">
            <v>هشام عيسى محمد عبدالكريم</v>
          </cell>
          <cell r="FI279" t="str">
            <v>120-1409946-9</v>
          </cell>
        </row>
        <row r="280">
          <cell r="A280">
            <v>437</v>
          </cell>
          <cell r="B280" t="str">
            <v>عبد الاله احمد طه احمد</v>
          </cell>
          <cell r="G280" t="str">
            <v>المصنع</v>
          </cell>
          <cell r="H280" t="str">
            <v>الانتاج</v>
          </cell>
          <cell r="K280" t="str">
            <v>عامل</v>
          </cell>
          <cell r="L280" t="str">
            <v>عامل</v>
          </cell>
          <cell r="M280">
            <v>41356</v>
          </cell>
          <cell r="O280" t="e">
            <v>#NUM!</v>
          </cell>
          <cell r="P280" t="e">
            <v>#NUM!</v>
          </cell>
          <cell r="R280" t="e">
            <v>#NUM!</v>
          </cell>
          <cell r="T280" t="str">
            <v>إستقال</v>
          </cell>
          <cell r="Z280">
            <v>31048</v>
          </cell>
          <cell r="AS280">
            <v>43500</v>
          </cell>
          <cell r="AT280">
            <v>34</v>
          </cell>
          <cell r="AU280" t="str">
            <v>جنسيه</v>
          </cell>
          <cell r="AV280" t="str">
            <v>0921433</v>
          </cell>
          <cell r="AW280">
            <v>3</v>
          </cell>
          <cell r="AX280">
            <v>3</v>
          </cell>
          <cell r="AY280">
            <v>4</v>
          </cell>
          <cell r="AZ280">
            <v>1</v>
          </cell>
          <cell r="BA280">
            <v>2</v>
          </cell>
          <cell r="BB280">
            <v>9</v>
          </cell>
          <cell r="BC280">
            <v>0</v>
          </cell>
          <cell r="BH280" t="str">
            <v>الجزيره - المسعوديه</v>
          </cell>
          <cell r="BI280" t="str">
            <v>0918667858</v>
          </cell>
          <cell r="BL280" t="str">
            <v>خالي الطرف</v>
          </cell>
          <cell r="BN280">
            <v>43500</v>
          </cell>
          <cell r="BS280" t="str">
            <v>هندسة ميكانيكية ( إنتاج )</v>
          </cell>
          <cell r="BT280" t="str">
            <v>دبلوم تقني</v>
          </cell>
          <cell r="BU280" t="str">
            <v>جامعة السودان للعلوم والتكنولوجيا</v>
          </cell>
          <cell r="BV280">
            <v>40836</v>
          </cell>
          <cell r="EQ280">
            <v>0</v>
          </cell>
          <cell r="FG280" t="str">
            <v xml:space="preserve"> مدير الانتاج</v>
          </cell>
          <cell r="FH280" t="str">
            <v>هشام عيسى محمد عبدالكريم</v>
          </cell>
          <cell r="FI280">
            <v>0</v>
          </cell>
        </row>
        <row r="281">
          <cell r="A281">
            <v>439</v>
          </cell>
          <cell r="B281" t="str">
            <v>مصعب اسماعيل الشيخ محمد</v>
          </cell>
          <cell r="C281" t="str">
            <v>مصعب</v>
          </cell>
          <cell r="D281" t="str">
            <v>اسماعيل</v>
          </cell>
          <cell r="E281" t="str">
            <v>الشيخ</v>
          </cell>
          <cell r="F281" t="str">
            <v>محمد</v>
          </cell>
          <cell r="G281" t="str">
            <v>المصنع</v>
          </cell>
          <cell r="H281" t="str">
            <v>الانتاج</v>
          </cell>
          <cell r="I281" t="str">
            <v>عداد</v>
          </cell>
          <cell r="K281" t="str">
            <v>عامل</v>
          </cell>
          <cell r="L281" t="str">
            <v>مراجع</v>
          </cell>
          <cell r="M281">
            <v>41356</v>
          </cell>
          <cell r="N281">
            <v>43500</v>
          </cell>
          <cell r="O281">
            <v>5</v>
          </cell>
          <cell r="P281">
            <v>10</v>
          </cell>
          <cell r="R281">
            <v>175</v>
          </cell>
          <cell r="Z281">
            <v>31778</v>
          </cell>
          <cell r="AG281">
            <v>9</v>
          </cell>
          <cell r="AH281">
            <v>1</v>
          </cell>
          <cell r="AI281" t="str">
            <v>تسنين</v>
          </cell>
          <cell r="AJ281" t="str">
            <v>770422</v>
          </cell>
          <cell r="AK281">
            <v>2</v>
          </cell>
          <cell r="AL281">
            <v>2</v>
          </cell>
          <cell r="AM281">
            <v>4</v>
          </cell>
          <cell r="AN281">
            <v>0</v>
          </cell>
          <cell r="AO281">
            <v>7</v>
          </cell>
          <cell r="AP281">
            <v>7</v>
          </cell>
          <cell r="AS281">
            <v>43500</v>
          </cell>
          <cell r="AT281">
            <v>32</v>
          </cell>
          <cell r="AU281" t="str">
            <v>بطاقه قوميه</v>
          </cell>
          <cell r="AV281" t="str">
            <v>003017404</v>
          </cell>
          <cell r="AW281">
            <v>4</v>
          </cell>
          <cell r="AX281">
            <v>0</v>
          </cell>
          <cell r="AY281">
            <v>4</v>
          </cell>
          <cell r="AZ281">
            <v>7</v>
          </cell>
          <cell r="BA281">
            <v>1</v>
          </cell>
          <cell r="BB281">
            <v>0</v>
          </cell>
          <cell r="BC281">
            <v>3</v>
          </cell>
          <cell r="BD281">
            <v>0</v>
          </cell>
          <cell r="BE281" t="str">
            <v>115-0704592-4</v>
          </cell>
          <cell r="BF281" t="str">
            <v>بدريه على احمد</v>
          </cell>
          <cell r="BG281" t="str">
            <v>الجزيره</v>
          </cell>
          <cell r="BH281" t="str">
            <v>الجزيره - النوبه</v>
          </cell>
          <cell r="BI281" t="str">
            <v>0911601443</v>
          </cell>
          <cell r="BJ281" t="str">
            <v>معتصم إسماعيل</v>
          </cell>
          <cell r="BK281" t="str">
            <v>0914137811</v>
          </cell>
          <cell r="BL281" t="str">
            <v>خالي الطرف</v>
          </cell>
          <cell r="BN281">
            <v>43500</v>
          </cell>
          <cell r="BS281" t="str">
            <v>بنوك وحسابات</v>
          </cell>
          <cell r="BT281" t="str">
            <v>دبلوم تقني</v>
          </cell>
          <cell r="BU281" t="str">
            <v>جامعة الخرطوم</v>
          </cell>
          <cell r="BV281">
            <v>40273</v>
          </cell>
          <cell r="BX281" t="str">
            <v>تدريب مهني</v>
          </cell>
          <cell r="BZ281">
            <v>40969</v>
          </cell>
          <cell r="EQ281">
            <v>0</v>
          </cell>
          <cell r="ER281">
            <v>55</v>
          </cell>
          <cell r="FG281" t="str">
            <v xml:space="preserve"> مدير الانتاج</v>
          </cell>
          <cell r="FH281" t="str">
            <v>هشام عيسى محمد عبدالكريم</v>
          </cell>
          <cell r="FI281" t="str">
            <v>115-0704592-4</v>
          </cell>
        </row>
        <row r="282">
          <cell r="A282">
            <v>440</v>
          </cell>
          <cell r="B282" t="str">
            <v>عبدالله فيصل بدوى احمد</v>
          </cell>
          <cell r="C282" t="str">
            <v>عبدالله</v>
          </cell>
          <cell r="D282" t="str">
            <v>فيصل</v>
          </cell>
          <cell r="E282" t="str">
            <v>بدوى</v>
          </cell>
          <cell r="F282" t="str">
            <v>احمد</v>
          </cell>
          <cell r="G282" t="str">
            <v>المصنع</v>
          </cell>
          <cell r="H282" t="str">
            <v>المستودعات</v>
          </cell>
          <cell r="I282" t="str">
            <v>الاسكلبات</v>
          </cell>
          <cell r="K282" t="str">
            <v>عامل</v>
          </cell>
          <cell r="L282" t="str">
            <v>امين مستودع ا س</v>
          </cell>
          <cell r="M282">
            <v>41357</v>
          </cell>
          <cell r="N282">
            <v>43500</v>
          </cell>
          <cell r="O282">
            <v>5</v>
          </cell>
          <cell r="P282">
            <v>10</v>
          </cell>
          <cell r="R282">
            <v>175</v>
          </cell>
          <cell r="Z282">
            <v>31911</v>
          </cell>
          <cell r="AG282">
            <v>9</v>
          </cell>
          <cell r="AH282">
            <v>1</v>
          </cell>
          <cell r="AI282" t="str">
            <v>ميلاد</v>
          </cell>
          <cell r="AJ282" t="str">
            <v>0340658</v>
          </cell>
          <cell r="AK282">
            <v>8</v>
          </cell>
          <cell r="AL282">
            <v>5</v>
          </cell>
          <cell r="AM282">
            <v>6</v>
          </cell>
          <cell r="AN282">
            <v>0</v>
          </cell>
          <cell r="AO282">
            <v>4</v>
          </cell>
          <cell r="AP282">
            <v>3</v>
          </cell>
          <cell r="AQ282">
            <v>0</v>
          </cell>
          <cell r="AS282">
            <v>43500</v>
          </cell>
          <cell r="AT282">
            <v>31</v>
          </cell>
          <cell r="AU282" t="str">
            <v>جنسيه</v>
          </cell>
          <cell r="AV282" t="str">
            <v>0729859</v>
          </cell>
          <cell r="AW282">
            <v>9</v>
          </cell>
          <cell r="AX282">
            <v>5</v>
          </cell>
          <cell r="AY282">
            <v>8</v>
          </cell>
          <cell r="AZ282">
            <v>9</v>
          </cell>
          <cell r="BA282">
            <v>2</v>
          </cell>
          <cell r="BB282">
            <v>7</v>
          </cell>
          <cell r="BC282">
            <v>0</v>
          </cell>
          <cell r="BE282" t="str">
            <v>190-1632101-9</v>
          </cell>
          <cell r="BF282" t="str">
            <v>بثينه عثمان محمد</v>
          </cell>
          <cell r="BG282" t="str">
            <v>الجزيره</v>
          </cell>
          <cell r="BH282" t="str">
            <v>الجزيره - النوبه</v>
          </cell>
          <cell r="BI282" t="str">
            <v>0994566217</v>
          </cell>
          <cell r="BJ282" t="str">
            <v>امجد فيصل</v>
          </cell>
          <cell r="BK282" t="str">
            <v>0113252922</v>
          </cell>
          <cell r="BL282" t="str">
            <v>خالي الطرف</v>
          </cell>
          <cell r="BN282">
            <v>43500</v>
          </cell>
          <cell r="BS282" t="str">
            <v>إدارة الاعمال</v>
          </cell>
          <cell r="BT282" t="str">
            <v>دبلوم تقني</v>
          </cell>
          <cell r="BU282" t="str">
            <v>جامعة السودان للعلوم والتكنولوجيا</v>
          </cell>
          <cell r="BV282">
            <v>40521</v>
          </cell>
          <cell r="EQ282">
            <v>0</v>
          </cell>
          <cell r="ER282">
            <v>71</v>
          </cell>
          <cell r="FG282" t="str">
            <v>مدير المستودعات</v>
          </cell>
          <cell r="FH282" t="str">
            <v>على احمد على بابكر</v>
          </cell>
          <cell r="FI282" t="str">
            <v>190-1632101-9</v>
          </cell>
        </row>
        <row r="283">
          <cell r="A283">
            <v>441</v>
          </cell>
          <cell r="B283" t="str">
            <v>يوسف حمد خالد على</v>
          </cell>
          <cell r="C283" t="str">
            <v>يوسف</v>
          </cell>
          <cell r="D283" t="str">
            <v>حمد</v>
          </cell>
          <cell r="E283" t="str">
            <v>خالد</v>
          </cell>
          <cell r="F283" t="str">
            <v>على</v>
          </cell>
          <cell r="G283" t="str">
            <v>المصنع</v>
          </cell>
          <cell r="H283" t="str">
            <v>الانتاج</v>
          </cell>
          <cell r="I283" t="str">
            <v>عداد</v>
          </cell>
          <cell r="K283" t="str">
            <v>عامل</v>
          </cell>
          <cell r="L283" t="str">
            <v>عامل</v>
          </cell>
          <cell r="M283">
            <v>41357</v>
          </cell>
          <cell r="N283">
            <v>43500</v>
          </cell>
          <cell r="O283">
            <v>5</v>
          </cell>
          <cell r="P283">
            <v>10</v>
          </cell>
          <cell r="R283">
            <v>175</v>
          </cell>
          <cell r="Z283">
            <v>32509</v>
          </cell>
          <cell r="AG283">
            <v>9</v>
          </cell>
          <cell r="AH283">
            <v>1</v>
          </cell>
          <cell r="AI283" t="str">
            <v>تسنين</v>
          </cell>
          <cell r="AJ283" t="str">
            <v>160246</v>
          </cell>
          <cell r="AK283">
            <v>6</v>
          </cell>
          <cell r="AL283">
            <v>4</v>
          </cell>
          <cell r="AM283">
            <v>2</v>
          </cell>
          <cell r="AN283">
            <v>0</v>
          </cell>
          <cell r="AO283">
            <v>6</v>
          </cell>
          <cell r="AP283">
            <v>1</v>
          </cell>
          <cell r="AS283">
            <v>43500</v>
          </cell>
          <cell r="AT283">
            <v>30</v>
          </cell>
          <cell r="AU283" t="str">
            <v>جنسيه</v>
          </cell>
          <cell r="AV283" t="str">
            <v>0729973</v>
          </cell>
          <cell r="AW283">
            <v>3</v>
          </cell>
          <cell r="AX283">
            <v>7</v>
          </cell>
          <cell r="AY283">
            <v>9</v>
          </cell>
          <cell r="AZ283">
            <v>9</v>
          </cell>
          <cell r="BA283">
            <v>2</v>
          </cell>
          <cell r="BB283">
            <v>7</v>
          </cell>
          <cell r="BC283">
            <v>0</v>
          </cell>
          <cell r="BE283" t="str">
            <v>190-2834219-7</v>
          </cell>
          <cell r="BF283" t="str">
            <v>وداد دفع الله إدريس</v>
          </cell>
          <cell r="BG283" t="str">
            <v>الجزيره</v>
          </cell>
          <cell r="BL283" t="str">
            <v>خالي الطرف</v>
          </cell>
          <cell r="BN283">
            <v>43500</v>
          </cell>
          <cell r="BS283" t="str">
            <v>الاقتصاد</v>
          </cell>
          <cell r="BT283" t="str">
            <v>دبلوم تقني</v>
          </cell>
          <cell r="BU283" t="str">
            <v>جامعة النيلين</v>
          </cell>
          <cell r="BV283">
            <v>40560</v>
          </cell>
          <cell r="EQ283">
            <v>0</v>
          </cell>
          <cell r="ER283">
            <v>57</v>
          </cell>
          <cell r="FG283" t="str">
            <v xml:space="preserve"> مدير الانتاج</v>
          </cell>
          <cell r="FH283" t="str">
            <v>هشام عيسى محمد عبدالكريم</v>
          </cell>
          <cell r="FI283" t="str">
            <v>190-2834219-7</v>
          </cell>
        </row>
        <row r="284">
          <cell r="A284">
            <v>445</v>
          </cell>
          <cell r="B284" t="str">
            <v>عبد الله ابراهيم عبد القادر</v>
          </cell>
          <cell r="G284" t="str">
            <v>المصنع</v>
          </cell>
          <cell r="H284" t="str">
            <v>الانتاج</v>
          </cell>
          <cell r="K284" t="str">
            <v>عامل</v>
          </cell>
          <cell r="L284" t="str">
            <v>عامل</v>
          </cell>
          <cell r="M284">
            <v>41710</v>
          </cell>
          <cell r="O284" t="e">
            <v>#NUM!</v>
          </cell>
          <cell r="P284" t="e">
            <v>#NUM!</v>
          </cell>
          <cell r="R284" t="e">
            <v>#NUM!</v>
          </cell>
          <cell r="T284" t="str">
            <v>m</v>
          </cell>
          <cell r="AS284">
            <v>43500</v>
          </cell>
          <cell r="AT284">
            <v>119</v>
          </cell>
          <cell r="BN284">
            <v>43500</v>
          </cell>
          <cell r="EQ284">
            <v>0</v>
          </cell>
          <cell r="ES284">
            <v>41710</v>
          </cell>
          <cell r="ET284">
            <v>42074</v>
          </cell>
          <cell r="EU284" t="str">
            <v>عامل</v>
          </cell>
          <cell r="FG284" t="str">
            <v xml:space="preserve"> مدير الانتاج</v>
          </cell>
          <cell r="FH284" t="str">
            <v>هشام عيسى محمد عبدالكريم</v>
          </cell>
          <cell r="FI284">
            <v>0</v>
          </cell>
        </row>
        <row r="285">
          <cell r="A285">
            <v>449</v>
          </cell>
          <cell r="B285" t="str">
            <v>معاويه بابكر احمد على</v>
          </cell>
          <cell r="G285" t="str">
            <v>المصنع</v>
          </cell>
          <cell r="H285" t="str">
            <v>المستودعات</v>
          </cell>
          <cell r="K285" t="str">
            <v>عامل</v>
          </cell>
          <cell r="L285" t="str">
            <v>عامل</v>
          </cell>
          <cell r="M285">
            <v>41363</v>
          </cell>
          <cell r="O285" t="e">
            <v>#NUM!</v>
          </cell>
          <cell r="P285" t="e">
            <v>#NUM!</v>
          </cell>
          <cell r="R285" t="e">
            <v>#NUM!</v>
          </cell>
          <cell r="T285" t="str">
            <v>إستقال</v>
          </cell>
          <cell r="Z285">
            <v>28491</v>
          </cell>
          <cell r="AI285" t="str">
            <v>تسنين</v>
          </cell>
          <cell r="AJ285" t="str">
            <v>123919</v>
          </cell>
          <cell r="AK285">
            <v>9</v>
          </cell>
          <cell r="AL285">
            <v>1</v>
          </cell>
          <cell r="AM285">
            <v>9</v>
          </cell>
          <cell r="AN285">
            <v>3</v>
          </cell>
          <cell r="AO285">
            <v>2</v>
          </cell>
          <cell r="AP285">
            <v>1</v>
          </cell>
          <cell r="AS285">
            <v>43500</v>
          </cell>
          <cell r="AT285">
            <v>41</v>
          </cell>
          <cell r="AU285" t="str">
            <v>جنسيه</v>
          </cell>
          <cell r="AV285" t="str">
            <v>0091159</v>
          </cell>
          <cell r="AW285">
            <v>9</v>
          </cell>
          <cell r="AX285">
            <v>5</v>
          </cell>
          <cell r="AY285">
            <v>1</v>
          </cell>
          <cell r="AZ285">
            <v>1</v>
          </cell>
          <cell r="BA285">
            <v>9</v>
          </cell>
          <cell r="BB285">
            <v>0</v>
          </cell>
          <cell r="BC285">
            <v>0</v>
          </cell>
          <cell r="BE285" t="str">
            <v>178-1892056-9</v>
          </cell>
          <cell r="BF285" t="str">
            <v>بسمات ميرغنى احمد</v>
          </cell>
          <cell r="BH285" t="str">
            <v>الجزيره - النوبه</v>
          </cell>
          <cell r="BL285" t="str">
            <v>خالي الطرف</v>
          </cell>
          <cell r="BN285">
            <v>43500</v>
          </cell>
          <cell r="BS285" t="str">
            <v>محاسبة تكاليف</v>
          </cell>
          <cell r="BT285" t="str">
            <v>دبلوم وسيط</v>
          </cell>
          <cell r="BU285" t="str">
            <v>جامعة الخرطوم</v>
          </cell>
          <cell r="BV285">
            <v>38578</v>
          </cell>
          <cell r="CQ285" t="str">
            <v>مستشفى النوبه</v>
          </cell>
          <cell r="CR285" t="str">
            <v>قسم الحسابات</v>
          </cell>
          <cell r="CS285">
            <v>38782</v>
          </cell>
          <cell r="CT285">
            <v>39519</v>
          </cell>
          <cell r="EQ285">
            <v>0</v>
          </cell>
          <cell r="FG285" t="str">
            <v>مدير المستودعات</v>
          </cell>
          <cell r="FH285" t="str">
            <v>على احمد على بابكر</v>
          </cell>
          <cell r="FI285" t="str">
            <v>178-1892056-9</v>
          </cell>
        </row>
        <row r="286">
          <cell r="A286">
            <v>453</v>
          </cell>
          <cell r="B286" t="str">
            <v>احمد ابكر على محمد</v>
          </cell>
          <cell r="C286" t="str">
            <v>احمد</v>
          </cell>
          <cell r="D286" t="str">
            <v>ابكر</v>
          </cell>
          <cell r="E286" t="str">
            <v>على</v>
          </cell>
          <cell r="F286" t="str">
            <v>محمد</v>
          </cell>
          <cell r="G286" t="str">
            <v>المصنع</v>
          </cell>
          <cell r="H286" t="str">
            <v>الانتاج</v>
          </cell>
          <cell r="I286" t="str">
            <v>الاكسبنده</v>
          </cell>
          <cell r="K286" t="str">
            <v>عامل</v>
          </cell>
          <cell r="L286" t="str">
            <v>مشغل</v>
          </cell>
          <cell r="M286">
            <v>41365</v>
          </cell>
          <cell r="N286">
            <v>43500</v>
          </cell>
          <cell r="O286">
            <v>5</v>
          </cell>
          <cell r="P286">
            <v>10</v>
          </cell>
          <cell r="R286">
            <v>175</v>
          </cell>
          <cell r="Z286">
            <v>28055</v>
          </cell>
          <cell r="AG286">
            <v>9</v>
          </cell>
          <cell r="AH286">
            <v>1</v>
          </cell>
          <cell r="AI286" t="str">
            <v>ميلاد</v>
          </cell>
          <cell r="AJ286" t="str">
            <v>082880</v>
          </cell>
          <cell r="AK286">
            <v>0</v>
          </cell>
          <cell r="AL286">
            <v>8</v>
          </cell>
          <cell r="AM286">
            <v>8</v>
          </cell>
          <cell r="AN286">
            <v>2</v>
          </cell>
          <cell r="AO286">
            <v>8</v>
          </cell>
          <cell r="AP286">
            <v>0</v>
          </cell>
          <cell r="AS286">
            <v>43500</v>
          </cell>
          <cell r="AT286">
            <v>42</v>
          </cell>
          <cell r="AU286" t="str">
            <v>جنسيه</v>
          </cell>
          <cell r="AV286" t="str">
            <v>325126</v>
          </cell>
          <cell r="AW286">
            <v>6</v>
          </cell>
          <cell r="AX286">
            <v>2</v>
          </cell>
          <cell r="AY286">
            <v>1</v>
          </cell>
          <cell r="AZ286">
            <v>5</v>
          </cell>
          <cell r="BA286">
            <v>2</v>
          </cell>
          <cell r="BB286">
            <v>3</v>
          </cell>
          <cell r="BE286" t="str">
            <v>116-9760283-4</v>
          </cell>
          <cell r="BF286" t="str">
            <v>عائشه ابكر على</v>
          </cell>
          <cell r="BG286" t="str">
            <v>العربى</v>
          </cell>
          <cell r="BH286" t="str">
            <v>الازهرى - حى الانقاذ</v>
          </cell>
          <cell r="BI286" t="str">
            <v>0922342347</v>
          </cell>
          <cell r="BJ286" t="str">
            <v>محمد ابكر</v>
          </cell>
          <cell r="BK286" t="str">
            <v>0922145394</v>
          </cell>
          <cell r="BL286" t="str">
            <v>خالي الطرف</v>
          </cell>
          <cell r="BN286">
            <v>43500</v>
          </cell>
          <cell r="BT286" t="str">
            <v>شهاده ثانويه</v>
          </cell>
          <cell r="BV286">
            <v>35521</v>
          </cell>
          <cell r="BW286" t="str">
            <v>حاسوب</v>
          </cell>
          <cell r="BX286" t="str">
            <v>دبلوم (معاهد)</v>
          </cell>
          <cell r="BY286" t="str">
            <v>الاتحاد الوطنى لاندية اليونسكو</v>
          </cell>
          <cell r="BZ286">
            <v>38047</v>
          </cell>
          <cell r="CA286" t="str">
            <v>العلوم التجاريه</v>
          </cell>
          <cell r="CB286" t="str">
            <v>دبلوم (معاهد)</v>
          </cell>
          <cell r="CC286" t="str">
            <v>معهد وليد للتاهيل الفنى</v>
          </cell>
          <cell r="CD286">
            <v>35077</v>
          </cell>
          <cell r="CE286" t="str">
            <v>كهرباء عامة</v>
          </cell>
          <cell r="CF286" t="str">
            <v>تدريب مهني</v>
          </cell>
          <cell r="CG286" t="str">
            <v>معهد المرسى للتدريب المهنى</v>
          </cell>
          <cell r="CH286">
            <v>40347</v>
          </cell>
          <cell r="EQ286">
            <v>0</v>
          </cell>
          <cell r="ER286">
            <v>97</v>
          </cell>
          <cell r="FG286" t="str">
            <v xml:space="preserve"> مدير الانتاج</v>
          </cell>
          <cell r="FH286" t="str">
            <v>هشام عيسى محمد عبدالكريم</v>
          </cell>
          <cell r="FI286" t="str">
            <v>116-9760283-4</v>
          </cell>
        </row>
        <row r="287">
          <cell r="A287">
            <v>455</v>
          </cell>
          <cell r="B287" t="str">
            <v>عصام الامين الحاج البشير</v>
          </cell>
          <cell r="C287" t="str">
            <v>عصام</v>
          </cell>
          <cell r="D287" t="str">
            <v>الامينِ</v>
          </cell>
          <cell r="E287" t="str">
            <v>الحاج</v>
          </cell>
          <cell r="F287" t="str">
            <v>البشير</v>
          </cell>
          <cell r="G287" t="str">
            <v>المصنع</v>
          </cell>
          <cell r="H287" t="str">
            <v>الوحده العلاجيه</v>
          </cell>
          <cell r="K287" t="str">
            <v>عامل</v>
          </cell>
          <cell r="L287" t="str">
            <v>ممرض</v>
          </cell>
          <cell r="M287">
            <v>41365</v>
          </cell>
          <cell r="N287">
            <v>43500</v>
          </cell>
          <cell r="O287">
            <v>5</v>
          </cell>
          <cell r="P287">
            <v>10</v>
          </cell>
          <cell r="R287">
            <v>175</v>
          </cell>
          <cell r="Z287">
            <v>22647</v>
          </cell>
          <cell r="AG287">
            <v>9</v>
          </cell>
          <cell r="AH287">
            <v>1</v>
          </cell>
          <cell r="AI287" t="str">
            <v>تسنين</v>
          </cell>
          <cell r="AJ287" t="str">
            <v>989003</v>
          </cell>
          <cell r="AK287">
            <v>3</v>
          </cell>
          <cell r="AL287">
            <v>0</v>
          </cell>
          <cell r="AM287">
            <v>0</v>
          </cell>
          <cell r="AN287">
            <v>9</v>
          </cell>
          <cell r="AO287">
            <v>8</v>
          </cell>
          <cell r="AP287">
            <v>9</v>
          </cell>
          <cell r="AS287">
            <v>43500</v>
          </cell>
          <cell r="AT287">
            <v>57</v>
          </cell>
          <cell r="AU287" t="str">
            <v>جنسيه</v>
          </cell>
          <cell r="AV287" t="str">
            <v>259378</v>
          </cell>
          <cell r="AW287">
            <v>8</v>
          </cell>
          <cell r="AX287">
            <v>7</v>
          </cell>
          <cell r="AY287">
            <v>3</v>
          </cell>
          <cell r="AZ287">
            <v>9</v>
          </cell>
          <cell r="BA287">
            <v>5</v>
          </cell>
          <cell r="BB287">
            <v>2</v>
          </cell>
          <cell r="BE287" t="str">
            <v>119-1313006-0</v>
          </cell>
          <cell r="BF287" t="str">
            <v>امنه نور الدائم محمد</v>
          </cell>
          <cell r="BG287" t="str">
            <v>الجزيره</v>
          </cell>
          <cell r="BH287" t="str">
            <v>الجزيره - المسعوديه</v>
          </cell>
          <cell r="BI287" t="str">
            <v>0915846674</v>
          </cell>
          <cell r="BJ287" t="str">
            <v>طيفور الامين</v>
          </cell>
          <cell r="BK287" t="str">
            <v>0912215678</v>
          </cell>
          <cell r="BN287">
            <v>43500</v>
          </cell>
          <cell r="BS287" t="str">
            <v>شهادة تمريض</v>
          </cell>
          <cell r="BT287" t="str">
            <v>شهاده دورة تدريب</v>
          </cell>
          <cell r="BU287" t="str">
            <v>وزارة الصحة</v>
          </cell>
          <cell r="BV287">
            <v>31413</v>
          </cell>
          <cell r="EN287">
            <v>30</v>
          </cell>
          <cell r="EO287">
            <v>30</v>
          </cell>
          <cell r="EQ287">
            <v>60</v>
          </cell>
          <cell r="ER287">
            <v>17</v>
          </cell>
          <cell r="FG287" t="str">
            <v>المدير الادارى</v>
          </cell>
          <cell r="FH287" t="str">
            <v>احمد عبدالرحيم ابوبكر محمد</v>
          </cell>
          <cell r="FI287" t="str">
            <v>119-1313006-0</v>
          </cell>
        </row>
        <row r="288">
          <cell r="A288">
            <v>459</v>
          </cell>
          <cell r="B288" t="str">
            <v>على عمر احمد سبوبه</v>
          </cell>
          <cell r="C288" t="str">
            <v>على</v>
          </cell>
          <cell r="D288" t="str">
            <v>عمر</v>
          </cell>
          <cell r="E288" t="str">
            <v>احمد</v>
          </cell>
          <cell r="F288" t="str">
            <v>سبوبه</v>
          </cell>
          <cell r="G288" t="str">
            <v>المصنع</v>
          </cell>
          <cell r="H288" t="str">
            <v>الميكانيكا</v>
          </cell>
          <cell r="I288" t="str">
            <v>المخارط</v>
          </cell>
          <cell r="K288" t="str">
            <v>فنى خراطة</v>
          </cell>
          <cell r="L288" t="str">
            <v>خراط</v>
          </cell>
          <cell r="M288">
            <v>41368</v>
          </cell>
          <cell r="N288">
            <v>43500</v>
          </cell>
          <cell r="O288">
            <v>5</v>
          </cell>
          <cell r="P288">
            <v>10</v>
          </cell>
          <cell r="R288">
            <v>175</v>
          </cell>
          <cell r="Z288">
            <v>21916</v>
          </cell>
          <cell r="AG288">
            <v>9</v>
          </cell>
          <cell r="AH288">
            <v>1</v>
          </cell>
          <cell r="AI288" t="str">
            <v>تسنين</v>
          </cell>
          <cell r="AJ288" t="str">
            <v>2849743</v>
          </cell>
          <cell r="AK288">
            <v>3</v>
          </cell>
          <cell r="AL288">
            <v>4</v>
          </cell>
          <cell r="AM288">
            <v>7</v>
          </cell>
          <cell r="AN288">
            <v>9</v>
          </cell>
          <cell r="AO288">
            <v>4</v>
          </cell>
          <cell r="AP288">
            <v>8</v>
          </cell>
          <cell r="AQ288">
            <v>2</v>
          </cell>
          <cell r="AS288">
            <v>43500</v>
          </cell>
          <cell r="AT288">
            <v>59</v>
          </cell>
          <cell r="BG288" t="str">
            <v>الجزيره</v>
          </cell>
          <cell r="BH288" t="str">
            <v>الجزيره - التى</v>
          </cell>
          <cell r="BI288" t="str">
            <v>0918847769</v>
          </cell>
          <cell r="BJ288" t="str">
            <v>شهاب فتح الرحمن</v>
          </cell>
          <cell r="BK288" t="str">
            <v>0912422366</v>
          </cell>
          <cell r="BL288" t="str">
            <v>كبار سن</v>
          </cell>
          <cell r="BN288">
            <v>43500</v>
          </cell>
          <cell r="BT288" t="str">
            <v>تدريب مهني</v>
          </cell>
          <cell r="BU288" t="str">
            <v>معهد الخرطوم الفنى</v>
          </cell>
          <cell r="BV288">
            <v>26451</v>
          </cell>
          <cell r="CQ288" t="str">
            <v>الشركة العربية للانتاج والتصنيع الزراعى</v>
          </cell>
          <cell r="CR288" t="str">
            <v>فنى خراطه</v>
          </cell>
          <cell r="CS288">
            <v>34184</v>
          </cell>
          <cell r="CT288">
            <v>35932</v>
          </cell>
          <cell r="CV288" t="str">
            <v>مدبغة الخرطوم</v>
          </cell>
          <cell r="CW288" t="str">
            <v>فنى خراطه</v>
          </cell>
          <cell r="CX288">
            <v>27590</v>
          </cell>
          <cell r="CY288">
            <v>34150</v>
          </cell>
          <cell r="EQ288">
            <v>0</v>
          </cell>
          <cell r="ER288">
            <v>58</v>
          </cell>
          <cell r="FG288" t="str">
            <v>مدير الصيانه الميكانيكيه</v>
          </cell>
          <cell r="FH288" t="str">
            <v>محمد احمد محمد سليمان</v>
          </cell>
          <cell r="FI288">
            <v>0</v>
          </cell>
        </row>
        <row r="289">
          <cell r="A289">
            <v>461</v>
          </cell>
          <cell r="B289" t="str">
            <v>عادل احمد تاج الدين محمد</v>
          </cell>
          <cell r="O289">
            <v>0</v>
          </cell>
          <cell r="P289">
            <v>0</v>
          </cell>
          <cell r="R289">
            <v>0</v>
          </cell>
          <cell r="T289" t="str">
            <v>إستقال</v>
          </cell>
          <cell r="U289">
            <v>41900</v>
          </cell>
          <cell r="AS289">
            <v>43500</v>
          </cell>
          <cell r="AT289">
            <v>119</v>
          </cell>
          <cell r="BN289">
            <v>43500</v>
          </cell>
          <cell r="EQ289">
            <v>0</v>
          </cell>
          <cell r="FG289" t="e">
            <v>#N/A</v>
          </cell>
          <cell r="FH289" t="e">
            <v>#N/A</v>
          </cell>
          <cell r="FI289">
            <v>0</v>
          </cell>
        </row>
        <row r="290">
          <cell r="A290">
            <v>470</v>
          </cell>
          <cell r="B290" t="str">
            <v>بشرى الطيب حسب الله ضوالبيت</v>
          </cell>
          <cell r="C290" t="str">
            <v>بشرى</v>
          </cell>
          <cell r="D290" t="str">
            <v>الطيب</v>
          </cell>
          <cell r="E290" t="str">
            <v>حسب الله</v>
          </cell>
          <cell r="F290" t="str">
            <v>ضوالبيت</v>
          </cell>
          <cell r="G290" t="str">
            <v>المصنع</v>
          </cell>
          <cell r="H290" t="str">
            <v>الانتاج</v>
          </cell>
          <cell r="I290" t="str">
            <v>الزوايا</v>
          </cell>
          <cell r="K290" t="str">
            <v>مشغل زاويه</v>
          </cell>
          <cell r="L290" t="str">
            <v>مشغل</v>
          </cell>
          <cell r="M290">
            <v>41365</v>
          </cell>
          <cell r="N290">
            <v>43500</v>
          </cell>
          <cell r="O290">
            <v>5</v>
          </cell>
          <cell r="P290">
            <v>10</v>
          </cell>
          <cell r="R290">
            <v>175</v>
          </cell>
          <cell r="Z290">
            <v>25204</v>
          </cell>
          <cell r="AG290">
            <v>9</v>
          </cell>
          <cell r="AH290">
            <v>1</v>
          </cell>
          <cell r="AI290" t="str">
            <v>تسنين</v>
          </cell>
          <cell r="AJ290" t="str">
            <v>189067</v>
          </cell>
          <cell r="AK290">
            <v>7</v>
          </cell>
          <cell r="AL290">
            <v>6</v>
          </cell>
          <cell r="AM290">
            <v>0</v>
          </cell>
          <cell r="AN290">
            <v>9</v>
          </cell>
          <cell r="AO290">
            <v>8</v>
          </cell>
          <cell r="AP290">
            <v>1</v>
          </cell>
          <cell r="AS290">
            <v>43500</v>
          </cell>
          <cell r="AT290">
            <v>50</v>
          </cell>
          <cell r="AU290" t="str">
            <v>جنسيه</v>
          </cell>
          <cell r="AV290" t="str">
            <v>112557</v>
          </cell>
          <cell r="AW290">
            <v>7</v>
          </cell>
          <cell r="AX290">
            <v>5</v>
          </cell>
          <cell r="AY290">
            <v>5</v>
          </cell>
          <cell r="AZ290">
            <v>2</v>
          </cell>
          <cell r="BA290">
            <v>1</v>
          </cell>
          <cell r="BB290">
            <v>1</v>
          </cell>
          <cell r="BE290" t="str">
            <v>120-3390191-4</v>
          </cell>
          <cell r="BF290" t="str">
            <v>حبيبه بشاره محمد</v>
          </cell>
          <cell r="BH290" t="str">
            <v>بترى</v>
          </cell>
          <cell r="BI290" t="str">
            <v>0904993239</v>
          </cell>
          <cell r="BJ290" t="str">
            <v>إبراهيم الطيب</v>
          </cell>
          <cell r="BK290" t="str">
            <v>0904404265</v>
          </cell>
          <cell r="BL290" t="str">
            <v>خالي الطرف</v>
          </cell>
          <cell r="BN290">
            <v>43500</v>
          </cell>
          <cell r="CQ290" t="str">
            <v>المصنع الليبى لتصنيع منتجات الحديد</v>
          </cell>
          <cell r="CR290" t="str">
            <v>فنى تشغيل</v>
          </cell>
          <cell r="CS290">
            <v>39995</v>
          </cell>
          <cell r="CT290">
            <v>41347</v>
          </cell>
          <cell r="CV290" t="str">
            <v>المصنع السودانى الماليزى</v>
          </cell>
          <cell r="CW290" t="str">
            <v>حداد ومشغل</v>
          </cell>
          <cell r="CX290">
            <v>36558</v>
          </cell>
          <cell r="CY290">
            <v>39645</v>
          </cell>
          <cell r="EM290">
            <v>30</v>
          </cell>
          <cell r="EQ290">
            <v>30</v>
          </cell>
          <cell r="ER290">
            <v>67</v>
          </cell>
          <cell r="FG290" t="str">
            <v xml:space="preserve"> مدير الانتاج</v>
          </cell>
          <cell r="FH290" t="str">
            <v>هشام عيسى محمد عبدالكريم</v>
          </cell>
          <cell r="FI290" t="str">
            <v>120-3390191-4</v>
          </cell>
        </row>
        <row r="291">
          <cell r="A291">
            <v>478</v>
          </cell>
          <cell r="B291" t="str">
            <v>على بشير الزين بشير</v>
          </cell>
          <cell r="C291" t="str">
            <v>على</v>
          </cell>
          <cell r="D291" t="str">
            <v>بشير</v>
          </cell>
          <cell r="E291" t="str">
            <v>الزين</v>
          </cell>
          <cell r="F291" t="str">
            <v>بشير</v>
          </cell>
          <cell r="G291" t="str">
            <v>المصنع</v>
          </cell>
          <cell r="H291" t="str">
            <v>الانتاج</v>
          </cell>
          <cell r="I291" t="str">
            <v>الاكسبنده</v>
          </cell>
          <cell r="K291" t="str">
            <v>مشغل اكسبندة</v>
          </cell>
          <cell r="L291" t="str">
            <v>فورمان</v>
          </cell>
          <cell r="M291">
            <v>41370</v>
          </cell>
          <cell r="N291">
            <v>43500</v>
          </cell>
          <cell r="O291">
            <v>5</v>
          </cell>
          <cell r="P291">
            <v>9</v>
          </cell>
          <cell r="R291">
            <v>172.5</v>
          </cell>
          <cell r="Z291">
            <v>24108</v>
          </cell>
          <cell r="AG291">
            <v>9</v>
          </cell>
          <cell r="AH291">
            <v>1</v>
          </cell>
          <cell r="AI291" t="str">
            <v>تسنين</v>
          </cell>
          <cell r="AJ291" t="str">
            <v>2229892</v>
          </cell>
          <cell r="AK291">
            <v>2</v>
          </cell>
          <cell r="AL291">
            <v>9</v>
          </cell>
          <cell r="AM291">
            <v>8</v>
          </cell>
          <cell r="AN291">
            <v>9</v>
          </cell>
          <cell r="AO291">
            <v>2</v>
          </cell>
          <cell r="AP291">
            <v>2</v>
          </cell>
          <cell r="AQ291">
            <v>2</v>
          </cell>
          <cell r="AS291">
            <v>43500</v>
          </cell>
          <cell r="AT291">
            <v>53</v>
          </cell>
          <cell r="BE291" t="str">
            <v>116-3176553-7</v>
          </cell>
          <cell r="BF291" t="str">
            <v>عرفه احمد دشه</v>
          </cell>
          <cell r="BG291" t="str">
            <v>العربى</v>
          </cell>
          <cell r="BH291" t="str">
            <v>سوبا - عباد الرحمن م ( 1 ) منزل ( 25 )</v>
          </cell>
          <cell r="BI291" t="str">
            <v>0918210896</v>
          </cell>
          <cell r="BJ291" t="str">
            <v>عبدالله ابوسيل محمد</v>
          </cell>
          <cell r="BK291" t="str">
            <v>0911155605</v>
          </cell>
          <cell r="BL291" t="str">
            <v>خالي الطرف</v>
          </cell>
          <cell r="BN291">
            <v>43500</v>
          </cell>
          <cell r="CQ291" t="str">
            <v xml:space="preserve">ادوارد استيل </v>
          </cell>
          <cell r="CR291" t="str">
            <v>فنى اكسبنده</v>
          </cell>
          <cell r="CS291">
            <v>38589</v>
          </cell>
          <cell r="CT291">
            <v>41276</v>
          </cell>
          <cell r="EQ291">
            <v>0</v>
          </cell>
          <cell r="ER291">
            <v>97</v>
          </cell>
          <cell r="FG291" t="str">
            <v xml:space="preserve"> مدير الانتاج</v>
          </cell>
          <cell r="FH291" t="str">
            <v>هشام عيسى محمد عبدالكريم</v>
          </cell>
          <cell r="FI291" t="str">
            <v>116-3176553-7</v>
          </cell>
        </row>
        <row r="292">
          <cell r="A292">
            <v>479</v>
          </cell>
          <cell r="B292" t="str">
            <v>الهادى محى الدين احمد النزير</v>
          </cell>
          <cell r="C292" t="str">
            <v>الهادى</v>
          </cell>
          <cell r="D292" t="str">
            <v>محى الدين</v>
          </cell>
          <cell r="E292" t="str">
            <v>احمد</v>
          </cell>
          <cell r="F292" t="str">
            <v>النزير</v>
          </cell>
          <cell r="G292" t="str">
            <v>المصنع</v>
          </cell>
          <cell r="H292" t="str">
            <v>الانتاج</v>
          </cell>
          <cell r="I292" t="str">
            <v>الزوايا</v>
          </cell>
          <cell r="K292" t="str">
            <v>عامل</v>
          </cell>
          <cell r="L292" t="str">
            <v>عامل</v>
          </cell>
          <cell r="M292">
            <v>41377</v>
          </cell>
          <cell r="N292">
            <v>43500</v>
          </cell>
          <cell r="O292">
            <v>5</v>
          </cell>
          <cell r="P292">
            <v>9</v>
          </cell>
          <cell r="R292">
            <v>172.5</v>
          </cell>
          <cell r="Z292">
            <v>24838</v>
          </cell>
          <cell r="AG292">
            <v>9</v>
          </cell>
          <cell r="AH292">
            <v>1</v>
          </cell>
          <cell r="AI292" t="str">
            <v>تسنين</v>
          </cell>
          <cell r="AJ292" t="str">
            <v>9432</v>
          </cell>
          <cell r="AK292">
            <v>2</v>
          </cell>
          <cell r="AL292">
            <v>3</v>
          </cell>
          <cell r="AM292">
            <v>4</v>
          </cell>
          <cell r="AN292">
            <v>9</v>
          </cell>
          <cell r="AS292">
            <v>43500</v>
          </cell>
          <cell r="AT292">
            <v>51</v>
          </cell>
          <cell r="AU292" t="str">
            <v>جنسيه</v>
          </cell>
          <cell r="AV292" t="str">
            <v>98971</v>
          </cell>
          <cell r="AW292">
            <v>1</v>
          </cell>
          <cell r="AX292">
            <v>7</v>
          </cell>
          <cell r="AY292">
            <v>9</v>
          </cell>
          <cell r="AZ292">
            <v>8</v>
          </cell>
          <cell r="BA292">
            <v>9</v>
          </cell>
          <cell r="BE292" t="str">
            <v>190-2035287-2</v>
          </cell>
          <cell r="BF292" t="str">
            <v>طيبه إبراهيم محمد</v>
          </cell>
          <cell r="BG292" t="str">
            <v>الجزيره</v>
          </cell>
          <cell r="BH292" t="str">
            <v>الجزيره - النوبه</v>
          </cell>
          <cell r="BI292" t="str">
            <v>0916196575</v>
          </cell>
          <cell r="BJ292" t="str">
            <v>محمد احمد محمد</v>
          </cell>
          <cell r="BK292" t="str">
            <v>09126595666</v>
          </cell>
          <cell r="BL292" t="str">
            <v>خالي الطرف</v>
          </cell>
          <cell r="BN292">
            <v>43500</v>
          </cell>
          <cell r="BT292" t="str">
            <v>شهاده ثانويه</v>
          </cell>
          <cell r="BV292">
            <v>31778</v>
          </cell>
          <cell r="EQ292">
            <v>0</v>
          </cell>
          <cell r="ER292">
            <v>77</v>
          </cell>
          <cell r="FG292" t="str">
            <v xml:space="preserve"> مدير الانتاج</v>
          </cell>
          <cell r="FH292" t="str">
            <v>هشام عيسى محمد عبدالكريم</v>
          </cell>
          <cell r="FI292" t="str">
            <v>190-2035287-2</v>
          </cell>
        </row>
        <row r="293">
          <cell r="A293">
            <v>482</v>
          </cell>
          <cell r="B293" t="str">
            <v>سليمان حسين زياده فضل المولى</v>
          </cell>
          <cell r="G293" t="str">
            <v>المصنع</v>
          </cell>
          <cell r="H293" t="str">
            <v>الامن و الحركه</v>
          </cell>
          <cell r="L293" t="str">
            <v>فرد امن</v>
          </cell>
          <cell r="M293">
            <v>41377</v>
          </cell>
          <cell r="O293" t="e">
            <v>#NUM!</v>
          </cell>
          <cell r="P293" t="e">
            <v>#NUM!</v>
          </cell>
          <cell r="R293" t="e">
            <v>#NUM!</v>
          </cell>
          <cell r="T293" t="str">
            <v>إستقال</v>
          </cell>
          <cell r="U293">
            <v>42535</v>
          </cell>
          <cell r="Z293">
            <v>31413</v>
          </cell>
          <cell r="AI293" t="str">
            <v>تسنين</v>
          </cell>
          <cell r="AJ293" t="str">
            <v>0183729</v>
          </cell>
          <cell r="AK293">
            <v>9</v>
          </cell>
          <cell r="AL293">
            <v>2</v>
          </cell>
          <cell r="AM293">
            <v>7</v>
          </cell>
          <cell r="AN293">
            <v>3</v>
          </cell>
          <cell r="AO293">
            <v>8</v>
          </cell>
          <cell r="AP293">
            <v>1</v>
          </cell>
          <cell r="AQ293">
            <v>0</v>
          </cell>
          <cell r="AS293">
            <v>43500</v>
          </cell>
          <cell r="AT293">
            <v>33</v>
          </cell>
          <cell r="AU293" t="str">
            <v>جنسيه</v>
          </cell>
          <cell r="AV293" t="str">
            <v>0482930</v>
          </cell>
          <cell r="AW293">
            <v>0</v>
          </cell>
          <cell r="AX293">
            <v>3</v>
          </cell>
          <cell r="AY293">
            <v>9</v>
          </cell>
          <cell r="AZ293">
            <v>2</v>
          </cell>
          <cell r="BA293">
            <v>8</v>
          </cell>
          <cell r="BB293">
            <v>4</v>
          </cell>
          <cell r="BC293">
            <v>0</v>
          </cell>
          <cell r="BF293" t="str">
            <v>فضيله فضل الله</v>
          </cell>
          <cell r="BG293" t="str">
            <v>العربى</v>
          </cell>
          <cell r="BH293" t="str">
            <v>امدرمان - صالحه</v>
          </cell>
          <cell r="BI293" t="str">
            <v>0122232878</v>
          </cell>
          <cell r="BJ293" t="str">
            <v>محمد سالم</v>
          </cell>
          <cell r="BL293" t="str">
            <v>خالي الطرف</v>
          </cell>
          <cell r="BN293">
            <v>43500</v>
          </cell>
          <cell r="BT293" t="str">
            <v>شهاده ثانويه</v>
          </cell>
          <cell r="BV293">
            <v>38412</v>
          </cell>
          <cell r="EQ293">
            <v>0</v>
          </cell>
          <cell r="FG293" t="str">
            <v>مدير الامن و الحركه</v>
          </cell>
          <cell r="FH293" t="str">
            <v>فارس حمدان عبدالله فارس</v>
          </cell>
          <cell r="FI293">
            <v>0</v>
          </cell>
        </row>
        <row r="294">
          <cell r="A294">
            <v>484</v>
          </cell>
          <cell r="B294" t="str">
            <v>عبدالباقى تميم الدار محمد الحسين</v>
          </cell>
          <cell r="G294" t="str">
            <v>المصنع</v>
          </cell>
          <cell r="H294" t="str">
            <v>الانتاج</v>
          </cell>
          <cell r="L294" t="str">
            <v>عداد</v>
          </cell>
          <cell r="M294">
            <v>41378</v>
          </cell>
          <cell r="O294" t="e">
            <v>#NUM!</v>
          </cell>
          <cell r="P294" t="e">
            <v>#NUM!</v>
          </cell>
          <cell r="R294" t="e">
            <v>#NUM!</v>
          </cell>
          <cell r="T294" t="str">
            <v>إستقال</v>
          </cell>
          <cell r="Z294">
            <v>28331</v>
          </cell>
          <cell r="AI294" t="str">
            <v>ميلاد</v>
          </cell>
          <cell r="AJ294" t="str">
            <v>154555</v>
          </cell>
          <cell r="AK294">
            <v>5</v>
          </cell>
          <cell r="AL294">
            <v>5</v>
          </cell>
          <cell r="AM294">
            <v>5</v>
          </cell>
          <cell r="AN294">
            <v>4</v>
          </cell>
          <cell r="AO294">
            <v>5</v>
          </cell>
          <cell r="AP294">
            <v>1</v>
          </cell>
          <cell r="AS294">
            <v>43500</v>
          </cell>
          <cell r="AT294">
            <v>41</v>
          </cell>
          <cell r="AU294" t="str">
            <v>جنسيه</v>
          </cell>
          <cell r="AV294" t="str">
            <v>000419</v>
          </cell>
          <cell r="AW294">
            <v>9</v>
          </cell>
          <cell r="AX294">
            <v>1</v>
          </cell>
          <cell r="AY294">
            <v>4</v>
          </cell>
          <cell r="AZ294">
            <v>0</v>
          </cell>
          <cell r="BA294">
            <v>0</v>
          </cell>
          <cell r="BB294">
            <v>0</v>
          </cell>
          <cell r="BE294" t="str">
            <v>120-6373396-0</v>
          </cell>
          <cell r="BF294" t="str">
            <v>التايه إبراهيم عمر</v>
          </cell>
          <cell r="BH294" t="str">
            <v>الجزيره - المسعوديه</v>
          </cell>
          <cell r="BI294" t="str">
            <v>0111998120</v>
          </cell>
          <cell r="BN294">
            <v>43500</v>
          </cell>
          <cell r="BS294" t="str">
            <v>محاسبة</v>
          </cell>
          <cell r="BT294" t="str">
            <v>دبلوم وسيط</v>
          </cell>
          <cell r="BU294" t="str">
            <v>جامعة النيلين</v>
          </cell>
          <cell r="BV294">
            <v>37506</v>
          </cell>
          <cell r="EQ294">
            <v>0</v>
          </cell>
          <cell r="FG294" t="str">
            <v xml:space="preserve"> مدير الانتاج</v>
          </cell>
          <cell r="FH294" t="str">
            <v>هشام عيسى محمد عبدالكريم</v>
          </cell>
          <cell r="FI294" t="str">
            <v>120-6373396-0</v>
          </cell>
        </row>
        <row r="295">
          <cell r="A295">
            <v>491</v>
          </cell>
          <cell r="B295" t="str">
            <v>محمد محمود محمد الطيب</v>
          </cell>
          <cell r="C295" t="str">
            <v>محمد</v>
          </cell>
          <cell r="D295" t="str">
            <v>محمود</v>
          </cell>
          <cell r="E295" t="str">
            <v>محمد</v>
          </cell>
          <cell r="F295" t="str">
            <v>الطيب</v>
          </cell>
          <cell r="G295" t="str">
            <v>المصنع</v>
          </cell>
          <cell r="H295" t="str">
            <v>الكهرباء</v>
          </cell>
          <cell r="I295" t="str">
            <v>المواسير</v>
          </cell>
          <cell r="K295" t="str">
            <v>عامل</v>
          </cell>
          <cell r="L295" t="str">
            <v>فنى كهرباء</v>
          </cell>
          <cell r="M295">
            <v>41401</v>
          </cell>
          <cell r="N295">
            <v>43500</v>
          </cell>
          <cell r="O295">
            <v>5</v>
          </cell>
          <cell r="P295">
            <v>8</v>
          </cell>
          <cell r="R295">
            <v>170</v>
          </cell>
          <cell r="Z295">
            <v>32781</v>
          </cell>
          <cell r="AG295">
            <v>9</v>
          </cell>
          <cell r="AH295">
            <v>1</v>
          </cell>
          <cell r="AI295" t="str">
            <v>ميلاد</v>
          </cell>
          <cell r="AJ295" t="str">
            <v>2070</v>
          </cell>
          <cell r="AK295">
            <v>0</v>
          </cell>
          <cell r="AL295">
            <v>7</v>
          </cell>
          <cell r="AM295">
            <v>0</v>
          </cell>
          <cell r="AN295">
            <v>2</v>
          </cell>
          <cell r="AS295">
            <v>43500</v>
          </cell>
          <cell r="AT295">
            <v>29</v>
          </cell>
          <cell r="AU295" t="str">
            <v>جنسيه</v>
          </cell>
          <cell r="AV295" t="str">
            <v>0773608</v>
          </cell>
          <cell r="AW295">
            <v>8</v>
          </cell>
          <cell r="AX295">
            <v>0</v>
          </cell>
          <cell r="AY295">
            <v>6</v>
          </cell>
          <cell r="AZ295">
            <v>3</v>
          </cell>
          <cell r="BA295">
            <v>7</v>
          </cell>
          <cell r="BB295">
            <v>7</v>
          </cell>
          <cell r="BC295">
            <v>0</v>
          </cell>
          <cell r="BE295" t="str">
            <v>114-1259299-7</v>
          </cell>
          <cell r="BF295" t="str">
            <v>شاديه محمد الحاج</v>
          </cell>
          <cell r="BG295" t="str">
            <v>الكلاكله</v>
          </cell>
          <cell r="BH295" t="str">
            <v>الكلاكله - القبه</v>
          </cell>
          <cell r="BI295" t="str">
            <v>0910175030</v>
          </cell>
          <cell r="BJ295" t="str">
            <v>نعمان محمود</v>
          </cell>
          <cell r="BK295" t="str">
            <v>0911627980</v>
          </cell>
          <cell r="BL295" t="str">
            <v>خالي الطرف</v>
          </cell>
          <cell r="BN295">
            <v>43500</v>
          </cell>
          <cell r="BS295" t="str">
            <v>كهرباء عامة</v>
          </cell>
          <cell r="BT295" t="str">
            <v>تدريب مهني</v>
          </cell>
          <cell r="BU295" t="str">
            <v>شهاده سودانية</v>
          </cell>
          <cell r="BV295">
            <v>39508</v>
          </cell>
          <cell r="EQ295">
            <v>0</v>
          </cell>
          <cell r="ER295">
            <v>92</v>
          </cell>
          <cell r="FG295" t="str">
            <v>مدير الصيانه الكهربائيه</v>
          </cell>
          <cell r="FH295" t="str">
            <v>ماهر ضيف الله سليمان جابر</v>
          </cell>
          <cell r="FI295" t="str">
            <v>114-1259299-7</v>
          </cell>
        </row>
        <row r="296">
          <cell r="A296">
            <v>494</v>
          </cell>
          <cell r="B296" t="str">
            <v>امير عثمان محمد احمد</v>
          </cell>
          <cell r="G296" t="str">
            <v>المصنع</v>
          </cell>
          <cell r="H296" t="str">
            <v>الخدمات</v>
          </cell>
          <cell r="L296" t="str">
            <v>عامل</v>
          </cell>
          <cell r="M296">
            <v>41410</v>
          </cell>
          <cell r="O296" t="e">
            <v>#NUM!</v>
          </cell>
          <cell r="P296" t="e">
            <v>#NUM!</v>
          </cell>
          <cell r="R296" t="e">
            <v>#NUM!</v>
          </cell>
          <cell r="T296" t="str">
            <v>فصل</v>
          </cell>
          <cell r="Z296">
            <v>22647</v>
          </cell>
          <cell r="AS296">
            <v>43500</v>
          </cell>
          <cell r="AT296">
            <v>57</v>
          </cell>
          <cell r="AU296" t="str">
            <v>جنسيه</v>
          </cell>
          <cell r="AV296" t="str">
            <v>470174</v>
          </cell>
          <cell r="AW296">
            <v>7</v>
          </cell>
          <cell r="AX296">
            <v>4</v>
          </cell>
          <cell r="AY296">
            <v>1</v>
          </cell>
          <cell r="AZ296">
            <v>0</v>
          </cell>
          <cell r="BA296">
            <v>7</v>
          </cell>
          <cell r="BB296">
            <v>4</v>
          </cell>
          <cell r="BE296" t="str">
            <v>178-4580387-4</v>
          </cell>
          <cell r="BF296" t="str">
            <v>بهيجه ادم على</v>
          </cell>
          <cell r="BG296" t="str">
            <v>الكلاكله</v>
          </cell>
          <cell r="BH296" t="str">
            <v>الكلاكله - الوحده</v>
          </cell>
          <cell r="BI296" t="str">
            <v>0914332298</v>
          </cell>
          <cell r="BL296" t="str">
            <v>خالي الطرف</v>
          </cell>
          <cell r="BN296">
            <v>43500</v>
          </cell>
          <cell r="EQ296">
            <v>0</v>
          </cell>
          <cell r="FG296" t="str">
            <v>المدير الادارى</v>
          </cell>
          <cell r="FH296" t="str">
            <v>احمد عبدالرحيم ابوبكر محمد</v>
          </cell>
          <cell r="FI296" t="str">
            <v>178-4580387-4</v>
          </cell>
        </row>
        <row r="297">
          <cell r="A297">
            <v>495</v>
          </cell>
          <cell r="B297" t="str">
            <v>عاطف ابراهيم محمد احمد</v>
          </cell>
          <cell r="C297" t="str">
            <v>عاطف</v>
          </cell>
          <cell r="D297" t="str">
            <v>ابراهيم</v>
          </cell>
          <cell r="E297" t="str">
            <v>محمد</v>
          </cell>
          <cell r="F297" t="str">
            <v>احمد</v>
          </cell>
          <cell r="G297" t="str">
            <v>المصنع</v>
          </cell>
          <cell r="H297" t="str">
            <v>الانتاج</v>
          </cell>
          <cell r="I297" t="str">
            <v>الزوايا</v>
          </cell>
          <cell r="K297" t="str">
            <v>عامل</v>
          </cell>
          <cell r="L297" t="str">
            <v>عامل</v>
          </cell>
          <cell r="M297">
            <v>41411</v>
          </cell>
          <cell r="N297">
            <v>43500</v>
          </cell>
          <cell r="O297">
            <v>5</v>
          </cell>
          <cell r="P297">
            <v>8</v>
          </cell>
          <cell r="R297">
            <v>170</v>
          </cell>
          <cell r="Z297">
            <v>23377</v>
          </cell>
          <cell r="AG297">
            <v>9</v>
          </cell>
          <cell r="AH297">
            <v>1</v>
          </cell>
          <cell r="AI297" t="str">
            <v>تسنين</v>
          </cell>
          <cell r="AJ297" t="str">
            <v>1048360</v>
          </cell>
          <cell r="AK297">
            <v>0</v>
          </cell>
          <cell r="AL297">
            <v>6</v>
          </cell>
          <cell r="AM297">
            <v>3</v>
          </cell>
          <cell r="AN297">
            <v>8</v>
          </cell>
          <cell r="AO297">
            <v>4</v>
          </cell>
          <cell r="AP297">
            <v>0</v>
          </cell>
          <cell r="AQ297">
            <v>1</v>
          </cell>
          <cell r="AS297">
            <v>43500</v>
          </cell>
          <cell r="AT297">
            <v>55</v>
          </cell>
          <cell r="AU297" t="str">
            <v>جنسيه</v>
          </cell>
          <cell r="AV297" t="str">
            <v>682080</v>
          </cell>
          <cell r="AW297">
            <v>0</v>
          </cell>
          <cell r="AX297">
            <v>8</v>
          </cell>
          <cell r="AY297">
            <v>0</v>
          </cell>
          <cell r="AZ297">
            <v>2</v>
          </cell>
          <cell r="BA297">
            <v>8</v>
          </cell>
          <cell r="BB297">
            <v>6</v>
          </cell>
          <cell r="BE297" t="str">
            <v>190-9028042-9</v>
          </cell>
          <cell r="BF297" t="str">
            <v>نور الشام إبراهيم</v>
          </cell>
          <cell r="BG297" t="str">
            <v>الجزيره</v>
          </cell>
          <cell r="BH297" t="str">
            <v>الجزيره - النوبه</v>
          </cell>
          <cell r="BI297" t="str">
            <v>09222557</v>
          </cell>
          <cell r="BJ297" t="str">
            <v>عادل إبراهيم</v>
          </cell>
          <cell r="BK297" t="str">
            <v>0124260503</v>
          </cell>
          <cell r="BL297" t="str">
            <v>كبار سن</v>
          </cell>
          <cell r="BN297">
            <v>43500</v>
          </cell>
          <cell r="BS297" t="str">
            <v>لحام وتوضيب</v>
          </cell>
          <cell r="BT297" t="str">
            <v>تدريب مهني</v>
          </cell>
          <cell r="BV297">
            <v>31778</v>
          </cell>
          <cell r="EQ297">
            <v>0</v>
          </cell>
          <cell r="ER297">
            <v>55</v>
          </cell>
          <cell r="FG297" t="str">
            <v xml:space="preserve"> مدير الانتاج</v>
          </cell>
          <cell r="FH297" t="str">
            <v>هشام عيسى محمد عبدالكريم</v>
          </cell>
          <cell r="FI297" t="str">
            <v>190-9028042-9</v>
          </cell>
        </row>
        <row r="298">
          <cell r="A298">
            <v>498</v>
          </cell>
          <cell r="B298" t="str">
            <v>الصادق محمد احمد</v>
          </cell>
          <cell r="G298" t="str">
            <v>المصنع</v>
          </cell>
          <cell r="H298" t="str">
            <v>المستودعات</v>
          </cell>
          <cell r="L298" t="str">
            <v>امين مستودع ق غ</v>
          </cell>
          <cell r="M298">
            <v>41414</v>
          </cell>
          <cell r="N298">
            <v>42498</v>
          </cell>
          <cell r="O298">
            <v>2</v>
          </cell>
          <cell r="P298">
            <v>11</v>
          </cell>
          <cell r="R298">
            <v>87.5</v>
          </cell>
          <cell r="T298" t="str">
            <v>إستقال</v>
          </cell>
          <cell r="U298">
            <v>42498</v>
          </cell>
          <cell r="Z298">
            <v>25204</v>
          </cell>
          <cell r="AS298">
            <v>43500</v>
          </cell>
          <cell r="AT298">
            <v>50</v>
          </cell>
          <cell r="BL298" t="str">
            <v>خالي الطرف</v>
          </cell>
          <cell r="BN298">
            <v>43500</v>
          </cell>
          <cell r="BS298" t="str">
            <v>الاقتصاد</v>
          </cell>
          <cell r="BT298" t="str">
            <v>بكلاريوس</v>
          </cell>
          <cell r="BU298" t="str">
            <v>جامعة امدرمان الاسلامية</v>
          </cell>
          <cell r="BV298">
            <v>38810</v>
          </cell>
          <cell r="CQ298" t="str">
            <v xml:space="preserve">ليدر تكنولوجى </v>
          </cell>
          <cell r="CR298" t="str">
            <v>امين مخزن</v>
          </cell>
          <cell r="CS298">
            <v>39396</v>
          </cell>
          <cell r="CT298">
            <v>41352</v>
          </cell>
          <cell r="EQ298">
            <v>0</v>
          </cell>
          <cell r="FG298" t="str">
            <v>مدير المستودعات</v>
          </cell>
          <cell r="FH298" t="str">
            <v>على احمد على بابكر</v>
          </cell>
          <cell r="FI298">
            <v>0</v>
          </cell>
        </row>
        <row r="299">
          <cell r="A299">
            <v>503</v>
          </cell>
          <cell r="B299" t="str">
            <v>الحاج العباس الزبير الحاج</v>
          </cell>
          <cell r="C299" t="str">
            <v>الحاج</v>
          </cell>
          <cell r="D299" t="str">
            <v>العباس</v>
          </cell>
          <cell r="E299" t="str">
            <v>الزبير</v>
          </cell>
          <cell r="F299" t="str">
            <v>الحاج</v>
          </cell>
          <cell r="G299" t="str">
            <v>المصنع</v>
          </cell>
          <cell r="H299" t="str">
            <v>المستودعات</v>
          </cell>
          <cell r="I299" t="str">
            <v>المنتج الجاهز</v>
          </cell>
          <cell r="K299" t="str">
            <v>امين مستودع</v>
          </cell>
          <cell r="L299" t="str">
            <v>امين مستودع م ج</v>
          </cell>
          <cell r="M299">
            <v>41428</v>
          </cell>
          <cell r="N299">
            <v>43500</v>
          </cell>
          <cell r="O299">
            <v>5</v>
          </cell>
          <cell r="P299">
            <v>8</v>
          </cell>
          <cell r="R299">
            <v>170</v>
          </cell>
          <cell r="Z299">
            <v>20090</v>
          </cell>
          <cell r="AG299">
            <v>9</v>
          </cell>
          <cell r="AH299">
            <v>1</v>
          </cell>
          <cell r="AI299" t="str">
            <v>تسنين</v>
          </cell>
          <cell r="AJ299" t="str">
            <v>135098</v>
          </cell>
          <cell r="AK299">
            <v>8</v>
          </cell>
          <cell r="AL299">
            <v>9</v>
          </cell>
          <cell r="AM299">
            <v>0</v>
          </cell>
          <cell r="AN299">
            <v>5</v>
          </cell>
          <cell r="AO299">
            <v>3</v>
          </cell>
          <cell r="AP299">
            <v>1</v>
          </cell>
          <cell r="AS299">
            <v>43500</v>
          </cell>
          <cell r="AT299">
            <v>64</v>
          </cell>
          <cell r="AU299" t="str">
            <v>جنسيه</v>
          </cell>
          <cell r="AV299" t="str">
            <v>796821</v>
          </cell>
          <cell r="AW299">
            <v>1</v>
          </cell>
          <cell r="AX299">
            <v>2</v>
          </cell>
          <cell r="AY299">
            <v>8</v>
          </cell>
          <cell r="AZ299">
            <v>6</v>
          </cell>
          <cell r="BA299">
            <v>9</v>
          </cell>
          <cell r="BB299">
            <v>7</v>
          </cell>
          <cell r="BE299" t="str">
            <v>120-8691528-2</v>
          </cell>
          <cell r="BF299" t="str">
            <v>الزهراء الخضر الحاج</v>
          </cell>
          <cell r="BG299" t="str">
            <v>الجزيره</v>
          </cell>
          <cell r="BH299" t="str">
            <v>الجزيره - الباقير</v>
          </cell>
          <cell r="BI299" t="str">
            <v>0113902334</v>
          </cell>
          <cell r="BJ299" t="str">
            <v>المنزل</v>
          </cell>
          <cell r="BK299" t="str">
            <v>0129266602</v>
          </cell>
          <cell r="BL299" t="str">
            <v>كبار سن</v>
          </cell>
          <cell r="BN299">
            <v>43500</v>
          </cell>
          <cell r="CQ299" t="str">
            <v>الشركة السودانية لمنتجات الحبوب الزيتية</v>
          </cell>
          <cell r="CR299" t="str">
            <v>عداد</v>
          </cell>
          <cell r="CS299">
            <v>29587</v>
          </cell>
          <cell r="CT299">
            <v>31321</v>
          </cell>
          <cell r="CV299" t="str">
            <v>شركة ابكس لصناعة الورق ولب الورق المحدودة</v>
          </cell>
          <cell r="CW299" t="str">
            <v>مساعد امين مخزن</v>
          </cell>
          <cell r="CX299">
            <v>31844</v>
          </cell>
          <cell r="CY299">
            <v>32340</v>
          </cell>
          <cell r="EN299">
            <v>30</v>
          </cell>
          <cell r="EQ299">
            <v>60</v>
          </cell>
          <cell r="ER299">
            <v>59</v>
          </cell>
          <cell r="ES299">
            <v>41428</v>
          </cell>
          <cell r="ET299">
            <v>41792</v>
          </cell>
          <cell r="EU299" t="str">
            <v>امين مستودع</v>
          </cell>
          <cell r="FG299" t="str">
            <v>مدير المستودعات</v>
          </cell>
          <cell r="FH299" t="str">
            <v>على احمد على بابكر</v>
          </cell>
          <cell r="FI299" t="str">
            <v>120-8691528-2</v>
          </cell>
          <cell r="HC299" t="str">
            <v>30</v>
          </cell>
        </row>
        <row r="300">
          <cell r="A300">
            <v>506</v>
          </cell>
          <cell r="B300" t="str">
            <v>حامد الامين احمد النور</v>
          </cell>
          <cell r="G300" t="str">
            <v>المصنع</v>
          </cell>
          <cell r="H300" t="str">
            <v>الانتاج</v>
          </cell>
          <cell r="L300" t="str">
            <v>عامل</v>
          </cell>
          <cell r="M300">
            <v>41433</v>
          </cell>
          <cell r="O300" t="e">
            <v>#NUM!</v>
          </cell>
          <cell r="P300" t="e">
            <v>#NUM!</v>
          </cell>
          <cell r="R300" t="e">
            <v>#NUM!</v>
          </cell>
          <cell r="T300" t="str">
            <v>إستقال</v>
          </cell>
          <cell r="Z300">
            <v>30682</v>
          </cell>
          <cell r="AI300" t="str">
            <v>تسنين</v>
          </cell>
          <cell r="AJ300" t="str">
            <v>180270</v>
          </cell>
          <cell r="AK300">
            <v>0</v>
          </cell>
          <cell r="AL300">
            <v>7</v>
          </cell>
          <cell r="AM300">
            <v>2</v>
          </cell>
          <cell r="AN300">
            <v>0</v>
          </cell>
          <cell r="AO300">
            <v>8</v>
          </cell>
          <cell r="AP300">
            <v>1</v>
          </cell>
          <cell r="AS300">
            <v>43500</v>
          </cell>
          <cell r="AT300">
            <v>35</v>
          </cell>
          <cell r="AU300" t="str">
            <v>جنسيه</v>
          </cell>
          <cell r="AV300" t="str">
            <v>0874639</v>
          </cell>
          <cell r="AW300">
            <v>9</v>
          </cell>
          <cell r="AX300">
            <v>3</v>
          </cell>
          <cell r="AY300">
            <v>6</v>
          </cell>
          <cell r="AZ300">
            <v>4</v>
          </cell>
          <cell r="BA300">
            <v>7</v>
          </cell>
          <cell r="BB300">
            <v>8</v>
          </cell>
          <cell r="BC300">
            <v>0</v>
          </cell>
          <cell r="BF300" t="str">
            <v>ام سلمة الشيخ</v>
          </cell>
          <cell r="BG300" t="str">
            <v>بحرى</v>
          </cell>
          <cell r="BH300" t="str">
            <v>بحرى - السامراب</v>
          </cell>
          <cell r="BI300" t="str">
            <v>0919448393</v>
          </cell>
          <cell r="BJ300" t="str">
            <v>عباس احمد النور</v>
          </cell>
          <cell r="BL300" t="str">
            <v>خالي الطرف</v>
          </cell>
          <cell r="BN300">
            <v>43500</v>
          </cell>
          <cell r="BT300" t="str">
            <v>شهاده ثانويه</v>
          </cell>
          <cell r="BV300">
            <v>37347</v>
          </cell>
          <cell r="CQ300" t="str">
            <v>مينا للصناعات الحديدية</v>
          </cell>
          <cell r="CR300" t="str">
            <v>فنى كرين</v>
          </cell>
          <cell r="CS300">
            <v>39173</v>
          </cell>
          <cell r="CT300">
            <v>40725</v>
          </cell>
          <cell r="EQ300">
            <v>0</v>
          </cell>
          <cell r="FG300" t="str">
            <v xml:space="preserve"> مدير الانتاج</v>
          </cell>
          <cell r="FH300" t="str">
            <v>هشام عيسى محمد عبدالكريم</v>
          </cell>
          <cell r="FI300">
            <v>0</v>
          </cell>
        </row>
        <row r="301">
          <cell r="A301">
            <v>508</v>
          </cell>
          <cell r="B301" t="str">
            <v>طالب بشير احمد عبده</v>
          </cell>
          <cell r="G301" t="str">
            <v>المصنع</v>
          </cell>
          <cell r="H301" t="str">
            <v>الانتاج</v>
          </cell>
          <cell r="L301" t="str">
            <v>عامل</v>
          </cell>
          <cell r="M301">
            <v>41435</v>
          </cell>
          <cell r="O301" t="e">
            <v>#NUM!</v>
          </cell>
          <cell r="P301" t="e">
            <v>#NUM!</v>
          </cell>
          <cell r="R301" t="e">
            <v>#NUM!</v>
          </cell>
          <cell r="T301" t="str">
            <v>إستقال</v>
          </cell>
          <cell r="Z301">
            <v>31076</v>
          </cell>
          <cell r="AI301" t="str">
            <v>ميلاد</v>
          </cell>
          <cell r="AJ301" t="str">
            <v>864872</v>
          </cell>
          <cell r="AK301">
            <v>2</v>
          </cell>
          <cell r="AL301">
            <v>7</v>
          </cell>
          <cell r="AM301">
            <v>8</v>
          </cell>
          <cell r="AN301">
            <v>4</v>
          </cell>
          <cell r="AO301">
            <v>6</v>
          </cell>
          <cell r="AP301">
            <v>8</v>
          </cell>
          <cell r="AS301">
            <v>43500</v>
          </cell>
          <cell r="AT301">
            <v>34</v>
          </cell>
          <cell r="AU301" t="str">
            <v>جنسيه</v>
          </cell>
          <cell r="AV301" t="str">
            <v>0996812</v>
          </cell>
          <cell r="AW301">
            <v>2</v>
          </cell>
          <cell r="AX301">
            <v>1</v>
          </cell>
          <cell r="AY301">
            <v>8</v>
          </cell>
          <cell r="AZ301">
            <v>6</v>
          </cell>
          <cell r="BA301">
            <v>9</v>
          </cell>
          <cell r="BB301">
            <v>9</v>
          </cell>
          <cell r="BC301">
            <v>0</v>
          </cell>
          <cell r="BF301" t="str">
            <v>رحمه بابكر</v>
          </cell>
          <cell r="BH301" t="str">
            <v>الازهرى الانقاذ</v>
          </cell>
          <cell r="BI301" t="str">
            <v>0128505761</v>
          </cell>
          <cell r="BL301" t="str">
            <v>خالي الطرف</v>
          </cell>
          <cell r="BN301">
            <v>43500</v>
          </cell>
          <cell r="BS301" t="str">
            <v>محاسبة</v>
          </cell>
          <cell r="BT301" t="str">
            <v>بكلاريوس الشرف</v>
          </cell>
          <cell r="BU301" t="str">
            <v>جامعة النيلين</v>
          </cell>
          <cell r="BV301">
            <v>40059</v>
          </cell>
          <cell r="BW301" t="str">
            <v>حاسوب</v>
          </cell>
          <cell r="BX301" t="str">
            <v>دبلوم (معاهد)</v>
          </cell>
          <cell r="BY301" t="str">
            <v>شركة اباكس الهندسيه العالميه المحدوده</v>
          </cell>
          <cell r="BZ301">
            <v>40210</v>
          </cell>
          <cell r="EQ301">
            <v>0</v>
          </cell>
          <cell r="FG301" t="str">
            <v xml:space="preserve"> مدير الانتاج</v>
          </cell>
          <cell r="FH301" t="str">
            <v>هشام عيسى محمد عبدالكريم</v>
          </cell>
          <cell r="FI301">
            <v>0</v>
          </cell>
        </row>
        <row r="302">
          <cell r="A302">
            <v>510</v>
          </cell>
          <cell r="B302" t="str">
            <v>عادل ابراهيم محمد احمد</v>
          </cell>
          <cell r="C302" t="str">
            <v>عادل</v>
          </cell>
          <cell r="D302" t="str">
            <v>ابراهيم</v>
          </cell>
          <cell r="E302" t="str">
            <v>محمد</v>
          </cell>
          <cell r="F302" t="str">
            <v>احمد</v>
          </cell>
          <cell r="G302" t="str">
            <v>المصنع</v>
          </cell>
          <cell r="H302" t="str">
            <v>الانتاج</v>
          </cell>
          <cell r="I302" t="str">
            <v>الزوايا</v>
          </cell>
          <cell r="K302" t="str">
            <v>عامل</v>
          </cell>
          <cell r="L302" t="str">
            <v>عامل</v>
          </cell>
          <cell r="M302">
            <v>41435</v>
          </cell>
          <cell r="N302">
            <v>43500</v>
          </cell>
          <cell r="O302">
            <v>5</v>
          </cell>
          <cell r="P302">
            <v>7</v>
          </cell>
          <cell r="R302">
            <v>167.5</v>
          </cell>
          <cell r="Z302">
            <v>21916</v>
          </cell>
          <cell r="AG302">
            <v>9</v>
          </cell>
          <cell r="AH302">
            <v>1</v>
          </cell>
          <cell r="AI302" t="str">
            <v>تسنين</v>
          </cell>
          <cell r="AJ302" t="str">
            <v>126257</v>
          </cell>
          <cell r="AK302">
            <v>7</v>
          </cell>
          <cell r="AL302">
            <v>5</v>
          </cell>
          <cell r="AM302">
            <v>2</v>
          </cell>
          <cell r="AN302">
            <v>6</v>
          </cell>
          <cell r="AO302">
            <v>2</v>
          </cell>
          <cell r="AP302">
            <v>1</v>
          </cell>
          <cell r="AS302">
            <v>43500</v>
          </cell>
          <cell r="AT302">
            <v>59</v>
          </cell>
          <cell r="BE302" t="str">
            <v>119-0440597-5</v>
          </cell>
          <cell r="BF302" t="str">
            <v>نور الشام إبراهيم</v>
          </cell>
          <cell r="BG302" t="str">
            <v>الجزيره</v>
          </cell>
          <cell r="BH302" t="str">
            <v>الجزيره - النوبه</v>
          </cell>
          <cell r="BI302" t="str">
            <v>0124260503</v>
          </cell>
          <cell r="BJ302" t="str">
            <v>عاطف إبراهيم</v>
          </cell>
          <cell r="BK302" t="str">
            <v>09222557</v>
          </cell>
          <cell r="BL302" t="str">
            <v>خالي الطرف</v>
          </cell>
          <cell r="BN302">
            <v>43500</v>
          </cell>
          <cell r="CQ302" t="str">
            <v>شركة كابلات جياد السويدي</v>
          </cell>
          <cell r="CR302" t="str">
            <v>عامل يومية</v>
          </cell>
          <cell r="CS302">
            <v>39307</v>
          </cell>
          <cell r="CT302">
            <v>41199</v>
          </cell>
          <cell r="CV302" t="str">
            <v>شركة واور للهندسة المحدودة</v>
          </cell>
          <cell r="CW302" t="str">
            <v>قارئ ومتحصل</v>
          </cell>
          <cell r="CX302">
            <v>37773</v>
          </cell>
          <cell r="CY302">
            <v>39142</v>
          </cell>
          <cell r="EQ302">
            <v>0</v>
          </cell>
          <cell r="ER302">
            <v>53</v>
          </cell>
          <cell r="FG302" t="str">
            <v xml:space="preserve"> مدير الانتاج</v>
          </cell>
          <cell r="FH302" t="str">
            <v>هشام عيسى محمد عبدالكريم</v>
          </cell>
          <cell r="FI302" t="str">
            <v>119-0440597-5</v>
          </cell>
        </row>
        <row r="303">
          <cell r="A303">
            <v>511</v>
          </cell>
          <cell r="B303" t="str">
            <v>احمد البشرى محمد احمد</v>
          </cell>
          <cell r="C303" t="str">
            <v>احمد</v>
          </cell>
          <cell r="D303" t="str">
            <v>البشرى</v>
          </cell>
          <cell r="E303" t="str">
            <v>محمد</v>
          </cell>
          <cell r="F303" t="str">
            <v>احمد</v>
          </cell>
          <cell r="G303" t="str">
            <v>المصنع</v>
          </cell>
          <cell r="H303" t="str">
            <v>الانتاج</v>
          </cell>
          <cell r="I303" t="str">
            <v>الزوايا</v>
          </cell>
          <cell r="K303" t="str">
            <v>عامل</v>
          </cell>
          <cell r="L303" t="str">
            <v>عامل</v>
          </cell>
          <cell r="M303">
            <v>41435</v>
          </cell>
          <cell r="N303">
            <v>43500</v>
          </cell>
          <cell r="O303">
            <v>5</v>
          </cell>
          <cell r="P303">
            <v>7</v>
          </cell>
          <cell r="R303">
            <v>167.5</v>
          </cell>
          <cell r="Z303">
            <v>28336</v>
          </cell>
          <cell r="AG303">
            <v>9</v>
          </cell>
          <cell r="AH303">
            <v>1</v>
          </cell>
          <cell r="AI303" t="str">
            <v>ميلاد</v>
          </cell>
          <cell r="AJ303" t="str">
            <v>0653030</v>
          </cell>
          <cell r="AK303">
            <v>0</v>
          </cell>
          <cell r="AL303">
            <v>3</v>
          </cell>
          <cell r="AM303">
            <v>0</v>
          </cell>
          <cell r="AN303">
            <v>3</v>
          </cell>
          <cell r="AO303">
            <v>5</v>
          </cell>
          <cell r="AP303">
            <v>6</v>
          </cell>
          <cell r="AQ303">
            <v>0</v>
          </cell>
          <cell r="AS303">
            <v>43500</v>
          </cell>
          <cell r="AT303">
            <v>41</v>
          </cell>
          <cell r="AU303" t="str">
            <v>جنسيه</v>
          </cell>
          <cell r="AV303" t="str">
            <v>0647515</v>
          </cell>
          <cell r="AW303">
            <v>5</v>
          </cell>
          <cell r="AX303">
            <v>1</v>
          </cell>
          <cell r="AY303">
            <v>5</v>
          </cell>
          <cell r="AZ303">
            <v>7</v>
          </cell>
          <cell r="BA303">
            <v>4</v>
          </cell>
          <cell r="BB303">
            <v>6</v>
          </cell>
          <cell r="BC303">
            <v>0</v>
          </cell>
          <cell r="BE303" t="str">
            <v>246-9194507-1</v>
          </cell>
          <cell r="BF303" t="str">
            <v>الروضة حاج على</v>
          </cell>
          <cell r="BG303" t="str">
            <v>الكلاكله</v>
          </cell>
          <cell r="BH303" t="str">
            <v xml:space="preserve">الشقيلاب </v>
          </cell>
          <cell r="BI303" t="str">
            <v>0928961104</v>
          </cell>
          <cell r="BJ303" t="str">
            <v>ايمن البشرى</v>
          </cell>
          <cell r="BK303" t="str">
            <v>0912583682</v>
          </cell>
          <cell r="BL303" t="str">
            <v>خالي الطرف</v>
          </cell>
          <cell r="BN303">
            <v>43500</v>
          </cell>
          <cell r="BT303" t="str">
            <v>شهاده ثانويه</v>
          </cell>
          <cell r="BV303">
            <v>36251</v>
          </cell>
          <cell r="BW303" t="str">
            <v>كهرباء سيارات</v>
          </cell>
          <cell r="BX303" t="str">
            <v>دبلوم (معاهد)</v>
          </cell>
          <cell r="BY303" t="str">
            <v>المعهد الاهلى الحديث</v>
          </cell>
          <cell r="BZ303">
            <v>39169</v>
          </cell>
          <cell r="EQ303">
            <v>0</v>
          </cell>
          <cell r="ER303">
            <v>78</v>
          </cell>
          <cell r="FG303" t="str">
            <v xml:space="preserve"> مدير الانتاج</v>
          </cell>
          <cell r="FH303" t="str">
            <v>هشام عيسى محمد عبدالكريم</v>
          </cell>
          <cell r="FI303" t="str">
            <v>246-9194507-1</v>
          </cell>
        </row>
        <row r="304">
          <cell r="A304">
            <v>514</v>
          </cell>
          <cell r="B304" t="str">
            <v>مشاور قسم الله عبدالله قسم الله</v>
          </cell>
          <cell r="C304" t="str">
            <v>مشاور</v>
          </cell>
          <cell r="D304" t="str">
            <v>قسم الله</v>
          </cell>
          <cell r="E304" t="str">
            <v>عبدالله</v>
          </cell>
          <cell r="F304" t="str">
            <v>قسم الله</v>
          </cell>
          <cell r="G304" t="str">
            <v>المصنع</v>
          </cell>
          <cell r="H304" t="str">
            <v>الانتاج</v>
          </cell>
          <cell r="I304" t="str">
            <v>الاكسبنده</v>
          </cell>
          <cell r="K304" t="str">
            <v>عامل</v>
          </cell>
          <cell r="L304" t="str">
            <v>مساعد مشغل</v>
          </cell>
          <cell r="M304">
            <v>41440</v>
          </cell>
          <cell r="N304">
            <v>43500</v>
          </cell>
          <cell r="O304">
            <v>5</v>
          </cell>
          <cell r="P304">
            <v>7</v>
          </cell>
          <cell r="R304">
            <v>167.5</v>
          </cell>
          <cell r="Z304">
            <v>27901</v>
          </cell>
          <cell r="AG304">
            <v>9</v>
          </cell>
          <cell r="AH304">
            <v>1</v>
          </cell>
          <cell r="AI304" t="str">
            <v>ميلاد</v>
          </cell>
          <cell r="AJ304" t="str">
            <v>606372</v>
          </cell>
          <cell r="AK304">
            <v>2</v>
          </cell>
          <cell r="AL304">
            <v>7</v>
          </cell>
          <cell r="AM304">
            <v>3</v>
          </cell>
          <cell r="AN304">
            <v>6</v>
          </cell>
          <cell r="AO304">
            <v>0</v>
          </cell>
          <cell r="AP304">
            <v>6</v>
          </cell>
          <cell r="AS304">
            <v>43500</v>
          </cell>
          <cell r="AT304">
            <v>42</v>
          </cell>
          <cell r="AU304" t="str">
            <v>جنسيه</v>
          </cell>
          <cell r="AV304" t="str">
            <v>0915374</v>
          </cell>
          <cell r="AW304">
            <v>4</v>
          </cell>
          <cell r="AX304">
            <v>7</v>
          </cell>
          <cell r="AY304">
            <v>3</v>
          </cell>
          <cell r="AZ304">
            <v>5</v>
          </cell>
          <cell r="BA304">
            <v>1</v>
          </cell>
          <cell r="BB304">
            <v>9</v>
          </cell>
          <cell r="BC304">
            <v>0</v>
          </cell>
          <cell r="BE304" t="str">
            <v>190-3585315-9</v>
          </cell>
          <cell r="BF304" t="str">
            <v xml:space="preserve">سوق منى جبريل </v>
          </cell>
          <cell r="BG304" t="str">
            <v>الجزيره</v>
          </cell>
          <cell r="BH304" t="str">
            <v>الجزيره - المسعوديه</v>
          </cell>
          <cell r="BI304" t="str">
            <v>0905112621</v>
          </cell>
          <cell r="BJ304" t="str">
            <v>صفاء شريف</v>
          </cell>
          <cell r="BK304" t="str">
            <v>0905518214</v>
          </cell>
          <cell r="BL304" t="str">
            <v>خالي الطرف</v>
          </cell>
          <cell r="BN304">
            <v>43500</v>
          </cell>
          <cell r="CQ304" t="str">
            <v>الشركة الاوروبية للحراسة والخدمات الامنية</v>
          </cell>
          <cell r="CR304" t="str">
            <v>موظف امن</v>
          </cell>
          <cell r="CS304">
            <v>39336</v>
          </cell>
          <cell r="CT304">
            <v>40797</v>
          </cell>
          <cell r="EQ304">
            <v>0</v>
          </cell>
          <cell r="ER304">
            <v>57</v>
          </cell>
          <cell r="FG304" t="str">
            <v xml:space="preserve"> مدير الانتاج</v>
          </cell>
          <cell r="FH304" t="str">
            <v>هشام عيسى محمد عبدالكريم</v>
          </cell>
          <cell r="FI304" t="str">
            <v>190-3585315-9</v>
          </cell>
        </row>
        <row r="305">
          <cell r="A305">
            <v>518</v>
          </cell>
          <cell r="B305" t="str">
            <v>هيثم عبدالقادر عبدالرحمن احمد</v>
          </cell>
          <cell r="G305" t="str">
            <v>المصنع</v>
          </cell>
          <cell r="H305" t="str">
            <v>المستودعات</v>
          </cell>
          <cell r="M305">
            <v>42319</v>
          </cell>
          <cell r="O305" t="e">
            <v>#NUM!</v>
          </cell>
          <cell r="P305" t="e">
            <v>#NUM!</v>
          </cell>
          <cell r="R305" t="e">
            <v>#NUM!</v>
          </cell>
          <cell r="T305" t="str">
            <v>إستقال</v>
          </cell>
          <cell r="Z305">
            <v>30350</v>
          </cell>
          <cell r="AI305" t="str">
            <v>ميلاد</v>
          </cell>
          <cell r="AJ305" t="str">
            <v>32327</v>
          </cell>
          <cell r="AK305">
            <v>7</v>
          </cell>
          <cell r="AL305">
            <v>2</v>
          </cell>
          <cell r="AM305">
            <v>3</v>
          </cell>
          <cell r="AN305">
            <v>2</v>
          </cell>
          <cell r="AO305">
            <v>3</v>
          </cell>
          <cell r="AS305">
            <v>43500</v>
          </cell>
          <cell r="AT305">
            <v>36</v>
          </cell>
          <cell r="AU305" t="str">
            <v>جنسيه</v>
          </cell>
          <cell r="AV305" t="str">
            <v>0015179</v>
          </cell>
          <cell r="AW305">
            <v>9</v>
          </cell>
          <cell r="AX305">
            <v>7</v>
          </cell>
          <cell r="AY305">
            <v>1</v>
          </cell>
          <cell r="AZ305">
            <v>5</v>
          </cell>
          <cell r="BA305">
            <v>1</v>
          </cell>
          <cell r="BB305">
            <v>0</v>
          </cell>
          <cell r="BC305">
            <v>0</v>
          </cell>
          <cell r="BF305" t="str">
            <v>190-4657688-4</v>
          </cell>
          <cell r="BH305" t="str">
            <v>الجزيره - الحوش</v>
          </cell>
          <cell r="BI305" t="str">
            <v>0916215826</v>
          </cell>
          <cell r="BL305" t="str">
            <v>خالي الطرف</v>
          </cell>
          <cell r="BN305">
            <v>43500</v>
          </cell>
          <cell r="BS305" t="str">
            <v>تربية ( كيمياء - احياء )</v>
          </cell>
          <cell r="BT305" t="str">
            <v>بكلاريوس الشرف</v>
          </cell>
          <cell r="BU305" t="str">
            <v>جامعة الدلنج</v>
          </cell>
          <cell r="BV305">
            <v>39431</v>
          </cell>
          <cell r="EQ305">
            <v>0</v>
          </cell>
          <cell r="FG305" t="str">
            <v>مدير المستودعات</v>
          </cell>
          <cell r="FH305" t="str">
            <v>على احمد على بابكر</v>
          </cell>
          <cell r="FI305">
            <v>0</v>
          </cell>
        </row>
        <row r="306">
          <cell r="A306">
            <v>525</v>
          </cell>
          <cell r="B306" t="str">
            <v>حافظ يعقوب ادريس عبدالرحيم</v>
          </cell>
          <cell r="C306" t="str">
            <v>حافظ</v>
          </cell>
          <cell r="D306" t="str">
            <v>يعقوب</v>
          </cell>
          <cell r="E306" t="str">
            <v>ادريس</v>
          </cell>
          <cell r="F306" t="str">
            <v>عبدالرحيم</v>
          </cell>
          <cell r="G306" t="str">
            <v>المصنع</v>
          </cell>
          <cell r="H306" t="str">
            <v>الانتاج</v>
          </cell>
          <cell r="I306" t="str">
            <v>المواسير</v>
          </cell>
          <cell r="K306" t="str">
            <v>عامل</v>
          </cell>
          <cell r="L306" t="str">
            <v>مشغل</v>
          </cell>
          <cell r="M306">
            <v>41451</v>
          </cell>
          <cell r="N306">
            <v>43500</v>
          </cell>
          <cell r="O306">
            <v>5</v>
          </cell>
          <cell r="P306">
            <v>7</v>
          </cell>
          <cell r="R306">
            <v>167.5</v>
          </cell>
          <cell r="Z306">
            <v>27760</v>
          </cell>
          <cell r="AG306">
            <v>9</v>
          </cell>
          <cell r="AH306">
            <v>1</v>
          </cell>
          <cell r="AI306" t="str">
            <v>تسنين</v>
          </cell>
          <cell r="AJ306" t="str">
            <v>881116</v>
          </cell>
          <cell r="AK306">
            <v>6</v>
          </cell>
          <cell r="AL306">
            <v>1</v>
          </cell>
          <cell r="AM306">
            <v>1</v>
          </cell>
          <cell r="AN306">
            <v>1</v>
          </cell>
          <cell r="AO306">
            <v>8</v>
          </cell>
          <cell r="AP306">
            <v>8</v>
          </cell>
          <cell r="AS306">
            <v>43500</v>
          </cell>
          <cell r="AT306">
            <v>43</v>
          </cell>
          <cell r="AU306" t="str">
            <v>جنسيه</v>
          </cell>
          <cell r="AV306" t="str">
            <v>0780076</v>
          </cell>
          <cell r="AW306">
            <v>6</v>
          </cell>
          <cell r="AX306">
            <v>7</v>
          </cell>
          <cell r="AY306">
            <v>0</v>
          </cell>
          <cell r="AZ306">
            <v>0</v>
          </cell>
          <cell r="BA306">
            <v>8</v>
          </cell>
          <cell r="BB306">
            <v>7</v>
          </cell>
          <cell r="BC306">
            <v>0</v>
          </cell>
          <cell r="BE306" t="str">
            <v>120-7254753-6</v>
          </cell>
          <cell r="BF306" t="str">
            <v xml:space="preserve">ام ضى سالم </v>
          </cell>
          <cell r="BG306" t="str">
            <v>العربى</v>
          </cell>
          <cell r="BH306" t="str">
            <v>بترى</v>
          </cell>
          <cell r="BI306" t="str">
            <v>0117985267</v>
          </cell>
          <cell r="BJ306" t="str">
            <v>محمد يعقوب إدريس</v>
          </cell>
          <cell r="BK306" t="str">
            <v>0124102452</v>
          </cell>
          <cell r="BL306" t="str">
            <v>خالي الطرف</v>
          </cell>
          <cell r="BN306">
            <v>43500</v>
          </cell>
          <cell r="CQ306" t="str">
            <v xml:space="preserve">القوات المسلحة </v>
          </cell>
          <cell r="EQ306">
            <v>0</v>
          </cell>
          <cell r="ER306">
            <v>111</v>
          </cell>
          <cell r="FG306" t="str">
            <v xml:space="preserve"> مدير الانتاج</v>
          </cell>
          <cell r="FH306" t="str">
            <v>هشام عيسى محمد عبدالكريم</v>
          </cell>
          <cell r="FI306" t="str">
            <v>120-7254753-6</v>
          </cell>
        </row>
        <row r="307">
          <cell r="A307">
            <v>533</v>
          </cell>
          <cell r="B307" t="str">
            <v>زاهر عبدالله حميد عمر</v>
          </cell>
          <cell r="C307" t="str">
            <v>زاهر</v>
          </cell>
          <cell r="D307" t="str">
            <v>عبدالله</v>
          </cell>
          <cell r="E307" t="str">
            <v>حميد</v>
          </cell>
          <cell r="F307" t="str">
            <v>عمر</v>
          </cell>
          <cell r="G307" t="str">
            <v>المصنع</v>
          </cell>
          <cell r="H307" t="str">
            <v>الانتاج</v>
          </cell>
          <cell r="I307" t="str">
            <v>التشريح</v>
          </cell>
          <cell r="K307" t="str">
            <v>عامل</v>
          </cell>
          <cell r="L307" t="str">
            <v>مشغل كرين</v>
          </cell>
          <cell r="M307">
            <v>41457</v>
          </cell>
          <cell r="N307">
            <v>43500</v>
          </cell>
          <cell r="O307">
            <v>5</v>
          </cell>
          <cell r="P307">
            <v>7</v>
          </cell>
          <cell r="R307">
            <v>167.5</v>
          </cell>
          <cell r="Z307">
            <v>27851</v>
          </cell>
          <cell r="AG307">
            <v>9</v>
          </cell>
          <cell r="AH307">
            <v>1</v>
          </cell>
          <cell r="AI307" t="str">
            <v>ميلاد</v>
          </cell>
          <cell r="AJ307" t="str">
            <v>154879</v>
          </cell>
          <cell r="AK307">
            <v>9</v>
          </cell>
          <cell r="AL307">
            <v>7</v>
          </cell>
          <cell r="AM307">
            <v>8</v>
          </cell>
          <cell r="AN307">
            <v>4</v>
          </cell>
          <cell r="AO307">
            <v>5</v>
          </cell>
          <cell r="AP307">
            <v>1</v>
          </cell>
          <cell r="AS307">
            <v>43500</v>
          </cell>
          <cell r="AT307">
            <v>42</v>
          </cell>
          <cell r="AU307" t="str">
            <v>جنسيه</v>
          </cell>
          <cell r="AV307" t="str">
            <v>164553</v>
          </cell>
          <cell r="AW307">
            <v>3</v>
          </cell>
          <cell r="AX307">
            <v>5</v>
          </cell>
          <cell r="AY307">
            <v>5</v>
          </cell>
          <cell r="AZ307">
            <v>4</v>
          </cell>
          <cell r="BA307">
            <v>6</v>
          </cell>
          <cell r="BB307">
            <v>1</v>
          </cell>
          <cell r="BE307" t="str">
            <v>291-1133040-8</v>
          </cell>
          <cell r="BF307" t="str">
            <v>امنه إبراهيم عبدالرحمن</v>
          </cell>
          <cell r="BG307" t="str">
            <v>الجزيره</v>
          </cell>
          <cell r="BH307" t="str">
            <v>الجزيره - المسعوديه</v>
          </cell>
          <cell r="BI307" t="str">
            <v>0918253406</v>
          </cell>
          <cell r="BJ307" t="str">
            <v>على الامين</v>
          </cell>
          <cell r="BK307" t="str">
            <v>0911220524</v>
          </cell>
          <cell r="BN307">
            <v>43500</v>
          </cell>
          <cell r="EQ307">
            <v>0</v>
          </cell>
          <cell r="ER307">
            <v>106</v>
          </cell>
          <cell r="FG307" t="str">
            <v xml:space="preserve"> مدير الانتاج</v>
          </cell>
          <cell r="FH307" t="str">
            <v>هشام عيسى محمد عبدالكريم</v>
          </cell>
          <cell r="FI307" t="str">
            <v>291-1133040-8</v>
          </cell>
        </row>
        <row r="308">
          <cell r="A308">
            <v>534</v>
          </cell>
          <cell r="B308" t="str">
            <v>منى محجوب حسن على</v>
          </cell>
          <cell r="C308" t="str">
            <v>منى</v>
          </cell>
          <cell r="D308" t="str">
            <v>محجوب</v>
          </cell>
          <cell r="E308" t="str">
            <v>حسن</v>
          </cell>
          <cell r="F308" t="str">
            <v>على</v>
          </cell>
          <cell r="G308" t="str">
            <v>المصنع</v>
          </cell>
          <cell r="H308" t="str">
            <v>المستودعات</v>
          </cell>
          <cell r="I308" t="str">
            <v>بيانات</v>
          </cell>
          <cell r="K308" t="str">
            <v>مدخل بيانات</v>
          </cell>
          <cell r="L308" t="str">
            <v>مدخل بيانات</v>
          </cell>
          <cell r="M308">
            <v>41456</v>
          </cell>
          <cell r="N308">
            <v>43500</v>
          </cell>
          <cell r="O308">
            <v>5</v>
          </cell>
          <cell r="P308">
            <v>7</v>
          </cell>
          <cell r="R308">
            <v>167.5</v>
          </cell>
          <cell r="Z308">
            <v>32432</v>
          </cell>
          <cell r="AG308">
            <v>9</v>
          </cell>
          <cell r="AH308">
            <v>1</v>
          </cell>
          <cell r="AI308" t="str">
            <v>ميلاد</v>
          </cell>
          <cell r="AJ308" t="str">
            <v>310496</v>
          </cell>
          <cell r="AK308">
            <v>6</v>
          </cell>
          <cell r="AL308">
            <v>9</v>
          </cell>
          <cell r="AM308">
            <v>4</v>
          </cell>
          <cell r="AN308">
            <v>0</v>
          </cell>
          <cell r="AO308">
            <v>1</v>
          </cell>
          <cell r="AP308">
            <v>3</v>
          </cell>
          <cell r="AS308">
            <v>43500</v>
          </cell>
          <cell r="AT308">
            <v>30</v>
          </cell>
          <cell r="BF308" t="str">
            <v>مدينه عيسى احمد</v>
          </cell>
          <cell r="BG308" t="str">
            <v>الكلاكله</v>
          </cell>
          <cell r="BH308" t="str">
            <v>الكلاكله - القبه</v>
          </cell>
          <cell r="BI308" t="str">
            <v>0902518148</v>
          </cell>
          <cell r="BJ308" t="str">
            <v>مدينه عيسى</v>
          </cell>
          <cell r="BK308" t="str">
            <v>0116116224</v>
          </cell>
          <cell r="BN308">
            <v>43500</v>
          </cell>
          <cell r="BS308" t="str">
            <v>هندسة إتصالات</v>
          </cell>
          <cell r="BT308" t="str">
            <v>دبلوم تقني</v>
          </cell>
          <cell r="BU308" t="str">
            <v>كلية الجزيرة التقنية</v>
          </cell>
          <cell r="BV308">
            <v>40506</v>
          </cell>
          <cell r="EO308">
            <v>30</v>
          </cell>
          <cell r="EP308">
            <v>30</v>
          </cell>
          <cell r="EQ308">
            <v>60</v>
          </cell>
          <cell r="ER308">
            <v>69</v>
          </cell>
          <cell r="FG308" t="str">
            <v>مدير المستودعات</v>
          </cell>
          <cell r="FH308" t="str">
            <v>على احمد على بابكر</v>
          </cell>
          <cell r="FI308">
            <v>0</v>
          </cell>
        </row>
        <row r="309">
          <cell r="A309">
            <v>535</v>
          </cell>
          <cell r="B309" t="str">
            <v>يوسف فاروق عباس سعيد</v>
          </cell>
          <cell r="C309" t="str">
            <v>يوسف</v>
          </cell>
          <cell r="D309" t="str">
            <v>فاروق</v>
          </cell>
          <cell r="E309" t="str">
            <v>عباس</v>
          </cell>
          <cell r="F309" t="str">
            <v>سعيد</v>
          </cell>
          <cell r="G309" t="str">
            <v>المصنع</v>
          </cell>
          <cell r="H309" t="str">
            <v>الكهرباء</v>
          </cell>
          <cell r="I309" t="str">
            <v>كهرباء عامه</v>
          </cell>
          <cell r="K309" t="str">
            <v>فنى كهرباء</v>
          </cell>
          <cell r="L309" t="str">
            <v>فنى كهرباء</v>
          </cell>
          <cell r="M309">
            <v>41458</v>
          </cell>
          <cell r="N309">
            <v>43500</v>
          </cell>
          <cell r="O309">
            <v>5</v>
          </cell>
          <cell r="P309">
            <v>7</v>
          </cell>
          <cell r="R309">
            <v>167.5</v>
          </cell>
          <cell r="Z309">
            <v>33970</v>
          </cell>
          <cell r="AG309">
            <v>9</v>
          </cell>
          <cell r="AH309">
            <v>1</v>
          </cell>
          <cell r="AI309" t="str">
            <v>تسنين</v>
          </cell>
          <cell r="AJ309" t="str">
            <v>209753</v>
          </cell>
          <cell r="AK309">
            <v>3</v>
          </cell>
          <cell r="AL309">
            <v>5</v>
          </cell>
          <cell r="AM309">
            <v>7</v>
          </cell>
          <cell r="AN309">
            <v>9</v>
          </cell>
          <cell r="AO309">
            <v>0</v>
          </cell>
          <cell r="AP309">
            <v>2</v>
          </cell>
          <cell r="AS309">
            <v>43500</v>
          </cell>
          <cell r="AT309">
            <v>26</v>
          </cell>
          <cell r="AU309" t="str">
            <v>بطاقه قوميه</v>
          </cell>
          <cell r="AV309" t="str">
            <v>002470489</v>
          </cell>
          <cell r="AW309">
            <v>9</v>
          </cell>
          <cell r="AX309">
            <v>8</v>
          </cell>
          <cell r="AY309">
            <v>4</v>
          </cell>
          <cell r="AZ309">
            <v>0</v>
          </cell>
          <cell r="BA309">
            <v>7</v>
          </cell>
          <cell r="BB309">
            <v>4</v>
          </cell>
          <cell r="BC309">
            <v>2</v>
          </cell>
          <cell r="BD309">
            <v>0</v>
          </cell>
          <cell r="BE309" t="str">
            <v>122-6128294-8</v>
          </cell>
          <cell r="BF309" t="str">
            <v>حواء عبدالرسول مندى</v>
          </cell>
          <cell r="BG309" t="str">
            <v>العربى</v>
          </cell>
          <cell r="BH309" t="str">
            <v>سوبا الاراضى</v>
          </cell>
          <cell r="BI309" t="str">
            <v>0920711704</v>
          </cell>
          <cell r="BJ309" t="str">
            <v>على فاروق</v>
          </cell>
          <cell r="BK309" t="str">
            <v>0967181001</v>
          </cell>
          <cell r="BL309" t="str">
            <v>خالي الطرف</v>
          </cell>
          <cell r="BN309">
            <v>43500</v>
          </cell>
          <cell r="BS309" t="str">
            <v>كهرباء عامة</v>
          </cell>
          <cell r="BT309" t="str">
            <v>تدريب مهني</v>
          </cell>
          <cell r="BV309">
            <v>40695</v>
          </cell>
          <cell r="BW309" t="str">
            <v>الكهرباء العامة</v>
          </cell>
          <cell r="BX309" t="str">
            <v>تدريب مهني</v>
          </cell>
          <cell r="BY309" t="str">
            <v>مار يوسف للتدريب المهنى</v>
          </cell>
          <cell r="BZ309">
            <v>41061</v>
          </cell>
          <cell r="EQ309">
            <v>0</v>
          </cell>
          <cell r="ER309">
            <v>76</v>
          </cell>
          <cell r="FG309" t="str">
            <v>مدير الصيانه الكهربائيه</v>
          </cell>
          <cell r="FH309" t="str">
            <v>ماهر ضيف الله سليمان جابر</v>
          </cell>
          <cell r="FI309" t="str">
            <v>122-6128294-8</v>
          </cell>
        </row>
        <row r="310">
          <cell r="A310">
            <v>539</v>
          </cell>
          <cell r="B310" t="str">
            <v>محمد فضل طمبل فضل</v>
          </cell>
          <cell r="C310" t="str">
            <v>محمد</v>
          </cell>
          <cell r="D310" t="str">
            <v>فضل</v>
          </cell>
          <cell r="E310" t="str">
            <v>طمبل</v>
          </cell>
          <cell r="F310" t="str">
            <v>فضل</v>
          </cell>
          <cell r="G310" t="str">
            <v>المصنع</v>
          </cell>
          <cell r="H310" t="str">
            <v>الانتاج</v>
          </cell>
          <cell r="K310" t="str">
            <v>عامل</v>
          </cell>
          <cell r="L310" t="str">
            <v>عامل</v>
          </cell>
          <cell r="M310">
            <v>41461</v>
          </cell>
          <cell r="O310" t="e">
            <v>#NUM!</v>
          </cell>
          <cell r="P310" t="e">
            <v>#NUM!</v>
          </cell>
          <cell r="R310" t="e">
            <v>#NUM!</v>
          </cell>
          <cell r="T310" t="str">
            <v>إستقال</v>
          </cell>
          <cell r="Z310">
            <v>34530</v>
          </cell>
          <cell r="AI310" t="str">
            <v>ميلاد بالخارج</v>
          </cell>
          <cell r="AJ310" t="str">
            <v>16</v>
          </cell>
          <cell r="AK310">
            <v>6</v>
          </cell>
          <cell r="AL310">
            <v>1</v>
          </cell>
          <cell r="AS310">
            <v>43500</v>
          </cell>
          <cell r="AT310">
            <v>24</v>
          </cell>
          <cell r="AU310" t="str">
            <v>بطاقه قوميه</v>
          </cell>
          <cell r="AV310" t="str">
            <v>000521901</v>
          </cell>
          <cell r="AW310">
            <v>1</v>
          </cell>
          <cell r="AX310">
            <v>0</v>
          </cell>
          <cell r="AY310">
            <v>9</v>
          </cell>
          <cell r="AZ310">
            <v>1</v>
          </cell>
          <cell r="BA310">
            <v>2</v>
          </cell>
          <cell r="BB310">
            <v>5</v>
          </cell>
          <cell r="BC310">
            <v>0</v>
          </cell>
          <cell r="BD310">
            <v>0</v>
          </cell>
          <cell r="BE310" t="str">
            <v>112-6923613-0</v>
          </cell>
          <cell r="BF310" t="str">
            <v>نفيسه الناير احمد</v>
          </cell>
          <cell r="BH310" t="str">
            <v>الكلاكله - ابو ادم - م 6</v>
          </cell>
          <cell r="BI310" t="str">
            <v>0969087590</v>
          </cell>
          <cell r="BJ310" t="str">
            <v>محمد الياس حسين</v>
          </cell>
          <cell r="BN310">
            <v>43500</v>
          </cell>
          <cell r="EQ310">
            <v>0</v>
          </cell>
          <cell r="FG310" t="str">
            <v xml:space="preserve"> مدير الانتاج</v>
          </cell>
          <cell r="FH310" t="str">
            <v>هشام عيسى محمد عبدالكريم</v>
          </cell>
          <cell r="FI310" t="str">
            <v>112-6923613-0</v>
          </cell>
        </row>
        <row r="311">
          <cell r="A311">
            <v>543</v>
          </cell>
          <cell r="B311" t="str">
            <v>ادريس ابراهيم صالح الامين</v>
          </cell>
          <cell r="G311" t="str">
            <v>المصنع</v>
          </cell>
          <cell r="H311" t="str">
            <v>الانتاج</v>
          </cell>
          <cell r="L311" t="str">
            <v>عامل</v>
          </cell>
          <cell r="O311">
            <v>0</v>
          </cell>
          <cell r="P311">
            <v>0</v>
          </cell>
          <cell r="R311">
            <v>0</v>
          </cell>
          <cell r="T311" t="str">
            <v>إستقال</v>
          </cell>
          <cell r="U311">
            <v>41858</v>
          </cell>
          <cell r="AS311">
            <v>43500</v>
          </cell>
          <cell r="AT311">
            <v>119</v>
          </cell>
          <cell r="BN311">
            <v>43500</v>
          </cell>
          <cell r="EQ311">
            <v>0</v>
          </cell>
          <cell r="FG311" t="str">
            <v xml:space="preserve"> مدير الانتاج</v>
          </cell>
          <cell r="FH311" t="str">
            <v>هشام عيسى محمد عبدالكريم</v>
          </cell>
          <cell r="FI311">
            <v>0</v>
          </cell>
        </row>
        <row r="312">
          <cell r="A312">
            <v>544</v>
          </cell>
          <cell r="B312" t="str">
            <v>شمس الدين احمد عبدالله محمد</v>
          </cell>
          <cell r="G312" t="str">
            <v>المصنع</v>
          </cell>
          <cell r="H312" t="str">
            <v>الانتاج</v>
          </cell>
          <cell r="L312" t="str">
            <v>مشغل زاويه</v>
          </cell>
          <cell r="M312">
            <v>41469</v>
          </cell>
          <cell r="O312" t="e">
            <v>#NUM!</v>
          </cell>
          <cell r="P312" t="e">
            <v>#NUM!</v>
          </cell>
          <cell r="R312" t="e">
            <v>#NUM!</v>
          </cell>
          <cell r="T312" t="str">
            <v>m</v>
          </cell>
          <cell r="Z312">
            <v>28152</v>
          </cell>
          <cell r="AI312" t="str">
            <v>ميلاد</v>
          </cell>
          <cell r="AJ312" t="str">
            <v>291257</v>
          </cell>
          <cell r="AK312">
            <v>7</v>
          </cell>
          <cell r="AL312">
            <v>5</v>
          </cell>
          <cell r="AM312">
            <v>2</v>
          </cell>
          <cell r="AN312">
            <v>1</v>
          </cell>
          <cell r="AO312">
            <v>9</v>
          </cell>
          <cell r="AP312">
            <v>2</v>
          </cell>
          <cell r="AS312">
            <v>43500</v>
          </cell>
          <cell r="AT312">
            <v>42</v>
          </cell>
          <cell r="AU312" t="str">
            <v>جنسيه</v>
          </cell>
          <cell r="AV312" t="str">
            <v>0269665</v>
          </cell>
          <cell r="AW312">
            <v>5</v>
          </cell>
          <cell r="AX312">
            <v>6</v>
          </cell>
          <cell r="AY312">
            <v>6</v>
          </cell>
          <cell r="AZ312">
            <v>9</v>
          </cell>
          <cell r="BA312">
            <v>6</v>
          </cell>
          <cell r="BB312">
            <v>2</v>
          </cell>
          <cell r="BC312">
            <v>0</v>
          </cell>
          <cell r="BF312" t="str">
            <v>رقيه عبدالله الطهر</v>
          </cell>
          <cell r="BI312" t="str">
            <v>0923046755</v>
          </cell>
          <cell r="BN312">
            <v>43500</v>
          </cell>
          <cell r="CQ312" t="str">
            <v>الموردة للعبوات البلاستيكية المتطورة</v>
          </cell>
          <cell r="CR312" t="str">
            <v>حداد</v>
          </cell>
          <cell r="CS312">
            <v>38322</v>
          </cell>
          <cell r="CT312">
            <v>38441</v>
          </cell>
          <cell r="EQ312">
            <v>0</v>
          </cell>
          <cell r="FG312" t="str">
            <v xml:space="preserve"> مدير الانتاج</v>
          </cell>
          <cell r="FH312" t="str">
            <v>هشام عيسى محمد عبدالكريم</v>
          </cell>
          <cell r="FI312">
            <v>0</v>
          </cell>
        </row>
        <row r="313">
          <cell r="A313">
            <v>545</v>
          </cell>
          <cell r="B313" t="str">
            <v>عاطف محمود عمر محمود</v>
          </cell>
          <cell r="C313" t="str">
            <v>عاطف</v>
          </cell>
          <cell r="D313" t="str">
            <v>محمود</v>
          </cell>
          <cell r="E313" t="str">
            <v>عمر</v>
          </cell>
          <cell r="F313" t="str">
            <v>محمود</v>
          </cell>
          <cell r="G313" t="str">
            <v>المصنع</v>
          </cell>
          <cell r="H313" t="str">
            <v>الانتاج</v>
          </cell>
          <cell r="I313" t="str">
            <v>الزوايا</v>
          </cell>
          <cell r="K313" t="str">
            <v>عامل</v>
          </cell>
          <cell r="L313" t="str">
            <v>عامل</v>
          </cell>
          <cell r="M313">
            <v>41472</v>
          </cell>
          <cell r="N313">
            <v>43500</v>
          </cell>
          <cell r="O313">
            <v>5</v>
          </cell>
          <cell r="P313">
            <v>6</v>
          </cell>
          <cell r="R313">
            <v>165</v>
          </cell>
          <cell r="Z313">
            <v>23012</v>
          </cell>
          <cell r="AG313">
            <v>9</v>
          </cell>
          <cell r="AH313">
            <v>1</v>
          </cell>
          <cell r="AI313" t="str">
            <v>تسنين</v>
          </cell>
          <cell r="AJ313" t="str">
            <v>2504686</v>
          </cell>
          <cell r="AK313">
            <v>6</v>
          </cell>
          <cell r="AL313">
            <v>8</v>
          </cell>
          <cell r="AM313">
            <v>6</v>
          </cell>
          <cell r="AN313">
            <v>4</v>
          </cell>
          <cell r="AO313">
            <v>0</v>
          </cell>
          <cell r="AP313">
            <v>5</v>
          </cell>
          <cell r="AQ313">
            <v>2</v>
          </cell>
          <cell r="AS313">
            <v>43500</v>
          </cell>
          <cell r="AT313">
            <v>56</v>
          </cell>
          <cell r="AU313" t="str">
            <v>جنسيه</v>
          </cell>
          <cell r="AV313" t="str">
            <v>566969</v>
          </cell>
          <cell r="AW313">
            <v>9</v>
          </cell>
          <cell r="AX313">
            <v>6</v>
          </cell>
          <cell r="AY313">
            <v>9</v>
          </cell>
          <cell r="AZ313">
            <v>6</v>
          </cell>
          <cell r="BA313">
            <v>6</v>
          </cell>
          <cell r="BB313">
            <v>5</v>
          </cell>
          <cell r="BE313" t="str">
            <v>204-3883759-6</v>
          </cell>
          <cell r="BF313" t="str">
            <v>دار السلام الوسيله محمود</v>
          </cell>
          <cell r="BG313" t="str">
            <v>الجزيره</v>
          </cell>
          <cell r="BH313" t="str">
            <v>الجزيره - النوبه</v>
          </cell>
          <cell r="BI313" t="str">
            <v>0124737727</v>
          </cell>
          <cell r="BJ313" t="str">
            <v>الهادى محى الدين</v>
          </cell>
          <cell r="BK313" t="str">
            <v>0916196575</v>
          </cell>
          <cell r="BL313" t="str">
            <v>خالي الطرف</v>
          </cell>
          <cell r="BN313">
            <v>43500</v>
          </cell>
          <cell r="EQ313">
            <v>0</v>
          </cell>
          <cell r="ER313">
            <v>71</v>
          </cell>
          <cell r="FG313" t="str">
            <v xml:space="preserve"> مدير الانتاج</v>
          </cell>
          <cell r="FH313" t="str">
            <v>هشام عيسى محمد عبدالكريم</v>
          </cell>
          <cell r="FI313" t="str">
            <v>204-3883759-6</v>
          </cell>
        </row>
        <row r="314">
          <cell r="A314">
            <v>546</v>
          </cell>
          <cell r="B314" t="str">
            <v>مهند عبد الهادى مصطفى حسن</v>
          </cell>
          <cell r="G314" t="str">
            <v>المصنع</v>
          </cell>
          <cell r="H314" t="str">
            <v>الانتاج</v>
          </cell>
          <cell r="L314" t="str">
            <v>مشرف</v>
          </cell>
          <cell r="M314">
            <v>41531</v>
          </cell>
          <cell r="O314" t="e">
            <v>#NUM!</v>
          </cell>
          <cell r="P314" t="e">
            <v>#NUM!</v>
          </cell>
          <cell r="R314" t="e">
            <v>#NUM!</v>
          </cell>
          <cell r="T314" t="str">
            <v>m</v>
          </cell>
          <cell r="AS314">
            <v>43500</v>
          </cell>
          <cell r="AT314">
            <v>119</v>
          </cell>
          <cell r="BH314" t="str">
            <v>الخرطوم - الازهرى</v>
          </cell>
          <cell r="BN314">
            <v>43500</v>
          </cell>
          <cell r="EQ314">
            <v>0</v>
          </cell>
          <cell r="ES314">
            <v>41531</v>
          </cell>
          <cell r="ET314">
            <v>41895</v>
          </cell>
          <cell r="EU314" t="str">
            <v>مشرف</v>
          </cell>
          <cell r="FG314" t="str">
            <v xml:space="preserve"> مدير الانتاج</v>
          </cell>
          <cell r="FH314" t="str">
            <v>هشام عيسى محمد عبدالكريم</v>
          </cell>
          <cell r="FI314">
            <v>0</v>
          </cell>
        </row>
        <row r="315">
          <cell r="A315">
            <v>550</v>
          </cell>
          <cell r="B315" t="str">
            <v>محمد الحسن ابراهيم عبد الله</v>
          </cell>
          <cell r="G315" t="str">
            <v>المصنع</v>
          </cell>
          <cell r="H315" t="str">
            <v>الانتاج</v>
          </cell>
          <cell r="L315" t="str">
            <v>عامل</v>
          </cell>
          <cell r="M315">
            <v>41770</v>
          </cell>
          <cell r="O315" t="e">
            <v>#NUM!</v>
          </cell>
          <cell r="P315" t="e">
            <v>#NUM!</v>
          </cell>
          <cell r="R315" t="e">
            <v>#NUM!</v>
          </cell>
          <cell r="T315" t="str">
            <v>m</v>
          </cell>
          <cell r="X315">
            <v>41518</v>
          </cell>
          <cell r="AS315">
            <v>43500</v>
          </cell>
          <cell r="AT315">
            <v>119</v>
          </cell>
          <cell r="BH315" t="str">
            <v>الجزيرة - ودلميد</v>
          </cell>
          <cell r="BN315">
            <v>43500</v>
          </cell>
          <cell r="EQ315">
            <v>0</v>
          </cell>
          <cell r="ES315">
            <v>41770</v>
          </cell>
          <cell r="ET315">
            <v>42134</v>
          </cell>
          <cell r="EU315" t="str">
            <v>عامل</v>
          </cell>
          <cell r="FB315">
            <v>41518</v>
          </cell>
          <cell r="FG315" t="str">
            <v xml:space="preserve"> مدير الانتاج</v>
          </cell>
          <cell r="FH315" t="str">
            <v>هشام عيسى محمد عبدالكريم</v>
          </cell>
          <cell r="FI315">
            <v>0</v>
          </cell>
        </row>
        <row r="316">
          <cell r="A316">
            <v>551</v>
          </cell>
          <cell r="B316" t="str">
            <v>طارق حسن احمد عمر</v>
          </cell>
          <cell r="G316" t="str">
            <v>المصنع</v>
          </cell>
          <cell r="H316" t="str">
            <v>الانتاج</v>
          </cell>
          <cell r="L316" t="str">
            <v>عامل</v>
          </cell>
          <cell r="M316">
            <v>41518</v>
          </cell>
          <cell r="O316" t="e">
            <v>#NUM!</v>
          </cell>
          <cell r="P316" t="e">
            <v>#NUM!</v>
          </cell>
          <cell r="R316" t="e">
            <v>#NUM!</v>
          </cell>
          <cell r="T316" t="str">
            <v>m</v>
          </cell>
          <cell r="AS316">
            <v>43500</v>
          </cell>
          <cell r="AT316">
            <v>119</v>
          </cell>
          <cell r="BH316" t="str">
            <v>الخرطوم - العشرة</v>
          </cell>
          <cell r="BN316">
            <v>43500</v>
          </cell>
          <cell r="EQ316">
            <v>0</v>
          </cell>
          <cell r="ES316">
            <v>41518</v>
          </cell>
          <cell r="ET316">
            <v>41882</v>
          </cell>
          <cell r="EU316" t="str">
            <v>عامل</v>
          </cell>
          <cell r="FG316" t="str">
            <v xml:space="preserve"> مدير الانتاج</v>
          </cell>
          <cell r="FH316" t="str">
            <v>هشام عيسى محمد عبدالكريم</v>
          </cell>
          <cell r="FI316">
            <v>0</v>
          </cell>
        </row>
        <row r="317">
          <cell r="A317">
            <v>552</v>
          </cell>
          <cell r="B317" t="str">
            <v>اسماعيل عبد الله اسماعيل</v>
          </cell>
          <cell r="G317" t="str">
            <v>المصنع</v>
          </cell>
          <cell r="H317" t="str">
            <v>الانتاج</v>
          </cell>
          <cell r="L317" t="str">
            <v>عامل</v>
          </cell>
          <cell r="M317">
            <v>41519</v>
          </cell>
          <cell r="O317" t="e">
            <v>#NUM!</v>
          </cell>
          <cell r="P317" t="e">
            <v>#NUM!</v>
          </cell>
          <cell r="R317" t="e">
            <v>#NUM!</v>
          </cell>
          <cell r="T317" t="str">
            <v>m</v>
          </cell>
          <cell r="AS317">
            <v>43500</v>
          </cell>
          <cell r="AT317">
            <v>119</v>
          </cell>
          <cell r="BH317" t="str">
            <v>بترى</v>
          </cell>
          <cell r="BN317">
            <v>43500</v>
          </cell>
          <cell r="EQ317">
            <v>0</v>
          </cell>
          <cell r="ES317">
            <v>41519</v>
          </cell>
          <cell r="ET317">
            <v>41883</v>
          </cell>
          <cell r="EU317" t="str">
            <v>عامل</v>
          </cell>
          <cell r="FG317" t="str">
            <v xml:space="preserve"> مدير الانتاج</v>
          </cell>
          <cell r="FH317" t="str">
            <v>هشام عيسى محمد عبدالكريم</v>
          </cell>
          <cell r="FI317">
            <v>0</v>
          </cell>
        </row>
        <row r="318">
          <cell r="A318">
            <v>557</v>
          </cell>
          <cell r="B318" t="str">
            <v>ياسر ناصر احمد ناصر</v>
          </cell>
          <cell r="G318" t="str">
            <v>المصنع</v>
          </cell>
          <cell r="H318" t="str">
            <v>الانتاج</v>
          </cell>
          <cell r="L318" t="str">
            <v>عامل</v>
          </cell>
          <cell r="M318">
            <v>41519</v>
          </cell>
          <cell r="O318" t="e">
            <v>#NUM!</v>
          </cell>
          <cell r="P318" t="e">
            <v>#NUM!</v>
          </cell>
          <cell r="R318" t="e">
            <v>#NUM!</v>
          </cell>
          <cell r="T318" t="str">
            <v>m</v>
          </cell>
          <cell r="AS318">
            <v>43500</v>
          </cell>
          <cell r="AT318">
            <v>119</v>
          </cell>
          <cell r="BH318" t="str">
            <v>بحرى - شمبات</v>
          </cell>
          <cell r="BN318">
            <v>43500</v>
          </cell>
          <cell r="EQ318">
            <v>0</v>
          </cell>
          <cell r="ES318">
            <v>41519</v>
          </cell>
          <cell r="ET318">
            <v>41883</v>
          </cell>
          <cell r="EU318" t="str">
            <v>عامل</v>
          </cell>
          <cell r="FG318" t="str">
            <v xml:space="preserve"> مدير الانتاج</v>
          </cell>
          <cell r="FH318" t="str">
            <v>هشام عيسى محمد عبدالكريم</v>
          </cell>
          <cell r="FI318">
            <v>0</v>
          </cell>
        </row>
        <row r="319">
          <cell r="A319">
            <v>558</v>
          </cell>
          <cell r="B319" t="str">
            <v>جمعة عيسى توتو حمدى</v>
          </cell>
          <cell r="G319" t="str">
            <v>المصنع</v>
          </cell>
          <cell r="H319" t="str">
            <v>الانتاج</v>
          </cell>
          <cell r="L319" t="str">
            <v>عامل</v>
          </cell>
          <cell r="M319">
            <v>41519</v>
          </cell>
          <cell r="O319" t="e">
            <v>#NUM!</v>
          </cell>
          <cell r="P319" t="e">
            <v>#NUM!</v>
          </cell>
          <cell r="R319" t="e">
            <v>#NUM!</v>
          </cell>
          <cell r="T319" t="str">
            <v>m</v>
          </cell>
          <cell r="AS319">
            <v>43500</v>
          </cell>
          <cell r="AT319">
            <v>119</v>
          </cell>
          <cell r="BH319" t="str">
            <v>بحرى - شمبات</v>
          </cell>
          <cell r="BN319">
            <v>43500</v>
          </cell>
          <cell r="EQ319">
            <v>0</v>
          </cell>
          <cell r="ES319">
            <v>41519</v>
          </cell>
          <cell r="ET319">
            <v>41883</v>
          </cell>
          <cell r="EU319" t="str">
            <v>عامل</v>
          </cell>
          <cell r="FG319" t="str">
            <v xml:space="preserve"> مدير الانتاج</v>
          </cell>
          <cell r="FH319" t="str">
            <v>هشام عيسى محمد عبدالكريم</v>
          </cell>
          <cell r="FI319">
            <v>0</v>
          </cell>
        </row>
        <row r="320">
          <cell r="A320">
            <v>563</v>
          </cell>
          <cell r="B320" t="str">
            <v>طارق عبد الوهاب الحبر موسى</v>
          </cell>
          <cell r="G320" t="str">
            <v>المصنع</v>
          </cell>
          <cell r="H320" t="str">
            <v>الانتاج</v>
          </cell>
          <cell r="L320" t="str">
            <v>مهندس انتاج</v>
          </cell>
          <cell r="M320">
            <v>42127</v>
          </cell>
          <cell r="O320" t="e">
            <v>#NUM!</v>
          </cell>
          <cell r="P320" t="e">
            <v>#NUM!</v>
          </cell>
          <cell r="R320" t="e">
            <v>#NUM!</v>
          </cell>
          <cell r="T320" t="str">
            <v>m</v>
          </cell>
          <cell r="X320">
            <v>41522</v>
          </cell>
          <cell r="AS320">
            <v>43500</v>
          </cell>
          <cell r="AT320">
            <v>119</v>
          </cell>
          <cell r="BN320">
            <v>43500</v>
          </cell>
          <cell r="EQ320">
            <v>0</v>
          </cell>
          <cell r="ES320">
            <v>41522</v>
          </cell>
          <cell r="ET320">
            <v>41886</v>
          </cell>
          <cell r="EU320" t="str">
            <v>مهندس انتاج</v>
          </cell>
          <cell r="FB320">
            <v>41522</v>
          </cell>
          <cell r="FG320" t="str">
            <v xml:space="preserve"> مدير الانتاج</v>
          </cell>
          <cell r="FH320" t="str">
            <v>هشام عيسى محمد عبدالكريم</v>
          </cell>
          <cell r="FI320">
            <v>0</v>
          </cell>
        </row>
        <row r="321">
          <cell r="A321">
            <v>564</v>
          </cell>
          <cell r="B321" t="str">
            <v>ياسر وداعه الله سعيد قسم الله</v>
          </cell>
          <cell r="C321" t="str">
            <v>ياسر</v>
          </cell>
          <cell r="D321" t="str">
            <v>وداعه الله</v>
          </cell>
          <cell r="E321" t="str">
            <v>سعيد</v>
          </cell>
          <cell r="F321" t="str">
            <v>قسم الله</v>
          </cell>
          <cell r="G321" t="str">
            <v>المصنع</v>
          </cell>
          <cell r="H321" t="str">
            <v>المستودعات</v>
          </cell>
          <cell r="I321" t="str">
            <v>التحميل</v>
          </cell>
          <cell r="K321" t="str">
            <v>عامل</v>
          </cell>
          <cell r="L321" t="str">
            <v>عامل</v>
          </cell>
          <cell r="M321">
            <v>41522</v>
          </cell>
          <cell r="N321">
            <v>43500</v>
          </cell>
          <cell r="O321">
            <v>5</v>
          </cell>
          <cell r="P321">
            <v>4</v>
          </cell>
          <cell r="R321">
            <v>160</v>
          </cell>
          <cell r="Z321">
            <v>27030</v>
          </cell>
          <cell r="AG321">
            <v>9</v>
          </cell>
          <cell r="AH321">
            <v>1</v>
          </cell>
          <cell r="AI321" t="str">
            <v>تسنين</v>
          </cell>
          <cell r="AJ321" t="str">
            <v>125180</v>
          </cell>
          <cell r="AK321">
            <v>0</v>
          </cell>
          <cell r="AL321">
            <v>8</v>
          </cell>
          <cell r="AM321">
            <v>1</v>
          </cell>
          <cell r="AN321">
            <v>5</v>
          </cell>
          <cell r="AO321">
            <v>2</v>
          </cell>
          <cell r="AP321">
            <v>1</v>
          </cell>
          <cell r="AS321">
            <v>43500</v>
          </cell>
          <cell r="AT321">
            <v>45</v>
          </cell>
          <cell r="AU321" t="str">
            <v>بطاقه قوميه</v>
          </cell>
          <cell r="AV321" t="str">
            <v>005665681</v>
          </cell>
          <cell r="AW321">
            <v>1</v>
          </cell>
          <cell r="AX321">
            <v>8</v>
          </cell>
          <cell r="AY321">
            <v>6</v>
          </cell>
          <cell r="AZ321">
            <v>5</v>
          </cell>
          <cell r="BA321">
            <v>6</v>
          </cell>
          <cell r="BB321">
            <v>6</v>
          </cell>
          <cell r="BC321">
            <v>5</v>
          </cell>
          <cell r="BD321">
            <v>0</v>
          </cell>
          <cell r="BE321" t="str">
            <v>120-5802820-2</v>
          </cell>
          <cell r="BF321" t="str">
            <v>مريم محمد خير</v>
          </cell>
          <cell r="BG321" t="str">
            <v>الكلاكله</v>
          </cell>
          <cell r="BH321" t="str">
            <v>ام عشر</v>
          </cell>
          <cell r="BI321" t="str">
            <v>0122559445</v>
          </cell>
          <cell r="BJ321" t="str">
            <v>بدر الدين وداعه الله</v>
          </cell>
          <cell r="BK321" t="str">
            <v>0912356145</v>
          </cell>
          <cell r="BL321" t="str">
            <v>خالي الطرف</v>
          </cell>
          <cell r="BN321">
            <v>43500</v>
          </cell>
          <cell r="BW321" t="str">
            <v>برادة الصيانة</v>
          </cell>
          <cell r="BX321" t="str">
            <v>تدريب مهني</v>
          </cell>
          <cell r="BZ321">
            <v>35998</v>
          </cell>
          <cell r="CQ321" t="str">
            <v>شركة سك النقود السودانية المحدودة</v>
          </cell>
          <cell r="CR321" t="str">
            <v>متدرب</v>
          </cell>
          <cell r="CS321">
            <v>35309</v>
          </cell>
          <cell r="CT321">
            <v>35581</v>
          </cell>
          <cell r="EP321">
            <v>30</v>
          </cell>
          <cell r="EQ321">
            <v>30</v>
          </cell>
          <cell r="ER321">
            <v>50</v>
          </cell>
          <cell r="ES321">
            <v>41522</v>
          </cell>
          <cell r="ET321">
            <v>41886</v>
          </cell>
          <cell r="EU321" t="str">
            <v>عامل</v>
          </cell>
          <cell r="FG321" t="str">
            <v>مدير المستودعات</v>
          </cell>
          <cell r="FH321" t="str">
            <v>على احمد على بابكر</v>
          </cell>
          <cell r="FI321" t="str">
            <v>120-5802820-2</v>
          </cell>
        </row>
        <row r="322">
          <cell r="A322">
            <v>566</v>
          </cell>
          <cell r="B322" t="str">
            <v>احمد البدرى الاول</v>
          </cell>
          <cell r="C322" t="str">
            <v>احمد</v>
          </cell>
          <cell r="D322" t="str">
            <v>البدرى</v>
          </cell>
          <cell r="E322" t="str">
            <v>الاول</v>
          </cell>
          <cell r="G322" t="str">
            <v>المصنع</v>
          </cell>
          <cell r="H322" t="str">
            <v>الانتاج</v>
          </cell>
          <cell r="I322" t="str">
            <v>خوص</v>
          </cell>
          <cell r="L322" t="str">
            <v>مشغل</v>
          </cell>
          <cell r="M322">
            <v>41521</v>
          </cell>
          <cell r="N322">
            <v>42803</v>
          </cell>
          <cell r="O322">
            <v>3</v>
          </cell>
          <cell r="P322">
            <v>6</v>
          </cell>
          <cell r="R322">
            <v>105</v>
          </cell>
          <cell r="T322" t="str">
            <v>إستقال</v>
          </cell>
          <cell r="U322">
            <v>42803</v>
          </cell>
          <cell r="V322">
            <v>42803</v>
          </cell>
          <cell r="Z322">
            <v>32509</v>
          </cell>
          <cell r="AG322">
            <v>9</v>
          </cell>
          <cell r="AH322">
            <v>1</v>
          </cell>
          <cell r="AI322" t="str">
            <v>تسنين</v>
          </cell>
          <cell r="AJ322" t="str">
            <v>285706</v>
          </cell>
          <cell r="AK322">
            <v>6</v>
          </cell>
          <cell r="AL322">
            <v>0</v>
          </cell>
          <cell r="AM322">
            <v>7</v>
          </cell>
          <cell r="AN322">
            <v>5</v>
          </cell>
          <cell r="AO322">
            <v>8</v>
          </cell>
          <cell r="AP322">
            <v>2</v>
          </cell>
          <cell r="AS322">
            <v>43500</v>
          </cell>
          <cell r="AT322">
            <v>30</v>
          </cell>
          <cell r="AU322" t="str">
            <v>بطاقه قوميه</v>
          </cell>
          <cell r="AV322" t="str">
            <v>000225556</v>
          </cell>
          <cell r="AW322">
            <v>6</v>
          </cell>
          <cell r="AX322">
            <v>5</v>
          </cell>
          <cell r="AY322">
            <v>5</v>
          </cell>
          <cell r="AZ322">
            <v>5</v>
          </cell>
          <cell r="BA322">
            <v>2</v>
          </cell>
          <cell r="BB322">
            <v>2</v>
          </cell>
          <cell r="BC322">
            <v>0</v>
          </cell>
          <cell r="BD322">
            <v>0</v>
          </cell>
          <cell r="BE322" t="str">
            <v>114-3092822-9</v>
          </cell>
          <cell r="BF322" t="str">
            <v>ماهله فضل المولى خليل</v>
          </cell>
          <cell r="BG322" t="str">
            <v>العربى</v>
          </cell>
          <cell r="BH322" t="str">
            <v>بترى</v>
          </cell>
          <cell r="BI322" t="str">
            <v>0918772994</v>
          </cell>
          <cell r="BJ322" t="str">
            <v>النور عوض</v>
          </cell>
          <cell r="BL322" t="str">
            <v>خالي الطرف</v>
          </cell>
          <cell r="BN322">
            <v>43500</v>
          </cell>
          <cell r="BT322" t="str">
            <v>شهاده ثانويه</v>
          </cell>
          <cell r="BV322">
            <v>39873</v>
          </cell>
          <cell r="CQ322" t="str">
            <v>مينا للصناعات الحديدية</v>
          </cell>
          <cell r="CR322" t="str">
            <v>مكنة الخوص</v>
          </cell>
          <cell r="CS322">
            <v>40118</v>
          </cell>
          <cell r="CT322">
            <v>36903</v>
          </cell>
          <cell r="EQ322">
            <v>0</v>
          </cell>
          <cell r="ES322">
            <v>41521</v>
          </cell>
          <cell r="ET322">
            <v>41885</v>
          </cell>
          <cell r="EU322" t="str">
            <v>مشغل</v>
          </cell>
          <cell r="FG322" t="str">
            <v xml:space="preserve"> مدير الانتاج</v>
          </cell>
          <cell r="FH322" t="str">
            <v>هشام عيسى محمد عبدالكريم</v>
          </cell>
          <cell r="FI322" t="str">
            <v>114-3092822-9</v>
          </cell>
        </row>
        <row r="323">
          <cell r="A323">
            <v>567</v>
          </cell>
          <cell r="B323" t="str">
            <v>محمد فاروق ابراهيم خوجلى</v>
          </cell>
          <cell r="C323" t="str">
            <v>محمد</v>
          </cell>
          <cell r="D323" t="str">
            <v>فاروق</v>
          </cell>
          <cell r="E323" t="str">
            <v>ابراهيم</v>
          </cell>
          <cell r="F323" t="str">
            <v>خوجلى</v>
          </cell>
          <cell r="G323" t="str">
            <v>المصنع</v>
          </cell>
          <cell r="H323" t="str">
            <v>الموارد البشريه</v>
          </cell>
          <cell r="I323" t="str">
            <v>موظف</v>
          </cell>
          <cell r="L323" t="str">
            <v>موظف موارد بشريه</v>
          </cell>
          <cell r="M323">
            <v>41526</v>
          </cell>
          <cell r="N323">
            <v>43500</v>
          </cell>
          <cell r="O323">
            <v>5</v>
          </cell>
          <cell r="P323">
            <v>4</v>
          </cell>
          <cell r="R323">
            <v>160</v>
          </cell>
          <cell r="T323" t="str">
            <v>إستقال</v>
          </cell>
          <cell r="Z323">
            <v>30061</v>
          </cell>
          <cell r="AG323">
            <v>9</v>
          </cell>
          <cell r="AH323">
            <v>1</v>
          </cell>
          <cell r="AI323" t="str">
            <v>ميلاد</v>
          </cell>
          <cell r="AJ323" t="str">
            <v>677825</v>
          </cell>
          <cell r="AK323">
            <v>5</v>
          </cell>
          <cell r="AL323">
            <v>2</v>
          </cell>
          <cell r="AM323">
            <v>8</v>
          </cell>
          <cell r="AN323">
            <v>7</v>
          </cell>
          <cell r="AO323">
            <v>7</v>
          </cell>
          <cell r="AP323">
            <v>6</v>
          </cell>
          <cell r="AS323">
            <v>43500</v>
          </cell>
          <cell r="AT323">
            <v>36</v>
          </cell>
          <cell r="AU323" t="str">
            <v>بطاقه قوميه</v>
          </cell>
          <cell r="AV323" t="str">
            <v>001871409</v>
          </cell>
          <cell r="AW323">
            <v>9</v>
          </cell>
          <cell r="AX323">
            <v>0</v>
          </cell>
          <cell r="AY323">
            <v>4</v>
          </cell>
          <cell r="AZ323">
            <v>1</v>
          </cell>
          <cell r="BA323">
            <v>7</v>
          </cell>
          <cell r="BB323">
            <v>8</v>
          </cell>
          <cell r="BC323">
            <v>1</v>
          </cell>
          <cell r="BD323">
            <v>0</v>
          </cell>
          <cell r="BE323" t="str">
            <v>119-8747226-0</v>
          </cell>
          <cell r="BF323" t="str">
            <v>زينب عثمان غالب</v>
          </cell>
          <cell r="BG323" t="str">
            <v>بحرى</v>
          </cell>
          <cell r="BH323" t="str">
            <v>امدرمان - ودنوباوي</v>
          </cell>
          <cell r="BI323" t="str">
            <v>0922758091</v>
          </cell>
          <cell r="BL323" t="str">
            <v>خالي الطرف</v>
          </cell>
          <cell r="BN323">
            <v>43500</v>
          </cell>
          <cell r="BS323" t="str">
            <v>محاسبة</v>
          </cell>
          <cell r="BT323" t="str">
            <v>بكلاريوس</v>
          </cell>
          <cell r="BU323" t="str">
            <v>جامعة امدرمان الاسلامية</v>
          </cell>
          <cell r="BV323">
            <v>38857</v>
          </cell>
          <cell r="CQ323" t="str">
            <v>شركة جيب الله المحدودة</v>
          </cell>
          <cell r="CR323" t="str">
            <v>محاسب</v>
          </cell>
          <cell r="CS323">
            <v>39184</v>
          </cell>
          <cell r="CT323">
            <v>39580</v>
          </cell>
          <cell r="CV323" t="str">
            <v>مصرف المزارع التجارى</v>
          </cell>
          <cell r="CW323" t="str">
            <v>متدرب</v>
          </cell>
          <cell r="CX323">
            <v>39583</v>
          </cell>
          <cell r="CY323">
            <v>39614</v>
          </cell>
          <cell r="EQ323">
            <v>0</v>
          </cell>
          <cell r="ER323">
            <v>23</v>
          </cell>
          <cell r="ES323">
            <v>41526</v>
          </cell>
          <cell r="ET323">
            <v>41890</v>
          </cell>
          <cell r="EU323" t="str">
            <v>موظف موارد بشريه</v>
          </cell>
          <cell r="FG323" t="str">
            <v>نائب مدير الموارد المكلف</v>
          </cell>
          <cell r="FH323" t="str">
            <v>محمد على عبدالرحيم ابوبكر</v>
          </cell>
          <cell r="FI323" t="str">
            <v>119-8747226-0</v>
          </cell>
        </row>
        <row r="324">
          <cell r="A324">
            <v>568</v>
          </cell>
          <cell r="B324" t="str">
            <v>حيدر ادريس عبدالحفيظ</v>
          </cell>
          <cell r="G324" t="str">
            <v>المصنع</v>
          </cell>
          <cell r="H324" t="str">
            <v>الانتاج</v>
          </cell>
          <cell r="I324" t="str">
            <v>المواسير</v>
          </cell>
          <cell r="L324" t="str">
            <v>كرين</v>
          </cell>
          <cell r="M324">
            <v>41528</v>
          </cell>
          <cell r="N324">
            <v>42680</v>
          </cell>
          <cell r="O324">
            <v>3</v>
          </cell>
          <cell r="P324">
            <v>1</v>
          </cell>
          <cell r="R324">
            <v>92.5</v>
          </cell>
          <cell r="T324" t="str">
            <v>فصل</v>
          </cell>
          <cell r="U324">
            <v>42710</v>
          </cell>
          <cell r="V324">
            <v>42680</v>
          </cell>
          <cell r="Z324">
            <v>24108</v>
          </cell>
          <cell r="AG324">
            <v>9</v>
          </cell>
          <cell r="AH324">
            <v>1</v>
          </cell>
          <cell r="AI324" t="str">
            <v>تسنين</v>
          </cell>
          <cell r="AJ324" t="str">
            <v>0376355</v>
          </cell>
          <cell r="AK324">
            <v>5</v>
          </cell>
          <cell r="AL324">
            <v>5</v>
          </cell>
          <cell r="AM324">
            <v>3</v>
          </cell>
          <cell r="AN324">
            <v>6</v>
          </cell>
          <cell r="AO324">
            <v>7</v>
          </cell>
          <cell r="AP324">
            <v>3</v>
          </cell>
          <cell r="AQ324">
            <v>0</v>
          </cell>
          <cell r="AS324">
            <v>43500</v>
          </cell>
          <cell r="AT324">
            <v>53</v>
          </cell>
          <cell r="AU324" t="str">
            <v>بطاقه شخصيه</v>
          </cell>
          <cell r="AV324" t="str">
            <v>Khrw100426152</v>
          </cell>
          <cell r="AW324">
            <v>2</v>
          </cell>
          <cell r="AX324">
            <v>5</v>
          </cell>
          <cell r="AY324">
            <v>1</v>
          </cell>
          <cell r="AZ324">
            <v>6</v>
          </cell>
          <cell r="BA324">
            <v>2</v>
          </cell>
          <cell r="BB324">
            <v>4</v>
          </cell>
          <cell r="BC324">
            <v>0</v>
          </cell>
          <cell r="BD324">
            <v>0</v>
          </cell>
          <cell r="BE324" t="str">
            <v>119-9468450-9</v>
          </cell>
          <cell r="BF324" t="str">
            <v>مريم محمد خير</v>
          </cell>
          <cell r="BG324" t="str">
            <v>العربى</v>
          </cell>
          <cell r="BH324" t="str">
            <v>سوبا - الحله</v>
          </cell>
          <cell r="BI324" t="str">
            <v>0915404177</v>
          </cell>
          <cell r="BJ324" t="str">
            <v>محمد إدريس</v>
          </cell>
          <cell r="BL324" t="str">
            <v>كبار سن</v>
          </cell>
          <cell r="BN324">
            <v>43500</v>
          </cell>
          <cell r="CQ324" t="str">
            <v>مصنع شواهق للحديد</v>
          </cell>
          <cell r="CR324" t="str">
            <v>عامل</v>
          </cell>
          <cell r="CS324">
            <v>37940</v>
          </cell>
          <cell r="CT324">
            <v>40265</v>
          </cell>
          <cell r="CV324" t="str">
            <v>دراج محمد جمعة</v>
          </cell>
          <cell r="CW324" t="str">
            <v>ميكانيكى</v>
          </cell>
          <cell r="CX324">
            <v>34700</v>
          </cell>
          <cell r="CY324">
            <v>36892</v>
          </cell>
          <cell r="EQ324">
            <v>0</v>
          </cell>
          <cell r="ES324">
            <v>41528</v>
          </cell>
          <cell r="ET324">
            <v>41892</v>
          </cell>
          <cell r="EU324" t="str">
            <v>مشغل كرين</v>
          </cell>
          <cell r="FG324" t="str">
            <v xml:space="preserve"> مدير الانتاج</v>
          </cell>
          <cell r="FH324" t="str">
            <v>هشام عيسى محمد عبدالكريم</v>
          </cell>
          <cell r="FI324" t="str">
            <v>119-9468450-9</v>
          </cell>
        </row>
        <row r="325">
          <cell r="A325">
            <v>570</v>
          </cell>
          <cell r="B325" t="str">
            <v>محمد ادم عبدالعزيز الحاج</v>
          </cell>
          <cell r="C325" t="str">
            <v>محمد</v>
          </cell>
          <cell r="D325" t="str">
            <v>ادم</v>
          </cell>
          <cell r="E325" t="str">
            <v>عبدالعزيز</v>
          </cell>
          <cell r="F325" t="str">
            <v>الحاج</v>
          </cell>
          <cell r="G325" t="str">
            <v>المصنع</v>
          </cell>
          <cell r="H325" t="str">
            <v>الانتاج</v>
          </cell>
          <cell r="I325" t="str">
            <v>كلبسات</v>
          </cell>
          <cell r="K325" t="str">
            <v>عامل</v>
          </cell>
          <cell r="L325" t="str">
            <v>عامل</v>
          </cell>
          <cell r="M325">
            <v>41526</v>
          </cell>
          <cell r="N325">
            <v>43500</v>
          </cell>
          <cell r="O325">
            <v>5</v>
          </cell>
          <cell r="P325">
            <v>4</v>
          </cell>
          <cell r="R325">
            <v>160</v>
          </cell>
          <cell r="Z325">
            <v>21551</v>
          </cell>
          <cell r="AG325">
            <v>9</v>
          </cell>
          <cell r="AH325">
            <v>1</v>
          </cell>
          <cell r="AI325" t="str">
            <v>تسنين</v>
          </cell>
          <cell r="AJ325" t="str">
            <v>549129</v>
          </cell>
          <cell r="AK325">
            <v>9</v>
          </cell>
          <cell r="AL325">
            <v>2</v>
          </cell>
          <cell r="AM325">
            <v>1</v>
          </cell>
          <cell r="AN325">
            <v>9</v>
          </cell>
          <cell r="AO325">
            <v>4</v>
          </cell>
          <cell r="AP325">
            <v>5</v>
          </cell>
          <cell r="AS325">
            <v>43500</v>
          </cell>
          <cell r="AT325">
            <v>60</v>
          </cell>
          <cell r="AU325" t="str">
            <v>جنسيه</v>
          </cell>
          <cell r="AV325" t="str">
            <v>0061243</v>
          </cell>
          <cell r="BF325" t="str">
            <v>حليمه ابكر محمد</v>
          </cell>
          <cell r="BG325" t="str">
            <v>العربى</v>
          </cell>
          <cell r="BH325" t="str">
            <v>سوبا - الحله م ( 8 )</v>
          </cell>
          <cell r="BI325" t="str">
            <v>0914381350</v>
          </cell>
          <cell r="BJ325" t="str">
            <v>موسى إسماعيل</v>
          </cell>
          <cell r="BK325" t="str">
            <v>0995781127</v>
          </cell>
          <cell r="BL325" t="str">
            <v>كبار سن</v>
          </cell>
          <cell r="BN325">
            <v>43500</v>
          </cell>
          <cell r="CQ325" t="str">
            <v>الشركة العربية للانتاج والتصنيع الزراعى</v>
          </cell>
          <cell r="CR325" t="str">
            <v>خفير - عامل</v>
          </cell>
          <cell r="CS325">
            <v>33086</v>
          </cell>
          <cell r="CT325" t="str">
            <v>10/22/200</v>
          </cell>
          <cell r="CV325" t="str">
            <v>البان النيل</v>
          </cell>
          <cell r="CW325" t="str">
            <v>عامل</v>
          </cell>
          <cell r="CX325">
            <v>28491</v>
          </cell>
          <cell r="CY325">
            <v>30218</v>
          </cell>
          <cell r="EQ325">
            <v>0</v>
          </cell>
          <cell r="ER325">
            <v>74</v>
          </cell>
          <cell r="ES325">
            <v>41526</v>
          </cell>
          <cell r="ET325">
            <v>41890</v>
          </cell>
          <cell r="EU325" t="str">
            <v>عامل</v>
          </cell>
          <cell r="FG325" t="str">
            <v xml:space="preserve"> مدير الانتاج</v>
          </cell>
          <cell r="FH325" t="str">
            <v>هشام عيسى محمد عبدالكريم</v>
          </cell>
          <cell r="FI325">
            <v>0</v>
          </cell>
        </row>
        <row r="326">
          <cell r="A326">
            <v>572</v>
          </cell>
          <cell r="B326" t="str">
            <v>محمد الامين ابراهيم الامين</v>
          </cell>
          <cell r="C326" t="str">
            <v xml:space="preserve">محمد </v>
          </cell>
          <cell r="D326" t="str">
            <v>الامينِ</v>
          </cell>
          <cell r="E326" t="str">
            <v>ابراهيم</v>
          </cell>
          <cell r="F326" t="str">
            <v>الامين</v>
          </cell>
          <cell r="G326" t="str">
            <v>المصنع</v>
          </cell>
          <cell r="H326" t="str">
            <v>الجوده</v>
          </cell>
          <cell r="I326" t="str">
            <v>عداد</v>
          </cell>
          <cell r="K326" t="str">
            <v>عامل</v>
          </cell>
          <cell r="L326" t="str">
            <v>مراقب انتاج</v>
          </cell>
          <cell r="M326">
            <v>41531</v>
          </cell>
          <cell r="N326">
            <v>43500</v>
          </cell>
          <cell r="O326">
            <v>5</v>
          </cell>
          <cell r="P326">
            <v>4</v>
          </cell>
          <cell r="R326">
            <v>160</v>
          </cell>
          <cell r="Z326">
            <v>32256</v>
          </cell>
          <cell r="AG326">
            <v>9</v>
          </cell>
          <cell r="AH326">
            <v>1</v>
          </cell>
          <cell r="AI326" t="str">
            <v>ميلاد</v>
          </cell>
          <cell r="AJ326" t="str">
            <v>089118</v>
          </cell>
          <cell r="AK326">
            <v>8</v>
          </cell>
          <cell r="AL326">
            <v>1</v>
          </cell>
          <cell r="AM326">
            <v>1</v>
          </cell>
          <cell r="AN326">
            <v>9</v>
          </cell>
          <cell r="AO326">
            <v>8</v>
          </cell>
          <cell r="AP326">
            <v>0</v>
          </cell>
          <cell r="AS326">
            <v>43500</v>
          </cell>
          <cell r="AT326">
            <v>30</v>
          </cell>
          <cell r="AU326" t="str">
            <v>بطاقه شخصيه</v>
          </cell>
          <cell r="AV326" t="str">
            <v>090210101</v>
          </cell>
          <cell r="BE326" t="str">
            <v>103-0070173-2</v>
          </cell>
          <cell r="BF326" t="str">
            <v>عرفه عثمان الصديق</v>
          </cell>
          <cell r="BG326" t="str">
            <v>الجزيره</v>
          </cell>
          <cell r="BH326" t="str">
            <v>الجزيره - النوبه</v>
          </cell>
          <cell r="BI326" t="str">
            <v>0912372162</v>
          </cell>
          <cell r="BJ326" t="str">
            <v>الامين إبراهيم</v>
          </cell>
          <cell r="BK326" t="str">
            <v>0912617647</v>
          </cell>
          <cell r="BL326" t="str">
            <v>خالي الطرف</v>
          </cell>
          <cell r="BN326">
            <v>43500</v>
          </cell>
          <cell r="EQ326">
            <v>0</v>
          </cell>
          <cell r="ES326">
            <v>41531</v>
          </cell>
          <cell r="ET326">
            <v>41895</v>
          </cell>
          <cell r="EU326" t="str">
            <v>عامل</v>
          </cell>
          <cell r="FG326" t="str">
            <v>مسئول قسم الجوده</v>
          </cell>
          <cell r="FH326" t="str">
            <v>المبارك محمد ابراهيم</v>
          </cell>
          <cell r="FI326" t="str">
            <v>103-0070173-2</v>
          </cell>
        </row>
        <row r="327">
          <cell r="A327">
            <v>574</v>
          </cell>
          <cell r="B327" t="str">
            <v>عاصم محمد سعيد احمد</v>
          </cell>
          <cell r="C327" t="str">
            <v>عاصم</v>
          </cell>
          <cell r="D327" t="str">
            <v>محمد</v>
          </cell>
          <cell r="E327" t="str">
            <v>سعيد</v>
          </cell>
          <cell r="F327" t="str">
            <v>احمد</v>
          </cell>
          <cell r="G327" t="str">
            <v>المصنع</v>
          </cell>
          <cell r="H327" t="str">
            <v>الانتاج</v>
          </cell>
          <cell r="K327" t="str">
            <v>عامل</v>
          </cell>
          <cell r="L327" t="str">
            <v>عامل</v>
          </cell>
          <cell r="M327">
            <v>42110</v>
          </cell>
          <cell r="N327">
            <v>43500</v>
          </cell>
          <cell r="O327">
            <v>3</v>
          </cell>
          <cell r="P327">
            <v>9</v>
          </cell>
          <cell r="R327">
            <v>112.5</v>
          </cell>
          <cell r="X327">
            <v>41532</v>
          </cell>
          <cell r="Z327">
            <v>29952</v>
          </cell>
          <cell r="AG327">
            <v>9</v>
          </cell>
          <cell r="AH327">
            <v>1</v>
          </cell>
          <cell r="AI327" t="str">
            <v>تسنين</v>
          </cell>
          <cell r="AJ327" t="str">
            <v>35740</v>
          </cell>
          <cell r="AK327">
            <v>0</v>
          </cell>
          <cell r="AL327">
            <v>4</v>
          </cell>
          <cell r="AM327">
            <v>7</v>
          </cell>
          <cell r="AN327">
            <v>5</v>
          </cell>
          <cell r="AO327">
            <v>3</v>
          </cell>
          <cell r="AS327">
            <v>43500</v>
          </cell>
          <cell r="AT327">
            <v>37</v>
          </cell>
          <cell r="AU327" t="str">
            <v>جنسيه</v>
          </cell>
          <cell r="AV327" t="str">
            <v>0137885</v>
          </cell>
          <cell r="AW327">
            <v>5</v>
          </cell>
          <cell r="AX327">
            <v>8</v>
          </cell>
          <cell r="AY327">
            <v>8</v>
          </cell>
          <cell r="AZ327">
            <v>7</v>
          </cell>
          <cell r="BA327">
            <v>3</v>
          </cell>
          <cell r="BB327">
            <v>1</v>
          </cell>
          <cell r="BC327">
            <v>0</v>
          </cell>
          <cell r="BE327" t="str">
            <v>256-9403009-6</v>
          </cell>
          <cell r="BF327" t="str">
            <v>ريا محمد احمد</v>
          </cell>
          <cell r="BG327" t="str">
            <v>الجزيره</v>
          </cell>
          <cell r="BH327" t="str">
            <v>الجزيره - المسعوديه</v>
          </cell>
          <cell r="BI327" t="str">
            <v>0121991905</v>
          </cell>
          <cell r="BJ327" t="str">
            <v>الهادى بشير</v>
          </cell>
          <cell r="BK327" t="str">
            <v>0128613103</v>
          </cell>
          <cell r="BL327" t="str">
            <v>خالي الطرف</v>
          </cell>
          <cell r="BN327">
            <v>43500</v>
          </cell>
          <cell r="BT327" t="str">
            <v>شهاده ثانويه</v>
          </cell>
          <cell r="BV327">
            <v>37347</v>
          </cell>
          <cell r="CQ327" t="str">
            <v>شركة جياد للمواسير المحدوده</v>
          </cell>
          <cell r="CR327" t="str">
            <v>عماله مؤقته</v>
          </cell>
          <cell r="CS327">
            <v>39141</v>
          </cell>
          <cell r="CT327">
            <v>40344</v>
          </cell>
          <cell r="EQ327">
            <v>0</v>
          </cell>
          <cell r="ER327">
            <v>37</v>
          </cell>
          <cell r="ES327">
            <v>41532</v>
          </cell>
          <cell r="ET327">
            <v>41896</v>
          </cell>
          <cell r="EU327" t="str">
            <v>عامل</v>
          </cell>
          <cell r="EW327">
            <v>42110</v>
          </cell>
          <cell r="EX327">
            <v>42475</v>
          </cell>
          <cell r="EY327" t="str">
            <v>عامل</v>
          </cell>
          <cell r="FB327">
            <v>41532</v>
          </cell>
          <cell r="FG327" t="str">
            <v xml:space="preserve"> مدير الانتاج</v>
          </cell>
          <cell r="FH327" t="str">
            <v>هشام عيسى محمد عبدالكريم</v>
          </cell>
          <cell r="FI327" t="str">
            <v>256-9403009-6</v>
          </cell>
        </row>
        <row r="328">
          <cell r="A328">
            <v>576</v>
          </cell>
          <cell r="B328" t="str">
            <v>النور خميس سعيد شاكر</v>
          </cell>
          <cell r="C328" t="str">
            <v>النور</v>
          </cell>
          <cell r="D328" t="str">
            <v>خميس</v>
          </cell>
          <cell r="E328" t="str">
            <v>سعيد</v>
          </cell>
          <cell r="F328" t="str">
            <v>شاكر</v>
          </cell>
          <cell r="G328" t="str">
            <v>المصنع</v>
          </cell>
          <cell r="H328" t="str">
            <v>الخدمات</v>
          </cell>
          <cell r="I328" t="str">
            <v>الورشه</v>
          </cell>
          <cell r="K328" t="str">
            <v>حداد</v>
          </cell>
          <cell r="L328" t="str">
            <v>حداد</v>
          </cell>
          <cell r="M328">
            <v>41532</v>
          </cell>
          <cell r="N328">
            <v>43500</v>
          </cell>
          <cell r="O328">
            <v>5</v>
          </cell>
          <cell r="P328">
            <v>4</v>
          </cell>
          <cell r="R328">
            <v>160</v>
          </cell>
          <cell r="Z328">
            <v>18994</v>
          </cell>
          <cell r="AG328">
            <v>9</v>
          </cell>
          <cell r="AH328">
            <v>1</v>
          </cell>
          <cell r="AI328" t="str">
            <v>تسنين</v>
          </cell>
          <cell r="AJ328" t="str">
            <v>13996</v>
          </cell>
          <cell r="AK328">
            <v>6</v>
          </cell>
          <cell r="AL328">
            <v>9</v>
          </cell>
          <cell r="AM328">
            <v>9</v>
          </cell>
          <cell r="AN328">
            <v>3</v>
          </cell>
          <cell r="AO328">
            <v>1</v>
          </cell>
          <cell r="AS328">
            <v>43500</v>
          </cell>
          <cell r="AT328">
            <v>67</v>
          </cell>
          <cell r="BE328" t="str">
            <v>178-3431897-0</v>
          </cell>
          <cell r="BF328" t="str">
            <v>امنه احمد ابوشنب</v>
          </cell>
          <cell r="BG328" t="str">
            <v>العربى</v>
          </cell>
          <cell r="BH328" t="str">
            <v xml:space="preserve">سوبا - الحله </v>
          </cell>
          <cell r="BI328" t="str">
            <v>0111150250</v>
          </cell>
          <cell r="BJ328" t="str">
            <v>الفاتح عامر</v>
          </cell>
          <cell r="BK328" t="str">
            <v>0912691360</v>
          </cell>
          <cell r="BL328" t="str">
            <v>كبار سن</v>
          </cell>
          <cell r="BN328">
            <v>43500</v>
          </cell>
          <cell r="CQ328" t="str">
            <v>شركة شيباك للنقل المحدودة</v>
          </cell>
          <cell r="CR328" t="str">
            <v>حداد</v>
          </cell>
          <cell r="CS328">
            <v>32944</v>
          </cell>
          <cell r="CT328">
            <v>35659</v>
          </cell>
          <cell r="CV328" t="str">
            <v>مام للطرق والجسور</v>
          </cell>
          <cell r="CW328" t="str">
            <v>فنى حداده</v>
          </cell>
          <cell r="CX328">
            <v>38147</v>
          </cell>
          <cell r="CY328">
            <v>39313</v>
          </cell>
          <cell r="EQ328">
            <v>0</v>
          </cell>
          <cell r="ER328">
            <v>87</v>
          </cell>
          <cell r="ES328">
            <v>41532</v>
          </cell>
          <cell r="ET328">
            <v>41896</v>
          </cell>
          <cell r="EU328" t="str">
            <v>حداد</v>
          </cell>
          <cell r="FG328" t="str">
            <v>المدير الادارى</v>
          </cell>
          <cell r="FH328" t="str">
            <v>احمد عبدالرحيم ابوبكر محمد</v>
          </cell>
          <cell r="FI328" t="str">
            <v>178-3431897-0</v>
          </cell>
        </row>
        <row r="329">
          <cell r="A329">
            <v>577</v>
          </cell>
          <cell r="B329" t="str">
            <v xml:space="preserve">عطا الفضيل محمد عيد محمد </v>
          </cell>
          <cell r="C329" t="str">
            <v>عطا</v>
          </cell>
          <cell r="D329" t="str">
            <v>الفضيل</v>
          </cell>
          <cell r="E329" t="str">
            <v>محمد</v>
          </cell>
          <cell r="F329" t="str">
            <v>عبد</v>
          </cell>
          <cell r="G329" t="str">
            <v>المصنع</v>
          </cell>
          <cell r="H329" t="str">
            <v>الخدمات</v>
          </cell>
          <cell r="K329" t="str">
            <v>مشرف</v>
          </cell>
          <cell r="L329" t="str">
            <v>مشرف خدمات</v>
          </cell>
          <cell r="M329">
            <v>41528</v>
          </cell>
          <cell r="N329">
            <v>43500</v>
          </cell>
          <cell r="O329">
            <v>5</v>
          </cell>
          <cell r="P329">
            <v>4</v>
          </cell>
          <cell r="R329">
            <v>160</v>
          </cell>
          <cell r="T329" t="str">
            <v>m</v>
          </cell>
          <cell r="Z329">
            <v>22647</v>
          </cell>
          <cell r="AG329">
            <v>9</v>
          </cell>
          <cell r="AH329">
            <v>1</v>
          </cell>
          <cell r="AI329" t="str">
            <v>تسنين</v>
          </cell>
          <cell r="AJ329" t="str">
            <v>392112</v>
          </cell>
          <cell r="AK329">
            <v>2</v>
          </cell>
          <cell r="AL329">
            <v>1</v>
          </cell>
          <cell r="AM329">
            <v>1</v>
          </cell>
          <cell r="AN329">
            <v>2</v>
          </cell>
          <cell r="AO329">
            <v>9</v>
          </cell>
          <cell r="AP329">
            <v>3</v>
          </cell>
          <cell r="AS329">
            <v>43500</v>
          </cell>
          <cell r="AT329">
            <v>57</v>
          </cell>
          <cell r="AU329" t="str">
            <v>بطاقه قوميه</v>
          </cell>
          <cell r="AV329" t="str">
            <v>001585883</v>
          </cell>
          <cell r="AW329">
            <v>3</v>
          </cell>
          <cell r="AX329">
            <v>8</v>
          </cell>
          <cell r="AY329">
            <v>8</v>
          </cell>
          <cell r="AZ329">
            <v>5</v>
          </cell>
          <cell r="BA329">
            <v>8</v>
          </cell>
          <cell r="BB329">
            <v>5</v>
          </cell>
          <cell r="BC329">
            <v>1</v>
          </cell>
          <cell r="BD329">
            <v>0</v>
          </cell>
          <cell r="BE329" t="str">
            <v>112-0494745-2</v>
          </cell>
          <cell r="BG329" t="str">
            <v>العربى</v>
          </cell>
          <cell r="BH329" t="str">
            <v>سوبا - اللعوته</v>
          </cell>
          <cell r="BI329" t="str">
            <v>0115270528</v>
          </cell>
          <cell r="BJ329" t="str">
            <v>المرضى الفضيل</v>
          </cell>
          <cell r="BK329" t="str">
            <v>0912612867</v>
          </cell>
          <cell r="BN329">
            <v>43500</v>
          </cell>
          <cell r="EQ329">
            <v>0</v>
          </cell>
          <cell r="ES329">
            <v>41528</v>
          </cell>
          <cell r="ET329">
            <v>41892</v>
          </cell>
          <cell r="EU329" t="str">
            <v>مشرف نظافه</v>
          </cell>
          <cell r="FG329" t="str">
            <v>المدير الادارى</v>
          </cell>
          <cell r="FH329" t="str">
            <v>احمد عبدالرحيم ابوبكر محمد</v>
          </cell>
          <cell r="FI329" t="str">
            <v>112-0494745-2</v>
          </cell>
        </row>
        <row r="330">
          <cell r="A330">
            <v>578</v>
          </cell>
          <cell r="B330" t="str">
            <v>عماد عبدالعزيز قسم السيد سالم</v>
          </cell>
          <cell r="G330" t="str">
            <v>المصنع</v>
          </cell>
          <cell r="H330" t="str">
            <v>الانتاج</v>
          </cell>
          <cell r="L330" t="str">
            <v>عامل</v>
          </cell>
          <cell r="M330">
            <v>41538</v>
          </cell>
          <cell r="O330" t="e">
            <v>#NUM!</v>
          </cell>
          <cell r="P330" t="e">
            <v>#NUM!</v>
          </cell>
          <cell r="R330" t="e">
            <v>#NUM!</v>
          </cell>
          <cell r="T330" t="str">
            <v>m</v>
          </cell>
          <cell r="Z330">
            <v>26107</v>
          </cell>
          <cell r="AI330" t="str">
            <v>ميلاد</v>
          </cell>
          <cell r="AJ330" t="str">
            <v>047740</v>
          </cell>
          <cell r="AK330">
            <v>0</v>
          </cell>
          <cell r="AL330">
            <v>4</v>
          </cell>
          <cell r="AM330">
            <v>7</v>
          </cell>
          <cell r="AN330">
            <v>7</v>
          </cell>
          <cell r="AO330">
            <v>4</v>
          </cell>
          <cell r="AP330">
            <v>0</v>
          </cell>
          <cell r="AS330">
            <v>43500</v>
          </cell>
          <cell r="AT330">
            <v>47</v>
          </cell>
          <cell r="AU330" t="str">
            <v>جنسيه</v>
          </cell>
          <cell r="AV330" t="str">
            <v>987730</v>
          </cell>
          <cell r="AW330">
            <v>0</v>
          </cell>
          <cell r="AX330">
            <v>3</v>
          </cell>
          <cell r="AY330">
            <v>7</v>
          </cell>
          <cell r="AZ330">
            <v>7</v>
          </cell>
          <cell r="BA330">
            <v>8</v>
          </cell>
          <cell r="BB330">
            <v>9</v>
          </cell>
          <cell r="BF330" t="str">
            <v>حواء عبد الحليم</v>
          </cell>
          <cell r="BH330" t="str">
            <v>الديوم الشرقية</v>
          </cell>
          <cell r="BI330" t="str">
            <v>0927733738</v>
          </cell>
          <cell r="BL330" t="str">
            <v>خالي الطرف</v>
          </cell>
          <cell r="BN330">
            <v>43500</v>
          </cell>
          <cell r="EQ330">
            <v>0</v>
          </cell>
          <cell r="ES330">
            <v>41538</v>
          </cell>
          <cell r="ET330">
            <v>41902</v>
          </cell>
          <cell r="EU330" t="str">
            <v>عامل</v>
          </cell>
          <cell r="FG330" t="str">
            <v xml:space="preserve"> مدير الانتاج</v>
          </cell>
          <cell r="FH330" t="str">
            <v>هشام عيسى محمد عبدالكريم</v>
          </cell>
          <cell r="FI330">
            <v>0</v>
          </cell>
        </row>
        <row r="331">
          <cell r="A331">
            <v>581</v>
          </cell>
          <cell r="B331" t="str">
            <v>ابوبكر بركات يوسف</v>
          </cell>
          <cell r="G331" t="str">
            <v>المصنع</v>
          </cell>
          <cell r="H331" t="str">
            <v>الانتاج</v>
          </cell>
          <cell r="I331" t="str">
            <v>المواسير</v>
          </cell>
          <cell r="K331" t="str">
            <v>عامل</v>
          </cell>
          <cell r="L331" t="str">
            <v>كرين</v>
          </cell>
          <cell r="M331">
            <v>41681</v>
          </cell>
          <cell r="N331">
            <v>42882</v>
          </cell>
          <cell r="O331">
            <v>3</v>
          </cell>
          <cell r="P331">
            <v>3</v>
          </cell>
          <cell r="R331">
            <v>97.5</v>
          </cell>
          <cell r="T331" t="str">
            <v>إستقال</v>
          </cell>
          <cell r="U331">
            <v>42882</v>
          </cell>
          <cell r="V331">
            <v>42882</v>
          </cell>
          <cell r="Z331">
            <v>31940</v>
          </cell>
          <cell r="AG331">
            <v>9</v>
          </cell>
          <cell r="AH331">
            <v>1</v>
          </cell>
          <cell r="AI331" t="str">
            <v>ميلاد</v>
          </cell>
          <cell r="AS331">
            <v>43500</v>
          </cell>
          <cell r="AT331">
            <v>31</v>
          </cell>
          <cell r="AU331" t="str">
            <v>جنسيه</v>
          </cell>
          <cell r="AV331" t="str">
            <v>0035861</v>
          </cell>
          <cell r="AW331">
            <v>1</v>
          </cell>
          <cell r="AX331">
            <v>6</v>
          </cell>
          <cell r="AY331">
            <v>8</v>
          </cell>
          <cell r="AZ331">
            <v>5</v>
          </cell>
          <cell r="BA331">
            <v>3</v>
          </cell>
          <cell r="BB331">
            <v>0</v>
          </cell>
          <cell r="BC331">
            <v>0</v>
          </cell>
          <cell r="BE331" t="str">
            <v>119-1082461-9</v>
          </cell>
          <cell r="BF331" t="str">
            <v>غنيتى تاج الدين احمد</v>
          </cell>
          <cell r="BG331" t="str">
            <v>الجزيره</v>
          </cell>
          <cell r="BH331" t="str">
            <v>الجزيره - المسعوديه</v>
          </cell>
          <cell r="BI331" t="str">
            <v>0914911477</v>
          </cell>
          <cell r="BJ331" t="str">
            <v>الطاهر الجيلى</v>
          </cell>
          <cell r="BK331" t="str">
            <v>0911103166</v>
          </cell>
          <cell r="BL331" t="str">
            <v>خالي الطرف</v>
          </cell>
          <cell r="BN331">
            <v>43500</v>
          </cell>
          <cell r="BT331" t="str">
            <v>شهاده ثانويه</v>
          </cell>
          <cell r="BV331">
            <v>40238</v>
          </cell>
          <cell r="EQ331">
            <v>0</v>
          </cell>
          <cell r="ER331">
            <v>85</v>
          </cell>
          <cell r="ES331">
            <v>41681</v>
          </cell>
          <cell r="ET331">
            <v>42045</v>
          </cell>
          <cell r="EU331" t="str">
            <v>عامل</v>
          </cell>
          <cell r="FG331" t="str">
            <v xml:space="preserve"> مدير الانتاج</v>
          </cell>
          <cell r="FH331" t="str">
            <v>هشام عيسى محمد عبدالكريم</v>
          </cell>
          <cell r="FI331" t="str">
            <v>119-1082461-9</v>
          </cell>
        </row>
        <row r="332">
          <cell r="A332">
            <v>582</v>
          </cell>
          <cell r="B332" t="str">
            <v>ابراهيم عبد الجليل ابو القاسم عبد الجليل</v>
          </cell>
          <cell r="G332" t="str">
            <v>المصنع</v>
          </cell>
          <cell r="H332" t="str">
            <v>الانتاج</v>
          </cell>
          <cell r="L332" t="str">
            <v>عامل</v>
          </cell>
          <cell r="M332">
            <v>41540</v>
          </cell>
          <cell r="O332" t="e">
            <v>#NUM!</v>
          </cell>
          <cell r="P332" t="e">
            <v>#NUM!</v>
          </cell>
          <cell r="R332" t="e">
            <v>#NUM!</v>
          </cell>
          <cell r="T332" t="str">
            <v>m</v>
          </cell>
          <cell r="AS332">
            <v>43500</v>
          </cell>
          <cell r="AT332">
            <v>119</v>
          </cell>
          <cell r="BH332" t="str">
            <v>الجزيرة - المسعودية</v>
          </cell>
          <cell r="BN332">
            <v>43500</v>
          </cell>
          <cell r="EQ332">
            <v>0</v>
          </cell>
          <cell r="ES332">
            <v>41540</v>
          </cell>
          <cell r="ET332">
            <v>41904</v>
          </cell>
          <cell r="EU332" t="str">
            <v>عامل</v>
          </cell>
          <cell r="FG332" t="str">
            <v xml:space="preserve"> مدير الانتاج</v>
          </cell>
          <cell r="FH332" t="str">
            <v>هشام عيسى محمد عبدالكريم</v>
          </cell>
          <cell r="FI332">
            <v>0</v>
          </cell>
        </row>
        <row r="333">
          <cell r="A333">
            <v>583</v>
          </cell>
          <cell r="B333" t="str">
            <v>عمر فريد الشيخ عمر</v>
          </cell>
          <cell r="G333" t="str">
            <v>المصنع</v>
          </cell>
          <cell r="H333" t="str">
            <v>الانتاج</v>
          </cell>
          <cell r="L333" t="str">
            <v>عامل</v>
          </cell>
          <cell r="M333">
            <v>41540</v>
          </cell>
          <cell r="O333" t="e">
            <v>#NUM!</v>
          </cell>
          <cell r="P333" t="e">
            <v>#NUM!</v>
          </cell>
          <cell r="R333" t="e">
            <v>#NUM!</v>
          </cell>
          <cell r="T333" t="str">
            <v>m</v>
          </cell>
          <cell r="AS333">
            <v>43500</v>
          </cell>
          <cell r="AT333">
            <v>119</v>
          </cell>
          <cell r="BH333" t="str">
            <v>الجزيرة - المسعودية</v>
          </cell>
          <cell r="BN333">
            <v>43500</v>
          </cell>
          <cell r="EQ333">
            <v>0</v>
          </cell>
          <cell r="ES333">
            <v>41540</v>
          </cell>
          <cell r="ET333">
            <v>41904</v>
          </cell>
          <cell r="EU333" t="str">
            <v>عامل</v>
          </cell>
          <cell r="FG333" t="str">
            <v xml:space="preserve"> مدير الانتاج</v>
          </cell>
          <cell r="FH333" t="str">
            <v>هشام عيسى محمد عبدالكريم</v>
          </cell>
          <cell r="FI333">
            <v>0</v>
          </cell>
        </row>
        <row r="334">
          <cell r="A334">
            <v>585</v>
          </cell>
          <cell r="B334" t="str">
            <v>يعقوب السوار محمد ادم</v>
          </cell>
          <cell r="C334" t="str">
            <v>يعقوب</v>
          </cell>
          <cell r="D334" t="str">
            <v>السوار</v>
          </cell>
          <cell r="E334" t="str">
            <v>محمد</v>
          </cell>
          <cell r="F334" t="str">
            <v>ادم</v>
          </cell>
          <cell r="G334" t="str">
            <v>المصنع</v>
          </cell>
          <cell r="H334" t="str">
            <v>الخدمات</v>
          </cell>
          <cell r="K334" t="str">
            <v>عامل</v>
          </cell>
          <cell r="L334" t="str">
            <v>عامل</v>
          </cell>
          <cell r="M334">
            <v>41541</v>
          </cell>
          <cell r="N334">
            <v>43500</v>
          </cell>
          <cell r="O334">
            <v>5</v>
          </cell>
          <cell r="P334">
            <v>4</v>
          </cell>
          <cell r="R334">
            <v>160</v>
          </cell>
          <cell r="Z334">
            <v>17533</v>
          </cell>
          <cell r="AG334">
            <v>9</v>
          </cell>
          <cell r="AH334">
            <v>1</v>
          </cell>
          <cell r="AI334" t="str">
            <v>تسنين</v>
          </cell>
          <cell r="AJ334" t="str">
            <v>441674</v>
          </cell>
          <cell r="AK334">
            <v>4</v>
          </cell>
          <cell r="AL334">
            <v>7</v>
          </cell>
          <cell r="AM334">
            <v>6</v>
          </cell>
          <cell r="AN334">
            <v>1</v>
          </cell>
          <cell r="AO334">
            <v>4</v>
          </cell>
          <cell r="AP334">
            <v>4</v>
          </cell>
          <cell r="AS334">
            <v>43500</v>
          </cell>
          <cell r="AT334">
            <v>71</v>
          </cell>
          <cell r="BE334" t="str">
            <v>178-3510160-2</v>
          </cell>
          <cell r="BF334" t="str">
            <v>حرم سليمان زكريا</v>
          </cell>
          <cell r="BG334" t="str">
            <v>الكلاكله</v>
          </cell>
          <cell r="BH334" t="str">
            <v>مايو - حى النصر</v>
          </cell>
          <cell r="BI334" t="str">
            <v>0129066742</v>
          </cell>
          <cell r="BJ334" t="str">
            <v>فيصل عبدالله البشير</v>
          </cell>
          <cell r="BK334" t="str">
            <v>0122668845</v>
          </cell>
          <cell r="BL334" t="str">
            <v>كبار سن</v>
          </cell>
          <cell r="BN334">
            <v>43500</v>
          </cell>
          <cell r="EQ334">
            <v>0</v>
          </cell>
          <cell r="ER334">
            <v>83</v>
          </cell>
          <cell r="ES334">
            <v>41541</v>
          </cell>
          <cell r="ET334">
            <v>41905</v>
          </cell>
          <cell r="EU334" t="str">
            <v>عامل</v>
          </cell>
          <cell r="FG334" t="str">
            <v>المدير الادارى</v>
          </cell>
          <cell r="FH334" t="str">
            <v>احمد عبدالرحيم ابوبكر محمد</v>
          </cell>
          <cell r="FI334" t="str">
            <v>178-3510160-2</v>
          </cell>
        </row>
        <row r="335">
          <cell r="A335">
            <v>586</v>
          </cell>
          <cell r="B335" t="str">
            <v>معتز حسين ابراهيم عثمان</v>
          </cell>
          <cell r="G335" t="str">
            <v>المصنع</v>
          </cell>
          <cell r="H335" t="str">
            <v>الانتاج</v>
          </cell>
          <cell r="L335" t="str">
            <v>عامل</v>
          </cell>
          <cell r="M335">
            <v>41527</v>
          </cell>
          <cell r="O335" t="e">
            <v>#NUM!</v>
          </cell>
          <cell r="P335" t="e">
            <v>#NUM!</v>
          </cell>
          <cell r="R335" t="e">
            <v>#NUM!</v>
          </cell>
          <cell r="T335" t="str">
            <v>m</v>
          </cell>
          <cell r="AS335">
            <v>43500</v>
          </cell>
          <cell r="AT335">
            <v>119</v>
          </cell>
          <cell r="BH335" t="str">
            <v>الازهرى</v>
          </cell>
          <cell r="BN335">
            <v>43500</v>
          </cell>
          <cell r="EQ335">
            <v>0</v>
          </cell>
          <cell r="ES335">
            <v>41527</v>
          </cell>
          <cell r="ET335">
            <v>41891</v>
          </cell>
          <cell r="EU335" t="str">
            <v>عامل</v>
          </cell>
          <cell r="FG335" t="str">
            <v xml:space="preserve"> مدير الانتاج</v>
          </cell>
          <cell r="FH335" t="str">
            <v>هشام عيسى محمد عبدالكريم</v>
          </cell>
          <cell r="FI335">
            <v>0</v>
          </cell>
        </row>
        <row r="336">
          <cell r="A336">
            <v>588</v>
          </cell>
          <cell r="B336" t="str">
            <v>بخيت عيسى على محمد</v>
          </cell>
          <cell r="G336" t="str">
            <v>المصنع</v>
          </cell>
          <cell r="H336" t="str">
            <v>الانتاج</v>
          </cell>
          <cell r="L336" t="str">
            <v>عامل</v>
          </cell>
          <cell r="M336">
            <v>41543</v>
          </cell>
          <cell r="O336" t="e">
            <v>#NUM!</v>
          </cell>
          <cell r="P336" t="e">
            <v>#NUM!</v>
          </cell>
          <cell r="R336" t="e">
            <v>#NUM!</v>
          </cell>
          <cell r="T336" t="str">
            <v>m</v>
          </cell>
          <cell r="AS336">
            <v>43500</v>
          </cell>
          <cell r="AT336">
            <v>119</v>
          </cell>
          <cell r="BH336" t="str">
            <v>الخرطوم - الشجره</v>
          </cell>
          <cell r="BN336">
            <v>43500</v>
          </cell>
          <cell r="EQ336">
            <v>0</v>
          </cell>
          <cell r="ES336">
            <v>41543</v>
          </cell>
          <cell r="ET336">
            <v>41907</v>
          </cell>
          <cell r="EU336" t="str">
            <v>عامل</v>
          </cell>
          <cell r="FG336" t="str">
            <v xml:space="preserve"> مدير الانتاج</v>
          </cell>
          <cell r="FH336" t="str">
            <v>هشام عيسى محمد عبدالكريم</v>
          </cell>
          <cell r="FI336">
            <v>0</v>
          </cell>
        </row>
        <row r="337">
          <cell r="A337">
            <v>590</v>
          </cell>
          <cell r="B337" t="str">
            <v>المغيرة محمد عبد الله صالح</v>
          </cell>
          <cell r="G337" t="str">
            <v>المصنع</v>
          </cell>
          <cell r="H337" t="str">
            <v>الميكانيكا</v>
          </cell>
          <cell r="K337" t="str">
            <v>حداد</v>
          </cell>
          <cell r="L337" t="str">
            <v>حداد</v>
          </cell>
          <cell r="M337">
            <v>41553</v>
          </cell>
          <cell r="O337" t="e">
            <v>#NUM!</v>
          </cell>
          <cell r="P337" t="e">
            <v>#NUM!</v>
          </cell>
          <cell r="R337" t="e">
            <v>#NUM!</v>
          </cell>
          <cell r="T337" t="str">
            <v>m</v>
          </cell>
          <cell r="AS337">
            <v>43500</v>
          </cell>
          <cell r="AT337">
            <v>119</v>
          </cell>
          <cell r="BH337" t="str">
            <v>الخرطوم - السلمة</v>
          </cell>
          <cell r="BN337">
            <v>43500</v>
          </cell>
          <cell r="EQ337">
            <v>0</v>
          </cell>
          <cell r="ES337">
            <v>41553</v>
          </cell>
          <cell r="ET337">
            <v>41917</v>
          </cell>
          <cell r="EU337" t="str">
            <v>حداد</v>
          </cell>
          <cell r="FG337" t="str">
            <v>مدير الصيانه الميكانيكيه</v>
          </cell>
          <cell r="FH337" t="str">
            <v>محمد احمد محمد سليمان</v>
          </cell>
          <cell r="FI337">
            <v>0</v>
          </cell>
        </row>
        <row r="338">
          <cell r="A338">
            <v>591</v>
          </cell>
          <cell r="B338" t="str">
            <v>عبدالله زايد اسماعيل توتو</v>
          </cell>
          <cell r="C338" t="str">
            <v>عبدالله</v>
          </cell>
          <cell r="D338" t="str">
            <v>زايد</v>
          </cell>
          <cell r="E338" t="str">
            <v>اسماعيل</v>
          </cell>
          <cell r="F338" t="str">
            <v>توتو</v>
          </cell>
          <cell r="G338" t="str">
            <v>المصنع</v>
          </cell>
          <cell r="H338" t="str">
            <v>الانتاج</v>
          </cell>
          <cell r="I338" t="str">
            <v>الصاج والزنك</v>
          </cell>
          <cell r="K338" t="str">
            <v>عامل</v>
          </cell>
          <cell r="L338" t="str">
            <v>عامل</v>
          </cell>
          <cell r="M338">
            <v>41554</v>
          </cell>
          <cell r="N338">
            <v>43500</v>
          </cell>
          <cell r="O338">
            <v>5</v>
          </cell>
          <cell r="P338">
            <v>3</v>
          </cell>
          <cell r="R338">
            <v>157.5</v>
          </cell>
          <cell r="Z338">
            <v>21916</v>
          </cell>
          <cell r="AG338">
            <v>9</v>
          </cell>
          <cell r="AH338">
            <v>1</v>
          </cell>
          <cell r="AI338" t="str">
            <v>تسنين</v>
          </cell>
          <cell r="AJ338" t="str">
            <v>20357</v>
          </cell>
          <cell r="AK338">
            <v>7</v>
          </cell>
          <cell r="AL338">
            <v>5</v>
          </cell>
          <cell r="AM338">
            <v>3</v>
          </cell>
          <cell r="AN338">
            <v>0</v>
          </cell>
          <cell r="AO338">
            <v>2</v>
          </cell>
          <cell r="AS338">
            <v>43500</v>
          </cell>
          <cell r="AT338">
            <v>59</v>
          </cell>
          <cell r="AU338" t="str">
            <v>بطاقه قوميه</v>
          </cell>
          <cell r="AV338" t="str">
            <v>000254307</v>
          </cell>
          <cell r="AW338">
            <v>7</v>
          </cell>
          <cell r="AX338">
            <v>0</v>
          </cell>
          <cell r="AY338">
            <v>3</v>
          </cell>
          <cell r="AZ338">
            <v>4</v>
          </cell>
          <cell r="BA338">
            <v>5</v>
          </cell>
          <cell r="BB338">
            <v>2</v>
          </cell>
          <cell r="BC338">
            <v>0</v>
          </cell>
          <cell r="BD338">
            <v>0</v>
          </cell>
          <cell r="BE338" t="str">
            <v>116-4578730-9</v>
          </cell>
          <cell r="BF338" t="str">
            <v>رقيه كنو رحال اسو</v>
          </cell>
          <cell r="BG338" t="str">
            <v>العربى</v>
          </cell>
          <cell r="BH338" t="str">
            <v>امدرمان - امبده - ح 14</v>
          </cell>
          <cell r="BI338" t="str">
            <v>0924224690</v>
          </cell>
          <cell r="BJ338" t="str">
            <v>مهدى زايد</v>
          </cell>
          <cell r="BK338" t="str">
            <v>0925548869</v>
          </cell>
          <cell r="BL338" t="str">
            <v>كبار سن</v>
          </cell>
          <cell r="BN338">
            <v>43500</v>
          </cell>
          <cell r="EQ338">
            <v>0</v>
          </cell>
          <cell r="ER338">
            <v>82</v>
          </cell>
          <cell r="ES338">
            <v>41554</v>
          </cell>
          <cell r="ET338">
            <v>41918</v>
          </cell>
          <cell r="EU338" t="str">
            <v>عامل</v>
          </cell>
          <cell r="FG338" t="str">
            <v xml:space="preserve"> مدير الانتاج</v>
          </cell>
          <cell r="FH338" t="str">
            <v>هشام عيسى محمد عبدالكريم</v>
          </cell>
          <cell r="FI338" t="str">
            <v>116-4578730-9</v>
          </cell>
        </row>
        <row r="339">
          <cell r="A339">
            <v>592</v>
          </cell>
          <cell r="B339" t="str">
            <v>احمد محمد زين احمد</v>
          </cell>
          <cell r="C339" t="str">
            <v>احمد</v>
          </cell>
          <cell r="D339" t="str">
            <v>محمد</v>
          </cell>
          <cell r="E339" t="str">
            <v>زين</v>
          </cell>
          <cell r="F339" t="str">
            <v>احمد</v>
          </cell>
          <cell r="G339" t="str">
            <v>المصنع</v>
          </cell>
          <cell r="H339" t="str">
            <v>الانتاج</v>
          </cell>
          <cell r="I339" t="str">
            <v>التشريح</v>
          </cell>
          <cell r="L339" t="str">
            <v>فورمان</v>
          </cell>
          <cell r="M339">
            <v>43160</v>
          </cell>
          <cell r="N339">
            <v>42829</v>
          </cell>
          <cell r="O339" t="e">
            <v>#NUM!</v>
          </cell>
          <cell r="P339" t="e">
            <v>#NUM!</v>
          </cell>
          <cell r="R339" t="e">
            <v>#NUM!</v>
          </cell>
          <cell r="X339">
            <v>41554</v>
          </cell>
          <cell r="Y339" t="str">
            <v>إستقال</v>
          </cell>
          <cell r="Z339">
            <v>30317</v>
          </cell>
          <cell r="AG339">
            <v>9</v>
          </cell>
          <cell r="AH339">
            <v>1</v>
          </cell>
          <cell r="AI339" t="str">
            <v>تسنين</v>
          </cell>
          <cell r="AJ339" t="str">
            <v>1223302</v>
          </cell>
          <cell r="AK339">
            <v>2</v>
          </cell>
          <cell r="AL339">
            <v>0</v>
          </cell>
          <cell r="AM339">
            <v>3</v>
          </cell>
          <cell r="AN339">
            <v>3</v>
          </cell>
          <cell r="AO339">
            <v>2</v>
          </cell>
          <cell r="AP339">
            <v>2</v>
          </cell>
          <cell r="AQ339">
            <v>1</v>
          </cell>
          <cell r="AS339">
            <v>43500</v>
          </cell>
          <cell r="AT339">
            <v>36</v>
          </cell>
          <cell r="AU339" t="str">
            <v>بطاقه شخصيه</v>
          </cell>
          <cell r="AV339" t="str">
            <v>KHTX100127032</v>
          </cell>
          <cell r="AW339">
            <v>2</v>
          </cell>
          <cell r="AX339">
            <v>3</v>
          </cell>
          <cell r="AY339">
            <v>0</v>
          </cell>
          <cell r="AZ339">
            <v>7</v>
          </cell>
          <cell r="BA339">
            <v>2</v>
          </cell>
          <cell r="BB339">
            <v>1</v>
          </cell>
          <cell r="BC339">
            <v>0</v>
          </cell>
          <cell r="BD339">
            <v>0</v>
          </cell>
          <cell r="BF339" t="str">
            <v>فاطمه إبراهيم محمد</v>
          </cell>
          <cell r="BG339" t="str">
            <v>الكلاكله</v>
          </cell>
          <cell r="BH339" t="str">
            <v>الخرطوم - اللاماب</v>
          </cell>
          <cell r="BI339" t="str">
            <v>0912329964</v>
          </cell>
          <cell r="BJ339" t="str">
            <v>التجانى محمد زين</v>
          </cell>
          <cell r="BL339" t="str">
            <v>خالي الطرف</v>
          </cell>
          <cell r="BN339">
            <v>43500</v>
          </cell>
          <cell r="BT339" t="str">
            <v>شهاده ثانويه</v>
          </cell>
          <cell r="BV339">
            <v>37347</v>
          </cell>
          <cell r="BW339" t="str">
            <v>Computer Applications</v>
          </cell>
          <cell r="BX339" t="str">
            <v>دبلوم (معاهد)</v>
          </cell>
          <cell r="BY339" t="str">
            <v>دريمز تور كمبيوتر</v>
          </cell>
          <cell r="BZ339">
            <v>40739</v>
          </cell>
          <cell r="CQ339" t="str">
            <v>شركة جياد لصناعة السيارات والشاحنات المحدودة</v>
          </cell>
          <cell r="CR339" t="str">
            <v>متدرب</v>
          </cell>
          <cell r="CS339">
            <v>37021</v>
          </cell>
          <cell r="CT339">
            <v>37072</v>
          </cell>
          <cell r="CV339" t="str">
            <v>مينا للصناعات الحديدية</v>
          </cell>
          <cell r="CW339" t="str">
            <v>فنى تشريح</v>
          </cell>
          <cell r="CX339">
            <v>39234</v>
          </cell>
          <cell r="CY339">
            <v>40507</v>
          </cell>
          <cell r="EQ339">
            <v>0</v>
          </cell>
          <cell r="ES339">
            <v>41554</v>
          </cell>
          <cell r="ET339">
            <v>41918</v>
          </cell>
          <cell r="EU339" t="str">
            <v>مشغل تشريح</v>
          </cell>
          <cell r="FB339">
            <v>41554</v>
          </cell>
          <cell r="FG339" t="str">
            <v xml:space="preserve"> مدير الانتاج</v>
          </cell>
          <cell r="FH339" t="str">
            <v>هشام عيسى محمد عبدالكريم</v>
          </cell>
          <cell r="FI339">
            <v>0</v>
          </cell>
        </row>
        <row r="340">
          <cell r="A340">
            <v>593</v>
          </cell>
          <cell r="B340" t="str">
            <v>عبد العظيم احمد حمد على</v>
          </cell>
          <cell r="G340" t="str">
            <v>المصنع</v>
          </cell>
          <cell r="H340" t="str">
            <v>الميكانيكا</v>
          </cell>
          <cell r="L340" t="str">
            <v>تقنى ميكانيكا</v>
          </cell>
          <cell r="M340">
            <v>41555</v>
          </cell>
          <cell r="O340" t="e">
            <v>#NUM!</v>
          </cell>
          <cell r="P340" t="e">
            <v>#NUM!</v>
          </cell>
          <cell r="R340" t="e">
            <v>#NUM!</v>
          </cell>
          <cell r="T340" t="str">
            <v>m</v>
          </cell>
          <cell r="AS340">
            <v>43500</v>
          </cell>
          <cell r="AT340">
            <v>119</v>
          </cell>
          <cell r="BN340">
            <v>43500</v>
          </cell>
          <cell r="EQ340">
            <v>0</v>
          </cell>
          <cell r="ES340">
            <v>41555</v>
          </cell>
          <cell r="ET340">
            <v>41919</v>
          </cell>
          <cell r="EU340" t="str">
            <v>تقنى ميكانيكا</v>
          </cell>
          <cell r="FG340" t="str">
            <v>مدير الصيانه الميكانيكيه</v>
          </cell>
          <cell r="FH340" t="str">
            <v>محمد احمد محمد سليمان</v>
          </cell>
          <cell r="FI340">
            <v>0</v>
          </cell>
        </row>
        <row r="341">
          <cell r="A341">
            <v>594</v>
          </cell>
          <cell r="B341" t="str">
            <v>مصطفى عبد الرحمن محمد عتبانى</v>
          </cell>
          <cell r="G341" t="str">
            <v>المصنع</v>
          </cell>
          <cell r="H341" t="str">
            <v>الميكانيكا</v>
          </cell>
          <cell r="L341" t="str">
            <v>فنى صيانة</v>
          </cell>
          <cell r="M341">
            <v>41555</v>
          </cell>
          <cell r="O341" t="e">
            <v>#NUM!</v>
          </cell>
          <cell r="P341" t="e">
            <v>#NUM!</v>
          </cell>
          <cell r="R341" t="e">
            <v>#NUM!</v>
          </cell>
          <cell r="T341" t="str">
            <v>m</v>
          </cell>
          <cell r="AS341">
            <v>43500</v>
          </cell>
          <cell r="AT341">
            <v>119</v>
          </cell>
          <cell r="BH341" t="str">
            <v>الجريف غرب</v>
          </cell>
          <cell r="BN341">
            <v>43500</v>
          </cell>
          <cell r="EQ341">
            <v>0</v>
          </cell>
          <cell r="ES341">
            <v>41555</v>
          </cell>
          <cell r="ET341">
            <v>41919</v>
          </cell>
          <cell r="EU341" t="str">
            <v>عامل</v>
          </cell>
          <cell r="FG341" t="str">
            <v>مدير الصيانه الميكانيكيه</v>
          </cell>
          <cell r="FH341" t="str">
            <v>محمد احمد محمد سليمان</v>
          </cell>
          <cell r="FI341">
            <v>0</v>
          </cell>
        </row>
        <row r="342">
          <cell r="A342">
            <v>595</v>
          </cell>
          <cell r="B342" t="str">
            <v>ادم إبراهيم محمد داوؤد</v>
          </cell>
          <cell r="G342" t="str">
            <v>المصنع</v>
          </cell>
          <cell r="H342" t="str">
            <v>الميكانيكا</v>
          </cell>
          <cell r="L342" t="str">
            <v>فنى صيانة</v>
          </cell>
          <cell r="M342">
            <v>41555</v>
          </cell>
          <cell r="O342" t="e">
            <v>#NUM!</v>
          </cell>
          <cell r="P342" t="e">
            <v>#NUM!</v>
          </cell>
          <cell r="R342" t="e">
            <v>#NUM!</v>
          </cell>
          <cell r="T342" t="str">
            <v>m</v>
          </cell>
          <cell r="Z342">
            <v>28856</v>
          </cell>
          <cell r="AI342" t="str">
            <v>تسنين</v>
          </cell>
          <cell r="AJ342" t="str">
            <v>100696</v>
          </cell>
          <cell r="AK342">
            <v>6</v>
          </cell>
          <cell r="AL342">
            <v>9</v>
          </cell>
          <cell r="AM342">
            <v>6</v>
          </cell>
          <cell r="AN342">
            <v>0</v>
          </cell>
          <cell r="AO342">
            <v>0</v>
          </cell>
          <cell r="AP342">
            <v>1</v>
          </cell>
          <cell r="AS342">
            <v>43500</v>
          </cell>
          <cell r="AT342">
            <v>40</v>
          </cell>
          <cell r="AU342" t="str">
            <v>جنسيه</v>
          </cell>
          <cell r="AV342" t="str">
            <v>0643174</v>
          </cell>
          <cell r="AW342">
            <v>4</v>
          </cell>
          <cell r="AX342">
            <v>7</v>
          </cell>
          <cell r="AY342">
            <v>1</v>
          </cell>
          <cell r="AZ342">
            <v>3</v>
          </cell>
          <cell r="BA342">
            <v>4</v>
          </cell>
          <cell r="BB342">
            <v>6</v>
          </cell>
          <cell r="BC342">
            <v>0</v>
          </cell>
          <cell r="BF342" t="str">
            <v>حليمه ادم ابكر</v>
          </cell>
          <cell r="BH342" t="str">
            <v>سوبا - الحله</v>
          </cell>
          <cell r="BI342" t="str">
            <v>0918281020</v>
          </cell>
          <cell r="BL342" t="str">
            <v>خالي الطرف</v>
          </cell>
          <cell r="BN342">
            <v>43500</v>
          </cell>
          <cell r="BT342" t="str">
            <v>شهاده ثانويه</v>
          </cell>
          <cell r="BV342">
            <v>36617</v>
          </cell>
          <cell r="CQ342" t="str">
            <v>المصنع الاورزبى الحديث</v>
          </cell>
          <cell r="CR342" t="str">
            <v>فنى تشغيل وصيانه</v>
          </cell>
          <cell r="EQ342">
            <v>0</v>
          </cell>
          <cell r="ES342">
            <v>41555</v>
          </cell>
          <cell r="ET342">
            <v>41919</v>
          </cell>
          <cell r="EU342" t="str">
            <v>فنى صيانة</v>
          </cell>
          <cell r="FG342" t="str">
            <v>مدير الصيانه الميكانيكيه</v>
          </cell>
          <cell r="FH342" t="str">
            <v>محمد احمد محمد سليمان</v>
          </cell>
          <cell r="FI342">
            <v>0</v>
          </cell>
        </row>
        <row r="343">
          <cell r="A343">
            <v>596</v>
          </cell>
          <cell r="B343" t="str">
            <v>ماهر محمد الامين العبيد</v>
          </cell>
          <cell r="C343" t="str">
            <v>ماهر</v>
          </cell>
          <cell r="D343" t="str">
            <v>محمد</v>
          </cell>
          <cell r="E343" t="str">
            <v>الامين</v>
          </cell>
          <cell r="F343" t="str">
            <v>العبيد</v>
          </cell>
          <cell r="G343" t="str">
            <v>المصنع</v>
          </cell>
          <cell r="H343" t="str">
            <v>الانتاج</v>
          </cell>
          <cell r="I343" t="str">
            <v>المواسير</v>
          </cell>
          <cell r="K343" t="str">
            <v>عامل</v>
          </cell>
          <cell r="L343" t="str">
            <v>كرين</v>
          </cell>
          <cell r="M343">
            <v>41548</v>
          </cell>
          <cell r="N343">
            <v>43500</v>
          </cell>
          <cell r="O343">
            <v>5</v>
          </cell>
          <cell r="P343">
            <v>4</v>
          </cell>
          <cell r="R343">
            <v>160</v>
          </cell>
          <cell r="T343" t="str">
            <v>إستقال</v>
          </cell>
          <cell r="U343">
            <v>43048</v>
          </cell>
          <cell r="Z343">
            <v>32676</v>
          </cell>
          <cell r="AG343">
            <v>9</v>
          </cell>
          <cell r="AH343">
            <v>1</v>
          </cell>
          <cell r="AI343" t="str">
            <v>ميلاد</v>
          </cell>
          <cell r="AJ343" t="str">
            <v>810052</v>
          </cell>
          <cell r="AK343">
            <v>2</v>
          </cell>
          <cell r="AL343">
            <v>5</v>
          </cell>
          <cell r="AM343">
            <v>0</v>
          </cell>
          <cell r="AN343">
            <v>0</v>
          </cell>
          <cell r="AO343">
            <v>1</v>
          </cell>
          <cell r="AP343">
            <v>8</v>
          </cell>
          <cell r="AS343">
            <v>43500</v>
          </cell>
          <cell r="AT343">
            <v>29</v>
          </cell>
          <cell r="AU343" t="str">
            <v>جنسيه</v>
          </cell>
          <cell r="AV343" t="str">
            <v>0729874</v>
          </cell>
          <cell r="AW343">
            <v>4</v>
          </cell>
          <cell r="AX343">
            <v>7</v>
          </cell>
          <cell r="AY343">
            <v>8</v>
          </cell>
          <cell r="AZ343">
            <v>9</v>
          </cell>
          <cell r="BA343">
            <v>2</v>
          </cell>
          <cell r="BB343">
            <v>7</v>
          </cell>
          <cell r="BC343">
            <v>0</v>
          </cell>
          <cell r="BE343" t="str">
            <v>190-4258511-9</v>
          </cell>
          <cell r="BF343" t="str">
            <v>امنه عبدالله محمد</v>
          </cell>
          <cell r="BG343" t="str">
            <v>الجزيره</v>
          </cell>
          <cell r="BH343" t="str">
            <v>الجزيره - النوبه</v>
          </cell>
          <cell r="BI343" t="str">
            <v>0111998050</v>
          </cell>
          <cell r="BJ343" t="str">
            <v xml:space="preserve">محمد الامين </v>
          </cell>
          <cell r="BK343" t="str">
            <v>0912372162</v>
          </cell>
          <cell r="BN343">
            <v>43500</v>
          </cell>
          <cell r="BT343" t="str">
            <v>شهاده ثانويه</v>
          </cell>
          <cell r="BV343">
            <v>39142</v>
          </cell>
          <cell r="EQ343">
            <v>0</v>
          </cell>
          <cell r="ER343">
            <v>76</v>
          </cell>
          <cell r="ES343">
            <v>41548</v>
          </cell>
          <cell r="ET343">
            <v>41912</v>
          </cell>
          <cell r="EU343" t="str">
            <v>عامل</v>
          </cell>
          <cell r="FG343" t="str">
            <v xml:space="preserve"> مدير الانتاج</v>
          </cell>
          <cell r="FH343" t="str">
            <v>هشام عيسى محمد عبدالكريم</v>
          </cell>
          <cell r="FI343" t="str">
            <v>190-4258511-9</v>
          </cell>
        </row>
        <row r="344">
          <cell r="A344">
            <v>597</v>
          </cell>
          <cell r="B344" t="str">
            <v>محمد حامد عبد الله</v>
          </cell>
          <cell r="G344" t="str">
            <v>المصنع</v>
          </cell>
          <cell r="H344" t="str">
            <v>الانتاج</v>
          </cell>
          <cell r="L344" t="str">
            <v>عامل</v>
          </cell>
          <cell r="M344">
            <v>41568</v>
          </cell>
          <cell r="O344" t="e">
            <v>#NUM!</v>
          </cell>
          <cell r="P344" t="e">
            <v>#NUM!</v>
          </cell>
          <cell r="R344" t="e">
            <v>#NUM!</v>
          </cell>
          <cell r="T344" t="str">
            <v>m</v>
          </cell>
          <cell r="AS344">
            <v>43500</v>
          </cell>
          <cell r="AT344">
            <v>119</v>
          </cell>
          <cell r="BN344">
            <v>43500</v>
          </cell>
          <cell r="EQ344">
            <v>0</v>
          </cell>
          <cell r="ES344">
            <v>41548</v>
          </cell>
          <cell r="ET344">
            <v>41912</v>
          </cell>
          <cell r="EU344" t="str">
            <v>عامل</v>
          </cell>
          <cell r="FG344" t="str">
            <v xml:space="preserve"> مدير الانتاج</v>
          </cell>
          <cell r="FH344" t="str">
            <v>هشام عيسى محمد عبدالكريم</v>
          </cell>
          <cell r="FI344">
            <v>0</v>
          </cell>
        </row>
        <row r="345">
          <cell r="A345">
            <v>599</v>
          </cell>
          <cell r="B345" t="str">
            <v>ذوالكفل محمد عثمان</v>
          </cell>
          <cell r="G345" t="str">
            <v>المصنع</v>
          </cell>
          <cell r="H345" t="str">
            <v>الانتاج</v>
          </cell>
          <cell r="L345" t="str">
            <v>سائق اليات</v>
          </cell>
          <cell r="M345">
            <v>41645</v>
          </cell>
          <cell r="O345" t="e">
            <v>#NUM!</v>
          </cell>
          <cell r="P345" t="e">
            <v>#NUM!</v>
          </cell>
          <cell r="R345" t="e">
            <v>#NUM!</v>
          </cell>
          <cell r="T345" t="str">
            <v>m</v>
          </cell>
          <cell r="AS345">
            <v>43500</v>
          </cell>
          <cell r="AT345">
            <v>119</v>
          </cell>
          <cell r="BH345" t="str">
            <v>السمير</v>
          </cell>
          <cell r="BN345">
            <v>43500</v>
          </cell>
          <cell r="EQ345">
            <v>0</v>
          </cell>
          <cell r="ES345">
            <v>41645</v>
          </cell>
          <cell r="ET345">
            <v>42009</v>
          </cell>
          <cell r="EU345" t="str">
            <v>سائق اليات</v>
          </cell>
          <cell r="FG345" t="str">
            <v xml:space="preserve"> مدير الانتاج</v>
          </cell>
          <cell r="FH345" t="str">
            <v>هشام عيسى محمد عبدالكريم</v>
          </cell>
          <cell r="FI345">
            <v>0</v>
          </cell>
        </row>
        <row r="346">
          <cell r="A346">
            <v>604</v>
          </cell>
          <cell r="B346" t="str">
            <v>مجاهد عبدالرحمن عبد الوهاب الامين</v>
          </cell>
          <cell r="C346" t="str">
            <v>مجاهد</v>
          </cell>
          <cell r="D346" t="str">
            <v>عبدالرحمن</v>
          </cell>
          <cell r="E346" t="str">
            <v>عبدالوهاب</v>
          </cell>
          <cell r="F346" t="str">
            <v>الامين</v>
          </cell>
          <cell r="G346" t="str">
            <v>المصنع</v>
          </cell>
          <cell r="H346" t="str">
            <v>الانتاج</v>
          </cell>
          <cell r="I346" t="str">
            <v>المواسير</v>
          </cell>
          <cell r="K346" t="str">
            <v>عامل</v>
          </cell>
          <cell r="L346" t="str">
            <v>عامل</v>
          </cell>
          <cell r="M346">
            <v>41580</v>
          </cell>
          <cell r="N346">
            <v>43500</v>
          </cell>
          <cell r="O346">
            <v>5</v>
          </cell>
          <cell r="P346">
            <v>3</v>
          </cell>
          <cell r="R346">
            <v>157.5</v>
          </cell>
          <cell r="Z346">
            <v>27973</v>
          </cell>
          <cell r="AG346">
            <v>9</v>
          </cell>
          <cell r="AH346">
            <v>1</v>
          </cell>
          <cell r="AI346" t="str">
            <v>ميلاد</v>
          </cell>
          <cell r="AJ346" t="str">
            <v>619585</v>
          </cell>
          <cell r="AK346">
            <v>5</v>
          </cell>
          <cell r="AL346">
            <v>8</v>
          </cell>
          <cell r="AM346">
            <v>5</v>
          </cell>
          <cell r="AN346">
            <v>9</v>
          </cell>
          <cell r="AO346">
            <v>1</v>
          </cell>
          <cell r="AP346">
            <v>6</v>
          </cell>
          <cell r="AS346">
            <v>43500</v>
          </cell>
          <cell r="AT346">
            <v>42</v>
          </cell>
          <cell r="AU346" t="str">
            <v>جنسيه</v>
          </cell>
          <cell r="AV346" t="str">
            <v>0850709</v>
          </cell>
          <cell r="AW346">
            <v>9</v>
          </cell>
          <cell r="AX346">
            <v>0</v>
          </cell>
          <cell r="AY346">
            <v>7</v>
          </cell>
          <cell r="AZ346">
            <v>0</v>
          </cell>
          <cell r="BA346">
            <v>5</v>
          </cell>
          <cell r="BB346">
            <v>8</v>
          </cell>
          <cell r="BC346">
            <v>0</v>
          </cell>
          <cell r="BF346" t="str">
            <v>فاطمه الشيخ الطيب</v>
          </cell>
          <cell r="BG346" t="str">
            <v>الجزيره</v>
          </cell>
          <cell r="BH346" t="str">
            <v>الجزيره - المسعوديه</v>
          </cell>
          <cell r="BI346" t="str">
            <v>01114943397</v>
          </cell>
          <cell r="BJ346" t="str">
            <v>بكري بركات</v>
          </cell>
          <cell r="BK346" t="str">
            <v>091911477</v>
          </cell>
          <cell r="BL346" t="str">
            <v>خالي الطرف</v>
          </cell>
          <cell r="BN346">
            <v>43500</v>
          </cell>
          <cell r="BS346" t="str">
            <v>ميكانيكا سيارات</v>
          </cell>
          <cell r="BT346" t="str">
            <v>شهاده دورة تدريب</v>
          </cell>
          <cell r="BU346" t="str">
            <v>تدريب المدارس الفنية</v>
          </cell>
          <cell r="BV346">
            <v>35947</v>
          </cell>
          <cell r="CQ346" t="str">
            <v>ورشة اولاد الحاج</v>
          </cell>
          <cell r="CR346" t="str">
            <v>ميكانيكى</v>
          </cell>
          <cell r="CS346">
            <v>36526</v>
          </cell>
          <cell r="CT346">
            <v>38353</v>
          </cell>
          <cell r="EQ346">
            <v>0</v>
          </cell>
          <cell r="ER346">
            <v>78</v>
          </cell>
          <cell r="ES346">
            <v>41580</v>
          </cell>
          <cell r="ET346">
            <v>41944</v>
          </cell>
          <cell r="EU346" t="str">
            <v>عامل</v>
          </cell>
          <cell r="FG346" t="str">
            <v xml:space="preserve"> مدير الانتاج</v>
          </cell>
          <cell r="FH346" t="str">
            <v>هشام عيسى محمد عبدالكريم</v>
          </cell>
          <cell r="FI346">
            <v>0</v>
          </cell>
        </row>
        <row r="347">
          <cell r="A347">
            <v>605</v>
          </cell>
          <cell r="B347" t="str">
            <v>عبد الرحمن محمد صالح عبد الرحمن</v>
          </cell>
          <cell r="G347" t="str">
            <v>المصنع</v>
          </cell>
          <cell r="H347" t="str">
            <v>الانتاج</v>
          </cell>
          <cell r="L347" t="str">
            <v>عامل</v>
          </cell>
          <cell r="M347">
            <v>41580</v>
          </cell>
          <cell r="O347" t="e">
            <v>#NUM!</v>
          </cell>
          <cell r="P347" t="e">
            <v>#NUM!</v>
          </cell>
          <cell r="R347" t="e">
            <v>#NUM!</v>
          </cell>
          <cell r="T347" t="str">
            <v>m</v>
          </cell>
          <cell r="AS347">
            <v>43500</v>
          </cell>
          <cell r="AT347">
            <v>119</v>
          </cell>
          <cell r="BH347" t="str">
            <v>الجزيرة - النوبة</v>
          </cell>
          <cell r="BN347">
            <v>43500</v>
          </cell>
          <cell r="EQ347">
            <v>0</v>
          </cell>
          <cell r="ES347">
            <v>41580</v>
          </cell>
          <cell r="ET347">
            <v>41944</v>
          </cell>
          <cell r="EU347" t="str">
            <v>عامل</v>
          </cell>
          <cell r="FG347" t="str">
            <v xml:space="preserve"> مدير الانتاج</v>
          </cell>
          <cell r="FH347" t="str">
            <v>هشام عيسى محمد عبدالكريم</v>
          </cell>
          <cell r="FI347">
            <v>0</v>
          </cell>
        </row>
        <row r="348">
          <cell r="A348">
            <v>606</v>
          </cell>
          <cell r="B348" t="str">
            <v>معاذ البشير مصطفى جاد الله</v>
          </cell>
          <cell r="G348" t="str">
            <v>المصنع</v>
          </cell>
          <cell r="H348" t="str">
            <v>الانتاج</v>
          </cell>
          <cell r="L348" t="str">
            <v>تقنى انتاج</v>
          </cell>
          <cell r="M348">
            <v>41580</v>
          </cell>
          <cell r="O348" t="e">
            <v>#NUM!</v>
          </cell>
          <cell r="P348" t="e">
            <v>#NUM!</v>
          </cell>
          <cell r="R348" t="e">
            <v>#NUM!</v>
          </cell>
          <cell r="T348" t="str">
            <v>m</v>
          </cell>
          <cell r="AS348">
            <v>43500</v>
          </cell>
          <cell r="AT348">
            <v>119</v>
          </cell>
          <cell r="BN348">
            <v>43500</v>
          </cell>
          <cell r="EQ348">
            <v>0</v>
          </cell>
          <cell r="ES348">
            <v>41580</v>
          </cell>
          <cell r="ET348">
            <v>41944</v>
          </cell>
          <cell r="EU348" t="str">
            <v>تقنى انتاج</v>
          </cell>
          <cell r="FG348" t="str">
            <v xml:space="preserve"> مدير الانتاج</v>
          </cell>
          <cell r="FH348" t="str">
            <v>هشام عيسى محمد عبدالكريم</v>
          </cell>
          <cell r="FI348">
            <v>0</v>
          </cell>
        </row>
        <row r="349">
          <cell r="A349">
            <v>608</v>
          </cell>
          <cell r="B349" t="str">
            <v>معاوية سليمان عبد الله على</v>
          </cell>
          <cell r="G349" t="str">
            <v>المصنع</v>
          </cell>
          <cell r="H349" t="str">
            <v>الميكانيكا</v>
          </cell>
          <cell r="L349" t="str">
            <v>فنى صيانه</v>
          </cell>
          <cell r="M349">
            <v>41580</v>
          </cell>
          <cell r="O349" t="e">
            <v>#NUM!</v>
          </cell>
          <cell r="P349" t="e">
            <v>#NUM!</v>
          </cell>
          <cell r="R349" t="e">
            <v>#NUM!</v>
          </cell>
          <cell r="T349" t="str">
            <v>m</v>
          </cell>
          <cell r="AS349">
            <v>43500</v>
          </cell>
          <cell r="AT349">
            <v>119</v>
          </cell>
          <cell r="BN349">
            <v>43500</v>
          </cell>
          <cell r="EQ349">
            <v>0</v>
          </cell>
          <cell r="ES349">
            <v>41580</v>
          </cell>
          <cell r="ET349">
            <v>41944</v>
          </cell>
          <cell r="EU349" t="str">
            <v>فنى صيانة</v>
          </cell>
          <cell r="FG349" t="str">
            <v>مدير الصيانه الميكانيكيه</v>
          </cell>
          <cell r="FH349" t="str">
            <v>محمد احمد محمد سليمان</v>
          </cell>
          <cell r="FI349">
            <v>0</v>
          </cell>
        </row>
        <row r="350">
          <cell r="A350">
            <v>609</v>
          </cell>
          <cell r="B350" t="str">
            <v>هشام ادم على محمد الحاج</v>
          </cell>
          <cell r="C350" t="str">
            <v>هشام</v>
          </cell>
          <cell r="D350" t="str">
            <v>ادم</v>
          </cell>
          <cell r="E350" t="str">
            <v>على</v>
          </cell>
          <cell r="F350" t="str">
            <v>محمد</v>
          </cell>
          <cell r="G350" t="str">
            <v>المصنع</v>
          </cell>
          <cell r="H350" t="str">
            <v>الميكانيكا</v>
          </cell>
          <cell r="K350" t="str">
            <v>حداد</v>
          </cell>
          <cell r="L350" t="str">
            <v>حداد صيانه</v>
          </cell>
          <cell r="M350">
            <v>42922</v>
          </cell>
          <cell r="N350">
            <v>43500</v>
          </cell>
          <cell r="O350">
            <v>1</v>
          </cell>
          <cell r="P350">
            <v>6</v>
          </cell>
          <cell r="R350">
            <v>45</v>
          </cell>
          <cell r="X350">
            <v>41580</v>
          </cell>
          <cell r="Z350">
            <v>31048</v>
          </cell>
          <cell r="AI350" t="str">
            <v>تسنين</v>
          </cell>
          <cell r="AJ350" t="str">
            <v>094860</v>
          </cell>
          <cell r="AK350">
            <v>0</v>
          </cell>
          <cell r="AL350">
            <v>6</v>
          </cell>
          <cell r="AM350">
            <v>8</v>
          </cell>
          <cell r="AN350">
            <v>4</v>
          </cell>
          <cell r="AO350">
            <v>9</v>
          </cell>
          <cell r="AP350">
            <v>0</v>
          </cell>
          <cell r="AS350">
            <v>43500</v>
          </cell>
          <cell r="AT350">
            <v>34</v>
          </cell>
          <cell r="BE350" t="str">
            <v>118-9200944-6</v>
          </cell>
          <cell r="BF350" t="str">
            <v>عايده احمد محمد</v>
          </cell>
          <cell r="BG350" t="str">
            <v>العربى</v>
          </cell>
          <cell r="BH350" t="str">
            <v>امدرمان</v>
          </cell>
          <cell r="BI350" t="str">
            <v>0907233581</v>
          </cell>
          <cell r="BJ350" t="str">
            <v>الطاهر على</v>
          </cell>
          <cell r="BL350" t="str">
            <v>خالي الطرف</v>
          </cell>
          <cell r="BN350">
            <v>43500</v>
          </cell>
          <cell r="CQ350" t="str">
            <v>شركة المصنع السودانى الماليزى</v>
          </cell>
          <cell r="CR350" t="str">
            <v>حداد</v>
          </cell>
          <cell r="CS350">
            <v>38718</v>
          </cell>
          <cell r="CT350">
            <v>42005</v>
          </cell>
          <cell r="EQ350">
            <v>0</v>
          </cell>
          <cell r="ES350">
            <v>41580</v>
          </cell>
          <cell r="ET350">
            <v>41944</v>
          </cell>
          <cell r="EU350" t="str">
            <v>حداد</v>
          </cell>
          <cell r="EW350">
            <v>42922</v>
          </cell>
          <cell r="EX350">
            <v>43286</v>
          </cell>
          <cell r="FB350">
            <v>41580</v>
          </cell>
          <cell r="FG350" t="str">
            <v>مدير الصيانه الميكانيكيه</v>
          </cell>
          <cell r="FH350" t="str">
            <v>محمد احمد محمد سليمان</v>
          </cell>
          <cell r="FI350" t="str">
            <v>118-9200944-6</v>
          </cell>
        </row>
        <row r="351">
          <cell r="A351">
            <v>610</v>
          </cell>
          <cell r="B351" t="str">
            <v>محمد الهادى عبدالرحمن</v>
          </cell>
          <cell r="C351" t="str">
            <v>محمد</v>
          </cell>
          <cell r="D351" t="str">
            <v>الهادى</v>
          </cell>
          <cell r="E351" t="str">
            <v>عبدالرحمن</v>
          </cell>
          <cell r="F351" t="str">
            <v>الهادى</v>
          </cell>
          <cell r="G351" t="str">
            <v>المصنع</v>
          </cell>
          <cell r="H351" t="str">
            <v>الانتاج</v>
          </cell>
          <cell r="K351" t="str">
            <v>عامل</v>
          </cell>
          <cell r="L351" t="str">
            <v>عامل</v>
          </cell>
          <cell r="M351">
            <v>42414</v>
          </cell>
          <cell r="N351">
            <v>43500</v>
          </cell>
          <cell r="O351">
            <v>2</v>
          </cell>
          <cell r="P351">
            <v>11</v>
          </cell>
          <cell r="R351">
            <v>87.5</v>
          </cell>
          <cell r="X351">
            <v>41580</v>
          </cell>
          <cell r="Z351">
            <v>32686</v>
          </cell>
          <cell r="AG351">
            <v>9</v>
          </cell>
          <cell r="AH351">
            <v>1</v>
          </cell>
          <cell r="AI351" t="str">
            <v>ميلاد</v>
          </cell>
          <cell r="AJ351" t="str">
            <v>797834</v>
          </cell>
          <cell r="AK351">
            <v>4</v>
          </cell>
          <cell r="AL351">
            <v>3</v>
          </cell>
          <cell r="AM351">
            <v>8</v>
          </cell>
          <cell r="AN351">
            <v>7</v>
          </cell>
          <cell r="AO351">
            <v>9</v>
          </cell>
          <cell r="AP351">
            <v>7</v>
          </cell>
          <cell r="AS351">
            <v>43500</v>
          </cell>
          <cell r="AT351">
            <v>29</v>
          </cell>
          <cell r="AU351" t="str">
            <v>جواز سفر</v>
          </cell>
          <cell r="AV351" t="str">
            <v>03954648</v>
          </cell>
          <cell r="AW351">
            <v>8</v>
          </cell>
          <cell r="AX351">
            <v>4</v>
          </cell>
          <cell r="AY351">
            <v>6</v>
          </cell>
          <cell r="AZ351">
            <v>4</v>
          </cell>
          <cell r="BA351">
            <v>5</v>
          </cell>
          <cell r="BB351">
            <v>9</v>
          </cell>
          <cell r="BC351">
            <v>3</v>
          </cell>
          <cell r="BD351">
            <v>0</v>
          </cell>
          <cell r="BE351" t="str">
            <v>190-3825329-5</v>
          </cell>
          <cell r="BF351" t="str">
            <v>اميمه الحاج محمد</v>
          </cell>
          <cell r="BG351" t="str">
            <v>الجزيره</v>
          </cell>
          <cell r="BH351" t="str">
            <v>الجزيره - النوبه</v>
          </cell>
          <cell r="BI351" t="str">
            <v>0922383782</v>
          </cell>
          <cell r="BJ351" t="str">
            <v>ابو بكر المهل</v>
          </cell>
          <cell r="BK351" t="str">
            <v>0920144202</v>
          </cell>
          <cell r="BL351" t="str">
            <v>خالي الطرف</v>
          </cell>
          <cell r="BN351">
            <v>43500</v>
          </cell>
          <cell r="BS351" t="str">
            <v>الخراطه</v>
          </cell>
          <cell r="BT351" t="str">
            <v>تدريب مهني</v>
          </cell>
          <cell r="BV351">
            <v>40330</v>
          </cell>
          <cell r="EQ351">
            <v>0</v>
          </cell>
          <cell r="ES351">
            <v>41580</v>
          </cell>
          <cell r="ET351">
            <v>41944</v>
          </cell>
          <cell r="EU351" t="str">
            <v>عامل</v>
          </cell>
          <cell r="FG351" t="str">
            <v xml:space="preserve"> مدير الانتاج</v>
          </cell>
          <cell r="FH351" t="str">
            <v>هشام عيسى محمد عبدالكريم</v>
          </cell>
          <cell r="FI351" t="str">
            <v>190-3825329-5</v>
          </cell>
        </row>
        <row r="352">
          <cell r="A352">
            <v>611</v>
          </cell>
          <cell r="B352" t="str">
            <v>عمر عبد الله الصديق محمد احمد</v>
          </cell>
          <cell r="G352" t="str">
            <v>المصنع</v>
          </cell>
          <cell r="H352" t="str">
            <v>الانتاج</v>
          </cell>
          <cell r="L352" t="str">
            <v>عامل</v>
          </cell>
          <cell r="M352">
            <v>41580</v>
          </cell>
          <cell r="O352" t="e">
            <v>#NUM!</v>
          </cell>
          <cell r="P352" t="e">
            <v>#NUM!</v>
          </cell>
          <cell r="R352" t="e">
            <v>#NUM!</v>
          </cell>
          <cell r="T352" t="str">
            <v>m</v>
          </cell>
          <cell r="AS352">
            <v>43500</v>
          </cell>
          <cell r="AT352">
            <v>119</v>
          </cell>
          <cell r="BN352">
            <v>43500</v>
          </cell>
          <cell r="EQ352">
            <v>0</v>
          </cell>
          <cell r="ES352">
            <v>41580</v>
          </cell>
          <cell r="ET352">
            <v>41944</v>
          </cell>
          <cell r="EU352" t="str">
            <v>عامل</v>
          </cell>
          <cell r="FG352" t="str">
            <v xml:space="preserve"> مدير الانتاج</v>
          </cell>
          <cell r="FH352" t="str">
            <v>هشام عيسى محمد عبدالكريم</v>
          </cell>
          <cell r="FI352">
            <v>0</v>
          </cell>
        </row>
        <row r="353">
          <cell r="A353">
            <v>614</v>
          </cell>
          <cell r="B353" t="str">
            <v>محمد عيد حمد حران</v>
          </cell>
          <cell r="G353" t="str">
            <v>المصنع</v>
          </cell>
          <cell r="H353" t="str">
            <v>الانتاج</v>
          </cell>
          <cell r="L353" t="str">
            <v>عامل</v>
          </cell>
          <cell r="M353">
            <v>41581</v>
          </cell>
          <cell r="O353" t="e">
            <v>#NUM!</v>
          </cell>
          <cell r="P353" t="e">
            <v>#NUM!</v>
          </cell>
          <cell r="R353" t="e">
            <v>#NUM!</v>
          </cell>
          <cell r="T353" t="str">
            <v>m</v>
          </cell>
          <cell r="AS353">
            <v>43500</v>
          </cell>
          <cell r="AT353">
            <v>119</v>
          </cell>
          <cell r="BH353" t="str">
            <v>عد بابكر</v>
          </cell>
          <cell r="BN353">
            <v>43500</v>
          </cell>
          <cell r="EQ353">
            <v>0</v>
          </cell>
          <cell r="ES353">
            <v>41581</v>
          </cell>
          <cell r="ET353">
            <v>41945</v>
          </cell>
          <cell r="EU353" t="str">
            <v>عامل</v>
          </cell>
          <cell r="FG353" t="str">
            <v xml:space="preserve"> مدير الانتاج</v>
          </cell>
          <cell r="FH353" t="str">
            <v>هشام عيسى محمد عبدالكريم</v>
          </cell>
          <cell r="FI353">
            <v>0</v>
          </cell>
        </row>
        <row r="354">
          <cell r="A354">
            <v>615</v>
          </cell>
          <cell r="B354" t="str">
            <v>هيثم صالح ابراهيم صالح</v>
          </cell>
          <cell r="C354" t="str">
            <v>هيثم</v>
          </cell>
          <cell r="D354" t="str">
            <v>صالح</v>
          </cell>
          <cell r="E354" t="str">
            <v>ابراهيم</v>
          </cell>
          <cell r="F354" t="str">
            <v>صالح</v>
          </cell>
          <cell r="G354" t="str">
            <v>المصنع</v>
          </cell>
          <cell r="H354" t="str">
            <v>الميكانيكا</v>
          </cell>
          <cell r="I354" t="str">
            <v>الحداده</v>
          </cell>
          <cell r="L354" t="str">
            <v>حداد صيانه</v>
          </cell>
          <cell r="M354">
            <v>42081</v>
          </cell>
          <cell r="N354">
            <v>42696</v>
          </cell>
          <cell r="O354">
            <v>1</v>
          </cell>
          <cell r="P354">
            <v>8</v>
          </cell>
          <cell r="R354">
            <v>50</v>
          </cell>
          <cell r="T354" t="str">
            <v>إستقال</v>
          </cell>
          <cell r="U354">
            <v>42697</v>
          </cell>
          <cell r="V354">
            <v>42696</v>
          </cell>
          <cell r="Z354">
            <v>27760</v>
          </cell>
          <cell r="AG354">
            <v>9</v>
          </cell>
          <cell r="AH354">
            <v>1</v>
          </cell>
          <cell r="AI354" t="str">
            <v>تسنين</v>
          </cell>
          <cell r="AJ354" t="str">
            <v>2953283</v>
          </cell>
          <cell r="AK354">
            <v>3</v>
          </cell>
          <cell r="AL354">
            <v>8</v>
          </cell>
          <cell r="AM354">
            <v>2</v>
          </cell>
          <cell r="AN354">
            <v>3</v>
          </cell>
          <cell r="AO354">
            <v>5</v>
          </cell>
          <cell r="AP354">
            <v>9</v>
          </cell>
          <cell r="AQ354">
            <v>2</v>
          </cell>
          <cell r="AS354">
            <v>43500</v>
          </cell>
          <cell r="AT354">
            <v>43</v>
          </cell>
          <cell r="AU354" t="str">
            <v>جنسيه</v>
          </cell>
          <cell r="AV354" t="str">
            <v>0473874</v>
          </cell>
          <cell r="AW354">
            <v>3</v>
          </cell>
          <cell r="AX354">
            <v>7</v>
          </cell>
          <cell r="AY354">
            <v>8</v>
          </cell>
          <cell r="AZ354">
            <v>3</v>
          </cell>
          <cell r="BA354">
            <v>7</v>
          </cell>
          <cell r="BB354">
            <v>4</v>
          </cell>
          <cell r="BC354">
            <v>0</v>
          </cell>
          <cell r="BE354" t="str">
            <v>114-3000178-3</v>
          </cell>
          <cell r="BF354" t="str">
            <v>بخيتة عبدالجبار</v>
          </cell>
          <cell r="BG354" t="str">
            <v>العربى</v>
          </cell>
          <cell r="BH354" t="str">
            <v>السمير</v>
          </cell>
          <cell r="BI354" t="str">
            <v>0917529648</v>
          </cell>
          <cell r="BJ354" t="str">
            <v>عبدالجبار إبراهيم صالح</v>
          </cell>
          <cell r="BL354" t="str">
            <v>خالي الطرف</v>
          </cell>
          <cell r="BN354">
            <v>43500</v>
          </cell>
          <cell r="CQ354" t="str">
            <v>شركة المصنع السودانى الماليزى</v>
          </cell>
          <cell r="CR354" t="str">
            <v>حداد</v>
          </cell>
          <cell r="CS354">
            <v>38643</v>
          </cell>
          <cell r="CT354">
            <v>41244</v>
          </cell>
          <cell r="CV354" t="str">
            <v>شركة فيرونايل للاستثمار والخدمات المحدودة</v>
          </cell>
          <cell r="CW354" t="str">
            <v>حداد</v>
          </cell>
          <cell r="CX354">
            <v>41791</v>
          </cell>
          <cell r="CY354">
            <v>42073</v>
          </cell>
          <cell r="EQ354">
            <v>0</v>
          </cell>
          <cell r="FG354" t="str">
            <v>مدير الصيانه الميكانيكيه</v>
          </cell>
          <cell r="FH354" t="str">
            <v>محمد احمد محمد سليمان</v>
          </cell>
          <cell r="FI354" t="str">
            <v>114-3000178-3</v>
          </cell>
        </row>
        <row r="355">
          <cell r="A355">
            <v>616</v>
          </cell>
          <cell r="B355" t="str">
            <v>كمال فضل شرف الدين فضل</v>
          </cell>
          <cell r="G355" t="str">
            <v>المصنع</v>
          </cell>
          <cell r="H355" t="str">
            <v>الامن و الحركه</v>
          </cell>
          <cell r="L355" t="str">
            <v>فرد امن</v>
          </cell>
          <cell r="M355">
            <v>41582</v>
          </cell>
          <cell r="O355" t="e">
            <v>#NUM!</v>
          </cell>
          <cell r="P355" t="e">
            <v>#NUM!</v>
          </cell>
          <cell r="R355" t="e">
            <v>#NUM!</v>
          </cell>
          <cell r="T355" t="str">
            <v>m</v>
          </cell>
          <cell r="AS355">
            <v>43500</v>
          </cell>
          <cell r="AT355">
            <v>119</v>
          </cell>
          <cell r="BN355">
            <v>43500</v>
          </cell>
          <cell r="EQ355">
            <v>0</v>
          </cell>
          <cell r="ES355">
            <v>41582</v>
          </cell>
          <cell r="ET355">
            <v>41946</v>
          </cell>
          <cell r="EU355" t="str">
            <v>فرد امن</v>
          </cell>
          <cell r="FG355" t="str">
            <v>مدير الامن و الحركه</v>
          </cell>
          <cell r="FH355" t="str">
            <v>فارس حمدان عبدالله فارس</v>
          </cell>
          <cell r="FI355">
            <v>0</v>
          </cell>
        </row>
        <row r="356">
          <cell r="A356">
            <v>620</v>
          </cell>
          <cell r="B356" t="str">
            <v>عبد الفتاح نقد خيرى الامين</v>
          </cell>
          <cell r="G356" t="str">
            <v>المصنع</v>
          </cell>
          <cell r="H356" t="str">
            <v>الخدمات</v>
          </cell>
          <cell r="L356" t="str">
            <v>جناينى</v>
          </cell>
          <cell r="M356">
            <v>41582</v>
          </cell>
          <cell r="O356" t="e">
            <v>#NUM!</v>
          </cell>
          <cell r="P356" t="e">
            <v>#NUM!</v>
          </cell>
          <cell r="R356" t="e">
            <v>#NUM!</v>
          </cell>
          <cell r="T356" t="str">
            <v>m</v>
          </cell>
          <cell r="AS356">
            <v>43500</v>
          </cell>
          <cell r="AT356">
            <v>119</v>
          </cell>
          <cell r="BH356" t="str">
            <v>الخرطوم - سوبا</v>
          </cell>
          <cell r="BN356">
            <v>43500</v>
          </cell>
          <cell r="EQ356">
            <v>0</v>
          </cell>
          <cell r="ES356">
            <v>41582</v>
          </cell>
          <cell r="ET356">
            <v>41946</v>
          </cell>
          <cell r="EU356" t="str">
            <v>جناينى</v>
          </cell>
          <cell r="FG356" t="str">
            <v>المدير الادارى</v>
          </cell>
          <cell r="FH356" t="str">
            <v>احمد عبدالرحيم ابوبكر محمد</v>
          </cell>
          <cell r="FI356">
            <v>0</v>
          </cell>
        </row>
        <row r="357">
          <cell r="A357">
            <v>623</v>
          </cell>
          <cell r="B357" t="str">
            <v>حسن احمد على احمد</v>
          </cell>
          <cell r="G357" t="str">
            <v>المصنع</v>
          </cell>
          <cell r="H357" t="str">
            <v>الانتاج</v>
          </cell>
          <cell r="L357" t="str">
            <v>عامل</v>
          </cell>
          <cell r="M357">
            <v>41587</v>
          </cell>
          <cell r="O357" t="e">
            <v>#NUM!</v>
          </cell>
          <cell r="P357" t="e">
            <v>#NUM!</v>
          </cell>
          <cell r="R357" t="e">
            <v>#NUM!</v>
          </cell>
          <cell r="T357" t="str">
            <v>m</v>
          </cell>
          <cell r="AS357">
            <v>43500</v>
          </cell>
          <cell r="AT357">
            <v>119</v>
          </cell>
          <cell r="BN357">
            <v>43500</v>
          </cell>
          <cell r="EQ357">
            <v>0</v>
          </cell>
          <cell r="ES357">
            <v>41587</v>
          </cell>
          <cell r="ET357">
            <v>41951</v>
          </cell>
          <cell r="EU357" t="str">
            <v>عامل</v>
          </cell>
          <cell r="FG357" t="str">
            <v xml:space="preserve"> مدير الانتاج</v>
          </cell>
          <cell r="FH357" t="str">
            <v>هشام عيسى محمد عبدالكريم</v>
          </cell>
          <cell r="FI357">
            <v>0</v>
          </cell>
        </row>
        <row r="358">
          <cell r="A358">
            <v>624</v>
          </cell>
          <cell r="B358" t="str">
            <v>محمد عبد الرحمن منصور محمد</v>
          </cell>
          <cell r="G358" t="str">
            <v>المصنع</v>
          </cell>
          <cell r="H358" t="str">
            <v>الميكانيكا</v>
          </cell>
          <cell r="L358" t="str">
            <v>مهندس</v>
          </cell>
          <cell r="M358">
            <v>41584</v>
          </cell>
          <cell r="O358" t="e">
            <v>#NUM!</v>
          </cell>
          <cell r="P358" t="e">
            <v>#NUM!</v>
          </cell>
          <cell r="R358" t="e">
            <v>#NUM!</v>
          </cell>
          <cell r="T358" t="str">
            <v>m</v>
          </cell>
          <cell r="AS358">
            <v>43500</v>
          </cell>
          <cell r="AT358">
            <v>119</v>
          </cell>
          <cell r="BN358">
            <v>43500</v>
          </cell>
          <cell r="EQ358">
            <v>0</v>
          </cell>
          <cell r="ES358">
            <v>41584</v>
          </cell>
          <cell r="ET358">
            <v>41948</v>
          </cell>
          <cell r="EU358" t="str">
            <v xml:space="preserve">مهندس </v>
          </cell>
          <cell r="FG358" t="str">
            <v>مدير الصيانه الميكانيكيه</v>
          </cell>
          <cell r="FH358" t="str">
            <v>محمد احمد محمد سليمان</v>
          </cell>
          <cell r="FI358">
            <v>0</v>
          </cell>
        </row>
        <row r="359">
          <cell r="A359">
            <v>625</v>
          </cell>
          <cell r="B359" t="str">
            <v>عابدين بخيت عبدالفضيل اسماعيل</v>
          </cell>
          <cell r="C359" t="str">
            <v>عابدين</v>
          </cell>
          <cell r="D359" t="str">
            <v>بخيت</v>
          </cell>
          <cell r="E359" t="str">
            <v>عبدالفضيل</v>
          </cell>
          <cell r="F359" t="str">
            <v>اسماعيل</v>
          </cell>
          <cell r="G359" t="str">
            <v>المصنع</v>
          </cell>
          <cell r="H359" t="str">
            <v>الانتاج</v>
          </cell>
          <cell r="I359" t="str">
            <v>الزوايا</v>
          </cell>
          <cell r="K359" t="str">
            <v>عامل</v>
          </cell>
          <cell r="L359" t="str">
            <v>عامل</v>
          </cell>
          <cell r="M359">
            <v>41585</v>
          </cell>
          <cell r="N359">
            <v>43500</v>
          </cell>
          <cell r="O359">
            <v>5</v>
          </cell>
          <cell r="P359">
            <v>2</v>
          </cell>
          <cell r="R359">
            <v>155</v>
          </cell>
          <cell r="Z359">
            <v>21186</v>
          </cell>
          <cell r="AG359">
            <v>9</v>
          </cell>
          <cell r="AH359">
            <v>1</v>
          </cell>
          <cell r="AI359" t="str">
            <v>تسنين</v>
          </cell>
          <cell r="AJ359" t="str">
            <v>670996</v>
          </cell>
          <cell r="AK359">
            <v>6</v>
          </cell>
          <cell r="AL359">
            <v>9</v>
          </cell>
          <cell r="AM359">
            <v>9</v>
          </cell>
          <cell r="AN359">
            <v>0</v>
          </cell>
          <cell r="AO359">
            <v>7</v>
          </cell>
          <cell r="AP359">
            <v>6</v>
          </cell>
          <cell r="AS359">
            <v>43500</v>
          </cell>
          <cell r="AT359">
            <v>61</v>
          </cell>
          <cell r="AU359" t="str">
            <v>جنسيه</v>
          </cell>
          <cell r="AV359" t="str">
            <v>070314</v>
          </cell>
          <cell r="AW359">
            <v>4</v>
          </cell>
          <cell r="AX359">
            <v>1</v>
          </cell>
          <cell r="AY359">
            <v>3</v>
          </cell>
          <cell r="AZ359">
            <v>0</v>
          </cell>
          <cell r="BA359">
            <v>7</v>
          </cell>
          <cell r="BB359">
            <v>0</v>
          </cell>
          <cell r="BF359" t="str">
            <v>النعيمه جباره حمدنا الله</v>
          </cell>
          <cell r="BG359" t="str">
            <v>الجزيره</v>
          </cell>
          <cell r="BH359" t="str">
            <v>الجزيره - المسعوديه</v>
          </cell>
          <cell r="BI359" t="str">
            <v>0902508711</v>
          </cell>
          <cell r="BJ359" t="str">
            <v>حافظ بخيت</v>
          </cell>
          <cell r="BK359" t="str">
            <v>09121524419</v>
          </cell>
          <cell r="BN359">
            <v>43500</v>
          </cell>
          <cell r="EQ359">
            <v>0</v>
          </cell>
          <cell r="ER359">
            <v>61</v>
          </cell>
          <cell r="ES359">
            <v>41585</v>
          </cell>
          <cell r="ET359">
            <v>41949</v>
          </cell>
          <cell r="EU359" t="str">
            <v>عامل</v>
          </cell>
          <cell r="FG359" t="str">
            <v xml:space="preserve"> مدير الانتاج</v>
          </cell>
          <cell r="FH359" t="str">
            <v>هشام عيسى محمد عبدالكريم</v>
          </cell>
          <cell r="FI359">
            <v>0</v>
          </cell>
        </row>
        <row r="360">
          <cell r="A360">
            <v>627</v>
          </cell>
          <cell r="B360" t="str">
            <v>رانى عمر الامين محمد احمد</v>
          </cell>
          <cell r="C360" t="str">
            <v>رانى</v>
          </cell>
          <cell r="D360" t="str">
            <v>عمر</v>
          </cell>
          <cell r="E360" t="str">
            <v>الامين</v>
          </cell>
          <cell r="F360" t="str">
            <v>محمد</v>
          </cell>
          <cell r="G360" t="str">
            <v>المصنع</v>
          </cell>
          <cell r="H360" t="str">
            <v>الانتاج</v>
          </cell>
          <cell r="I360" t="str">
            <v>التشريح</v>
          </cell>
          <cell r="K360" t="str">
            <v>عامل</v>
          </cell>
          <cell r="L360" t="str">
            <v>مشغل كرين</v>
          </cell>
          <cell r="M360">
            <v>41587</v>
          </cell>
          <cell r="N360">
            <v>43500</v>
          </cell>
          <cell r="O360">
            <v>5</v>
          </cell>
          <cell r="P360">
            <v>2</v>
          </cell>
          <cell r="R360">
            <v>155</v>
          </cell>
          <cell r="Z360">
            <v>28856</v>
          </cell>
          <cell r="AG360">
            <v>9</v>
          </cell>
          <cell r="AH360">
            <v>1</v>
          </cell>
          <cell r="AI360" t="str">
            <v>تسنين</v>
          </cell>
          <cell r="AJ360" t="str">
            <v>2715004</v>
          </cell>
          <cell r="AK360">
            <v>4</v>
          </cell>
          <cell r="AL360">
            <v>0</v>
          </cell>
          <cell r="AM360">
            <v>0</v>
          </cell>
          <cell r="AN360">
            <v>5</v>
          </cell>
          <cell r="AO360">
            <v>1</v>
          </cell>
          <cell r="AP360">
            <v>7</v>
          </cell>
          <cell r="AQ360">
            <v>2</v>
          </cell>
          <cell r="AS360">
            <v>43500</v>
          </cell>
          <cell r="AT360">
            <v>40</v>
          </cell>
          <cell r="AU360" t="str">
            <v>جنسيه</v>
          </cell>
          <cell r="AV360" t="str">
            <v>126479</v>
          </cell>
          <cell r="AW360">
            <v>9</v>
          </cell>
          <cell r="AX360">
            <v>7</v>
          </cell>
          <cell r="AY360">
            <v>4</v>
          </cell>
          <cell r="AZ360">
            <v>6</v>
          </cell>
          <cell r="BA360">
            <v>2</v>
          </cell>
          <cell r="BB360">
            <v>1</v>
          </cell>
          <cell r="BE360" t="str">
            <v>190-0815714-9</v>
          </cell>
          <cell r="BF360" t="str">
            <v>نعمات مصطفى محمد</v>
          </cell>
          <cell r="BG360" t="str">
            <v>الجزيره</v>
          </cell>
          <cell r="BH360" t="str">
            <v>الجزيره - النوبه</v>
          </cell>
          <cell r="BI360" t="str">
            <v>0126992311</v>
          </cell>
          <cell r="BJ360" t="str">
            <v>يوسف دفع الله</v>
          </cell>
          <cell r="BK360" t="str">
            <v>0111998078</v>
          </cell>
          <cell r="BL360" t="str">
            <v>خالي الطرف</v>
          </cell>
          <cell r="BN360">
            <v>43500</v>
          </cell>
          <cell r="BT360" t="str">
            <v>شهاده ثانويه</v>
          </cell>
          <cell r="BV360">
            <v>35886</v>
          </cell>
          <cell r="EQ360">
            <v>0</v>
          </cell>
          <cell r="ER360">
            <v>85</v>
          </cell>
          <cell r="ES360">
            <v>41587</v>
          </cell>
          <cell r="ET360">
            <v>41951</v>
          </cell>
          <cell r="EU360" t="str">
            <v>عامل</v>
          </cell>
          <cell r="FG360" t="str">
            <v xml:space="preserve"> مدير الانتاج</v>
          </cell>
          <cell r="FH360" t="str">
            <v>هشام عيسى محمد عبدالكريم</v>
          </cell>
          <cell r="FI360" t="str">
            <v>190-0815714-9</v>
          </cell>
        </row>
        <row r="361">
          <cell r="A361">
            <v>628</v>
          </cell>
          <cell r="B361" t="str">
            <v>عبد الغفار احمد عمر الحاج</v>
          </cell>
          <cell r="G361" t="str">
            <v>المصنع</v>
          </cell>
          <cell r="H361" t="str">
            <v>الانتاج</v>
          </cell>
          <cell r="M361">
            <v>41587</v>
          </cell>
          <cell r="O361" t="e">
            <v>#NUM!</v>
          </cell>
          <cell r="P361" t="e">
            <v>#NUM!</v>
          </cell>
          <cell r="R361" t="e">
            <v>#NUM!</v>
          </cell>
          <cell r="T361" t="str">
            <v>m</v>
          </cell>
          <cell r="AS361">
            <v>43500</v>
          </cell>
          <cell r="AT361">
            <v>119</v>
          </cell>
          <cell r="BN361">
            <v>43500</v>
          </cell>
          <cell r="EQ361">
            <v>0</v>
          </cell>
          <cell r="ES361">
            <v>41587</v>
          </cell>
          <cell r="ET361">
            <v>41951</v>
          </cell>
          <cell r="EU361" t="str">
            <v>عامل</v>
          </cell>
          <cell r="FG361" t="str">
            <v xml:space="preserve"> مدير الانتاج</v>
          </cell>
          <cell r="FH361" t="str">
            <v>هشام عيسى محمد عبدالكريم</v>
          </cell>
          <cell r="FI361">
            <v>0</v>
          </cell>
        </row>
        <row r="362">
          <cell r="A362">
            <v>631</v>
          </cell>
          <cell r="B362" t="str">
            <v>سعيد احمد محمد سعيد</v>
          </cell>
          <cell r="C362" t="str">
            <v>سعيد</v>
          </cell>
          <cell r="D362" t="str">
            <v>احمد</v>
          </cell>
          <cell r="E362" t="str">
            <v>محمد</v>
          </cell>
          <cell r="F362" t="str">
            <v>سعيد</v>
          </cell>
          <cell r="G362" t="str">
            <v>المصنع</v>
          </cell>
          <cell r="H362" t="str">
            <v>الانتاج</v>
          </cell>
          <cell r="I362" t="str">
            <v>المواسير</v>
          </cell>
          <cell r="K362" t="str">
            <v>عامل</v>
          </cell>
          <cell r="L362" t="str">
            <v>مشغل</v>
          </cell>
          <cell r="M362">
            <v>41589</v>
          </cell>
          <cell r="N362">
            <v>43500</v>
          </cell>
          <cell r="O362">
            <v>5</v>
          </cell>
          <cell r="P362">
            <v>2</v>
          </cell>
          <cell r="R362">
            <v>155</v>
          </cell>
          <cell r="Z362">
            <v>32804</v>
          </cell>
          <cell r="AG362">
            <v>9</v>
          </cell>
          <cell r="AH362">
            <v>1</v>
          </cell>
          <cell r="AI362" t="str">
            <v>ميلاد</v>
          </cell>
          <cell r="AJ362" t="str">
            <v>918149</v>
          </cell>
          <cell r="AK362">
            <v>9</v>
          </cell>
          <cell r="AL362">
            <v>4</v>
          </cell>
          <cell r="AM362">
            <v>1</v>
          </cell>
          <cell r="AN362">
            <v>8</v>
          </cell>
          <cell r="AO362">
            <v>1</v>
          </cell>
          <cell r="AP362">
            <v>9</v>
          </cell>
          <cell r="AS362">
            <v>43500</v>
          </cell>
          <cell r="AT362">
            <v>29</v>
          </cell>
          <cell r="AU362" t="str">
            <v>بطاقه قوميه</v>
          </cell>
          <cell r="AV362" t="str">
            <v>005095045</v>
          </cell>
          <cell r="AW362">
            <v>5</v>
          </cell>
          <cell r="AX362">
            <v>4</v>
          </cell>
          <cell r="AY362">
            <v>0</v>
          </cell>
          <cell r="AZ362">
            <v>5</v>
          </cell>
          <cell r="BA362">
            <v>9</v>
          </cell>
          <cell r="BB362">
            <v>0</v>
          </cell>
          <cell r="BC362">
            <v>5</v>
          </cell>
          <cell r="BD362">
            <v>0</v>
          </cell>
          <cell r="BH362" t="str">
            <v>السمير</v>
          </cell>
          <cell r="BI362" t="str">
            <v>0910268939</v>
          </cell>
          <cell r="BJ362" t="str">
            <v>عمر بله احمد</v>
          </cell>
          <cell r="BK362" t="str">
            <v>0902111640</v>
          </cell>
          <cell r="BL362" t="str">
            <v>خالي الطرف</v>
          </cell>
          <cell r="BN362">
            <v>43500</v>
          </cell>
          <cell r="EQ362">
            <v>0</v>
          </cell>
          <cell r="ER362">
            <v>83</v>
          </cell>
          <cell r="ES362">
            <v>41589</v>
          </cell>
          <cell r="ET362">
            <v>41953</v>
          </cell>
          <cell r="EU362" t="str">
            <v>حداد</v>
          </cell>
          <cell r="FG362" t="str">
            <v xml:space="preserve"> مدير الانتاج</v>
          </cell>
          <cell r="FH362" t="str">
            <v>هشام عيسى محمد عبدالكريم</v>
          </cell>
          <cell r="FI362">
            <v>0</v>
          </cell>
        </row>
        <row r="363">
          <cell r="A363">
            <v>634</v>
          </cell>
          <cell r="B363" t="str">
            <v>عبد الرحمن سرحان احمد سرحان</v>
          </cell>
          <cell r="G363" t="str">
            <v>المصنع</v>
          </cell>
          <cell r="H363" t="str">
            <v>الميكانيكا</v>
          </cell>
          <cell r="L363" t="str">
            <v>فنى</v>
          </cell>
          <cell r="M363">
            <v>42298</v>
          </cell>
          <cell r="O363" t="e">
            <v>#NUM!</v>
          </cell>
          <cell r="P363" t="e">
            <v>#NUM!</v>
          </cell>
          <cell r="R363" t="e">
            <v>#NUM!</v>
          </cell>
          <cell r="T363" t="str">
            <v>إستقال</v>
          </cell>
          <cell r="U363">
            <v>42518</v>
          </cell>
          <cell r="X363">
            <v>41591</v>
          </cell>
          <cell r="AS363">
            <v>43500</v>
          </cell>
          <cell r="AT363">
            <v>119</v>
          </cell>
          <cell r="BH363" t="str">
            <v>الجزيرة - الجديد</v>
          </cell>
          <cell r="BN363">
            <v>43500</v>
          </cell>
          <cell r="EQ363">
            <v>0</v>
          </cell>
          <cell r="ES363">
            <v>41591</v>
          </cell>
          <cell r="ET363">
            <v>41955</v>
          </cell>
          <cell r="EU363" t="str">
            <v>فنى ميكانيكا</v>
          </cell>
          <cell r="EW363">
            <v>42298</v>
          </cell>
          <cell r="EX363">
            <v>42663</v>
          </cell>
          <cell r="EY363" t="str">
            <v>فنى</v>
          </cell>
          <cell r="FB363">
            <v>41591</v>
          </cell>
          <cell r="FG363" t="str">
            <v>مدير الصيانه الميكانيكيه</v>
          </cell>
          <cell r="FH363" t="str">
            <v>محمد احمد محمد سليمان</v>
          </cell>
          <cell r="FI363">
            <v>0</v>
          </cell>
        </row>
        <row r="364">
          <cell r="A364">
            <v>636</v>
          </cell>
          <cell r="B364" t="str">
            <v>احمد محمد عبده بيومى</v>
          </cell>
          <cell r="G364" t="str">
            <v>المصنع</v>
          </cell>
          <cell r="H364" t="str">
            <v>الميكانيكا</v>
          </cell>
          <cell r="I364" t="str">
            <v>صيانه عامه</v>
          </cell>
          <cell r="L364" t="str">
            <v>فنى صيانه عامه</v>
          </cell>
          <cell r="M364">
            <v>41592</v>
          </cell>
          <cell r="N364">
            <v>42717</v>
          </cell>
          <cell r="O364">
            <v>3</v>
          </cell>
          <cell r="P364">
            <v>0</v>
          </cell>
          <cell r="R364">
            <v>90</v>
          </cell>
          <cell r="T364" t="str">
            <v>إستقال</v>
          </cell>
          <cell r="U364">
            <v>42717</v>
          </cell>
          <cell r="V364">
            <v>42717</v>
          </cell>
          <cell r="Z364">
            <v>28002</v>
          </cell>
          <cell r="AG364">
            <v>9</v>
          </cell>
          <cell r="AH364">
            <v>1</v>
          </cell>
          <cell r="AI364" t="str">
            <v>ميلاد</v>
          </cell>
          <cell r="AJ364" t="str">
            <v>630228</v>
          </cell>
          <cell r="AK364">
            <v>8</v>
          </cell>
          <cell r="AL364">
            <v>2</v>
          </cell>
          <cell r="AM364">
            <v>2</v>
          </cell>
          <cell r="AN364">
            <v>0</v>
          </cell>
          <cell r="AO364">
            <v>3</v>
          </cell>
          <cell r="AP364">
            <v>6</v>
          </cell>
          <cell r="AS364">
            <v>43500</v>
          </cell>
          <cell r="AT364">
            <v>42</v>
          </cell>
          <cell r="AU364" t="str">
            <v>جنسيه</v>
          </cell>
          <cell r="AV364" t="str">
            <v>468299</v>
          </cell>
          <cell r="AW364">
            <v>9</v>
          </cell>
          <cell r="AX364">
            <v>9</v>
          </cell>
          <cell r="AY364">
            <v>2</v>
          </cell>
          <cell r="AZ364">
            <v>8</v>
          </cell>
          <cell r="BA364">
            <v>6</v>
          </cell>
          <cell r="BB364">
            <v>4</v>
          </cell>
          <cell r="BF364" t="str">
            <v>انيسه عبدالحميد</v>
          </cell>
          <cell r="BG364" t="str">
            <v>بحرى</v>
          </cell>
          <cell r="BH364" t="str">
            <v>الحاج يوسف - م 1</v>
          </cell>
          <cell r="BI364" t="str">
            <v>0912973286</v>
          </cell>
          <cell r="BJ364" t="str">
            <v>الفاتح عامر</v>
          </cell>
          <cell r="BL364" t="str">
            <v>خالي الطرف</v>
          </cell>
          <cell r="BN364">
            <v>43500</v>
          </cell>
          <cell r="BS364" t="str">
            <v>ميكانيكا ديزل</v>
          </cell>
          <cell r="BT364" t="str">
            <v>تدريب مهني</v>
          </cell>
          <cell r="BU364" t="str">
            <v>المجلس القومى للتدريب المهنى</v>
          </cell>
          <cell r="BV364">
            <v>36312</v>
          </cell>
          <cell r="CQ364" t="str">
            <v>الشركة الوطنية لصناعة الحديد والصلب المحدودة</v>
          </cell>
          <cell r="CR364" t="str">
            <v>فنى صيانه</v>
          </cell>
          <cell r="CS364">
            <v>38354</v>
          </cell>
          <cell r="CT364">
            <v>40602</v>
          </cell>
          <cell r="CV364" t="str">
            <v>شركة كندين إمارات وسترين للهندسة المحدودة</v>
          </cell>
          <cell r="CW364" t="str">
            <v>فنى ميكانيكا</v>
          </cell>
          <cell r="CX364">
            <v>40604</v>
          </cell>
          <cell r="CY364">
            <v>40969</v>
          </cell>
          <cell r="EQ364">
            <v>0</v>
          </cell>
          <cell r="ES364">
            <v>41592</v>
          </cell>
          <cell r="ET364">
            <v>41956</v>
          </cell>
          <cell r="EU364" t="str">
            <v>فنى ميكانيكا</v>
          </cell>
          <cell r="FG364" t="str">
            <v>مدير الصيانه الميكانيكيه</v>
          </cell>
          <cell r="FH364" t="str">
            <v>محمد احمد محمد سليمان</v>
          </cell>
          <cell r="FI364">
            <v>0</v>
          </cell>
        </row>
        <row r="365">
          <cell r="A365">
            <v>637</v>
          </cell>
          <cell r="B365" t="str">
            <v>امير محمد احمد على</v>
          </cell>
          <cell r="O365">
            <v>0</v>
          </cell>
          <cell r="P365">
            <v>0</v>
          </cell>
          <cell r="R365">
            <v>0</v>
          </cell>
          <cell r="T365" t="str">
            <v>توفى</v>
          </cell>
          <cell r="AS365">
            <v>43500</v>
          </cell>
          <cell r="AT365">
            <v>119</v>
          </cell>
          <cell r="BN365">
            <v>43500</v>
          </cell>
          <cell r="EQ365">
            <v>0</v>
          </cell>
          <cell r="FG365" t="e">
            <v>#N/A</v>
          </cell>
          <cell r="FH365" t="e">
            <v>#N/A</v>
          </cell>
          <cell r="FI365">
            <v>0</v>
          </cell>
        </row>
        <row r="366">
          <cell r="A366">
            <v>639</v>
          </cell>
          <cell r="B366" t="str">
            <v xml:space="preserve">خالد محمد على اسماعيل </v>
          </cell>
          <cell r="G366" t="str">
            <v>المصنع</v>
          </cell>
          <cell r="H366" t="str">
            <v>الانتاج</v>
          </cell>
          <cell r="L366" t="str">
            <v>مهندس إنتاج</v>
          </cell>
          <cell r="M366">
            <v>41779</v>
          </cell>
          <cell r="O366" t="e">
            <v>#NUM!</v>
          </cell>
          <cell r="P366" t="e">
            <v>#NUM!</v>
          </cell>
          <cell r="R366" t="e">
            <v>#NUM!</v>
          </cell>
          <cell r="T366" t="str">
            <v>m</v>
          </cell>
          <cell r="X366">
            <v>41597</v>
          </cell>
          <cell r="AS366">
            <v>43500</v>
          </cell>
          <cell r="AT366">
            <v>119</v>
          </cell>
          <cell r="BH366" t="str">
            <v>الحاج يوسف</v>
          </cell>
          <cell r="BN366">
            <v>43500</v>
          </cell>
          <cell r="EQ366">
            <v>0</v>
          </cell>
          <cell r="ES366">
            <v>41597</v>
          </cell>
          <cell r="ET366">
            <v>41961</v>
          </cell>
          <cell r="EU366" t="str">
            <v>مهندس إنتاج</v>
          </cell>
          <cell r="EW366">
            <v>41779</v>
          </cell>
          <cell r="EX366">
            <v>42143</v>
          </cell>
          <cell r="EY366" t="str">
            <v>مهندس</v>
          </cell>
          <cell r="FB366">
            <v>41597</v>
          </cell>
          <cell r="FG366" t="str">
            <v xml:space="preserve"> مدير الانتاج</v>
          </cell>
          <cell r="FH366" t="str">
            <v>هشام عيسى محمد عبدالكريم</v>
          </cell>
          <cell r="FI366">
            <v>0</v>
          </cell>
        </row>
        <row r="367">
          <cell r="A367">
            <v>640</v>
          </cell>
          <cell r="B367" t="str">
            <v>يوسف عبدالماجد محمد على</v>
          </cell>
          <cell r="C367" t="str">
            <v>يوسف</v>
          </cell>
          <cell r="D367" t="str">
            <v>عبدالماجد</v>
          </cell>
          <cell r="E367" t="str">
            <v>محمد</v>
          </cell>
          <cell r="F367" t="str">
            <v>على</v>
          </cell>
          <cell r="G367" t="str">
            <v>المصنع</v>
          </cell>
          <cell r="H367" t="str">
            <v>المستودعات</v>
          </cell>
          <cell r="I367" t="str">
            <v>المنتج الجاهز</v>
          </cell>
          <cell r="L367" t="str">
            <v>امين مستودع م ج</v>
          </cell>
          <cell r="M367">
            <v>41598</v>
          </cell>
          <cell r="N367">
            <v>42686</v>
          </cell>
          <cell r="O367">
            <v>2</v>
          </cell>
          <cell r="P367">
            <v>11</v>
          </cell>
          <cell r="R367">
            <v>87.5</v>
          </cell>
          <cell r="T367" t="str">
            <v>إستقال</v>
          </cell>
          <cell r="U367">
            <v>42686</v>
          </cell>
          <cell r="V367">
            <v>42686</v>
          </cell>
          <cell r="Z367">
            <v>30317</v>
          </cell>
          <cell r="AG367">
            <v>9</v>
          </cell>
          <cell r="AH367">
            <v>1</v>
          </cell>
          <cell r="AI367" t="str">
            <v>تسنين</v>
          </cell>
          <cell r="AJ367" t="str">
            <v>49841</v>
          </cell>
          <cell r="AK367">
            <v>1</v>
          </cell>
          <cell r="AL367">
            <v>4</v>
          </cell>
          <cell r="AM367">
            <v>8</v>
          </cell>
          <cell r="AN367">
            <v>9</v>
          </cell>
          <cell r="AO367">
            <v>4</v>
          </cell>
          <cell r="AS367">
            <v>43500</v>
          </cell>
          <cell r="AT367">
            <v>36</v>
          </cell>
          <cell r="AU367" t="str">
            <v>جنسيه</v>
          </cell>
          <cell r="AV367" t="str">
            <v>0020975</v>
          </cell>
          <cell r="AW367">
            <v>5</v>
          </cell>
          <cell r="AX367">
            <v>7</v>
          </cell>
          <cell r="AY367">
            <v>9</v>
          </cell>
          <cell r="AZ367">
            <v>0</v>
          </cell>
          <cell r="BA367">
            <v>2</v>
          </cell>
          <cell r="BB367">
            <v>0</v>
          </cell>
          <cell r="BC367">
            <v>0</v>
          </cell>
          <cell r="BF367" t="str">
            <v>بخيته إبراهيم</v>
          </cell>
          <cell r="BG367" t="str">
            <v>العربى</v>
          </cell>
          <cell r="BH367" t="str">
            <v>السلمة - البقالة</v>
          </cell>
          <cell r="BI367" t="str">
            <v>0129149127</v>
          </cell>
          <cell r="BJ367" t="str">
            <v>عثمان سراج</v>
          </cell>
          <cell r="BK367" t="str">
            <v>0912359486</v>
          </cell>
          <cell r="BL367" t="str">
            <v>خالي الطرف</v>
          </cell>
          <cell r="BN367">
            <v>43500</v>
          </cell>
          <cell r="BS367" t="str">
            <v>هندسة ميكانيكية ( إنتاج )</v>
          </cell>
          <cell r="BT367" t="str">
            <v>دبلوم تقني</v>
          </cell>
          <cell r="BU367" t="str">
            <v xml:space="preserve">جامعة وادى النيل </v>
          </cell>
          <cell r="BV367">
            <v>39160</v>
          </cell>
          <cell r="BW367" t="str">
            <v>علوم حاسوب</v>
          </cell>
          <cell r="BX367" t="str">
            <v>دبلوم (معاهد)</v>
          </cell>
          <cell r="BY367" t="str">
            <v>أكاديمية إبن حيان لعلوم الحاسوب واللغات</v>
          </cell>
          <cell r="BZ367">
            <v>40471</v>
          </cell>
          <cell r="CQ367" t="str">
            <v>شركة ويتا الصناعية المحدودة</v>
          </cell>
          <cell r="CR367" t="str">
            <v>فنى ميكانيكا</v>
          </cell>
          <cell r="CS367">
            <v>39664</v>
          </cell>
          <cell r="CT367">
            <v>40376</v>
          </cell>
          <cell r="CV367" t="str">
            <v>شركة دان فوديو</v>
          </cell>
          <cell r="CW367" t="str">
            <v>مهندس ميكانيكى</v>
          </cell>
          <cell r="CX367">
            <v>39119</v>
          </cell>
          <cell r="CY367">
            <v>39422</v>
          </cell>
          <cell r="DA367" t="str">
            <v>ورشة خدمات طاهر الهندسية</v>
          </cell>
          <cell r="DB367" t="str">
            <v>متدرب</v>
          </cell>
          <cell r="DC367">
            <v>39417</v>
          </cell>
          <cell r="DD367">
            <v>39508</v>
          </cell>
          <cell r="EQ367">
            <v>0</v>
          </cell>
          <cell r="ES367">
            <v>41598</v>
          </cell>
          <cell r="ET367">
            <v>41962</v>
          </cell>
          <cell r="EU367" t="str">
            <v>امين مستودع</v>
          </cell>
          <cell r="FG367" t="str">
            <v>مدير المستودعات</v>
          </cell>
          <cell r="FH367" t="str">
            <v>على احمد على بابكر</v>
          </cell>
          <cell r="FI367">
            <v>0</v>
          </cell>
        </row>
        <row r="368">
          <cell r="A368">
            <v>641</v>
          </cell>
          <cell r="B368" t="str">
            <v>احمد حسن محمد صالح</v>
          </cell>
          <cell r="C368" t="str">
            <v>احمد</v>
          </cell>
          <cell r="D368" t="str">
            <v>حسن</v>
          </cell>
          <cell r="E368" t="str">
            <v>محمد</v>
          </cell>
          <cell r="F368" t="str">
            <v>صالح</v>
          </cell>
          <cell r="G368" t="str">
            <v>المصنع</v>
          </cell>
          <cell r="H368" t="str">
            <v>الانتاج</v>
          </cell>
          <cell r="L368" t="str">
            <v>مهندس إنتاج</v>
          </cell>
          <cell r="M368">
            <v>41598</v>
          </cell>
          <cell r="O368" t="e">
            <v>#NUM!</v>
          </cell>
          <cell r="P368" t="e">
            <v>#NUM!</v>
          </cell>
          <cell r="R368" t="e">
            <v>#NUM!</v>
          </cell>
          <cell r="T368" t="str">
            <v>m</v>
          </cell>
          <cell r="AS368">
            <v>43500</v>
          </cell>
          <cell r="AT368">
            <v>119</v>
          </cell>
          <cell r="BH368" t="str">
            <v>امدرمان</v>
          </cell>
          <cell r="BN368">
            <v>43500</v>
          </cell>
          <cell r="EQ368">
            <v>0</v>
          </cell>
          <cell r="ES368">
            <v>41598</v>
          </cell>
          <cell r="ET368">
            <v>41962</v>
          </cell>
          <cell r="EU368" t="str">
            <v>مهندس إنتاج</v>
          </cell>
          <cell r="FG368" t="str">
            <v xml:space="preserve"> مدير الانتاج</v>
          </cell>
          <cell r="FH368" t="str">
            <v>هشام عيسى محمد عبدالكريم</v>
          </cell>
          <cell r="FI368">
            <v>0</v>
          </cell>
        </row>
        <row r="369">
          <cell r="A369">
            <v>643</v>
          </cell>
          <cell r="B369" t="str">
            <v>صالح يعقوب محمد ابراهيم</v>
          </cell>
          <cell r="C369" t="str">
            <v>صالح</v>
          </cell>
          <cell r="D369" t="str">
            <v>يعقوب</v>
          </cell>
          <cell r="E369" t="str">
            <v>محمد</v>
          </cell>
          <cell r="F369" t="str">
            <v>ابراهيم</v>
          </cell>
          <cell r="G369" t="str">
            <v>المصنع</v>
          </cell>
          <cell r="H369" t="str">
            <v>الخدمات</v>
          </cell>
          <cell r="K369" t="str">
            <v>عامل</v>
          </cell>
          <cell r="L369" t="str">
            <v>عامل</v>
          </cell>
          <cell r="M369">
            <v>41599</v>
          </cell>
          <cell r="N369">
            <v>43500</v>
          </cell>
          <cell r="O369">
            <v>5</v>
          </cell>
          <cell r="P369">
            <v>2</v>
          </cell>
          <cell r="R369">
            <v>155</v>
          </cell>
          <cell r="Z369">
            <v>19360</v>
          </cell>
          <cell r="AG369">
            <v>9</v>
          </cell>
          <cell r="AH369">
            <v>1</v>
          </cell>
          <cell r="AI369" t="str">
            <v>تسنين</v>
          </cell>
          <cell r="AJ369" t="str">
            <v>0307775</v>
          </cell>
          <cell r="AK369">
            <v>5</v>
          </cell>
          <cell r="AL369">
            <v>7</v>
          </cell>
          <cell r="AM369">
            <v>7</v>
          </cell>
          <cell r="AN369">
            <v>7</v>
          </cell>
          <cell r="AO369">
            <v>0</v>
          </cell>
          <cell r="AP369">
            <v>3</v>
          </cell>
          <cell r="AQ369">
            <v>0</v>
          </cell>
          <cell r="AS369">
            <v>43500</v>
          </cell>
          <cell r="AT369">
            <v>66</v>
          </cell>
          <cell r="BG369" t="str">
            <v>العربى</v>
          </cell>
          <cell r="BH369" t="str">
            <v>مايو - حى الوحده</v>
          </cell>
          <cell r="BI369" t="str">
            <v>0997899139</v>
          </cell>
          <cell r="BJ369" t="str">
            <v>محمد ادم عبد العزيز</v>
          </cell>
          <cell r="BK369" t="str">
            <v>0904381350</v>
          </cell>
          <cell r="BN369">
            <v>43500</v>
          </cell>
          <cell r="EQ369">
            <v>0</v>
          </cell>
          <cell r="ER369">
            <v>72</v>
          </cell>
          <cell r="ES369">
            <v>41599</v>
          </cell>
          <cell r="ET369">
            <v>41963</v>
          </cell>
          <cell r="EU369" t="str">
            <v>عامل</v>
          </cell>
          <cell r="FG369" t="str">
            <v>المدير الادارى</v>
          </cell>
          <cell r="FH369" t="str">
            <v>احمد عبدالرحيم ابوبكر محمد</v>
          </cell>
          <cell r="FI369">
            <v>0</v>
          </cell>
        </row>
        <row r="370">
          <cell r="A370">
            <v>644</v>
          </cell>
          <cell r="B370" t="str">
            <v>ايمن حسب الله يعقوب</v>
          </cell>
          <cell r="G370" t="str">
            <v>المصنع</v>
          </cell>
          <cell r="H370" t="str">
            <v>الانتاج</v>
          </cell>
          <cell r="I370" t="str">
            <v>المواسير</v>
          </cell>
          <cell r="L370" t="str">
            <v>مساعد مشغل</v>
          </cell>
          <cell r="M370">
            <v>41601</v>
          </cell>
          <cell r="N370">
            <v>42829</v>
          </cell>
          <cell r="O370">
            <v>3</v>
          </cell>
          <cell r="P370">
            <v>4</v>
          </cell>
          <cell r="R370">
            <v>100</v>
          </cell>
          <cell r="T370" t="str">
            <v>إستقال</v>
          </cell>
          <cell r="U370">
            <v>42842</v>
          </cell>
          <cell r="AG370">
            <v>9</v>
          </cell>
          <cell r="AH370">
            <v>1</v>
          </cell>
          <cell r="AS370">
            <v>43500</v>
          </cell>
          <cell r="AT370">
            <v>119</v>
          </cell>
          <cell r="BE370" t="str">
            <v>116-6314140-9</v>
          </cell>
          <cell r="BF370" t="str">
            <v>روضه على</v>
          </cell>
          <cell r="BG370" t="str">
            <v>العربى</v>
          </cell>
          <cell r="BH370" t="str">
            <v>امدرمان - الثورة</v>
          </cell>
          <cell r="BI370" t="str">
            <v>0912951448</v>
          </cell>
          <cell r="BJ370" t="str">
            <v>حاتم على</v>
          </cell>
          <cell r="BL370" t="str">
            <v>خالي الطرف</v>
          </cell>
          <cell r="BN370">
            <v>43500</v>
          </cell>
          <cell r="BS370" t="str">
            <v>حاسوب</v>
          </cell>
          <cell r="BT370" t="str">
            <v>دبلوم (معاهد)</v>
          </cell>
          <cell r="BU370" t="str">
            <v>اكاديمية الدانقا لعلوم الكمبيوتر واللغات</v>
          </cell>
          <cell r="BV370">
            <v>40057</v>
          </cell>
          <cell r="CQ370" t="str">
            <v>شركة المصنع السودانى الماليزى</v>
          </cell>
          <cell r="CR370" t="str">
            <v>حداد</v>
          </cell>
          <cell r="CS370">
            <v>40125</v>
          </cell>
          <cell r="CT370">
            <v>41587</v>
          </cell>
          <cell r="EQ370">
            <v>0</v>
          </cell>
          <cell r="ER370">
            <v>87</v>
          </cell>
          <cell r="ES370">
            <v>41601</v>
          </cell>
          <cell r="ET370">
            <v>41965</v>
          </cell>
          <cell r="EU370" t="str">
            <v>حداد</v>
          </cell>
          <cell r="FG370" t="str">
            <v xml:space="preserve"> مدير الانتاج</v>
          </cell>
          <cell r="FH370" t="str">
            <v>هشام عيسى محمد عبدالكريم</v>
          </cell>
          <cell r="FI370" t="str">
            <v>116-6314140-9</v>
          </cell>
        </row>
        <row r="371">
          <cell r="A371">
            <v>645</v>
          </cell>
          <cell r="B371" t="str">
            <v>محمد سراج الين بابكر احمد</v>
          </cell>
          <cell r="G371" t="str">
            <v>المصنع</v>
          </cell>
          <cell r="H371" t="str">
            <v>الانتاج</v>
          </cell>
          <cell r="L371" t="str">
            <v>مهندس تشغيل</v>
          </cell>
          <cell r="M371">
            <v>41601</v>
          </cell>
          <cell r="O371" t="e">
            <v>#NUM!</v>
          </cell>
          <cell r="P371" t="e">
            <v>#NUM!</v>
          </cell>
          <cell r="R371" t="e">
            <v>#NUM!</v>
          </cell>
          <cell r="T371" t="str">
            <v>m</v>
          </cell>
          <cell r="AS371">
            <v>43500</v>
          </cell>
          <cell r="AT371">
            <v>119</v>
          </cell>
          <cell r="BN371">
            <v>43500</v>
          </cell>
          <cell r="EQ371">
            <v>0</v>
          </cell>
          <cell r="ES371">
            <v>41601</v>
          </cell>
          <cell r="ET371">
            <v>41965</v>
          </cell>
          <cell r="EU371" t="str">
            <v>مهندس تشغيل</v>
          </cell>
          <cell r="FG371" t="str">
            <v xml:space="preserve"> مدير الانتاج</v>
          </cell>
          <cell r="FH371" t="str">
            <v>هشام عيسى محمد عبدالكريم</v>
          </cell>
          <cell r="FI371">
            <v>0</v>
          </cell>
        </row>
        <row r="372">
          <cell r="A372">
            <v>646</v>
          </cell>
          <cell r="B372" t="str">
            <v>التاج معلا يوسف معلا</v>
          </cell>
          <cell r="G372" t="str">
            <v>المصنع</v>
          </cell>
          <cell r="H372" t="str">
            <v>الانتاج</v>
          </cell>
          <cell r="L372" t="str">
            <v>عامل</v>
          </cell>
          <cell r="M372">
            <v>41594</v>
          </cell>
          <cell r="O372" t="e">
            <v>#NUM!</v>
          </cell>
          <cell r="P372" t="e">
            <v>#NUM!</v>
          </cell>
          <cell r="R372" t="e">
            <v>#NUM!</v>
          </cell>
          <cell r="T372" t="str">
            <v>m</v>
          </cell>
          <cell r="AS372">
            <v>43500</v>
          </cell>
          <cell r="AT372">
            <v>119</v>
          </cell>
          <cell r="BH372" t="str">
            <v>الخرطوم - غرب</v>
          </cell>
          <cell r="BN372">
            <v>43500</v>
          </cell>
          <cell r="EQ372">
            <v>0</v>
          </cell>
          <cell r="ES372">
            <v>41594</v>
          </cell>
          <cell r="ET372">
            <v>41958</v>
          </cell>
          <cell r="EU372" t="str">
            <v>عامل</v>
          </cell>
          <cell r="FG372" t="str">
            <v xml:space="preserve"> مدير الانتاج</v>
          </cell>
          <cell r="FH372" t="str">
            <v>هشام عيسى محمد عبدالكريم</v>
          </cell>
          <cell r="FI372">
            <v>0</v>
          </cell>
        </row>
        <row r="373">
          <cell r="A373">
            <v>647</v>
          </cell>
          <cell r="B373" t="str">
            <v>عامر محمد هارون ادم</v>
          </cell>
          <cell r="G373" t="str">
            <v>المصنع</v>
          </cell>
          <cell r="H373" t="str">
            <v>الامن و الحركه</v>
          </cell>
          <cell r="L373" t="str">
            <v>فرد امن</v>
          </cell>
          <cell r="M373">
            <v>41602</v>
          </cell>
          <cell r="O373" t="e">
            <v>#NUM!</v>
          </cell>
          <cell r="P373" t="e">
            <v>#NUM!</v>
          </cell>
          <cell r="R373" t="e">
            <v>#NUM!</v>
          </cell>
          <cell r="T373" t="str">
            <v>m</v>
          </cell>
          <cell r="AS373">
            <v>43500</v>
          </cell>
          <cell r="AT373">
            <v>119</v>
          </cell>
          <cell r="BN373">
            <v>43500</v>
          </cell>
          <cell r="EQ373">
            <v>0</v>
          </cell>
          <cell r="ES373">
            <v>41602</v>
          </cell>
          <cell r="ET373">
            <v>41966</v>
          </cell>
          <cell r="EU373" t="str">
            <v>فرد امن</v>
          </cell>
          <cell r="FG373" t="str">
            <v>مدير الامن و الحركه</v>
          </cell>
          <cell r="FH373" t="str">
            <v>فارس حمدان عبدالله فارس</v>
          </cell>
          <cell r="FI373">
            <v>0</v>
          </cell>
        </row>
        <row r="374">
          <cell r="A374">
            <v>648</v>
          </cell>
          <cell r="B374" t="str">
            <v>احمد محمد سليمان حامد</v>
          </cell>
          <cell r="G374" t="str">
            <v>المصنع</v>
          </cell>
          <cell r="H374" t="str">
            <v>الانتاج</v>
          </cell>
          <cell r="L374" t="str">
            <v>مشغل</v>
          </cell>
          <cell r="M374">
            <v>42542</v>
          </cell>
          <cell r="N374">
            <v>42829</v>
          </cell>
          <cell r="O374">
            <v>0</v>
          </cell>
          <cell r="P374">
            <v>9</v>
          </cell>
          <cell r="R374">
            <v>22.5</v>
          </cell>
          <cell r="T374" t="str">
            <v>إستقال</v>
          </cell>
          <cell r="U374">
            <v>42842</v>
          </cell>
          <cell r="X374">
            <v>41603</v>
          </cell>
          <cell r="Z374">
            <v>30898</v>
          </cell>
          <cell r="AG374">
            <v>9</v>
          </cell>
          <cell r="AH374">
            <v>1</v>
          </cell>
          <cell r="AI374" t="str">
            <v>ميلاد</v>
          </cell>
          <cell r="AJ374" t="str">
            <v>177919</v>
          </cell>
          <cell r="AK374">
            <v>9</v>
          </cell>
          <cell r="AL374">
            <v>1</v>
          </cell>
          <cell r="AM374">
            <v>9</v>
          </cell>
          <cell r="AN374">
            <v>7</v>
          </cell>
          <cell r="AO374">
            <v>7</v>
          </cell>
          <cell r="AP374">
            <v>1</v>
          </cell>
          <cell r="AS374">
            <v>43500</v>
          </cell>
          <cell r="AT374">
            <v>34</v>
          </cell>
          <cell r="AU374" t="str">
            <v>جنسيه</v>
          </cell>
          <cell r="AV374" t="str">
            <v>0537415</v>
          </cell>
          <cell r="AW374">
            <v>5</v>
          </cell>
          <cell r="AX374">
            <v>1</v>
          </cell>
          <cell r="AY374">
            <v>4</v>
          </cell>
          <cell r="AZ374">
            <v>7</v>
          </cell>
          <cell r="BA374">
            <v>3</v>
          </cell>
          <cell r="BB374">
            <v>5</v>
          </cell>
          <cell r="BC374">
            <v>0</v>
          </cell>
          <cell r="BE374" t="str">
            <v>101-0075718-2</v>
          </cell>
          <cell r="BF374" t="str">
            <v>امنه محمد حمد</v>
          </cell>
          <cell r="BG374" t="str">
            <v>العربى</v>
          </cell>
          <cell r="BH374" t="str">
            <v>امدرمان الثورة</v>
          </cell>
          <cell r="BI374" t="str">
            <v>0912277909</v>
          </cell>
          <cell r="BJ374" t="str">
            <v>ايمن محمد سليمان</v>
          </cell>
          <cell r="BL374" t="str">
            <v>خالي الطرف</v>
          </cell>
          <cell r="BN374">
            <v>43500</v>
          </cell>
          <cell r="BS374" t="str">
            <v>Production Engineering</v>
          </cell>
          <cell r="BT374" t="str">
            <v>دبلوم تقني</v>
          </cell>
          <cell r="BU374" t="str">
            <v>جامعة امدرمان الاسلامية</v>
          </cell>
          <cell r="BV374">
            <v>39234</v>
          </cell>
          <cell r="EQ374">
            <v>0</v>
          </cell>
          <cell r="ES374">
            <v>41603</v>
          </cell>
          <cell r="ET374">
            <v>41967</v>
          </cell>
          <cell r="EU374" t="str">
            <v>مشغل انتاج</v>
          </cell>
          <cell r="FB374">
            <v>41603</v>
          </cell>
          <cell r="FG374" t="str">
            <v xml:space="preserve"> مدير الانتاج</v>
          </cell>
          <cell r="FH374" t="str">
            <v>هشام عيسى محمد عبدالكريم</v>
          </cell>
          <cell r="FI374" t="str">
            <v>101-0075718-2</v>
          </cell>
        </row>
        <row r="375">
          <cell r="A375">
            <v>650</v>
          </cell>
          <cell r="B375" t="str">
            <v>ناصر ابراهيم ادريس عشر</v>
          </cell>
          <cell r="C375" t="str">
            <v>ناصر</v>
          </cell>
          <cell r="D375" t="str">
            <v>ابراهيم</v>
          </cell>
          <cell r="E375" t="str">
            <v>ادريس</v>
          </cell>
          <cell r="F375" t="str">
            <v>عشر</v>
          </cell>
          <cell r="G375" t="str">
            <v>المصنع</v>
          </cell>
          <cell r="H375" t="str">
            <v>الانتاج</v>
          </cell>
          <cell r="I375" t="str">
            <v>اليات</v>
          </cell>
          <cell r="K375" t="str">
            <v>سائق كرين</v>
          </cell>
          <cell r="L375" t="str">
            <v>سائق اليات</v>
          </cell>
          <cell r="M375">
            <v>41609</v>
          </cell>
          <cell r="N375">
            <v>43500</v>
          </cell>
          <cell r="O375">
            <v>5</v>
          </cell>
          <cell r="P375">
            <v>2</v>
          </cell>
          <cell r="R375">
            <v>155</v>
          </cell>
          <cell r="Z375">
            <v>31413</v>
          </cell>
          <cell r="AG375">
            <v>9</v>
          </cell>
          <cell r="AH375">
            <v>1</v>
          </cell>
          <cell r="AI375" t="str">
            <v>تسنين</v>
          </cell>
          <cell r="AJ375" t="str">
            <v>39466</v>
          </cell>
          <cell r="AK375">
            <v>6</v>
          </cell>
          <cell r="AL375">
            <v>6</v>
          </cell>
          <cell r="AM375">
            <v>4</v>
          </cell>
          <cell r="AN375">
            <v>9</v>
          </cell>
          <cell r="AO375">
            <v>3</v>
          </cell>
          <cell r="AS375">
            <v>43500</v>
          </cell>
          <cell r="AT375">
            <v>33</v>
          </cell>
          <cell r="BG375" t="str">
            <v>الكلاكله</v>
          </cell>
          <cell r="BN375">
            <v>43500</v>
          </cell>
          <cell r="EN375">
            <v>30</v>
          </cell>
          <cell r="EP375">
            <v>30</v>
          </cell>
          <cell r="EQ375">
            <v>90</v>
          </cell>
          <cell r="ER375">
            <v>38</v>
          </cell>
          <cell r="ES375">
            <v>41609</v>
          </cell>
          <cell r="ET375">
            <v>41973</v>
          </cell>
          <cell r="EU375" t="str">
            <v>سائق كرين</v>
          </cell>
          <cell r="FG375" t="str">
            <v xml:space="preserve"> مدير الانتاج</v>
          </cell>
          <cell r="FH375" t="str">
            <v>هشام عيسى محمد عبدالكريم</v>
          </cell>
          <cell r="FI375">
            <v>0</v>
          </cell>
          <cell r="HC375" t="str">
            <v>30</v>
          </cell>
        </row>
        <row r="376">
          <cell r="A376">
            <v>652</v>
          </cell>
          <cell r="B376" t="str">
            <v>مهدى حامد خضر</v>
          </cell>
          <cell r="G376" t="str">
            <v>المصنع</v>
          </cell>
          <cell r="H376" t="str">
            <v>الانتاج</v>
          </cell>
          <cell r="L376" t="str">
            <v>عامل</v>
          </cell>
          <cell r="M376">
            <v>41609</v>
          </cell>
          <cell r="O376" t="e">
            <v>#NUM!</v>
          </cell>
          <cell r="P376" t="e">
            <v>#NUM!</v>
          </cell>
          <cell r="R376" t="e">
            <v>#NUM!</v>
          </cell>
          <cell r="T376" t="str">
            <v>فصل</v>
          </cell>
          <cell r="U376">
            <v>41902</v>
          </cell>
          <cell r="V376">
            <v>41902</v>
          </cell>
          <cell r="AS376">
            <v>43500</v>
          </cell>
          <cell r="AT376">
            <v>119</v>
          </cell>
          <cell r="BH376" t="str">
            <v>الجزيرة - السمير</v>
          </cell>
          <cell r="BN376">
            <v>43500</v>
          </cell>
          <cell r="EQ376">
            <v>0</v>
          </cell>
          <cell r="ES376">
            <v>41609</v>
          </cell>
          <cell r="ET376">
            <v>41973</v>
          </cell>
          <cell r="EU376" t="str">
            <v>عامل</v>
          </cell>
          <cell r="FG376" t="str">
            <v xml:space="preserve"> مدير الانتاج</v>
          </cell>
          <cell r="FH376" t="str">
            <v>هشام عيسى محمد عبدالكريم</v>
          </cell>
          <cell r="FI376">
            <v>0</v>
          </cell>
        </row>
        <row r="377">
          <cell r="A377">
            <v>653</v>
          </cell>
          <cell r="B377" t="str">
            <v>حسن النور اسماعيل خيرى</v>
          </cell>
          <cell r="C377" t="str">
            <v>حسن</v>
          </cell>
          <cell r="D377" t="str">
            <v>النور</v>
          </cell>
          <cell r="E377" t="str">
            <v>اسماعيل</v>
          </cell>
          <cell r="F377" t="str">
            <v>خيرى</v>
          </cell>
          <cell r="G377" t="str">
            <v>المصنع</v>
          </cell>
          <cell r="H377" t="str">
            <v>الكهرباء</v>
          </cell>
          <cell r="I377" t="str">
            <v>موتورات</v>
          </cell>
          <cell r="K377" t="str">
            <v>فنى لف موتورات</v>
          </cell>
          <cell r="L377" t="str">
            <v>فنى لف موتورات</v>
          </cell>
          <cell r="M377">
            <v>41609</v>
          </cell>
          <cell r="N377">
            <v>43500</v>
          </cell>
          <cell r="O377">
            <v>5</v>
          </cell>
          <cell r="P377">
            <v>2</v>
          </cell>
          <cell r="R377">
            <v>155</v>
          </cell>
          <cell r="Z377">
            <v>20821</v>
          </cell>
          <cell r="AG377">
            <v>9</v>
          </cell>
          <cell r="AH377">
            <v>1</v>
          </cell>
          <cell r="AI377" t="str">
            <v>تسنين</v>
          </cell>
          <cell r="AJ377" t="str">
            <v>770423</v>
          </cell>
          <cell r="AK377">
            <v>3</v>
          </cell>
          <cell r="AL377">
            <v>2</v>
          </cell>
          <cell r="AM377">
            <v>4</v>
          </cell>
          <cell r="AN377">
            <v>0</v>
          </cell>
          <cell r="AO377">
            <v>7</v>
          </cell>
          <cell r="AP377">
            <v>7</v>
          </cell>
          <cell r="AS377">
            <v>43500</v>
          </cell>
          <cell r="AT377">
            <v>62</v>
          </cell>
          <cell r="AU377" t="str">
            <v>بطاقه قوميه</v>
          </cell>
          <cell r="AV377" t="str">
            <v>001087062</v>
          </cell>
          <cell r="AW377">
            <v>2</v>
          </cell>
          <cell r="AX377">
            <v>6</v>
          </cell>
          <cell r="AY377">
            <v>0</v>
          </cell>
          <cell r="AZ377">
            <v>7</v>
          </cell>
          <cell r="BA377">
            <v>8</v>
          </cell>
          <cell r="BB377">
            <v>0</v>
          </cell>
          <cell r="BC377">
            <v>1</v>
          </cell>
          <cell r="BD377">
            <v>0</v>
          </cell>
          <cell r="BE377" t="str">
            <v>120-5366287-9</v>
          </cell>
          <cell r="BF377" t="str">
            <v>حوليه تمبول الفيل</v>
          </cell>
          <cell r="BG377" t="str">
            <v>الجزيره</v>
          </cell>
          <cell r="BL377" t="str">
            <v>كبار سن</v>
          </cell>
          <cell r="BN377">
            <v>43500</v>
          </cell>
          <cell r="BS377" t="str">
            <v>كهرباء عامة</v>
          </cell>
          <cell r="BT377" t="str">
            <v>شهاده ثانويه</v>
          </cell>
          <cell r="BV377">
            <v>34790</v>
          </cell>
          <cell r="BW377" t="str">
            <v>كهرباء عامه</v>
          </cell>
          <cell r="BX377" t="str">
            <v>دبلوم (معاهد)</v>
          </cell>
          <cell r="BY377" t="str">
            <v>معهد الاصالة للعلوم الفنية</v>
          </cell>
          <cell r="BZ377">
            <v>35028</v>
          </cell>
          <cell r="CQ377" t="str">
            <v>ورشة فرح الهندسية</v>
          </cell>
          <cell r="CR377" t="str">
            <v>فنى لف موتورات</v>
          </cell>
          <cell r="CS377">
            <v>32874</v>
          </cell>
          <cell r="CT377">
            <v>36526</v>
          </cell>
          <cell r="CV377" t="str">
            <v>الشركة الوطنية لصناعة الحديد والصلب</v>
          </cell>
          <cell r="CW377" t="str">
            <v>فنى كهرباء</v>
          </cell>
          <cell r="CX377">
            <v>38719</v>
          </cell>
          <cell r="CY377">
            <v>40602</v>
          </cell>
          <cell r="DA377" t="str">
            <v>الشركة العربية للانتاج والتصنيع الزراعى</v>
          </cell>
          <cell r="DB377" t="str">
            <v>فنى لف موتورات</v>
          </cell>
          <cell r="DC377">
            <v>36192</v>
          </cell>
          <cell r="DD377">
            <v>38078</v>
          </cell>
          <cell r="EN377">
            <v>30</v>
          </cell>
          <cell r="EQ377">
            <v>30</v>
          </cell>
          <cell r="ER377">
            <v>25</v>
          </cell>
          <cell r="ES377">
            <v>41609</v>
          </cell>
          <cell r="ET377">
            <v>41973</v>
          </cell>
          <cell r="EU377" t="str">
            <v>فنى لف موتورات</v>
          </cell>
          <cell r="FG377" t="str">
            <v>مدير الصيانه الكهربائيه</v>
          </cell>
          <cell r="FH377" t="str">
            <v>ماهر ضيف الله سليمان جابر</v>
          </cell>
          <cell r="FI377" t="str">
            <v>120-5366287-9</v>
          </cell>
        </row>
        <row r="378">
          <cell r="A378">
            <v>655</v>
          </cell>
          <cell r="B378" t="str">
            <v>موسى محمد محمد نور يوسف</v>
          </cell>
          <cell r="G378" t="str">
            <v>المصنع</v>
          </cell>
          <cell r="H378" t="str">
            <v>الانتاج</v>
          </cell>
          <cell r="L378" t="str">
            <v>عامل</v>
          </cell>
          <cell r="M378">
            <v>41245</v>
          </cell>
          <cell r="O378" t="e">
            <v>#NUM!</v>
          </cell>
          <cell r="P378" t="e">
            <v>#NUM!</v>
          </cell>
          <cell r="R378" t="e">
            <v>#NUM!</v>
          </cell>
          <cell r="T378" t="str">
            <v>m</v>
          </cell>
          <cell r="AS378">
            <v>43500</v>
          </cell>
          <cell r="AT378">
            <v>119</v>
          </cell>
          <cell r="BH378" t="str">
            <v>الجزيرة - السمير</v>
          </cell>
          <cell r="BN378">
            <v>43500</v>
          </cell>
          <cell r="EQ378">
            <v>0</v>
          </cell>
          <cell r="ES378">
            <v>41245</v>
          </cell>
          <cell r="ET378">
            <v>41609</v>
          </cell>
          <cell r="EU378" t="str">
            <v>عامل</v>
          </cell>
          <cell r="FG378" t="str">
            <v xml:space="preserve"> مدير الانتاج</v>
          </cell>
          <cell r="FH378" t="str">
            <v>هشام عيسى محمد عبدالكريم</v>
          </cell>
          <cell r="FI378">
            <v>0</v>
          </cell>
        </row>
        <row r="379">
          <cell r="A379">
            <v>656</v>
          </cell>
          <cell r="B379" t="str">
            <v>اصف نور الدائم بابكر الحسن</v>
          </cell>
          <cell r="C379" t="str">
            <v>اصف</v>
          </cell>
          <cell r="D379" t="str">
            <v>نور الدائم</v>
          </cell>
          <cell r="E379" t="str">
            <v>بابكر</v>
          </cell>
          <cell r="F379" t="str">
            <v>الحسن</v>
          </cell>
          <cell r="G379" t="str">
            <v>المصنع</v>
          </cell>
          <cell r="H379" t="str">
            <v>المستودعات</v>
          </cell>
          <cell r="I379" t="str">
            <v>الزوايا</v>
          </cell>
          <cell r="K379" t="str">
            <v>عامل</v>
          </cell>
          <cell r="L379" t="str">
            <v>امين مستودع</v>
          </cell>
          <cell r="M379">
            <v>41610</v>
          </cell>
          <cell r="N379">
            <v>43500</v>
          </cell>
          <cell r="O379">
            <v>5</v>
          </cell>
          <cell r="P379">
            <v>2</v>
          </cell>
          <cell r="R379">
            <v>155</v>
          </cell>
          <cell r="Z379">
            <v>29223</v>
          </cell>
          <cell r="AG379">
            <v>9</v>
          </cell>
          <cell r="AH379">
            <v>1</v>
          </cell>
          <cell r="AI379" t="str">
            <v>ميلاد</v>
          </cell>
          <cell r="AJ379" t="str">
            <v>0001011</v>
          </cell>
          <cell r="AK379">
            <v>1</v>
          </cell>
          <cell r="AL379">
            <v>1</v>
          </cell>
          <cell r="AM379">
            <v>0</v>
          </cell>
          <cell r="AN379">
            <v>1</v>
          </cell>
          <cell r="AO379">
            <v>0</v>
          </cell>
          <cell r="AP379">
            <v>0</v>
          </cell>
          <cell r="AQ379">
            <v>0</v>
          </cell>
          <cell r="AS379">
            <v>43500</v>
          </cell>
          <cell r="AT379">
            <v>39</v>
          </cell>
          <cell r="BE379" t="str">
            <v>190-3407525-4</v>
          </cell>
          <cell r="BF379" t="str">
            <v>ماريا محمد على</v>
          </cell>
          <cell r="BG379" t="str">
            <v>الجزيره</v>
          </cell>
          <cell r="BH379" t="str">
            <v>الجزيره - النوبه</v>
          </cell>
          <cell r="BI379" t="str">
            <v>0126649009</v>
          </cell>
          <cell r="BJ379" t="str">
            <v>محمد الفاتح نو الدايم</v>
          </cell>
          <cell r="BK379" t="str">
            <v>0118220091</v>
          </cell>
          <cell r="BL379" t="str">
            <v>خالي الطرف</v>
          </cell>
          <cell r="BN379">
            <v>43500</v>
          </cell>
          <cell r="BS379" t="str">
            <v>العلاقات العامة والاعلام</v>
          </cell>
          <cell r="BT379" t="str">
            <v>دبلوم وسيط</v>
          </cell>
          <cell r="BU379" t="str">
            <v>جامعة السودان للعلوم والتكنولوجيا</v>
          </cell>
          <cell r="BV379">
            <v>37865</v>
          </cell>
          <cell r="EQ379">
            <v>0</v>
          </cell>
          <cell r="ER379">
            <v>62</v>
          </cell>
          <cell r="ES379">
            <v>41610</v>
          </cell>
          <cell r="ET379">
            <v>41974</v>
          </cell>
          <cell r="EU379" t="str">
            <v>عامل</v>
          </cell>
          <cell r="FG379" t="str">
            <v>مدير المستودعات</v>
          </cell>
          <cell r="FH379" t="str">
            <v>على احمد على بابكر</v>
          </cell>
          <cell r="FI379" t="str">
            <v>190-3407525-4</v>
          </cell>
        </row>
        <row r="380">
          <cell r="A380">
            <v>659</v>
          </cell>
          <cell r="B380" t="str">
            <v>محمد محجوب محمد محمد خير</v>
          </cell>
          <cell r="G380" t="str">
            <v>المصنع</v>
          </cell>
          <cell r="H380" t="str">
            <v>الميكانيكا</v>
          </cell>
          <cell r="L380" t="str">
            <v>حداد</v>
          </cell>
          <cell r="M380">
            <v>41610</v>
          </cell>
          <cell r="O380" t="e">
            <v>#NUM!</v>
          </cell>
          <cell r="P380" t="e">
            <v>#NUM!</v>
          </cell>
          <cell r="R380" t="e">
            <v>#NUM!</v>
          </cell>
          <cell r="T380" t="str">
            <v>فصل</v>
          </cell>
          <cell r="AS380">
            <v>43500</v>
          </cell>
          <cell r="AT380">
            <v>119</v>
          </cell>
          <cell r="BN380">
            <v>43500</v>
          </cell>
          <cell r="EQ380">
            <v>0</v>
          </cell>
          <cell r="ES380">
            <v>41610</v>
          </cell>
          <cell r="ET380">
            <v>41974</v>
          </cell>
          <cell r="EU380" t="str">
            <v>حداد</v>
          </cell>
          <cell r="FG380" t="str">
            <v>مدير الصيانه الميكانيكيه</v>
          </cell>
          <cell r="FH380" t="str">
            <v>محمد احمد محمد سليمان</v>
          </cell>
          <cell r="FI380">
            <v>0</v>
          </cell>
        </row>
        <row r="381">
          <cell r="A381">
            <v>662</v>
          </cell>
          <cell r="B381" t="str">
            <v>ابراهيم عثمان الحاج محمد</v>
          </cell>
          <cell r="C381" t="str">
            <v>ابراهيم</v>
          </cell>
          <cell r="D381" t="str">
            <v>عثمان</v>
          </cell>
          <cell r="E381" t="str">
            <v>الحاج</v>
          </cell>
          <cell r="F381" t="str">
            <v>محمد</v>
          </cell>
          <cell r="G381" t="str">
            <v>المصنع</v>
          </cell>
          <cell r="H381" t="str">
            <v>الانتاج</v>
          </cell>
          <cell r="I381" t="str">
            <v>المواسير</v>
          </cell>
          <cell r="K381" t="str">
            <v>حداد</v>
          </cell>
          <cell r="L381" t="str">
            <v>مساعد مشغل</v>
          </cell>
          <cell r="M381">
            <v>41612</v>
          </cell>
          <cell r="N381">
            <v>43500</v>
          </cell>
          <cell r="O381">
            <v>5</v>
          </cell>
          <cell r="P381">
            <v>2</v>
          </cell>
          <cell r="R381">
            <v>155</v>
          </cell>
          <cell r="Z381">
            <v>26888</v>
          </cell>
          <cell r="AG381">
            <v>9</v>
          </cell>
          <cell r="AH381">
            <v>1</v>
          </cell>
          <cell r="AI381" t="str">
            <v>تسنين</v>
          </cell>
          <cell r="AJ381" t="str">
            <v>371834</v>
          </cell>
          <cell r="AK381">
            <v>4</v>
          </cell>
          <cell r="AL381">
            <v>3</v>
          </cell>
          <cell r="AM381">
            <v>8</v>
          </cell>
          <cell r="AN381">
            <v>1</v>
          </cell>
          <cell r="AO381">
            <v>7</v>
          </cell>
          <cell r="AP381">
            <v>3</v>
          </cell>
          <cell r="AS381">
            <v>43500</v>
          </cell>
          <cell r="AT381">
            <v>45</v>
          </cell>
          <cell r="AU381" t="str">
            <v>بطاقه قوميه</v>
          </cell>
          <cell r="AV381" t="str">
            <v>001671243</v>
          </cell>
          <cell r="AW381">
            <v>3</v>
          </cell>
          <cell r="AX381">
            <v>4</v>
          </cell>
          <cell r="AY381">
            <v>2</v>
          </cell>
          <cell r="AZ381">
            <v>1</v>
          </cell>
          <cell r="BA381">
            <v>7</v>
          </cell>
          <cell r="BB381">
            <v>6</v>
          </cell>
          <cell r="BC381">
            <v>1</v>
          </cell>
          <cell r="BD381">
            <v>0</v>
          </cell>
          <cell r="BE381" t="str">
            <v>119-7877529-9</v>
          </cell>
          <cell r="BF381" t="str">
            <v>عائشه حسن عثمان</v>
          </cell>
          <cell r="BG381" t="str">
            <v>بحرى</v>
          </cell>
          <cell r="BH381" t="str">
            <v>الحاج يوسف -ش ( 1 ) - م (1)</v>
          </cell>
          <cell r="BI381" t="str">
            <v>0928882721</v>
          </cell>
          <cell r="BJ381" t="str">
            <v>ربيع عثمان</v>
          </cell>
          <cell r="BK381" t="str">
            <v>0926673667</v>
          </cell>
          <cell r="BL381" t="str">
            <v>خالي الطرف</v>
          </cell>
          <cell r="BN381">
            <v>43500</v>
          </cell>
          <cell r="CQ381" t="str">
            <v>الشركة الحديثة للصناعات المعدنية المحدودة</v>
          </cell>
          <cell r="CR381" t="str">
            <v>لحام</v>
          </cell>
          <cell r="CS381">
            <v>38801</v>
          </cell>
          <cell r="CT381">
            <v>39674</v>
          </cell>
          <cell r="CV381" t="str">
            <v>الشركة الحديثة للصناعات المعدنية المحدودة</v>
          </cell>
          <cell r="CW381" t="str">
            <v>فنى قاطع ستلين</v>
          </cell>
          <cell r="CX381">
            <v>39879</v>
          </cell>
          <cell r="CY381">
            <v>40780</v>
          </cell>
          <cell r="EQ381">
            <v>0</v>
          </cell>
          <cell r="ER381">
            <v>73</v>
          </cell>
          <cell r="ES381">
            <v>41612</v>
          </cell>
          <cell r="ET381">
            <v>41976</v>
          </cell>
          <cell r="EU381" t="str">
            <v>حداد</v>
          </cell>
          <cell r="FG381" t="str">
            <v xml:space="preserve"> مدير الانتاج</v>
          </cell>
          <cell r="FH381" t="str">
            <v>هشام عيسى محمد عبدالكريم</v>
          </cell>
          <cell r="FI381" t="str">
            <v>119-7877529-9</v>
          </cell>
        </row>
        <row r="382">
          <cell r="A382">
            <v>666</v>
          </cell>
          <cell r="B382" t="str">
            <v>الضى الساير على جبريل</v>
          </cell>
          <cell r="C382" t="str">
            <v>الضى</v>
          </cell>
          <cell r="D382" t="str">
            <v>الساير</v>
          </cell>
          <cell r="E382" t="str">
            <v>على</v>
          </cell>
          <cell r="F382" t="str">
            <v>جبريل</v>
          </cell>
          <cell r="G382" t="str">
            <v>المصنع</v>
          </cell>
          <cell r="H382" t="str">
            <v>الامن و الحركه</v>
          </cell>
          <cell r="I382" t="str">
            <v>الامن</v>
          </cell>
          <cell r="K382" t="str">
            <v>فرد امن</v>
          </cell>
          <cell r="L382" t="str">
            <v>فرد امن</v>
          </cell>
          <cell r="M382">
            <v>41616</v>
          </cell>
          <cell r="N382">
            <v>43500</v>
          </cell>
          <cell r="O382">
            <v>5</v>
          </cell>
          <cell r="P382">
            <v>1</v>
          </cell>
          <cell r="R382">
            <v>152.5</v>
          </cell>
          <cell r="Z382">
            <v>31048</v>
          </cell>
          <cell r="AG382">
            <v>9</v>
          </cell>
          <cell r="AH382">
            <v>1</v>
          </cell>
          <cell r="AI382" t="str">
            <v>تسنين</v>
          </cell>
          <cell r="AJ382" t="str">
            <v>104975</v>
          </cell>
          <cell r="AK382">
            <v>5</v>
          </cell>
          <cell r="AL382">
            <v>7</v>
          </cell>
          <cell r="AM382">
            <v>9</v>
          </cell>
          <cell r="AN382">
            <v>4</v>
          </cell>
          <cell r="AO382">
            <v>0</v>
          </cell>
          <cell r="AP382">
            <v>1</v>
          </cell>
          <cell r="AS382">
            <v>43500</v>
          </cell>
          <cell r="AT382">
            <v>34</v>
          </cell>
          <cell r="AU382" t="str">
            <v>جنسيه</v>
          </cell>
          <cell r="AV382" t="str">
            <v>0941066</v>
          </cell>
          <cell r="AW382">
            <v>6</v>
          </cell>
          <cell r="AX382">
            <v>6</v>
          </cell>
          <cell r="AY382">
            <v>0</v>
          </cell>
          <cell r="AZ382">
            <v>1</v>
          </cell>
          <cell r="BA382">
            <v>4</v>
          </cell>
          <cell r="BB382">
            <v>9</v>
          </cell>
          <cell r="BC382">
            <v>0</v>
          </cell>
          <cell r="BE382" t="str">
            <v>120-7102812-6</v>
          </cell>
          <cell r="BF382" t="str">
            <v>ام كلثوم الضى حمدان</v>
          </cell>
          <cell r="BG382" t="str">
            <v>العربى</v>
          </cell>
          <cell r="BH382" t="str">
            <v>امدرمان - الصالحه</v>
          </cell>
          <cell r="BI382" t="str">
            <v>0115964940</v>
          </cell>
          <cell r="BJ382" t="str">
            <v>حامد على جبريل</v>
          </cell>
          <cell r="BK382" t="str">
            <v>127562399</v>
          </cell>
          <cell r="BL382" t="str">
            <v>خالي الطرف</v>
          </cell>
          <cell r="BN382">
            <v>43500</v>
          </cell>
          <cell r="BS382" t="str">
            <v>الشريعة والقانون</v>
          </cell>
          <cell r="BT382" t="str">
            <v>بكلاريوس</v>
          </cell>
          <cell r="BU382" t="str">
            <v>جامعة الامام المهدى</v>
          </cell>
          <cell r="BV382">
            <v>41156</v>
          </cell>
          <cell r="EQ382">
            <v>0</v>
          </cell>
          <cell r="ER382">
            <v>52</v>
          </cell>
          <cell r="ES382">
            <v>41616</v>
          </cell>
          <cell r="ET382">
            <v>41980</v>
          </cell>
          <cell r="EU382" t="str">
            <v>فرد امن</v>
          </cell>
          <cell r="FG382" t="str">
            <v>مدير الامن و الحركه</v>
          </cell>
          <cell r="FH382" t="str">
            <v>فارس حمدان عبدالله فارس</v>
          </cell>
          <cell r="FI382" t="str">
            <v>120-7102812-6</v>
          </cell>
        </row>
        <row r="383">
          <cell r="A383">
            <v>669</v>
          </cell>
          <cell r="B383" t="str">
            <v>ابوالقاسم احمد عبد الله ابراهيم</v>
          </cell>
          <cell r="G383" t="str">
            <v>المصنع</v>
          </cell>
          <cell r="H383" t="str">
            <v>الميكانيكا</v>
          </cell>
          <cell r="O383">
            <v>0</v>
          </cell>
          <cell r="P383">
            <v>0</v>
          </cell>
          <cell r="R383">
            <v>0</v>
          </cell>
          <cell r="T383" t="str">
            <v>m</v>
          </cell>
          <cell r="AS383">
            <v>43500</v>
          </cell>
          <cell r="AT383">
            <v>119</v>
          </cell>
          <cell r="BN383">
            <v>43500</v>
          </cell>
          <cell r="EQ383">
            <v>0</v>
          </cell>
          <cell r="ES383">
            <v>41618</v>
          </cell>
          <cell r="ET383">
            <v>41982</v>
          </cell>
          <cell r="FG383" t="str">
            <v>مدير الصيانه الميكانيكيه</v>
          </cell>
          <cell r="FH383" t="str">
            <v>محمد احمد محمد سليمان</v>
          </cell>
          <cell r="FI383">
            <v>0</v>
          </cell>
        </row>
        <row r="384">
          <cell r="A384">
            <v>670</v>
          </cell>
          <cell r="B384" t="str">
            <v>الحاج محمد الحسن موسى محمد</v>
          </cell>
          <cell r="C384" t="str">
            <v>الحاج</v>
          </cell>
          <cell r="D384" t="str">
            <v>محمد</v>
          </cell>
          <cell r="E384" t="str">
            <v>الحسن</v>
          </cell>
          <cell r="F384" t="str">
            <v>موسى</v>
          </cell>
          <cell r="G384" t="str">
            <v>المصنع</v>
          </cell>
          <cell r="H384" t="str">
            <v>المستودعات</v>
          </cell>
          <cell r="I384" t="str">
            <v>الميزان</v>
          </cell>
          <cell r="K384" t="str">
            <v>موظف</v>
          </cell>
          <cell r="L384" t="str">
            <v>امين ميزان</v>
          </cell>
          <cell r="M384">
            <v>41619</v>
          </cell>
          <cell r="N384">
            <v>43500</v>
          </cell>
          <cell r="O384">
            <v>5</v>
          </cell>
          <cell r="P384">
            <v>1</v>
          </cell>
          <cell r="R384">
            <v>152.5</v>
          </cell>
          <cell r="Z384">
            <v>21186</v>
          </cell>
          <cell r="AG384">
            <v>9</v>
          </cell>
          <cell r="AH384">
            <v>1</v>
          </cell>
          <cell r="AI384" t="str">
            <v>تسنين</v>
          </cell>
          <cell r="AJ384" t="str">
            <v>2863006</v>
          </cell>
          <cell r="AK384">
            <v>6</v>
          </cell>
          <cell r="AL384">
            <v>0</v>
          </cell>
          <cell r="AM384">
            <v>0</v>
          </cell>
          <cell r="AN384">
            <v>3</v>
          </cell>
          <cell r="AO384">
            <v>6</v>
          </cell>
          <cell r="AP384">
            <v>8</v>
          </cell>
          <cell r="AQ384">
            <v>2</v>
          </cell>
          <cell r="AS384">
            <v>43500</v>
          </cell>
          <cell r="AT384">
            <v>61</v>
          </cell>
          <cell r="AU384" t="str">
            <v>جنسيه</v>
          </cell>
          <cell r="AV384" t="str">
            <v>920811</v>
          </cell>
          <cell r="AW384">
            <v>1</v>
          </cell>
          <cell r="AX384">
            <v>1</v>
          </cell>
          <cell r="AY384">
            <v>8</v>
          </cell>
          <cell r="AZ384">
            <v>0</v>
          </cell>
          <cell r="BA384">
            <v>2</v>
          </cell>
          <cell r="BB384">
            <v>9</v>
          </cell>
          <cell r="BG384" t="str">
            <v>الكلاكله</v>
          </cell>
          <cell r="BL384" t="str">
            <v>كبار سن</v>
          </cell>
          <cell r="BN384">
            <v>43500</v>
          </cell>
          <cell r="BT384" t="str">
            <v>شهاده ثانويه</v>
          </cell>
          <cell r="BV384">
            <v>28856</v>
          </cell>
          <cell r="CQ384" t="str">
            <v>مجموعة بنك النيلين للتنمية الصناعية</v>
          </cell>
          <cell r="CR384" t="str">
            <v>موظف</v>
          </cell>
          <cell r="CS384">
            <v>29232</v>
          </cell>
          <cell r="CT384">
            <v>38362</v>
          </cell>
          <cell r="EQ384">
            <v>0</v>
          </cell>
          <cell r="ER384">
            <v>69</v>
          </cell>
          <cell r="ES384">
            <v>41619</v>
          </cell>
          <cell r="ET384">
            <v>41983</v>
          </cell>
          <cell r="EU384" t="str">
            <v>امين ميزان</v>
          </cell>
          <cell r="FG384" t="str">
            <v>مدير المستودعات</v>
          </cell>
          <cell r="FH384" t="str">
            <v>على احمد على بابكر</v>
          </cell>
          <cell r="FI384">
            <v>0</v>
          </cell>
        </row>
        <row r="385">
          <cell r="A385">
            <v>677</v>
          </cell>
          <cell r="B385" t="str">
            <v>فرح محمد ياسين سليمان</v>
          </cell>
          <cell r="C385" t="str">
            <v>فرح</v>
          </cell>
          <cell r="D385" t="str">
            <v>محمد</v>
          </cell>
          <cell r="E385" t="str">
            <v>ياسين</v>
          </cell>
          <cell r="F385" t="str">
            <v>سليمان</v>
          </cell>
          <cell r="G385" t="str">
            <v>المصنع</v>
          </cell>
          <cell r="H385" t="str">
            <v>الجوده</v>
          </cell>
          <cell r="K385" t="str">
            <v>عامل</v>
          </cell>
          <cell r="L385" t="str">
            <v>مراقب انتاج</v>
          </cell>
          <cell r="M385">
            <v>41626</v>
          </cell>
          <cell r="N385">
            <v>43500</v>
          </cell>
          <cell r="O385">
            <v>5</v>
          </cell>
          <cell r="P385">
            <v>1</v>
          </cell>
          <cell r="R385">
            <v>152.5</v>
          </cell>
          <cell r="Z385">
            <v>31484</v>
          </cell>
          <cell r="AG385">
            <v>9</v>
          </cell>
          <cell r="AH385">
            <v>1</v>
          </cell>
          <cell r="AI385" t="str">
            <v>ميلاد</v>
          </cell>
          <cell r="AJ385" t="str">
            <v>0529212</v>
          </cell>
          <cell r="AK385">
            <v>2</v>
          </cell>
          <cell r="AL385">
            <v>1</v>
          </cell>
          <cell r="AM385">
            <v>2</v>
          </cell>
          <cell r="AN385">
            <v>9</v>
          </cell>
          <cell r="AO385">
            <v>2</v>
          </cell>
          <cell r="AP385">
            <v>5</v>
          </cell>
          <cell r="AQ385">
            <v>0</v>
          </cell>
          <cell r="AS385">
            <v>43500</v>
          </cell>
          <cell r="AT385">
            <v>32</v>
          </cell>
          <cell r="AU385" t="str">
            <v>بطاقه قوميه</v>
          </cell>
          <cell r="AV385" t="str">
            <v>0028165</v>
          </cell>
          <cell r="AX385">
            <v>5</v>
          </cell>
          <cell r="AY385">
            <v>6</v>
          </cell>
          <cell r="AZ385">
            <v>1</v>
          </cell>
          <cell r="BA385">
            <v>8</v>
          </cell>
          <cell r="BB385">
            <v>2</v>
          </cell>
          <cell r="BC385">
            <v>0</v>
          </cell>
          <cell r="BD385">
            <v>0</v>
          </cell>
          <cell r="BE385" t="str">
            <v>185-5216216-6</v>
          </cell>
          <cell r="BF385" t="str">
            <v>زينب فرح على</v>
          </cell>
          <cell r="BG385" t="str">
            <v>العربى</v>
          </cell>
          <cell r="BH385" t="str">
            <v>العمارات</v>
          </cell>
          <cell r="BI385" t="str">
            <v>0965836472</v>
          </cell>
          <cell r="BJ385" t="str">
            <v>يسن محمد يسن</v>
          </cell>
          <cell r="BK385" t="str">
            <v>0918039087</v>
          </cell>
          <cell r="BL385" t="str">
            <v>خالي الطرف</v>
          </cell>
          <cell r="BN385">
            <v>43500</v>
          </cell>
          <cell r="BS385" t="str">
            <v>Seientifie Laboratories ( Physics )</v>
          </cell>
          <cell r="BT385" t="str">
            <v>بكلاريوس</v>
          </cell>
          <cell r="BU385" t="str">
            <v>جامعة السودان للعلوم والتكنولوجيا</v>
          </cell>
          <cell r="BV385">
            <v>40808</v>
          </cell>
          <cell r="EQ385">
            <v>0</v>
          </cell>
          <cell r="ER385">
            <v>66</v>
          </cell>
          <cell r="FG385" t="str">
            <v>مسئول قسم الجوده</v>
          </cell>
          <cell r="FH385" t="str">
            <v>المبارك محمد ابراهيم</v>
          </cell>
          <cell r="FI385" t="str">
            <v>185-5216216-6</v>
          </cell>
        </row>
        <row r="386">
          <cell r="A386">
            <v>678</v>
          </cell>
          <cell r="B386" t="str">
            <v>موسى عبدالله محمد احمد</v>
          </cell>
          <cell r="C386" t="str">
            <v>موسى</v>
          </cell>
          <cell r="D386" t="str">
            <v>عبدالله</v>
          </cell>
          <cell r="E386" t="str">
            <v>محمد</v>
          </cell>
          <cell r="F386" t="str">
            <v>احمد</v>
          </cell>
          <cell r="G386" t="str">
            <v>المصنع</v>
          </cell>
          <cell r="H386" t="str">
            <v>الانتاج</v>
          </cell>
          <cell r="I386" t="str">
            <v>الزوايا</v>
          </cell>
          <cell r="K386" t="str">
            <v>عامل</v>
          </cell>
          <cell r="L386" t="str">
            <v>عامل</v>
          </cell>
          <cell r="M386">
            <v>41626</v>
          </cell>
          <cell r="N386">
            <v>43500</v>
          </cell>
          <cell r="O386">
            <v>5</v>
          </cell>
          <cell r="P386">
            <v>1</v>
          </cell>
          <cell r="R386">
            <v>152.5</v>
          </cell>
          <cell r="Z386">
            <v>21551</v>
          </cell>
          <cell r="AG386">
            <v>9</v>
          </cell>
          <cell r="AH386">
            <v>1</v>
          </cell>
          <cell r="AI386" t="str">
            <v>تسنين</v>
          </cell>
          <cell r="AJ386" t="str">
            <v>723296</v>
          </cell>
          <cell r="AK386">
            <v>6</v>
          </cell>
          <cell r="AL386">
            <v>9</v>
          </cell>
          <cell r="AM386">
            <v>2</v>
          </cell>
          <cell r="AN386">
            <v>3</v>
          </cell>
          <cell r="AO386">
            <v>2</v>
          </cell>
          <cell r="AP386">
            <v>7</v>
          </cell>
          <cell r="AS386">
            <v>43500</v>
          </cell>
          <cell r="AT386">
            <v>60</v>
          </cell>
          <cell r="AU386" t="str">
            <v>جنسيه</v>
          </cell>
          <cell r="AV386" t="str">
            <v>808728</v>
          </cell>
          <cell r="AW386">
            <v>8</v>
          </cell>
          <cell r="AX386">
            <v>2</v>
          </cell>
          <cell r="AY386">
            <v>7</v>
          </cell>
          <cell r="AZ386">
            <v>8</v>
          </cell>
          <cell r="BA386">
            <v>0</v>
          </cell>
          <cell r="BB386">
            <v>8</v>
          </cell>
          <cell r="BE386" t="str">
            <v>190-5239747-7</v>
          </cell>
          <cell r="BF386" t="str">
            <v>بتول مصطفى الخضر</v>
          </cell>
          <cell r="BG386" t="str">
            <v>الجزيره</v>
          </cell>
          <cell r="BH386" t="str">
            <v>الجزيره - المسعوديه</v>
          </cell>
          <cell r="BI386" t="str">
            <v>0113253013</v>
          </cell>
          <cell r="BJ386" t="str">
            <v>عبد العزيز حبيب</v>
          </cell>
          <cell r="BL386" t="str">
            <v>كبار سن</v>
          </cell>
          <cell r="BN386">
            <v>43500</v>
          </cell>
          <cell r="EP386">
            <v>30</v>
          </cell>
          <cell r="EQ386">
            <v>30</v>
          </cell>
          <cell r="ER386">
            <v>52</v>
          </cell>
          <cell r="ES386">
            <v>41626</v>
          </cell>
          <cell r="ET386">
            <v>41990</v>
          </cell>
          <cell r="EU386" t="str">
            <v>عامل</v>
          </cell>
          <cell r="FG386" t="str">
            <v xml:space="preserve"> مدير الانتاج</v>
          </cell>
          <cell r="FH386" t="str">
            <v>هشام عيسى محمد عبدالكريم</v>
          </cell>
          <cell r="FI386" t="str">
            <v>190-5239747-7</v>
          </cell>
        </row>
        <row r="387">
          <cell r="A387">
            <v>679</v>
          </cell>
          <cell r="B387" t="str">
            <v>عبدالفضيل احمد على محمد</v>
          </cell>
          <cell r="G387" t="str">
            <v>المصنع</v>
          </cell>
          <cell r="H387" t="str">
            <v>الانتاج</v>
          </cell>
          <cell r="L387" t="str">
            <v>عامل</v>
          </cell>
          <cell r="M387">
            <v>42319</v>
          </cell>
          <cell r="N387">
            <v>42658</v>
          </cell>
          <cell r="O387">
            <v>0</v>
          </cell>
          <cell r="P387">
            <v>11</v>
          </cell>
          <cell r="R387">
            <v>27.5</v>
          </cell>
          <cell r="T387" t="str">
            <v>فصل</v>
          </cell>
          <cell r="U387">
            <v>42673</v>
          </cell>
          <cell r="V387">
            <v>42658</v>
          </cell>
          <cell r="W387" t="str">
            <v>نهائي</v>
          </cell>
          <cell r="Z387">
            <v>29221</v>
          </cell>
          <cell r="AG387">
            <v>9</v>
          </cell>
          <cell r="AH387">
            <v>1</v>
          </cell>
          <cell r="AS387">
            <v>43500</v>
          </cell>
          <cell r="AT387">
            <v>39</v>
          </cell>
          <cell r="BN387">
            <v>43500</v>
          </cell>
          <cell r="EQ387">
            <v>0</v>
          </cell>
          <cell r="FG387" t="str">
            <v xml:space="preserve"> مدير الانتاج</v>
          </cell>
          <cell r="FH387" t="str">
            <v>هشام عيسى محمد عبدالكريم</v>
          </cell>
          <cell r="FI387">
            <v>0</v>
          </cell>
        </row>
        <row r="388">
          <cell r="A388">
            <v>681</v>
          </cell>
          <cell r="B388" t="str">
            <v>محمد المجاهد ادم ابراهيم</v>
          </cell>
          <cell r="G388" t="str">
            <v>المصنع</v>
          </cell>
          <cell r="H388" t="str">
            <v>الكهرباء</v>
          </cell>
          <cell r="L388" t="str">
            <v>مهندس كهرباء</v>
          </cell>
          <cell r="M388">
            <v>41657</v>
          </cell>
          <cell r="O388" t="e">
            <v>#NUM!</v>
          </cell>
          <cell r="P388" t="e">
            <v>#NUM!</v>
          </cell>
          <cell r="R388" t="e">
            <v>#NUM!</v>
          </cell>
          <cell r="T388" t="str">
            <v>m</v>
          </cell>
          <cell r="AS388">
            <v>43500</v>
          </cell>
          <cell r="AT388">
            <v>119</v>
          </cell>
          <cell r="BH388" t="str">
            <v>حله كوكو</v>
          </cell>
          <cell r="BN388">
            <v>43500</v>
          </cell>
          <cell r="EQ388">
            <v>0</v>
          </cell>
          <cell r="ES388">
            <v>41657</v>
          </cell>
          <cell r="ET388">
            <v>42021</v>
          </cell>
          <cell r="EU388" t="str">
            <v>مهندس كهرباء</v>
          </cell>
          <cell r="FG388" t="str">
            <v>مدير الصيانه الكهربائيه</v>
          </cell>
          <cell r="FH388" t="str">
            <v>ماهر ضيف الله سليمان جابر</v>
          </cell>
          <cell r="FI388">
            <v>0</v>
          </cell>
        </row>
        <row r="389">
          <cell r="A389">
            <v>682</v>
          </cell>
          <cell r="B389" t="str">
            <v>عابدين عبدالرحيم مختار احمد</v>
          </cell>
          <cell r="C389" t="str">
            <v>عابدين</v>
          </cell>
          <cell r="D389" t="str">
            <v>عبدالرحيم</v>
          </cell>
          <cell r="E389" t="str">
            <v>مختار</v>
          </cell>
          <cell r="F389" t="str">
            <v>احمد</v>
          </cell>
          <cell r="G389" t="str">
            <v>المصنع</v>
          </cell>
          <cell r="H389" t="str">
            <v>المستودعات</v>
          </cell>
          <cell r="L389" t="str">
            <v>امين مستودع ا س</v>
          </cell>
          <cell r="M389">
            <v>41657</v>
          </cell>
          <cell r="O389" t="e">
            <v>#NUM!</v>
          </cell>
          <cell r="P389" t="e">
            <v>#NUM!</v>
          </cell>
          <cell r="R389" t="e">
            <v>#NUM!</v>
          </cell>
          <cell r="T389" t="str">
            <v>إستقال</v>
          </cell>
          <cell r="U389">
            <v>42598</v>
          </cell>
          <cell r="Z389">
            <v>31048</v>
          </cell>
          <cell r="AI389" t="str">
            <v>ميلاد</v>
          </cell>
          <cell r="AJ389" t="str">
            <v>955696</v>
          </cell>
          <cell r="AK389">
            <v>6</v>
          </cell>
          <cell r="AL389">
            <v>9</v>
          </cell>
          <cell r="AM389">
            <v>6</v>
          </cell>
          <cell r="AN389">
            <v>5</v>
          </cell>
          <cell r="AO389">
            <v>5</v>
          </cell>
          <cell r="AP389">
            <v>9</v>
          </cell>
          <cell r="AS389">
            <v>43500</v>
          </cell>
          <cell r="AT389">
            <v>34</v>
          </cell>
          <cell r="AU389" t="str">
            <v>جنسيه</v>
          </cell>
          <cell r="AV389" t="str">
            <v>0747023</v>
          </cell>
          <cell r="AW389">
            <v>3</v>
          </cell>
          <cell r="AX389">
            <v>2</v>
          </cell>
          <cell r="AY389">
            <v>0</v>
          </cell>
          <cell r="AZ389">
            <v>7</v>
          </cell>
          <cell r="BA389">
            <v>4</v>
          </cell>
          <cell r="BB389">
            <v>7</v>
          </cell>
          <cell r="BC389">
            <v>0</v>
          </cell>
          <cell r="BH389" t="str">
            <v xml:space="preserve">الجزيره - المسيد </v>
          </cell>
          <cell r="BI389" t="str">
            <v>0919581130</v>
          </cell>
          <cell r="BL389" t="str">
            <v>خالي الطرف</v>
          </cell>
          <cell r="BN389">
            <v>43500</v>
          </cell>
          <cell r="BS389" t="str">
            <v>الاقتصاد</v>
          </cell>
          <cell r="BT389" t="str">
            <v>بكلاريوس الشرف</v>
          </cell>
          <cell r="BU389" t="str">
            <v>جامعة النيلين</v>
          </cell>
          <cell r="BV389">
            <v>39686</v>
          </cell>
          <cell r="BW389" t="str">
            <v>حاسوب</v>
          </cell>
          <cell r="BX389" t="str">
            <v>دبلوم (معاهد)</v>
          </cell>
          <cell r="BY389" t="str">
            <v>دريمز تور كمبيوتر</v>
          </cell>
          <cell r="BZ389">
            <v>40247</v>
          </cell>
          <cell r="EQ389">
            <v>0</v>
          </cell>
          <cell r="ES389">
            <v>41657</v>
          </cell>
          <cell r="ET389">
            <v>42021</v>
          </cell>
          <cell r="EU389" t="str">
            <v>امين مستودع</v>
          </cell>
          <cell r="FG389" t="str">
            <v>مدير المستودعات</v>
          </cell>
          <cell r="FH389" t="str">
            <v>على احمد على بابكر</v>
          </cell>
          <cell r="FI389">
            <v>0</v>
          </cell>
        </row>
        <row r="390">
          <cell r="A390">
            <v>684</v>
          </cell>
          <cell r="B390" t="str">
            <v>خوجلى عبدالنبى عبدالتام طه</v>
          </cell>
          <cell r="C390" t="str">
            <v>خوجلى</v>
          </cell>
          <cell r="D390" t="str">
            <v>عبدالنبى</v>
          </cell>
          <cell r="E390" t="str">
            <v>عبدالتام</v>
          </cell>
          <cell r="F390" t="str">
            <v>طه</v>
          </cell>
          <cell r="G390" t="str">
            <v>المصنع</v>
          </cell>
          <cell r="H390" t="str">
            <v>الانتاج</v>
          </cell>
          <cell r="I390" t="str">
            <v>التشريح</v>
          </cell>
          <cell r="L390" t="str">
            <v>كرين</v>
          </cell>
          <cell r="M390">
            <v>41664</v>
          </cell>
          <cell r="N390">
            <v>42757</v>
          </cell>
          <cell r="O390">
            <v>2</v>
          </cell>
          <cell r="P390">
            <v>11</v>
          </cell>
          <cell r="R390">
            <v>87.5</v>
          </cell>
          <cell r="T390" t="str">
            <v>إستقال</v>
          </cell>
          <cell r="U390">
            <v>42757</v>
          </cell>
          <cell r="V390">
            <v>42757</v>
          </cell>
          <cell r="Z390">
            <v>25723</v>
          </cell>
          <cell r="AG390">
            <v>9</v>
          </cell>
          <cell r="AH390">
            <v>1</v>
          </cell>
          <cell r="AI390" t="str">
            <v>ميلاد</v>
          </cell>
          <cell r="AJ390" t="str">
            <v>195751</v>
          </cell>
          <cell r="AK390">
            <v>1</v>
          </cell>
          <cell r="AL390">
            <v>5</v>
          </cell>
          <cell r="AM390">
            <v>7</v>
          </cell>
          <cell r="AN390">
            <v>5</v>
          </cell>
          <cell r="AO390">
            <v>9</v>
          </cell>
          <cell r="AP390">
            <v>1</v>
          </cell>
          <cell r="AS390">
            <v>43500</v>
          </cell>
          <cell r="AT390">
            <v>48</v>
          </cell>
          <cell r="AU390" t="str">
            <v>جنسيه</v>
          </cell>
          <cell r="AV390" t="str">
            <v>433495</v>
          </cell>
          <cell r="AW390">
            <v>5</v>
          </cell>
          <cell r="AX390">
            <v>9</v>
          </cell>
          <cell r="AY390">
            <v>4</v>
          </cell>
          <cell r="AZ390">
            <v>3</v>
          </cell>
          <cell r="BA390">
            <v>3</v>
          </cell>
          <cell r="BB390">
            <v>4</v>
          </cell>
          <cell r="BE390" t="str">
            <v>119-0639275-5</v>
          </cell>
          <cell r="BF390" t="str">
            <v>عواضه عطا</v>
          </cell>
          <cell r="BG390" t="str">
            <v>العربى</v>
          </cell>
          <cell r="BH390" t="str">
            <v>امدرمان</v>
          </cell>
          <cell r="BI390" t="str">
            <v>0911534323</v>
          </cell>
          <cell r="BN390">
            <v>43500</v>
          </cell>
          <cell r="CQ390" t="str">
            <v>مصنع مينا للصناعات الحديدية</v>
          </cell>
          <cell r="CR390" t="str">
            <v>فنى تشريح</v>
          </cell>
          <cell r="CS390">
            <v>39264</v>
          </cell>
          <cell r="CT390">
            <v>41619</v>
          </cell>
          <cell r="EQ390">
            <v>0</v>
          </cell>
          <cell r="ES390">
            <v>41664</v>
          </cell>
          <cell r="ET390">
            <v>42028</v>
          </cell>
          <cell r="EU390" t="str">
            <v>مشغل</v>
          </cell>
          <cell r="FG390" t="str">
            <v xml:space="preserve"> مدير الانتاج</v>
          </cell>
          <cell r="FH390" t="str">
            <v>هشام عيسى محمد عبدالكريم</v>
          </cell>
          <cell r="FI390" t="str">
            <v>119-0639275-5</v>
          </cell>
        </row>
        <row r="391">
          <cell r="A391">
            <v>686</v>
          </cell>
          <cell r="B391" t="str">
            <v>محمد عمر احمد حمد النيل</v>
          </cell>
          <cell r="C391" t="str">
            <v>محمد</v>
          </cell>
          <cell r="D391" t="str">
            <v>عمر</v>
          </cell>
          <cell r="E391" t="str">
            <v>احمد</v>
          </cell>
          <cell r="F391" t="str">
            <v>حمدالنيل</v>
          </cell>
          <cell r="G391" t="str">
            <v>المصنع</v>
          </cell>
          <cell r="H391" t="str">
            <v>المستودعات</v>
          </cell>
          <cell r="I391" t="str">
            <v>الاسكلبات</v>
          </cell>
          <cell r="K391" t="str">
            <v>عامل</v>
          </cell>
          <cell r="L391" t="str">
            <v>مسئول مستوع ا س</v>
          </cell>
          <cell r="M391">
            <v>41671</v>
          </cell>
          <cell r="N391">
            <v>43500</v>
          </cell>
          <cell r="O391">
            <v>5</v>
          </cell>
          <cell r="P391">
            <v>0</v>
          </cell>
          <cell r="R391">
            <v>150</v>
          </cell>
          <cell r="Z391">
            <v>30682</v>
          </cell>
          <cell r="AG391">
            <v>9</v>
          </cell>
          <cell r="AH391">
            <v>1</v>
          </cell>
          <cell r="AI391" t="str">
            <v>تسنين</v>
          </cell>
          <cell r="AJ391" t="str">
            <v>0212121</v>
          </cell>
          <cell r="AK391">
            <v>1</v>
          </cell>
          <cell r="AL391">
            <v>2</v>
          </cell>
          <cell r="AM391">
            <v>1</v>
          </cell>
          <cell r="AN391">
            <v>2</v>
          </cell>
          <cell r="AO391">
            <v>1</v>
          </cell>
          <cell r="AP391">
            <v>2</v>
          </cell>
          <cell r="AQ391">
            <v>0</v>
          </cell>
          <cell r="AS391">
            <v>43500</v>
          </cell>
          <cell r="AT391">
            <v>35</v>
          </cell>
          <cell r="AU391" t="str">
            <v>جنسيه</v>
          </cell>
          <cell r="AV391" t="str">
            <v>0747974</v>
          </cell>
          <cell r="AW391">
            <v>4</v>
          </cell>
          <cell r="AX391">
            <v>7</v>
          </cell>
          <cell r="AY391">
            <v>9</v>
          </cell>
          <cell r="AZ391">
            <v>7</v>
          </cell>
          <cell r="BA391">
            <v>4</v>
          </cell>
          <cell r="BB391">
            <v>7</v>
          </cell>
          <cell r="BC391">
            <v>0</v>
          </cell>
          <cell r="BE391" t="str">
            <v>118-5834957-4</v>
          </cell>
          <cell r="BF391" t="str">
            <v>حياة الحاج حمدالنيل</v>
          </cell>
          <cell r="BG391" t="str">
            <v>الجزيره</v>
          </cell>
          <cell r="BH391" t="str">
            <v>الجزيره</v>
          </cell>
          <cell r="BI391" t="str">
            <v>0127204376</v>
          </cell>
          <cell r="BJ391" t="str">
            <v>عمر احمد حمد النيل</v>
          </cell>
          <cell r="BK391" t="str">
            <v>01299395712</v>
          </cell>
          <cell r="BL391" t="str">
            <v>خالي الطرف</v>
          </cell>
          <cell r="BN391">
            <v>43500</v>
          </cell>
          <cell r="BS391" t="str">
            <v>إدارة الاعمال</v>
          </cell>
          <cell r="BT391" t="str">
            <v>بكلاريوس</v>
          </cell>
          <cell r="BU391" t="str">
            <v>جامعة السودان للعلوم والتكنولوجيا</v>
          </cell>
          <cell r="BV391">
            <v>39722</v>
          </cell>
          <cell r="BW391" t="str">
            <v>محاسبه الكترونيه</v>
          </cell>
          <cell r="BX391" t="str">
            <v>دبلوم (معاهد)</v>
          </cell>
          <cell r="BY391" t="str">
            <v>الاتحاد الوطنى لاندية اليونسكو</v>
          </cell>
          <cell r="BZ391">
            <v>41126</v>
          </cell>
          <cell r="EQ391">
            <v>0</v>
          </cell>
          <cell r="ER391">
            <v>70</v>
          </cell>
          <cell r="ES391">
            <v>41671</v>
          </cell>
          <cell r="ET391">
            <v>42035</v>
          </cell>
          <cell r="EU391" t="str">
            <v>عامل</v>
          </cell>
          <cell r="FG391" t="str">
            <v>مدير المستودعات</v>
          </cell>
          <cell r="FH391" t="str">
            <v>على احمد على بابكر</v>
          </cell>
          <cell r="FI391" t="str">
            <v>118-5834957-4</v>
          </cell>
        </row>
        <row r="392">
          <cell r="A392">
            <v>687</v>
          </cell>
          <cell r="B392" t="str">
            <v>سيف اليزل عبد الماجد سليمان محمد</v>
          </cell>
          <cell r="G392" t="str">
            <v>المصنع</v>
          </cell>
          <cell r="H392" t="str">
            <v>الانتاج</v>
          </cell>
          <cell r="L392" t="str">
            <v>عامل</v>
          </cell>
          <cell r="M392">
            <v>41671</v>
          </cell>
          <cell r="O392" t="e">
            <v>#NUM!</v>
          </cell>
          <cell r="P392" t="e">
            <v>#NUM!</v>
          </cell>
          <cell r="R392" t="e">
            <v>#NUM!</v>
          </cell>
          <cell r="T392" t="str">
            <v>إستقال</v>
          </cell>
          <cell r="U392">
            <v>41888</v>
          </cell>
          <cell r="AS392">
            <v>43500</v>
          </cell>
          <cell r="AT392">
            <v>119</v>
          </cell>
          <cell r="BH392" t="str">
            <v>الجزيرة - السمير</v>
          </cell>
          <cell r="BN392">
            <v>43500</v>
          </cell>
          <cell r="EQ392">
            <v>0</v>
          </cell>
          <cell r="ES392">
            <v>41671</v>
          </cell>
          <cell r="ET392">
            <v>42035</v>
          </cell>
          <cell r="EU392" t="str">
            <v>عامل</v>
          </cell>
          <cell r="FG392" t="str">
            <v xml:space="preserve"> مدير الانتاج</v>
          </cell>
          <cell r="FH392" t="str">
            <v>هشام عيسى محمد عبدالكريم</v>
          </cell>
          <cell r="FI392">
            <v>0</v>
          </cell>
        </row>
        <row r="393">
          <cell r="A393">
            <v>689</v>
          </cell>
          <cell r="B393" t="str">
            <v>عثمان جادين الامين حمد</v>
          </cell>
          <cell r="C393" t="str">
            <v>عثمان</v>
          </cell>
          <cell r="D393" t="str">
            <v>جادين</v>
          </cell>
          <cell r="E393" t="str">
            <v>الامين</v>
          </cell>
          <cell r="F393" t="str">
            <v>حمد</v>
          </cell>
          <cell r="G393" t="str">
            <v>المصنع</v>
          </cell>
          <cell r="H393" t="str">
            <v>الخدمات</v>
          </cell>
          <cell r="K393" t="str">
            <v>عامل</v>
          </cell>
          <cell r="L393" t="str">
            <v>عامل</v>
          </cell>
          <cell r="M393">
            <v>41671</v>
          </cell>
          <cell r="N393">
            <v>43500</v>
          </cell>
          <cell r="O393">
            <v>5</v>
          </cell>
          <cell r="P393">
            <v>0</v>
          </cell>
          <cell r="R393">
            <v>150</v>
          </cell>
          <cell r="T393" t="str">
            <v>m</v>
          </cell>
          <cell r="Z393">
            <v>18264</v>
          </cell>
          <cell r="AG393">
            <v>9</v>
          </cell>
          <cell r="AH393">
            <v>1</v>
          </cell>
          <cell r="AI393" t="str">
            <v>تسنين</v>
          </cell>
          <cell r="AJ393" t="str">
            <v>426569</v>
          </cell>
          <cell r="AK393">
            <v>9</v>
          </cell>
          <cell r="AL393">
            <v>6</v>
          </cell>
          <cell r="AM393">
            <v>5</v>
          </cell>
          <cell r="AN393">
            <v>6</v>
          </cell>
          <cell r="AO393">
            <v>2</v>
          </cell>
          <cell r="AP393">
            <v>4</v>
          </cell>
          <cell r="AS393">
            <v>43500</v>
          </cell>
          <cell r="AT393">
            <v>69</v>
          </cell>
          <cell r="AU393" t="str">
            <v>بطاقه قوميه</v>
          </cell>
          <cell r="AV393" t="str">
            <v>000421842</v>
          </cell>
          <cell r="AW393">
            <v>2</v>
          </cell>
          <cell r="AX393">
            <v>4</v>
          </cell>
          <cell r="AY393">
            <v>8</v>
          </cell>
          <cell r="AZ393">
            <v>1</v>
          </cell>
          <cell r="BA393">
            <v>2</v>
          </cell>
          <cell r="BB393">
            <v>4</v>
          </cell>
          <cell r="BC393">
            <v>0</v>
          </cell>
          <cell r="BD393">
            <v>0</v>
          </cell>
          <cell r="BE393" t="str">
            <v>178-6187779-2</v>
          </cell>
          <cell r="BF393" t="str">
            <v>خميسة سليمان</v>
          </cell>
          <cell r="BG393" t="str">
            <v>العربى</v>
          </cell>
          <cell r="BH393" t="str">
            <v>سوبا - الحله</v>
          </cell>
          <cell r="BI393" t="str">
            <v>0996673626</v>
          </cell>
          <cell r="BJ393" t="str">
            <v>منتصر عثمان</v>
          </cell>
          <cell r="BK393" t="str">
            <v>0924683447</v>
          </cell>
          <cell r="BL393" t="str">
            <v>كبار سن</v>
          </cell>
          <cell r="BN393">
            <v>43500</v>
          </cell>
          <cell r="EQ393">
            <v>0</v>
          </cell>
          <cell r="ER393">
            <v>50</v>
          </cell>
          <cell r="ES393">
            <v>41671</v>
          </cell>
          <cell r="ET393">
            <v>42035</v>
          </cell>
          <cell r="EU393" t="str">
            <v>عامل</v>
          </cell>
          <cell r="FG393" t="str">
            <v>المدير الادارى</v>
          </cell>
          <cell r="FH393" t="str">
            <v>احمد عبدالرحيم ابوبكر محمد</v>
          </cell>
          <cell r="FI393" t="str">
            <v>178-6187779-2</v>
          </cell>
        </row>
        <row r="394">
          <cell r="A394">
            <v>690</v>
          </cell>
          <cell r="B394" t="str">
            <v>الياقوت محمد احمد عبدالله</v>
          </cell>
          <cell r="C394" t="str">
            <v>الياقوت</v>
          </cell>
          <cell r="D394" t="str">
            <v>محمد</v>
          </cell>
          <cell r="E394" t="str">
            <v>احمد</v>
          </cell>
          <cell r="F394" t="str">
            <v>عبدالله</v>
          </cell>
          <cell r="G394" t="str">
            <v>المصنع</v>
          </cell>
          <cell r="H394" t="str">
            <v>المستودعات</v>
          </cell>
          <cell r="I394" t="str">
            <v>الاسكبات</v>
          </cell>
          <cell r="K394" t="str">
            <v>عامل</v>
          </cell>
          <cell r="L394" t="str">
            <v>امين مستودع ا س</v>
          </cell>
          <cell r="M394">
            <v>42322</v>
          </cell>
          <cell r="N394">
            <v>43500</v>
          </cell>
          <cell r="O394">
            <v>3</v>
          </cell>
          <cell r="P394">
            <v>2</v>
          </cell>
          <cell r="R394">
            <v>95</v>
          </cell>
          <cell r="X394">
            <v>41673</v>
          </cell>
          <cell r="Z394">
            <v>33060</v>
          </cell>
          <cell r="AG394">
            <v>9</v>
          </cell>
          <cell r="AH394">
            <v>1</v>
          </cell>
          <cell r="AI394" t="str">
            <v>تسنين</v>
          </cell>
          <cell r="AJ394" t="str">
            <v>221091</v>
          </cell>
          <cell r="AK394">
            <v>1</v>
          </cell>
          <cell r="AL394">
            <v>9</v>
          </cell>
          <cell r="AM394">
            <v>0</v>
          </cell>
          <cell r="AN394">
            <v>1</v>
          </cell>
          <cell r="AO394">
            <v>2</v>
          </cell>
          <cell r="AP394">
            <v>2</v>
          </cell>
          <cell r="AS394">
            <v>43500</v>
          </cell>
          <cell r="AT394">
            <v>28</v>
          </cell>
          <cell r="AU394" t="str">
            <v>جنسيه</v>
          </cell>
          <cell r="AV394" t="str">
            <v>0288323</v>
          </cell>
          <cell r="AW394">
            <v>3</v>
          </cell>
          <cell r="AX394">
            <v>2</v>
          </cell>
          <cell r="AY394">
            <v>3</v>
          </cell>
          <cell r="AZ394">
            <v>8</v>
          </cell>
          <cell r="BA394">
            <v>8</v>
          </cell>
          <cell r="BB394">
            <v>2</v>
          </cell>
          <cell r="BC394">
            <v>0</v>
          </cell>
          <cell r="BE394" t="str">
            <v>120-5695256-3</v>
          </cell>
          <cell r="BF394" t="str">
            <v>سعاد عزالدين عبدالله</v>
          </cell>
          <cell r="BG394" t="str">
            <v>الجزيره</v>
          </cell>
          <cell r="BL394" t="str">
            <v>خالي الطرف</v>
          </cell>
          <cell r="BN394">
            <v>43500</v>
          </cell>
          <cell r="BT394" t="str">
            <v>شهاده ثانويه</v>
          </cell>
          <cell r="BV394">
            <v>39873</v>
          </cell>
          <cell r="EQ394">
            <v>0</v>
          </cell>
          <cell r="ER394">
            <v>4</v>
          </cell>
          <cell r="ES394">
            <v>41673</v>
          </cell>
          <cell r="ET394">
            <v>42037</v>
          </cell>
          <cell r="EU394" t="str">
            <v>عامل</v>
          </cell>
          <cell r="FB394">
            <v>41673</v>
          </cell>
          <cell r="FG394" t="str">
            <v>مدير المستودعات</v>
          </cell>
          <cell r="FH394" t="str">
            <v>على احمد على بابكر</v>
          </cell>
          <cell r="FI394" t="str">
            <v>120-5695256-3</v>
          </cell>
        </row>
        <row r="395">
          <cell r="A395">
            <v>691</v>
          </cell>
          <cell r="B395" t="str">
            <v>عبدالجبار ابراهيم صالح شرف الدين</v>
          </cell>
          <cell r="C395" t="str">
            <v>عبدالجبار</v>
          </cell>
          <cell r="D395" t="str">
            <v>ابراهيم</v>
          </cell>
          <cell r="E395" t="str">
            <v>صالح</v>
          </cell>
          <cell r="F395" t="str">
            <v>شرف الدين</v>
          </cell>
          <cell r="G395" t="str">
            <v>المصنع</v>
          </cell>
          <cell r="H395" t="str">
            <v>الخدمات</v>
          </cell>
          <cell r="K395" t="str">
            <v>مراقب</v>
          </cell>
          <cell r="L395" t="str">
            <v>مشرف خدمات</v>
          </cell>
          <cell r="M395">
            <v>41672</v>
          </cell>
          <cell r="N395">
            <v>43500</v>
          </cell>
          <cell r="O395">
            <v>5</v>
          </cell>
          <cell r="P395">
            <v>0</v>
          </cell>
          <cell r="R395">
            <v>150</v>
          </cell>
          <cell r="Z395">
            <v>20090</v>
          </cell>
          <cell r="AG395">
            <v>9</v>
          </cell>
          <cell r="AH395">
            <v>1</v>
          </cell>
          <cell r="AI395" t="str">
            <v>تسنين</v>
          </cell>
          <cell r="AJ395" t="str">
            <v>864858</v>
          </cell>
          <cell r="AK395">
            <v>8</v>
          </cell>
          <cell r="AL395">
            <v>5</v>
          </cell>
          <cell r="AM395">
            <v>8</v>
          </cell>
          <cell r="AN395">
            <v>4</v>
          </cell>
          <cell r="AO395">
            <v>6</v>
          </cell>
          <cell r="AP395">
            <v>8</v>
          </cell>
          <cell r="AS395">
            <v>43500</v>
          </cell>
          <cell r="AT395">
            <v>64</v>
          </cell>
          <cell r="AU395" t="str">
            <v>بطاقه قوميه</v>
          </cell>
          <cell r="AV395" t="str">
            <v>000942115</v>
          </cell>
          <cell r="AW395">
            <v>5</v>
          </cell>
          <cell r="AX395">
            <v>1</v>
          </cell>
          <cell r="AY395">
            <v>1</v>
          </cell>
          <cell r="AZ395">
            <v>2</v>
          </cell>
          <cell r="BA395">
            <v>4</v>
          </cell>
          <cell r="BB395">
            <v>9</v>
          </cell>
          <cell r="BC395">
            <v>0</v>
          </cell>
          <cell r="BD395">
            <v>0</v>
          </cell>
          <cell r="BE395" t="str">
            <v>115-2082133-6</v>
          </cell>
          <cell r="BF395" t="str">
            <v>امنه محمد سليمان</v>
          </cell>
          <cell r="BG395" t="str">
            <v>العربى</v>
          </cell>
          <cell r="BH395" t="str">
            <v xml:space="preserve">امدرمان - دار السلام </v>
          </cell>
          <cell r="BI395" t="str">
            <v>0960553568</v>
          </cell>
          <cell r="BJ395" t="str">
            <v>حسن عبدالجبار إبراهيم</v>
          </cell>
          <cell r="BK395" t="str">
            <v>0918372971</v>
          </cell>
          <cell r="BL395" t="str">
            <v>كبار سن</v>
          </cell>
          <cell r="BN395">
            <v>43500</v>
          </cell>
          <cell r="BS395" t="str">
            <v>حدادة ولحام</v>
          </cell>
          <cell r="BT395" t="str">
            <v>تدريب مهني</v>
          </cell>
          <cell r="BU395" t="str">
            <v>معهد سنار الحرفى</v>
          </cell>
          <cell r="BV395">
            <v>36448</v>
          </cell>
          <cell r="CQ395" t="str">
            <v>شركة المصنع السودانى الماليزى</v>
          </cell>
          <cell r="CR395" t="str">
            <v>مشرف عمال</v>
          </cell>
          <cell r="CS395">
            <v>36281</v>
          </cell>
          <cell r="CT395">
            <v>37274</v>
          </cell>
          <cell r="EN395">
            <v>30</v>
          </cell>
          <cell r="EQ395">
            <v>30</v>
          </cell>
          <cell r="ER395">
            <v>48</v>
          </cell>
          <cell r="ES395">
            <v>41672</v>
          </cell>
          <cell r="ET395">
            <v>42036</v>
          </cell>
          <cell r="FG395" t="str">
            <v>المدير الادارى</v>
          </cell>
          <cell r="FH395" t="str">
            <v>احمد عبدالرحيم ابوبكر محمد</v>
          </cell>
          <cell r="FI395" t="str">
            <v>115-2082133-6</v>
          </cell>
        </row>
        <row r="396">
          <cell r="A396">
            <v>694</v>
          </cell>
          <cell r="B396" t="str">
            <v>نجم الدين سالم عبد الله عيسى</v>
          </cell>
          <cell r="G396" t="str">
            <v>المصنع</v>
          </cell>
          <cell r="H396" t="str">
            <v>الانتاج</v>
          </cell>
          <cell r="L396" t="str">
            <v>عامل</v>
          </cell>
          <cell r="M396">
            <v>41674</v>
          </cell>
          <cell r="O396" t="e">
            <v>#NUM!</v>
          </cell>
          <cell r="P396" t="e">
            <v>#NUM!</v>
          </cell>
          <cell r="R396" t="e">
            <v>#NUM!</v>
          </cell>
          <cell r="T396" t="str">
            <v>m</v>
          </cell>
          <cell r="AS396">
            <v>43500</v>
          </cell>
          <cell r="AT396">
            <v>119</v>
          </cell>
          <cell r="BH396" t="str">
            <v>الخرطوم - عد حسين</v>
          </cell>
          <cell r="BN396">
            <v>43500</v>
          </cell>
          <cell r="EQ396">
            <v>0</v>
          </cell>
          <cell r="ES396">
            <v>41674</v>
          </cell>
          <cell r="ET396">
            <v>42038</v>
          </cell>
          <cell r="EU396" t="str">
            <v>عامل</v>
          </cell>
          <cell r="FG396" t="str">
            <v xml:space="preserve"> مدير الانتاج</v>
          </cell>
          <cell r="FH396" t="str">
            <v>هشام عيسى محمد عبدالكريم</v>
          </cell>
          <cell r="FI396">
            <v>0</v>
          </cell>
        </row>
        <row r="397">
          <cell r="A397">
            <v>695</v>
          </cell>
          <cell r="B397" t="str">
            <v>محمد هارون موسى رحومة</v>
          </cell>
          <cell r="G397" t="str">
            <v>المصنع</v>
          </cell>
          <cell r="H397" t="str">
            <v>الانتاج</v>
          </cell>
          <cell r="L397" t="str">
            <v>عامل</v>
          </cell>
          <cell r="M397">
            <v>41675</v>
          </cell>
          <cell r="O397" t="e">
            <v>#NUM!</v>
          </cell>
          <cell r="P397" t="e">
            <v>#NUM!</v>
          </cell>
          <cell r="R397" t="e">
            <v>#NUM!</v>
          </cell>
          <cell r="T397" t="str">
            <v>m</v>
          </cell>
          <cell r="AS397">
            <v>43500</v>
          </cell>
          <cell r="AT397">
            <v>119</v>
          </cell>
          <cell r="BH397" t="str">
            <v>امدرمان</v>
          </cell>
          <cell r="BN397">
            <v>43500</v>
          </cell>
          <cell r="EQ397">
            <v>0</v>
          </cell>
          <cell r="ES397">
            <v>41675</v>
          </cell>
          <cell r="ET397">
            <v>42039</v>
          </cell>
          <cell r="EU397" t="str">
            <v>عامل</v>
          </cell>
          <cell r="FG397" t="str">
            <v xml:space="preserve"> مدير الانتاج</v>
          </cell>
          <cell r="FH397" t="str">
            <v>هشام عيسى محمد عبدالكريم</v>
          </cell>
          <cell r="FI397">
            <v>0</v>
          </cell>
        </row>
        <row r="398">
          <cell r="A398">
            <v>696</v>
          </cell>
          <cell r="B398" t="str">
            <v>السمؤال حسن ميرغنى حمد</v>
          </cell>
          <cell r="G398" t="str">
            <v>المصنع</v>
          </cell>
          <cell r="H398" t="str">
            <v>الانتاج</v>
          </cell>
          <cell r="L398" t="str">
            <v>تقنى تشغيل</v>
          </cell>
          <cell r="M398">
            <v>41678</v>
          </cell>
          <cell r="O398" t="e">
            <v>#NUM!</v>
          </cell>
          <cell r="P398" t="e">
            <v>#NUM!</v>
          </cell>
          <cell r="R398" t="e">
            <v>#NUM!</v>
          </cell>
          <cell r="T398" t="str">
            <v>m</v>
          </cell>
          <cell r="AS398">
            <v>43500</v>
          </cell>
          <cell r="AT398">
            <v>119</v>
          </cell>
          <cell r="BH398" t="str">
            <v>الخرطوم - الديوم الشرقية</v>
          </cell>
          <cell r="BN398">
            <v>43500</v>
          </cell>
          <cell r="EQ398">
            <v>0</v>
          </cell>
          <cell r="ES398">
            <v>41678</v>
          </cell>
          <cell r="ET398">
            <v>42042</v>
          </cell>
          <cell r="EU398" t="str">
            <v>تقنى تشغيل</v>
          </cell>
          <cell r="FG398" t="str">
            <v xml:space="preserve"> مدير الانتاج</v>
          </cell>
          <cell r="FH398" t="str">
            <v>هشام عيسى محمد عبدالكريم</v>
          </cell>
          <cell r="FI398">
            <v>0</v>
          </cell>
        </row>
        <row r="399">
          <cell r="A399">
            <v>697</v>
          </cell>
          <cell r="B399" t="str">
            <v>عبدالعزيز الامين محمد حمدالنيل</v>
          </cell>
          <cell r="C399" t="str">
            <v>عبدالعزيز</v>
          </cell>
          <cell r="D399" t="str">
            <v>الامينِ</v>
          </cell>
          <cell r="E399" t="str">
            <v>محمد</v>
          </cell>
          <cell r="F399" t="str">
            <v>حمدالنيل</v>
          </cell>
          <cell r="G399" t="str">
            <v>المصنع</v>
          </cell>
          <cell r="H399" t="str">
            <v>الميكانيكا</v>
          </cell>
          <cell r="I399" t="str">
            <v>الحداده</v>
          </cell>
          <cell r="K399" t="str">
            <v>حداد</v>
          </cell>
          <cell r="L399" t="str">
            <v>حداد صيانه</v>
          </cell>
          <cell r="M399">
            <v>41679</v>
          </cell>
          <cell r="N399">
            <v>43500</v>
          </cell>
          <cell r="O399">
            <v>4</v>
          </cell>
          <cell r="P399">
            <v>11</v>
          </cell>
          <cell r="R399">
            <v>147.5</v>
          </cell>
          <cell r="Z399">
            <v>29587</v>
          </cell>
          <cell r="AG399">
            <v>9</v>
          </cell>
          <cell r="AH399">
            <v>1</v>
          </cell>
          <cell r="AI399" t="str">
            <v>تسنين</v>
          </cell>
          <cell r="AJ399" t="str">
            <v>1478680</v>
          </cell>
          <cell r="AK399">
            <v>0</v>
          </cell>
          <cell r="AL399">
            <v>8</v>
          </cell>
          <cell r="AM399">
            <v>6</v>
          </cell>
          <cell r="AN399">
            <v>8</v>
          </cell>
          <cell r="AO399">
            <v>7</v>
          </cell>
          <cell r="AP399">
            <v>4</v>
          </cell>
          <cell r="AQ399">
            <v>1</v>
          </cell>
          <cell r="AS399">
            <v>43500</v>
          </cell>
          <cell r="AT399">
            <v>38</v>
          </cell>
          <cell r="AU399" t="str">
            <v>جنسيه</v>
          </cell>
          <cell r="AV399" t="str">
            <v>0065510</v>
          </cell>
          <cell r="AW399">
            <v>0</v>
          </cell>
          <cell r="AX399">
            <v>1</v>
          </cell>
          <cell r="AY399">
            <v>5</v>
          </cell>
          <cell r="AZ399">
            <v>5</v>
          </cell>
          <cell r="BA399">
            <v>6</v>
          </cell>
          <cell r="BB399">
            <v>0</v>
          </cell>
          <cell r="BC399">
            <v>0</v>
          </cell>
          <cell r="BE399" t="str">
            <v>112-3009098-3</v>
          </cell>
          <cell r="BF399" t="str">
            <v>زينب الامين موسى</v>
          </cell>
          <cell r="BG399" t="str">
            <v>العربى</v>
          </cell>
          <cell r="BH399" t="str">
            <v>السمير</v>
          </cell>
          <cell r="BI399" t="str">
            <v>0911457282</v>
          </cell>
          <cell r="BJ399" t="str">
            <v>الفاتح محمد عامر</v>
          </cell>
          <cell r="BK399" t="str">
            <v>0912691360</v>
          </cell>
          <cell r="BL399" t="str">
            <v>خالي الطرف</v>
          </cell>
          <cell r="BN399">
            <v>43500</v>
          </cell>
          <cell r="BS399" t="str">
            <v>توضيب ولحام</v>
          </cell>
          <cell r="BT399" t="str">
            <v>تدريب مهني</v>
          </cell>
          <cell r="BV399">
            <v>38047</v>
          </cell>
          <cell r="CQ399" t="str">
            <v>شركة المصنع السودانى الماليزى</v>
          </cell>
          <cell r="CR399" t="str">
            <v>حداد</v>
          </cell>
          <cell r="CS399">
            <v>39995</v>
          </cell>
          <cell r="CT399">
            <v>40712</v>
          </cell>
          <cell r="EQ399">
            <v>0</v>
          </cell>
          <cell r="ER399">
            <v>74</v>
          </cell>
          <cell r="ES399">
            <v>41679</v>
          </cell>
          <cell r="ET399">
            <v>42043</v>
          </cell>
          <cell r="EU399" t="str">
            <v>حداد</v>
          </cell>
          <cell r="FG399" t="str">
            <v>مدير الصيانه الميكانيكيه</v>
          </cell>
          <cell r="FH399" t="str">
            <v>محمد احمد محمد سليمان</v>
          </cell>
          <cell r="FI399" t="str">
            <v>112-3009098-3</v>
          </cell>
        </row>
        <row r="400">
          <cell r="A400">
            <v>699</v>
          </cell>
          <cell r="B400" t="str">
            <v>حمدان محمد احمد بلة</v>
          </cell>
          <cell r="G400" t="str">
            <v>المصنع</v>
          </cell>
          <cell r="H400" t="str">
            <v>الانتاج</v>
          </cell>
          <cell r="L400" t="str">
            <v>عامل</v>
          </cell>
          <cell r="M400">
            <v>41679</v>
          </cell>
          <cell r="O400" t="e">
            <v>#NUM!</v>
          </cell>
          <cell r="P400" t="e">
            <v>#NUM!</v>
          </cell>
          <cell r="R400" t="e">
            <v>#NUM!</v>
          </cell>
          <cell r="T400" t="str">
            <v>إستقال</v>
          </cell>
          <cell r="U400">
            <v>41888</v>
          </cell>
          <cell r="AS400">
            <v>43500</v>
          </cell>
          <cell r="AT400">
            <v>119</v>
          </cell>
          <cell r="BH400" t="str">
            <v>سوبا</v>
          </cell>
          <cell r="BN400">
            <v>43500</v>
          </cell>
          <cell r="EQ400">
            <v>0</v>
          </cell>
          <cell r="ES400">
            <v>41679</v>
          </cell>
          <cell r="ET400">
            <v>42043</v>
          </cell>
          <cell r="EU400" t="str">
            <v>عامل</v>
          </cell>
          <cell r="FG400" t="str">
            <v xml:space="preserve"> مدير الانتاج</v>
          </cell>
          <cell r="FH400" t="str">
            <v>هشام عيسى محمد عبدالكريم</v>
          </cell>
          <cell r="FI400">
            <v>0</v>
          </cell>
        </row>
        <row r="401">
          <cell r="A401">
            <v>702</v>
          </cell>
          <cell r="B401" t="str">
            <v>معتز خليفة سالم برمة</v>
          </cell>
          <cell r="G401" t="str">
            <v>المصنع</v>
          </cell>
          <cell r="H401" t="str">
            <v>الانتاج</v>
          </cell>
          <cell r="L401" t="str">
            <v>عامل</v>
          </cell>
          <cell r="M401">
            <v>41679</v>
          </cell>
          <cell r="O401" t="e">
            <v>#NUM!</v>
          </cell>
          <cell r="P401" t="e">
            <v>#NUM!</v>
          </cell>
          <cell r="R401" t="e">
            <v>#NUM!</v>
          </cell>
          <cell r="T401" t="str">
            <v>فصل</v>
          </cell>
          <cell r="AS401">
            <v>43500</v>
          </cell>
          <cell r="AT401">
            <v>119</v>
          </cell>
          <cell r="BN401">
            <v>43500</v>
          </cell>
          <cell r="EQ401">
            <v>0</v>
          </cell>
          <cell r="ES401">
            <v>41679</v>
          </cell>
          <cell r="ET401">
            <v>42043</v>
          </cell>
          <cell r="EU401" t="str">
            <v>عامل</v>
          </cell>
          <cell r="FG401" t="str">
            <v xml:space="preserve"> مدير الانتاج</v>
          </cell>
          <cell r="FH401" t="str">
            <v>هشام عيسى محمد عبدالكريم</v>
          </cell>
          <cell r="FI401">
            <v>0</v>
          </cell>
        </row>
        <row r="402">
          <cell r="A402">
            <v>705</v>
          </cell>
          <cell r="B402" t="str">
            <v>محمد عبيد الله على حامد</v>
          </cell>
          <cell r="C402" t="str">
            <v>محمد</v>
          </cell>
          <cell r="D402" t="str">
            <v>عبيد الله</v>
          </cell>
          <cell r="E402" t="str">
            <v>على</v>
          </cell>
          <cell r="F402" t="str">
            <v>حامد</v>
          </cell>
          <cell r="G402" t="str">
            <v>المصنع</v>
          </cell>
          <cell r="H402" t="str">
            <v>الانتاج</v>
          </cell>
          <cell r="I402" t="str">
            <v>الزوايا</v>
          </cell>
          <cell r="K402" t="str">
            <v>عامل</v>
          </cell>
          <cell r="L402" t="str">
            <v>مشغل كرين</v>
          </cell>
          <cell r="M402">
            <v>41681</v>
          </cell>
          <cell r="N402">
            <v>43500</v>
          </cell>
          <cell r="O402">
            <v>4</v>
          </cell>
          <cell r="P402">
            <v>11</v>
          </cell>
          <cell r="R402">
            <v>147.5</v>
          </cell>
          <cell r="Z402">
            <v>27760</v>
          </cell>
          <cell r="AG402">
            <v>9</v>
          </cell>
          <cell r="AH402">
            <v>1</v>
          </cell>
          <cell r="AI402" t="str">
            <v>تسنين</v>
          </cell>
          <cell r="AJ402" t="str">
            <v>037982</v>
          </cell>
          <cell r="AK402">
            <v>2</v>
          </cell>
          <cell r="AL402">
            <v>8</v>
          </cell>
          <cell r="AM402">
            <v>9</v>
          </cell>
          <cell r="AN402">
            <v>7</v>
          </cell>
          <cell r="AO402">
            <v>3</v>
          </cell>
          <cell r="AP402">
            <v>0</v>
          </cell>
          <cell r="AS402">
            <v>43500</v>
          </cell>
          <cell r="AT402">
            <v>43</v>
          </cell>
          <cell r="AU402" t="str">
            <v>جنسيه</v>
          </cell>
          <cell r="AV402" t="str">
            <v>0706873</v>
          </cell>
          <cell r="AW402">
            <v>3</v>
          </cell>
          <cell r="AX402">
            <v>7</v>
          </cell>
          <cell r="AY402">
            <v>8</v>
          </cell>
          <cell r="AZ402">
            <v>6</v>
          </cell>
          <cell r="BA402">
            <v>0</v>
          </cell>
          <cell r="BB402">
            <v>7</v>
          </cell>
          <cell r="BC402">
            <v>0</v>
          </cell>
          <cell r="BF402" t="str">
            <v>ام كلام الشريف عبدالله</v>
          </cell>
          <cell r="BG402" t="str">
            <v>الجزيره</v>
          </cell>
          <cell r="BH402" t="str">
            <v xml:space="preserve">الباقير - دار السلام </v>
          </cell>
          <cell r="BI402" t="str">
            <v>0915308972</v>
          </cell>
          <cell r="BJ402" t="str">
            <v>ياسر إبراهيم</v>
          </cell>
          <cell r="BK402" t="str">
            <v>0912243259</v>
          </cell>
          <cell r="BL402" t="str">
            <v>خالي الطرف</v>
          </cell>
          <cell r="BN402">
            <v>43500</v>
          </cell>
          <cell r="BT402" t="str">
            <v>شهاده ثانويه</v>
          </cell>
          <cell r="BV402">
            <v>39142</v>
          </cell>
          <cell r="BW402" t="str">
            <v>حاسوب</v>
          </cell>
          <cell r="BX402" t="str">
            <v>دبلوم (معاهد)</v>
          </cell>
          <cell r="BY402" t="str">
            <v>Norton Computer Sciences</v>
          </cell>
          <cell r="BZ402">
            <v>40143</v>
          </cell>
          <cell r="CQ402" t="str">
            <v>شركة جياد للالمونيوم</v>
          </cell>
          <cell r="CR402" t="str">
            <v>عامل</v>
          </cell>
          <cell r="CS402">
            <v>37257</v>
          </cell>
          <cell r="CT402">
            <v>38864</v>
          </cell>
          <cell r="EQ402">
            <v>0</v>
          </cell>
          <cell r="ER402">
            <v>66</v>
          </cell>
          <cell r="ES402">
            <v>41681</v>
          </cell>
          <cell r="ET402">
            <v>42045</v>
          </cell>
          <cell r="EU402" t="str">
            <v>عامل</v>
          </cell>
          <cell r="FG402" t="str">
            <v xml:space="preserve"> مدير الانتاج</v>
          </cell>
          <cell r="FH402" t="str">
            <v>هشام عيسى محمد عبدالكريم</v>
          </cell>
          <cell r="FI402">
            <v>0</v>
          </cell>
        </row>
        <row r="403">
          <cell r="A403">
            <v>706</v>
          </cell>
          <cell r="B403" t="str">
            <v>الطيب ادم عبد الرحمن على</v>
          </cell>
          <cell r="G403" t="str">
            <v>المصنع</v>
          </cell>
          <cell r="H403" t="str">
            <v>الانتاج</v>
          </cell>
          <cell r="L403" t="str">
            <v>سائق</v>
          </cell>
          <cell r="M403">
            <v>41730</v>
          </cell>
          <cell r="O403" t="e">
            <v>#NUM!</v>
          </cell>
          <cell r="P403" t="e">
            <v>#NUM!</v>
          </cell>
          <cell r="R403" t="e">
            <v>#NUM!</v>
          </cell>
          <cell r="T403" t="str">
            <v>m</v>
          </cell>
          <cell r="AS403">
            <v>43500</v>
          </cell>
          <cell r="AT403">
            <v>119</v>
          </cell>
          <cell r="BH403" t="str">
            <v>الخرطوم - سوبا</v>
          </cell>
          <cell r="BN403">
            <v>43500</v>
          </cell>
          <cell r="EQ403">
            <v>0</v>
          </cell>
          <cell r="ES403">
            <v>41730</v>
          </cell>
          <cell r="ET403">
            <v>42094</v>
          </cell>
          <cell r="EU403" t="str">
            <v>سائق</v>
          </cell>
          <cell r="FG403" t="str">
            <v xml:space="preserve"> مدير الانتاج</v>
          </cell>
          <cell r="FH403" t="str">
            <v>هشام عيسى محمد عبدالكريم</v>
          </cell>
          <cell r="FI403">
            <v>0</v>
          </cell>
        </row>
        <row r="404">
          <cell r="A404">
            <v>707</v>
          </cell>
          <cell r="B404" t="str">
            <v>عطا المنان الطيب عطا المنان حماد</v>
          </cell>
          <cell r="G404" t="str">
            <v>المصنع</v>
          </cell>
          <cell r="H404" t="str">
            <v>الميكانيكا</v>
          </cell>
          <cell r="L404" t="str">
            <v>حداد</v>
          </cell>
          <cell r="M404">
            <v>41681</v>
          </cell>
          <cell r="O404" t="e">
            <v>#NUM!</v>
          </cell>
          <cell r="P404" t="e">
            <v>#NUM!</v>
          </cell>
          <cell r="R404" t="e">
            <v>#NUM!</v>
          </cell>
          <cell r="T404" t="str">
            <v>m</v>
          </cell>
          <cell r="AS404">
            <v>43500</v>
          </cell>
          <cell r="AT404">
            <v>119</v>
          </cell>
          <cell r="BH404" t="str">
            <v>الخرطوم - اركويت</v>
          </cell>
          <cell r="BN404">
            <v>43500</v>
          </cell>
          <cell r="EQ404">
            <v>0</v>
          </cell>
          <cell r="ES404">
            <v>41681</v>
          </cell>
          <cell r="ET404">
            <v>41680</v>
          </cell>
          <cell r="EU404" t="str">
            <v>حداد</v>
          </cell>
          <cell r="FG404" t="str">
            <v>مدير الصيانه الميكانيكيه</v>
          </cell>
          <cell r="FH404" t="str">
            <v>محمد احمد محمد سليمان</v>
          </cell>
          <cell r="FI404">
            <v>0</v>
          </cell>
        </row>
        <row r="405">
          <cell r="A405">
            <v>709</v>
          </cell>
          <cell r="B405" t="str">
            <v>خالد ادم محمد صابون</v>
          </cell>
          <cell r="G405" t="str">
            <v>المصنع</v>
          </cell>
          <cell r="H405" t="str">
            <v>الانتاج</v>
          </cell>
          <cell r="L405" t="str">
            <v>عامل</v>
          </cell>
          <cell r="M405">
            <v>41685</v>
          </cell>
          <cell r="O405" t="e">
            <v>#NUM!</v>
          </cell>
          <cell r="P405" t="e">
            <v>#NUM!</v>
          </cell>
          <cell r="R405" t="e">
            <v>#NUM!</v>
          </cell>
          <cell r="T405" t="str">
            <v>إستقال</v>
          </cell>
          <cell r="AS405">
            <v>43500</v>
          </cell>
          <cell r="AT405">
            <v>119</v>
          </cell>
          <cell r="BN405">
            <v>43500</v>
          </cell>
          <cell r="EQ405">
            <v>0</v>
          </cell>
          <cell r="ES405">
            <v>41685</v>
          </cell>
          <cell r="ET405">
            <v>42049</v>
          </cell>
          <cell r="EU405" t="str">
            <v>عامل</v>
          </cell>
          <cell r="FG405" t="str">
            <v xml:space="preserve"> مدير الانتاج</v>
          </cell>
          <cell r="FH405" t="str">
            <v>هشام عيسى محمد عبدالكريم</v>
          </cell>
          <cell r="FI405">
            <v>0</v>
          </cell>
        </row>
        <row r="406">
          <cell r="A406">
            <v>713</v>
          </cell>
          <cell r="B406" t="str">
            <v>لؤى نور الدين الصديق محمد</v>
          </cell>
          <cell r="G406" t="str">
            <v>المصنع</v>
          </cell>
          <cell r="H406" t="str">
            <v>الاليات</v>
          </cell>
          <cell r="L406" t="str">
            <v>فنى انتاج</v>
          </cell>
          <cell r="M406">
            <v>41685</v>
          </cell>
          <cell r="O406" t="e">
            <v>#NUM!</v>
          </cell>
          <cell r="P406" t="e">
            <v>#NUM!</v>
          </cell>
          <cell r="R406" t="e">
            <v>#NUM!</v>
          </cell>
          <cell r="T406" t="str">
            <v>m</v>
          </cell>
          <cell r="Z406">
            <v>31413</v>
          </cell>
          <cell r="AI406" t="str">
            <v>ميلاد</v>
          </cell>
          <cell r="AJ406" t="str">
            <v>25206</v>
          </cell>
          <cell r="AK406">
            <v>6</v>
          </cell>
          <cell r="AL406">
            <v>0</v>
          </cell>
          <cell r="AM406">
            <v>2</v>
          </cell>
          <cell r="AN406">
            <v>5</v>
          </cell>
          <cell r="AO406">
            <v>2</v>
          </cell>
          <cell r="AS406">
            <v>43500</v>
          </cell>
          <cell r="AT406">
            <v>33</v>
          </cell>
          <cell r="AU406" t="str">
            <v>جنسيه</v>
          </cell>
          <cell r="AV406" t="str">
            <v>0431370</v>
          </cell>
          <cell r="AW406">
            <v>0</v>
          </cell>
          <cell r="AX406">
            <v>7</v>
          </cell>
          <cell r="AY406">
            <v>3</v>
          </cell>
          <cell r="AZ406">
            <v>1</v>
          </cell>
          <cell r="BA406">
            <v>3</v>
          </cell>
          <cell r="BB406">
            <v>4</v>
          </cell>
          <cell r="BC406">
            <v>0</v>
          </cell>
          <cell r="BE406" t="str">
            <v>190-8004785-1</v>
          </cell>
          <cell r="BF406" t="str">
            <v>نعمات ابشر محمد</v>
          </cell>
          <cell r="BH406" t="str">
            <v>الجزيره - المسعوديه</v>
          </cell>
          <cell r="BI406" t="str">
            <v>0918152397</v>
          </cell>
          <cell r="BJ406" t="str">
            <v>ذكى الصديق محمد</v>
          </cell>
          <cell r="BK406" t="str">
            <v>0919004145</v>
          </cell>
          <cell r="BL406" t="str">
            <v>خالي الطرف</v>
          </cell>
          <cell r="BN406">
            <v>43500</v>
          </cell>
          <cell r="BS406" t="str">
            <v>هندسه ميكانيكية ( سيارات )</v>
          </cell>
          <cell r="BT406" t="str">
            <v>دبلوم تقني</v>
          </cell>
          <cell r="BU406" t="str">
            <v>كلية ود مدنى التقنية</v>
          </cell>
          <cell r="BV406">
            <v>41347</v>
          </cell>
          <cell r="CQ406" t="str">
            <v>شركة دال للسيارات المحدوده</v>
          </cell>
          <cell r="CR406" t="str">
            <v>متدرب</v>
          </cell>
          <cell r="CS406">
            <v>41458</v>
          </cell>
          <cell r="CT406">
            <v>41547</v>
          </cell>
          <cell r="EQ406">
            <v>0</v>
          </cell>
          <cell r="ES406">
            <v>41685</v>
          </cell>
          <cell r="ET406">
            <v>42049</v>
          </cell>
          <cell r="EU406" t="str">
            <v>مشغل</v>
          </cell>
          <cell r="FG406" t="str">
            <v>مسئول قسم الاليات</v>
          </cell>
          <cell r="FH406" t="str">
            <v>جمال حامد عبد الكريم العبيد</v>
          </cell>
          <cell r="FI406" t="str">
            <v>190-8004785-1</v>
          </cell>
        </row>
        <row r="407">
          <cell r="A407">
            <v>718</v>
          </cell>
          <cell r="B407" t="str">
            <v>بشرى جبرالله جديد جبر الله</v>
          </cell>
          <cell r="G407" t="str">
            <v>المصنع</v>
          </cell>
          <cell r="H407" t="str">
            <v>الانتاج</v>
          </cell>
          <cell r="L407" t="str">
            <v>عامل</v>
          </cell>
          <cell r="M407">
            <v>41699</v>
          </cell>
          <cell r="O407" t="e">
            <v>#NUM!</v>
          </cell>
          <cell r="P407" t="e">
            <v>#NUM!</v>
          </cell>
          <cell r="R407" t="e">
            <v>#NUM!</v>
          </cell>
          <cell r="T407" t="str">
            <v>m</v>
          </cell>
          <cell r="AS407">
            <v>43500</v>
          </cell>
          <cell r="AT407">
            <v>119</v>
          </cell>
          <cell r="BH407" t="str">
            <v>الخرطوم - سوبا</v>
          </cell>
          <cell r="BN407">
            <v>43500</v>
          </cell>
          <cell r="EQ407">
            <v>0</v>
          </cell>
          <cell r="ES407">
            <v>41699</v>
          </cell>
          <cell r="ET407">
            <v>42063</v>
          </cell>
          <cell r="EU407" t="str">
            <v>عامل</v>
          </cell>
          <cell r="FG407" t="str">
            <v xml:space="preserve"> مدير الانتاج</v>
          </cell>
          <cell r="FH407" t="str">
            <v>هشام عيسى محمد عبدالكريم</v>
          </cell>
          <cell r="FI407">
            <v>0</v>
          </cell>
        </row>
        <row r="408">
          <cell r="A408">
            <v>719</v>
          </cell>
          <cell r="B408" t="str">
            <v>حسين محمد إبراهيم حلو</v>
          </cell>
          <cell r="G408" t="str">
            <v>المصنع</v>
          </cell>
          <cell r="H408" t="str">
            <v>الانتاج</v>
          </cell>
          <cell r="L408" t="str">
            <v>عامل</v>
          </cell>
          <cell r="M408">
            <v>42409</v>
          </cell>
          <cell r="O408" t="e">
            <v>#NUM!</v>
          </cell>
          <cell r="P408" t="e">
            <v>#NUM!</v>
          </cell>
          <cell r="R408" t="e">
            <v>#NUM!</v>
          </cell>
          <cell r="T408" t="str">
            <v>m</v>
          </cell>
          <cell r="X408">
            <v>41699</v>
          </cell>
          <cell r="Z408">
            <v>17168</v>
          </cell>
          <cell r="AI408" t="str">
            <v>تسنين</v>
          </cell>
          <cell r="AJ408" t="str">
            <v>835106</v>
          </cell>
          <cell r="AK408">
            <v>6</v>
          </cell>
          <cell r="AL408">
            <v>0</v>
          </cell>
          <cell r="AM408">
            <v>1</v>
          </cell>
          <cell r="AN408">
            <v>5</v>
          </cell>
          <cell r="AO408">
            <v>3</v>
          </cell>
          <cell r="AP408">
            <v>8</v>
          </cell>
          <cell r="AS408">
            <v>43500</v>
          </cell>
          <cell r="AT408">
            <v>72</v>
          </cell>
          <cell r="BE408" t="str">
            <v>198-8735773-5</v>
          </cell>
          <cell r="BF408" t="str">
            <v>امنه حسين خليل</v>
          </cell>
          <cell r="BH408" t="str">
            <v>سوبا - الحله</v>
          </cell>
          <cell r="BI408" t="str">
            <v>0961856035</v>
          </cell>
          <cell r="BL408" t="str">
            <v>كبار سن</v>
          </cell>
          <cell r="BN408">
            <v>43500</v>
          </cell>
          <cell r="EQ408">
            <v>0</v>
          </cell>
          <cell r="ES408">
            <v>41699</v>
          </cell>
          <cell r="ET408">
            <v>42063</v>
          </cell>
          <cell r="EU408" t="str">
            <v>عامل</v>
          </cell>
          <cell r="FB408">
            <v>41699</v>
          </cell>
          <cell r="FG408" t="str">
            <v xml:space="preserve"> مدير الانتاج</v>
          </cell>
          <cell r="FH408" t="str">
            <v>هشام عيسى محمد عبدالكريم</v>
          </cell>
          <cell r="FI408" t="str">
            <v>198-8735773-5</v>
          </cell>
        </row>
        <row r="409">
          <cell r="A409">
            <v>721</v>
          </cell>
          <cell r="B409" t="str">
            <v>الفاتح ابراهيم بابكر عثمان</v>
          </cell>
          <cell r="G409" t="str">
            <v>المصنع</v>
          </cell>
          <cell r="H409" t="str">
            <v>الميكانيكا</v>
          </cell>
          <cell r="L409" t="str">
            <v>تقنى ميكانيكا</v>
          </cell>
          <cell r="M409">
            <v>41699</v>
          </cell>
          <cell r="O409" t="e">
            <v>#NUM!</v>
          </cell>
          <cell r="P409" t="e">
            <v>#NUM!</v>
          </cell>
          <cell r="R409" t="e">
            <v>#NUM!</v>
          </cell>
          <cell r="T409" t="str">
            <v>m</v>
          </cell>
          <cell r="AS409">
            <v>43500</v>
          </cell>
          <cell r="AT409">
            <v>119</v>
          </cell>
          <cell r="BH409" t="str">
            <v>الجزيرة - المسعودية</v>
          </cell>
          <cell r="BN409">
            <v>43500</v>
          </cell>
          <cell r="EQ409">
            <v>0</v>
          </cell>
          <cell r="ES409">
            <v>41699</v>
          </cell>
          <cell r="ET409">
            <v>42063</v>
          </cell>
          <cell r="EU409" t="str">
            <v>تقنى ميكانيكا</v>
          </cell>
          <cell r="FG409" t="str">
            <v>مدير الصيانه الميكانيكيه</v>
          </cell>
          <cell r="FH409" t="str">
            <v>محمد احمد محمد سليمان</v>
          </cell>
          <cell r="FI409">
            <v>0</v>
          </cell>
        </row>
        <row r="410">
          <cell r="A410">
            <v>722</v>
          </cell>
          <cell r="B410" t="str">
            <v xml:space="preserve">عادل عبد الرحمن ابراهيم محمد </v>
          </cell>
          <cell r="C410" t="str">
            <v>عادل</v>
          </cell>
          <cell r="D410" t="str">
            <v>عبدالرحمن</v>
          </cell>
          <cell r="E410" t="str">
            <v>ابراهيم</v>
          </cell>
          <cell r="F410" t="str">
            <v>محمد</v>
          </cell>
          <cell r="G410" t="str">
            <v>المصنع</v>
          </cell>
          <cell r="H410" t="str">
            <v>الانتاج</v>
          </cell>
          <cell r="L410" t="str">
            <v>مشرف</v>
          </cell>
          <cell r="M410">
            <v>41700</v>
          </cell>
          <cell r="O410" t="e">
            <v>#NUM!</v>
          </cell>
          <cell r="P410" t="e">
            <v>#NUM!</v>
          </cell>
          <cell r="R410" t="e">
            <v>#NUM!</v>
          </cell>
          <cell r="T410" t="str">
            <v>m</v>
          </cell>
          <cell r="AS410">
            <v>43500</v>
          </cell>
          <cell r="AT410">
            <v>119</v>
          </cell>
          <cell r="BH410" t="str">
            <v>الخرطوم - سوبا</v>
          </cell>
          <cell r="BN410">
            <v>43500</v>
          </cell>
          <cell r="EQ410">
            <v>0</v>
          </cell>
          <cell r="ES410">
            <v>41700</v>
          </cell>
          <cell r="ET410">
            <v>42064</v>
          </cell>
          <cell r="EU410" t="str">
            <v>مشرف</v>
          </cell>
          <cell r="FG410" t="str">
            <v xml:space="preserve"> مدير الانتاج</v>
          </cell>
          <cell r="FH410" t="str">
            <v>هشام عيسى محمد عبدالكريم</v>
          </cell>
          <cell r="FI410">
            <v>0</v>
          </cell>
        </row>
        <row r="411">
          <cell r="A411">
            <v>723</v>
          </cell>
          <cell r="B411" t="str">
            <v>الهادى على مصطفى عجبنا</v>
          </cell>
          <cell r="C411" t="str">
            <v>الهادى</v>
          </cell>
          <cell r="D411" t="str">
            <v>على</v>
          </cell>
          <cell r="E411" t="str">
            <v>مصطفى</v>
          </cell>
          <cell r="F411" t="str">
            <v>عجبنا</v>
          </cell>
          <cell r="G411" t="str">
            <v>المصنع</v>
          </cell>
          <cell r="H411" t="str">
            <v>الانتاج</v>
          </cell>
          <cell r="I411" t="str">
            <v>الخوص</v>
          </cell>
          <cell r="K411" t="str">
            <v>مهندس انتاج</v>
          </cell>
          <cell r="L411" t="str">
            <v>مساعد مشغل</v>
          </cell>
          <cell r="M411">
            <v>41699</v>
          </cell>
          <cell r="N411">
            <v>43500</v>
          </cell>
          <cell r="O411">
            <v>4</v>
          </cell>
          <cell r="P411">
            <v>11</v>
          </cell>
          <cell r="R411">
            <v>147.5</v>
          </cell>
          <cell r="Z411">
            <v>31413</v>
          </cell>
          <cell r="AG411">
            <v>9</v>
          </cell>
          <cell r="AH411">
            <v>1</v>
          </cell>
          <cell r="AI411" t="str">
            <v>تسنين</v>
          </cell>
          <cell r="AJ411" t="str">
            <v>1702443</v>
          </cell>
          <cell r="AK411">
            <v>3</v>
          </cell>
          <cell r="AL411">
            <v>4</v>
          </cell>
          <cell r="AM411">
            <v>4</v>
          </cell>
          <cell r="AN411">
            <v>2</v>
          </cell>
          <cell r="AO411">
            <v>0</v>
          </cell>
          <cell r="AP411">
            <v>7</v>
          </cell>
          <cell r="AQ411">
            <v>1</v>
          </cell>
          <cell r="AS411">
            <v>43500</v>
          </cell>
          <cell r="AT411">
            <v>33</v>
          </cell>
          <cell r="AU411" t="str">
            <v>جنسيه</v>
          </cell>
          <cell r="AV411" t="str">
            <v>0221135</v>
          </cell>
          <cell r="AW411">
            <v>5</v>
          </cell>
          <cell r="AX411">
            <v>3</v>
          </cell>
          <cell r="AY411">
            <v>1</v>
          </cell>
          <cell r="AZ411">
            <v>1</v>
          </cell>
          <cell r="BA411">
            <v>2</v>
          </cell>
          <cell r="BB411">
            <v>2</v>
          </cell>
          <cell r="BC411">
            <v>0</v>
          </cell>
          <cell r="BE411" t="str">
            <v>180-0826653-5</v>
          </cell>
          <cell r="BF411" t="str">
            <v>ماريا الجيلانى الطاهر</v>
          </cell>
          <cell r="BG411" t="str">
            <v>العربى</v>
          </cell>
          <cell r="BH411" t="str">
            <v>الشجره</v>
          </cell>
          <cell r="BI411" t="str">
            <v>0912738193</v>
          </cell>
          <cell r="BJ411" t="str">
            <v>سعيد عبدالباقى</v>
          </cell>
          <cell r="BK411" t="str">
            <v>0912321953</v>
          </cell>
          <cell r="BL411" t="str">
            <v>خالي الطرف</v>
          </cell>
          <cell r="BN411">
            <v>43500</v>
          </cell>
          <cell r="BS411" t="str">
            <v>هندسة ميكانيكية ( إنتاج )</v>
          </cell>
          <cell r="BT411" t="str">
            <v>دبلوم تقني</v>
          </cell>
          <cell r="BU411" t="str">
            <v>جامعة امدرمان الاسلامية</v>
          </cell>
          <cell r="BV411">
            <v>40297</v>
          </cell>
          <cell r="BW411" t="str">
            <v>حاسوب</v>
          </cell>
          <cell r="BX411" t="str">
            <v>دبلوم (معاهد)</v>
          </cell>
          <cell r="BY411" t="str">
            <v>Continental Instite For Coputer</v>
          </cell>
          <cell r="EQ411">
            <v>0</v>
          </cell>
          <cell r="ER411">
            <v>76</v>
          </cell>
          <cell r="ES411">
            <v>41699</v>
          </cell>
          <cell r="ET411">
            <v>42063</v>
          </cell>
          <cell r="EU411" t="str">
            <v>مهندس انتاج</v>
          </cell>
          <cell r="FG411" t="str">
            <v xml:space="preserve"> مدير الانتاج</v>
          </cell>
          <cell r="FH411" t="str">
            <v>هشام عيسى محمد عبدالكريم</v>
          </cell>
          <cell r="FI411" t="str">
            <v>180-0826653-5</v>
          </cell>
        </row>
        <row r="412">
          <cell r="A412">
            <v>725</v>
          </cell>
          <cell r="B412" t="str">
            <v>جلال حسن عبد الرضى حسن</v>
          </cell>
          <cell r="G412" t="str">
            <v>المصنع</v>
          </cell>
          <cell r="H412" t="str">
            <v>الميكانيكا</v>
          </cell>
          <cell r="L412" t="str">
            <v>مهندس ميكانيكا</v>
          </cell>
          <cell r="M412">
            <v>41706</v>
          </cell>
          <cell r="O412" t="e">
            <v>#NUM!</v>
          </cell>
          <cell r="P412" t="e">
            <v>#NUM!</v>
          </cell>
          <cell r="R412" t="e">
            <v>#NUM!</v>
          </cell>
          <cell r="T412" t="str">
            <v>m</v>
          </cell>
          <cell r="AS412">
            <v>43500</v>
          </cell>
          <cell r="AT412">
            <v>119</v>
          </cell>
          <cell r="BH412" t="str">
            <v>الخرطوم 3</v>
          </cell>
          <cell r="BN412">
            <v>43500</v>
          </cell>
          <cell r="EQ412">
            <v>0</v>
          </cell>
          <cell r="ES412">
            <v>41703</v>
          </cell>
          <cell r="ET412">
            <v>42067</v>
          </cell>
          <cell r="EU412" t="str">
            <v>مهندس ميكانيكا</v>
          </cell>
          <cell r="FG412" t="str">
            <v>مدير الصيانه الميكانيكيه</v>
          </cell>
          <cell r="FH412" t="str">
            <v>محمد احمد محمد سليمان</v>
          </cell>
          <cell r="FI412">
            <v>0</v>
          </cell>
        </row>
        <row r="413">
          <cell r="A413">
            <v>728</v>
          </cell>
          <cell r="B413" t="str">
            <v>عبد الرحمن عثمان عبد الله حمد</v>
          </cell>
          <cell r="C413" t="str">
            <v>عبدالرحمن</v>
          </cell>
          <cell r="D413" t="str">
            <v>عثمان</v>
          </cell>
          <cell r="E413" t="str">
            <v>عبدالله</v>
          </cell>
          <cell r="F413" t="str">
            <v>حمد</v>
          </cell>
          <cell r="G413" t="str">
            <v>المصنع</v>
          </cell>
          <cell r="H413" t="str">
            <v>الانتاج</v>
          </cell>
          <cell r="L413" t="str">
            <v>عامل</v>
          </cell>
          <cell r="M413">
            <v>41707</v>
          </cell>
          <cell r="O413" t="e">
            <v>#NUM!</v>
          </cell>
          <cell r="P413" t="e">
            <v>#NUM!</v>
          </cell>
          <cell r="R413" t="e">
            <v>#NUM!</v>
          </cell>
          <cell r="T413" t="str">
            <v>m</v>
          </cell>
          <cell r="AS413">
            <v>43500</v>
          </cell>
          <cell r="AT413">
            <v>119</v>
          </cell>
          <cell r="BH413" t="str">
            <v>الازهرى</v>
          </cell>
          <cell r="BN413">
            <v>43500</v>
          </cell>
          <cell r="EQ413">
            <v>0</v>
          </cell>
          <cell r="ES413">
            <v>41707</v>
          </cell>
          <cell r="ET413">
            <v>42071</v>
          </cell>
          <cell r="EU413" t="str">
            <v>عامل</v>
          </cell>
          <cell r="FG413" t="str">
            <v xml:space="preserve"> مدير الانتاج</v>
          </cell>
          <cell r="FH413" t="str">
            <v>هشام عيسى محمد عبدالكريم</v>
          </cell>
          <cell r="FI413">
            <v>0</v>
          </cell>
        </row>
        <row r="414">
          <cell r="A414">
            <v>730</v>
          </cell>
          <cell r="B414" t="str">
            <v>نصر الدين داؤود محمد عمر</v>
          </cell>
          <cell r="G414" t="str">
            <v>المصنع</v>
          </cell>
          <cell r="H414" t="str">
            <v>الانتاج</v>
          </cell>
          <cell r="L414" t="str">
            <v>عامل</v>
          </cell>
          <cell r="M414">
            <v>41707</v>
          </cell>
          <cell r="O414" t="e">
            <v>#NUM!</v>
          </cell>
          <cell r="P414" t="e">
            <v>#NUM!</v>
          </cell>
          <cell r="R414" t="e">
            <v>#NUM!</v>
          </cell>
          <cell r="T414" t="str">
            <v>m</v>
          </cell>
          <cell r="AS414">
            <v>43500</v>
          </cell>
          <cell r="AT414">
            <v>119</v>
          </cell>
          <cell r="BH414" t="str">
            <v>الجزيرة - الباقير</v>
          </cell>
          <cell r="BN414">
            <v>43500</v>
          </cell>
          <cell r="EQ414">
            <v>0</v>
          </cell>
          <cell r="ES414">
            <v>41707</v>
          </cell>
          <cell r="ET414">
            <v>42071</v>
          </cell>
          <cell r="EU414" t="str">
            <v>عامل</v>
          </cell>
          <cell r="FG414" t="str">
            <v xml:space="preserve"> مدير الانتاج</v>
          </cell>
          <cell r="FH414" t="str">
            <v>هشام عيسى محمد عبدالكريم</v>
          </cell>
          <cell r="FI414">
            <v>0</v>
          </cell>
        </row>
        <row r="415">
          <cell r="A415">
            <v>732</v>
          </cell>
          <cell r="B415" t="str">
            <v>اشرف عبد الحفيظ محمد هارون</v>
          </cell>
          <cell r="G415" t="str">
            <v>المصنع</v>
          </cell>
          <cell r="H415" t="str">
            <v>الميكانيكا</v>
          </cell>
          <cell r="L415" t="str">
            <v>مهندس ميكانيكا</v>
          </cell>
          <cell r="M415">
            <v>41706</v>
          </cell>
          <cell r="O415" t="e">
            <v>#NUM!</v>
          </cell>
          <cell r="P415" t="e">
            <v>#NUM!</v>
          </cell>
          <cell r="R415" t="e">
            <v>#NUM!</v>
          </cell>
          <cell r="T415" t="str">
            <v>m</v>
          </cell>
          <cell r="AS415">
            <v>43500</v>
          </cell>
          <cell r="AT415">
            <v>119</v>
          </cell>
          <cell r="BH415" t="str">
            <v>الكلاكلة</v>
          </cell>
          <cell r="BN415">
            <v>43500</v>
          </cell>
          <cell r="EQ415">
            <v>0</v>
          </cell>
          <cell r="ES415">
            <v>41706</v>
          </cell>
          <cell r="ET415">
            <v>42070</v>
          </cell>
          <cell r="EU415" t="str">
            <v>مهندس ميكانيكا</v>
          </cell>
          <cell r="FG415" t="str">
            <v>مدير الصيانه الميكانيكيه</v>
          </cell>
          <cell r="FH415" t="str">
            <v>محمد احمد محمد سليمان</v>
          </cell>
          <cell r="FI415">
            <v>0</v>
          </cell>
        </row>
        <row r="416">
          <cell r="A416">
            <v>733</v>
          </cell>
          <cell r="B416" t="str">
            <v>الشاذلى احمد  محمد على</v>
          </cell>
          <cell r="C416" t="str">
            <v>الشاذلى</v>
          </cell>
          <cell r="D416" t="str">
            <v>احمد</v>
          </cell>
          <cell r="E416" t="str">
            <v>محمد</v>
          </cell>
          <cell r="F416" t="str">
            <v>على</v>
          </cell>
          <cell r="G416" t="str">
            <v>المصنع</v>
          </cell>
          <cell r="H416" t="str">
            <v>الالكترونيات</v>
          </cell>
          <cell r="K416" t="str">
            <v>مهندس الكترونات</v>
          </cell>
          <cell r="L416" t="str">
            <v>مدير الصيانه الالكترونيه</v>
          </cell>
          <cell r="M416">
            <v>41671</v>
          </cell>
          <cell r="N416">
            <v>43500</v>
          </cell>
          <cell r="O416">
            <v>5</v>
          </cell>
          <cell r="P416">
            <v>0</v>
          </cell>
          <cell r="R416">
            <v>150</v>
          </cell>
          <cell r="Z416">
            <v>23823</v>
          </cell>
          <cell r="AG416">
            <v>9</v>
          </cell>
          <cell r="AH416">
            <v>1</v>
          </cell>
          <cell r="AS416">
            <v>43500</v>
          </cell>
          <cell r="AT416">
            <v>53</v>
          </cell>
          <cell r="BG416" t="str">
            <v>خاص</v>
          </cell>
          <cell r="BH416" t="str">
            <v>الشجره</v>
          </cell>
          <cell r="BI416" t="str">
            <v>0912204253</v>
          </cell>
          <cell r="BJ416" t="str">
            <v>محمد الشاذلى</v>
          </cell>
          <cell r="BK416" t="str">
            <v>0917799554</v>
          </cell>
          <cell r="BN416">
            <v>43500</v>
          </cell>
          <cell r="EQ416">
            <v>30</v>
          </cell>
          <cell r="ER416">
            <v>17</v>
          </cell>
          <cell r="FG416" t="str">
            <v>مدير الصيانه الالكترونيه</v>
          </cell>
          <cell r="FH416" t="str">
            <v>الشاذلى احمد  محمد على</v>
          </cell>
          <cell r="FI416">
            <v>0</v>
          </cell>
          <cell r="HC416" t="str">
            <v>30</v>
          </cell>
        </row>
        <row r="417">
          <cell r="A417">
            <v>734</v>
          </cell>
          <cell r="B417" t="str">
            <v>عصام يوسف مقبل سوركتى</v>
          </cell>
          <cell r="C417" t="str">
            <v>عصام</v>
          </cell>
          <cell r="D417" t="str">
            <v>يوسف</v>
          </cell>
          <cell r="E417" t="str">
            <v>مقبل</v>
          </cell>
          <cell r="F417" t="str">
            <v>سوركتى</v>
          </cell>
          <cell r="G417" t="str">
            <v>المصنع</v>
          </cell>
          <cell r="H417" t="str">
            <v>الامن و الحركه</v>
          </cell>
          <cell r="I417" t="str">
            <v>الحركه</v>
          </cell>
          <cell r="K417" t="str">
            <v>سائق</v>
          </cell>
          <cell r="L417" t="str">
            <v>سائق</v>
          </cell>
          <cell r="M417">
            <v>41713</v>
          </cell>
          <cell r="N417">
            <v>43500</v>
          </cell>
          <cell r="O417">
            <v>4</v>
          </cell>
          <cell r="P417">
            <v>10</v>
          </cell>
          <cell r="R417">
            <v>145</v>
          </cell>
          <cell r="Z417">
            <v>22420</v>
          </cell>
          <cell r="AG417">
            <v>9</v>
          </cell>
          <cell r="AH417">
            <v>1</v>
          </cell>
          <cell r="AI417" t="str">
            <v>تسنين</v>
          </cell>
          <cell r="AJ417" t="str">
            <v>116913</v>
          </cell>
          <cell r="AK417">
            <v>3</v>
          </cell>
          <cell r="AL417">
            <v>1</v>
          </cell>
          <cell r="AM417">
            <v>9</v>
          </cell>
          <cell r="AN417">
            <v>6</v>
          </cell>
          <cell r="AO417">
            <v>1</v>
          </cell>
          <cell r="AP417">
            <v>1</v>
          </cell>
          <cell r="AS417">
            <v>43500</v>
          </cell>
          <cell r="AT417">
            <v>57</v>
          </cell>
          <cell r="AU417" t="str">
            <v>جنسيه</v>
          </cell>
          <cell r="AV417" t="str">
            <v>0277414</v>
          </cell>
          <cell r="AW417">
            <v>4</v>
          </cell>
          <cell r="AX417">
            <v>1</v>
          </cell>
          <cell r="AY417">
            <v>4</v>
          </cell>
          <cell r="AZ417">
            <v>7</v>
          </cell>
          <cell r="BA417">
            <v>7</v>
          </cell>
          <cell r="BB417">
            <v>2</v>
          </cell>
          <cell r="BC417">
            <v>0</v>
          </cell>
          <cell r="BF417" t="str">
            <v>زينب عبدالمجيد بخيت</v>
          </cell>
          <cell r="BG417" t="str">
            <v>العربى</v>
          </cell>
          <cell r="BH417" t="str">
            <v>امدرمان - الثوره - الحاره 5</v>
          </cell>
          <cell r="BI417" t="str">
            <v>0912279293</v>
          </cell>
          <cell r="BJ417" t="str">
            <v>حاتم يوسف مقبل سوركتى</v>
          </cell>
          <cell r="BK417" t="str">
            <v>0912279293</v>
          </cell>
          <cell r="BL417" t="str">
            <v>كبار سن</v>
          </cell>
          <cell r="BN417">
            <v>43500</v>
          </cell>
          <cell r="EN417">
            <v>30</v>
          </cell>
          <cell r="EO417">
            <v>30</v>
          </cell>
          <cell r="EP417">
            <v>30</v>
          </cell>
          <cell r="EQ417">
            <v>90</v>
          </cell>
          <cell r="ER417">
            <v>12</v>
          </cell>
          <cell r="ES417">
            <v>41713</v>
          </cell>
          <cell r="ET417">
            <v>42077</v>
          </cell>
          <cell r="EU417" t="str">
            <v>سائق</v>
          </cell>
          <cell r="FG417" t="str">
            <v>مدير الامن و الحركه</v>
          </cell>
          <cell r="FH417" t="str">
            <v>فارس حمدان عبدالله فارس</v>
          </cell>
          <cell r="FI417">
            <v>0</v>
          </cell>
        </row>
        <row r="418">
          <cell r="A418">
            <v>735</v>
          </cell>
          <cell r="B418" t="str">
            <v>الفاضل عثمان عبد الله</v>
          </cell>
          <cell r="G418" t="str">
            <v>المصنع</v>
          </cell>
          <cell r="H418" t="str">
            <v>الميكانيكا</v>
          </cell>
          <cell r="L418" t="str">
            <v>خراط</v>
          </cell>
          <cell r="M418">
            <v>41713</v>
          </cell>
          <cell r="O418" t="e">
            <v>#NUM!</v>
          </cell>
          <cell r="P418" t="e">
            <v>#NUM!</v>
          </cell>
          <cell r="R418" t="e">
            <v>#NUM!</v>
          </cell>
          <cell r="T418" t="str">
            <v>m</v>
          </cell>
          <cell r="AS418">
            <v>43500</v>
          </cell>
          <cell r="AT418">
            <v>119</v>
          </cell>
          <cell r="BH418" t="str">
            <v>الخرطوم - الازهرى</v>
          </cell>
          <cell r="BJ418" t="str">
            <v>محمد عثمان عبدالله</v>
          </cell>
          <cell r="BN418">
            <v>43500</v>
          </cell>
          <cell r="EQ418">
            <v>0</v>
          </cell>
          <cell r="ES418">
            <v>41713</v>
          </cell>
          <cell r="ET418">
            <v>42077</v>
          </cell>
          <cell r="EU418" t="str">
            <v>خراط</v>
          </cell>
          <cell r="FG418" t="str">
            <v>مدير الصيانه الميكانيكيه</v>
          </cell>
          <cell r="FH418" t="str">
            <v>محمد احمد محمد سليمان</v>
          </cell>
          <cell r="FI418">
            <v>0</v>
          </cell>
        </row>
        <row r="419">
          <cell r="A419">
            <v>736</v>
          </cell>
          <cell r="B419" t="str">
            <v>احمد عبد العزيز محمد ابراهيم</v>
          </cell>
          <cell r="C419" t="str">
            <v>احمد</v>
          </cell>
          <cell r="D419" t="str">
            <v>عبدالعزيز</v>
          </cell>
          <cell r="E419" t="str">
            <v>محمد</v>
          </cell>
          <cell r="F419" t="str">
            <v>ابراهيم</v>
          </cell>
          <cell r="G419" t="str">
            <v>المصنع</v>
          </cell>
          <cell r="H419" t="str">
            <v>الميكانيكا</v>
          </cell>
          <cell r="L419" t="str">
            <v>حداد</v>
          </cell>
          <cell r="M419">
            <v>41713</v>
          </cell>
          <cell r="O419" t="e">
            <v>#NUM!</v>
          </cell>
          <cell r="P419" t="e">
            <v>#NUM!</v>
          </cell>
          <cell r="R419" t="e">
            <v>#NUM!</v>
          </cell>
          <cell r="T419" t="str">
            <v>إستقال</v>
          </cell>
          <cell r="U419">
            <v>41869</v>
          </cell>
          <cell r="V419">
            <v>41869</v>
          </cell>
          <cell r="AS419">
            <v>43500</v>
          </cell>
          <cell r="AT419">
            <v>119</v>
          </cell>
          <cell r="BH419" t="str">
            <v>امدرمان الاسكان</v>
          </cell>
          <cell r="BN419">
            <v>43500</v>
          </cell>
          <cell r="EQ419">
            <v>0</v>
          </cell>
          <cell r="ES419">
            <v>41713</v>
          </cell>
          <cell r="ET419">
            <v>42077</v>
          </cell>
          <cell r="EU419" t="str">
            <v>حداد</v>
          </cell>
          <cell r="FG419" t="str">
            <v>مدير الصيانه الميكانيكيه</v>
          </cell>
          <cell r="FH419" t="str">
            <v>محمد احمد محمد سليمان</v>
          </cell>
          <cell r="FI419">
            <v>0</v>
          </cell>
        </row>
        <row r="420">
          <cell r="A420">
            <v>737</v>
          </cell>
          <cell r="B420" t="str">
            <v>وفاء دفع الله النويرى عبد الرحمن</v>
          </cell>
          <cell r="G420" t="str">
            <v>المصنع</v>
          </cell>
          <cell r="H420" t="str">
            <v>الماليه</v>
          </cell>
          <cell r="L420" t="str">
            <v>محاسب</v>
          </cell>
          <cell r="M420">
            <v>41710</v>
          </cell>
          <cell r="O420" t="e">
            <v>#NUM!</v>
          </cell>
          <cell r="P420" t="e">
            <v>#NUM!</v>
          </cell>
          <cell r="R420" t="e">
            <v>#NUM!</v>
          </cell>
          <cell r="T420" t="str">
            <v>m</v>
          </cell>
          <cell r="AS420">
            <v>43500</v>
          </cell>
          <cell r="AT420">
            <v>119</v>
          </cell>
          <cell r="BH420" t="str">
            <v>امدرمان - ودنوباوي</v>
          </cell>
          <cell r="BN420">
            <v>43500</v>
          </cell>
          <cell r="EQ420">
            <v>0</v>
          </cell>
          <cell r="ES420">
            <v>41710</v>
          </cell>
          <cell r="ET420">
            <v>42074</v>
          </cell>
          <cell r="EU420" t="str">
            <v>محاسب</v>
          </cell>
          <cell r="FG420" t="str">
            <v>المدير المالي</v>
          </cell>
          <cell r="FH420" t="str">
            <v>بالانابه</v>
          </cell>
          <cell r="FI420">
            <v>0</v>
          </cell>
        </row>
        <row r="421">
          <cell r="A421">
            <v>738</v>
          </cell>
          <cell r="B421" t="str">
            <v>بهاء الدين يوسف مقبل سوركتى</v>
          </cell>
          <cell r="C421" t="str">
            <v>بهاء الدين</v>
          </cell>
          <cell r="D421" t="str">
            <v>يوسف</v>
          </cell>
          <cell r="E421" t="str">
            <v>مقبل</v>
          </cell>
          <cell r="F421" t="str">
            <v>سوركتى</v>
          </cell>
          <cell r="G421" t="str">
            <v>المصنع</v>
          </cell>
          <cell r="H421" t="str">
            <v>الجوده</v>
          </cell>
          <cell r="K421" t="str">
            <v>عامل</v>
          </cell>
          <cell r="L421" t="str">
            <v>مراقب انتاج</v>
          </cell>
          <cell r="M421">
            <v>41731</v>
          </cell>
          <cell r="N421">
            <v>43500</v>
          </cell>
          <cell r="O421">
            <v>4</v>
          </cell>
          <cell r="P421">
            <v>10</v>
          </cell>
          <cell r="R421">
            <v>145</v>
          </cell>
          <cell r="Z421">
            <v>24970</v>
          </cell>
          <cell r="AG421">
            <v>9</v>
          </cell>
          <cell r="AH421">
            <v>1</v>
          </cell>
          <cell r="AI421" t="str">
            <v>تسنين</v>
          </cell>
          <cell r="AJ421" t="str">
            <v>263626</v>
          </cell>
          <cell r="AK421">
            <v>6</v>
          </cell>
          <cell r="AL421">
            <v>2</v>
          </cell>
          <cell r="AM421">
            <v>6</v>
          </cell>
          <cell r="AN421">
            <v>3</v>
          </cell>
          <cell r="AO421">
            <v>6</v>
          </cell>
          <cell r="AP421">
            <v>2</v>
          </cell>
          <cell r="AS421">
            <v>43500</v>
          </cell>
          <cell r="AT421">
            <v>50</v>
          </cell>
          <cell r="AU421" t="str">
            <v>جنسيه</v>
          </cell>
          <cell r="AV421" t="str">
            <v>566784</v>
          </cell>
          <cell r="AW421">
            <v>4</v>
          </cell>
          <cell r="AX421">
            <v>8</v>
          </cell>
          <cell r="AY421">
            <v>7</v>
          </cell>
          <cell r="AZ421">
            <v>6</v>
          </cell>
          <cell r="BA421">
            <v>6</v>
          </cell>
          <cell r="BB421">
            <v>5</v>
          </cell>
          <cell r="BE421" t="str">
            <v>115-9947833-2</v>
          </cell>
          <cell r="BF421" t="str">
            <v>زينب عبدالمجيد بخيت</v>
          </cell>
          <cell r="BG421" t="str">
            <v>العربى</v>
          </cell>
          <cell r="BH421" t="str">
            <v>امدرمان - الثوره - الحاره 5</v>
          </cell>
          <cell r="BI421" t="str">
            <v>0904230982</v>
          </cell>
          <cell r="BJ421" t="str">
            <v>حاتم يوسف مقبل سوركتى</v>
          </cell>
          <cell r="BK421" t="str">
            <v>0912279293</v>
          </cell>
          <cell r="BL421" t="str">
            <v>كبار سن</v>
          </cell>
          <cell r="BN421">
            <v>43500</v>
          </cell>
          <cell r="CQ421" t="str">
            <v>دريك اند سكل انترناشيونال للمقاولات</v>
          </cell>
          <cell r="CR421" t="str">
            <v>مساعد مخزن</v>
          </cell>
          <cell r="CS421">
            <v>39538</v>
          </cell>
          <cell r="CT421">
            <v>42142</v>
          </cell>
          <cell r="EQ421">
            <v>0</v>
          </cell>
          <cell r="ER421">
            <v>79</v>
          </cell>
          <cell r="ES421">
            <v>41731</v>
          </cell>
          <cell r="ET421">
            <v>42095</v>
          </cell>
          <cell r="EU421" t="str">
            <v>عامل</v>
          </cell>
          <cell r="FG421" t="str">
            <v>مسئول قسم الجوده</v>
          </cell>
          <cell r="FH421" t="str">
            <v>المبارك محمد ابراهيم</v>
          </cell>
          <cell r="FI421" t="str">
            <v>115-9947833-2</v>
          </cell>
        </row>
        <row r="422">
          <cell r="A422">
            <v>739</v>
          </cell>
          <cell r="B422" t="str">
            <v>مصعب حسن محمد الحسن</v>
          </cell>
          <cell r="G422" t="str">
            <v>المصنع</v>
          </cell>
          <cell r="H422" t="str">
            <v>الانتاج</v>
          </cell>
          <cell r="L422" t="str">
            <v>عامل</v>
          </cell>
          <cell r="M422">
            <v>41734</v>
          </cell>
          <cell r="O422" t="e">
            <v>#NUM!</v>
          </cell>
          <cell r="P422" t="e">
            <v>#NUM!</v>
          </cell>
          <cell r="R422" t="e">
            <v>#NUM!</v>
          </cell>
          <cell r="T422" t="str">
            <v>m</v>
          </cell>
          <cell r="AS422">
            <v>43500</v>
          </cell>
          <cell r="AT422">
            <v>119</v>
          </cell>
          <cell r="BN422">
            <v>43500</v>
          </cell>
          <cell r="EQ422">
            <v>0</v>
          </cell>
          <cell r="ES422">
            <v>41734</v>
          </cell>
          <cell r="ET422">
            <v>42098</v>
          </cell>
          <cell r="EU422" t="str">
            <v>عامل</v>
          </cell>
          <cell r="FG422" t="str">
            <v xml:space="preserve"> مدير الانتاج</v>
          </cell>
          <cell r="FH422" t="str">
            <v>هشام عيسى محمد عبدالكريم</v>
          </cell>
          <cell r="FI422">
            <v>0</v>
          </cell>
        </row>
        <row r="423">
          <cell r="A423">
            <v>742</v>
          </cell>
          <cell r="B423" t="str">
            <v>حيدر ادم حسن الامين</v>
          </cell>
          <cell r="G423" t="str">
            <v>المصنع</v>
          </cell>
          <cell r="H423" t="str">
            <v>الميكانيكا</v>
          </cell>
          <cell r="L423" t="str">
            <v>فنى ميكانيكا</v>
          </cell>
          <cell r="M423">
            <v>41735</v>
          </cell>
          <cell r="O423" t="e">
            <v>#NUM!</v>
          </cell>
          <cell r="P423" t="e">
            <v>#NUM!</v>
          </cell>
          <cell r="R423" t="e">
            <v>#NUM!</v>
          </cell>
          <cell r="T423" t="str">
            <v>m</v>
          </cell>
          <cell r="AS423">
            <v>43500</v>
          </cell>
          <cell r="AT423">
            <v>119</v>
          </cell>
          <cell r="BH423" t="str">
            <v>الخرطوم - اللاماب</v>
          </cell>
          <cell r="BN423">
            <v>43500</v>
          </cell>
          <cell r="EQ423">
            <v>0</v>
          </cell>
          <cell r="ES423">
            <v>41735</v>
          </cell>
          <cell r="ET423">
            <v>42099</v>
          </cell>
          <cell r="EU423" t="str">
            <v>فنى ميكانيكا</v>
          </cell>
          <cell r="FG423" t="str">
            <v>مدير الصيانه الميكانيكيه</v>
          </cell>
          <cell r="FH423" t="str">
            <v>محمد احمد محمد سليمان</v>
          </cell>
          <cell r="FI423">
            <v>0</v>
          </cell>
        </row>
        <row r="424">
          <cell r="A424">
            <v>744</v>
          </cell>
          <cell r="B424" t="str">
            <v>فوزى محمد عبده محمد</v>
          </cell>
          <cell r="G424" t="str">
            <v>المصنع</v>
          </cell>
          <cell r="H424" t="str">
            <v>الانتاج</v>
          </cell>
          <cell r="L424" t="str">
            <v>عامل</v>
          </cell>
          <cell r="M424">
            <v>41746</v>
          </cell>
          <cell r="O424" t="e">
            <v>#NUM!</v>
          </cell>
          <cell r="P424" t="e">
            <v>#NUM!</v>
          </cell>
          <cell r="R424" t="e">
            <v>#NUM!</v>
          </cell>
          <cell r="T424" t="str">
            <v>m</v>
          </cell>
          <cell r="AS424">
            <v>43500</v>
          </cell>
          <cell r="AT424">
            <v>119</v>
          </cell>
          <cell r="BH424" t="str">
            <v>الكلاكلة</v>
          </cell>
          <cell r="BN424">
            <v>43500</v>
          </cell>
          <cell r="EQ424">
            <v>0</v>
          </cell>
          <cell r="ES424">
            <v>41746</v>
          </cell>
          <cell r="ET424">
            <v>42110</v>
          </cell>
          <cell r="EU424" t="str">
            <v>عامل</v>
          </cell>
          <cell r="FG424" t="str">
            <v xml:space="preserve"> مدير الانتاج</v>
          </cell>
          <cell r="FH424" t="str">
            <v>هشام عيسى محمد عبدالكريم</v>
          </cell>
          <cell r="FI424">
            <v>0</v>
          </cell>
        </row>
        <row r="425">
          <cell r="A425">
            <v>745</v>
          </cell>
          <cell r="B425" t="str">
            <v>سعد عمر مسعود التوم</v>
          </cell>
          <cell r="G425" t="str">
            <v>المصنع</v>
          </cell>
          <cell r="H425" t="str">
            <v>الانتاج</v>
          </cell>
          <cell r="L425" t="str">
            <v>عامل</v>
          </cell>
          <cell r="M425">
            <v>42077</v>
          </cell>
          <cell r="O425" t="e">
            <v>#NUM!</v>
          </cell>
          <cell r="P425" t="e">
            <v>#NUM!</v>
          </cell>
          <cell r="R425" t="e">
            <v>#NUM!</v>
          </cell>
          <cell r="T425" t="str">
            <v>m</v>
          </cell>
          <cell r="X425">
            <v>41760</v>
          </cell>
          <cell r="AS425">
            <v>43500</v>
          </cell>
          <cell r="AT425">
            <v>119</v>
          </cell>
          <cell r="BH425" t="str">
            <v>الكلاكله</v>
          </cell>
          <cell r="BN425">
            <v>43500</v>
          </cell>
          <cell r="EQ425">
            <v>0</v>
          </cell>
          <cell r="ES425">
            <v>41760</v>
          </cell>
          <cell r="ET425">
            <v>42124</v>
          </cell>
          <cell r="EU425" t="str">
            <v>عامل</v>
          </cell>
          <cell r="FB425">
            <v>41760</v>
          </cell>
          <cell r="FG425" t="str">
            <v xml:space="preserve"> مدير الانتاج</v>
          </cell>
          <cell r="FH425" t="str">
            <v>هشام عيسى محمد عبدالكريم</v>
          </cell>
          <cell r="FI425">
            <v>0</v>
          </cell>
        </row>
        <row r="426">
          <cell r="A426">
            <v>746</v>
          </cell>
          <cell r="B426" t="str">
            <v>الشيخ عبد الله محمد موسى</v>
          </cell>
          <cell r="G426" t="str">
            <v>المصنع</v>
          </cell>
          <cell r="H426" t="str">
            <v>الميكانيكا</v>
          </cell>
          <cell r="L426" t="str">
            <v>فنى ميكانيكا</v>
          </cell>
          <cell r="M426">
            <v>41762</v>
          </cell>
          <cell r="O426" t="e">
            <v>#NUM!</v>
          </cell>
          <cell r="P426" t="e">
            <v>#NUM!</v>
          </cell>
          <cell r="R426" t="e">
            <v>#NUM!</v>
          </cell>
          <cell r="T426" t="str">
            <v>فصل</v>
          </cell>
          <cell r="AS426">
            <v>43500</v>
          </cell>
          <cell r="AT426">
            <v>119</v>
          </cell>
          <cell r="BH426" t="str">
            <v>بحرى</v>
          </cell>
          <cell r="BN426">
            <v>43500</v>
          </cell>
          <cell r="EQ426">
            <v>0</v>
          </cell>
          <cell r="ES426">
            <v>41762</v>
          </cell>
          <cell r="ET426">
            <v>42126</v>
          </cell>
          <cell r="EU426" t="str">
            <v>فنى ميكانيكا</v>
          </cell>
          <cell r="FG426" t="str">
            <v>مدير الصيانه الميكانيكيه</v>
          </cell>
          <cell r="FH426" t="str">
            <v>محمد احمد محمد سليمان</v>
          </cell>
          <cell r="FI426">
            <v>0</v>
          </cell>
        </row>
        <row r="427">
          <cell r="A427">
            <v>749</v>
          </cell>
          <cell r="B427" t="str">
            <v>حسن الخير هاشم عبدالله</v>
          </cell>
          <cell r="G427" t="str">
            <v>المصنع</v>
          </cell>
          <cell r="H427" t="str">
            <v>الامن و الحركه</v>
          </cell>
          <cell r="L427" t="str">
            <v>خفير</v>
          </cell>
          <cell r="M427">
            <v>41765</v>
          </cell>
          <cell r="O427" t="e">
            <v>#NUM!</v>
          </cell>
          <cell r="P427" t="e">
            <v>#NUM!</v>
          </cell>
          <cell r="R427" t="e">
            <v>#NUM!</v>
          </cell>
          <cell r="T427" t="str">
            <v>m</v>
          </cell>
          <cell r="Z427">
            <v>19725</v>
          </cell>
          <cell r="AI427" t="str">
            <v>تسنين</v>
          </cell>
          <cell r="AJ427" t="str">
            <v>13060</v>
          </cell>
          <cell r="AK427">
            <v>0</v>
          </cell>
          <cell r="AL427">
            <v>6</v>
          </cell>
          <cell r="AM427">
            <v>0</v>
          </cell>
          <cell r="AN427">
            <v>3</v>
          </cell>
          <cell r="AO427">
            <v>1</v>
          </cell>
          <cell r="AS427">
            <v>43500</v>
          </cell>
          <cell r="AT427">
            <v>65</v>
          </cell>
          <cell r="AU427" t="str">
            <v>جنسيه</v>
          </cell>
          <cell r="AV427" t="str">
            <v>0975181</v>
          </cell>
          <cell r="AW427">
            <v>1</v>
          </cell>
          <cell r="AX427">
            <v>8</v>
          </cell>
          <cell r="AY427">
            <v>1</v>
          </cell>
          <cell r="AZ427">
            <v>5</v>
          </cell>
          <cell r="BA427">
            <v>7</v>
          </cell>
          <cell r="BB427">
            <v>9</v>
          </cell>
          <cell r="BC427">
            <v>0</v>
          </cell>
          <cell r="BF427" t="str">
            <v>عائشه يوسف يعقوب</v>
          </cell>
          <cell r="BH427" t="str">
            <v>الخرطوم - الاندلس م 3</v>
          </cell>
          <cell r="BI427" t="str">
            <v>0128453990</v>
          </cell>
          <cell r="BL427" t="str">
            <v>كبار سن</v>
          </cell>
          <cell r="BN427">
            <v>43500</v>
          </cell>
          <cell r="CQ427" t="str">
            <v>شركة المصنع السودانى الماليزى</v>
          </cell>
          <cell r="CR427" t="str">
            <v>فرد امن</v>
          </cell>
          <cell r="CS427">
            <v>37474</v>
          </cell>
          <cell r="CT427">
            <v>39645</v>
          </cell>
          <cell r="CV427" t="str">
            <v>المصنع الليبى لتصنيع منتجات الحديد</v>
          </cell>
          <cell r="CW427" t="str">
            <v>مراقب عمال</v>
          </cell>
          <cell r="CX427">
            <v>40937</v>
          </cell>
          <cell r="CY427">
            <v>41303</v>
          </cell>
          <cell r="EQ427">
            <v>0</v>
          </cell>
          <cell r="ES427">
            <v>41766</v>
          </cell>
          <cell r="ET427">
            <v>42130</v>
          </cell>
          <cell r="EU427" t="str">
            <v>فرد امن</v>
          </cell>
          <cell r="FG427" t="str">
            <v>مدير الامن و الحركه</v>
          </cell>
          <cell r="FH427" t="str">
            <v>فارس حمدان عبدالله فارس</v>
          </cell>
          <cell r="FI427">
            <v>0</v>
          </cell>
        </row>
        <row r="428">
          <cell r="A428">
            <v>750</v>
          </cell>
          <cell r="B428" t="str">
            <v>قطبى ابراهيم دفع الله احمد</v>
          </cell>
          <cell r="G428" t="str">
            <v>المصنع</v>
          </cell>
          <cell r="H428" t="str">
            <v>الانتاج</v>
          </cell>
          <cell r="L428" t="str">
            <v>تقنى تشغيل</v>
          </cell>
          <cell r="M428">
            <v>41769</v>
          </cell>
          <cell r="O428" t="e">
            <v>#NUM!</v>
          </cell>
          <cell r="P428" t="e">
            <v>#NUM!</v>
          </cell>
          <cell r="R428" t="e">
            <v>#NUM!</v>
          </cell>
          <cell r="T428" t="str">
            <v>m</v>
          </cell>
          <cell r="AS428">
            <v>43500</v>
          </cell>
          <cell r="AT428">
            <v>119</v>
          </cell>
          <cell r="BH428" t="str">
            <v>الخرطوم - السلمة</v>
          </cell>
          <cell r="BN428">
            <v>43500</v>
          </cell>
          <cell r="EQ428">
            <v>0</v>
          </cell>
          <cell r="ES428">
            <v>41769</v>
          </cell>
          <cell r="ET428">
            <v>42133</v>
          </cell>
          <cell r="EU428" t="str">
            <v>تقنى تشغيل</v>
          </cell>
          <cell r="FG428" t="str">
            <v xml:space="preserve"> مدير الانتاج</v>
          </cell>
          <cell r="FH428" t="str">
            <v>هشام عيسى محمد عبدالكريم</v>
          </cell>
          <cell r="FI428">
            <v>0</v>
          </cell>
        </row>
        <row r="429">
          <cell r="A429">
            <v>751</v>
          </cell>
          <cell r="B429" t="str">
            <v>سليم الشيخ محمد احمد</v>
          </cell>
          <cell r="C429" t="str">
            <v>سليم</v>
          </cell>
          <cell r="D429" t="str">
            <v>الشيخ</v>
          </cell>
          <cell r="E429" t="str">
            <v>محمد</v>
          </cell>
          <cell r="F429" t="str">
            <v>احمد</v>
          </cell>
          <cell r="G429" t="str">
            <v>المصنع</v>
          </cell>
          <cell r="H429" t="str">
            <v>الكهرباء</v>
          </cell>
          <cell r="I429" t="str">
            <v>كهرباء عامه</v>
          </cell>
          <cell r="K429" t="str">
            <v>فنى كهرباء</v>
          </cell>
          <cell r="L429" t="str">
            <v>تقنى كهرباء</v>
          </cell>
          <cell r="M429">
            <v>41774</v>
          </cell>
          <cell r="N429">
            <v>43500</v>
          </cell>
          <cell r="O429">
            <v>4</v>
          </cell>
          <cell r="P429">
            <v>8</v>
          </cell>
          <cell r="R429">
            <v>140</v>
          </cell>
          <cell r="Z429">
            <v>31614</v>
          </cell>
          <cell r="AG429">
            <v>9</v>
          </cell>
          <cell r="AH429">
            <v>1</v>
          </cell>
          <cell r="AI429" t="str">
            <v>ميلاد</v>
          </cell>
          <cell r="AJ429" t="str">
            <v>1318905</v>
          </cell>
          <cell r="AK429">
            <v>5</v>
          </cell>
          <cell r="AL429">
            <v>0</v>
          </cell>
          <cell r="AM429">
            <v>9</v>
          </cell>
          <cell r="AN429">
            <v>8</v>
          </cell>
          <cell r="AO429">
            <v>1</v>
          </cell>
          <cell r="AP429">
            <v>3</v>
          </cell>
          <cell r="AQ429">
            <v>1</v>
          </cell>
          <cell r="AS429">
            <v>43500</v>
          </cell>
          <cell r="AT429">
            <v>32</v>
          </cell>
          <cell r="AU429" t="str">
            <v>بطاقه قوميه</v>
          </cell>
          <cell r="AV429" t="str">
            <v>0000322</v>
          </cell>
          <cell r="AW429">
            <v>2</v>
          </cell>
          <cell r="AX429">
            <v>2</v>
          </cell>
          <cell r="AY429">
            <v>3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E429" t="str">
            <v>116-8263513-7</v>
          </cell>
          <cell r="BF429" t="str">
            <v>ام بريمه عبدالكبير ادم</v>
          </cell>
          <cell r="BG429" t="str">
            <v>العربى</v>
          </cell>
          <cell r="BL429" t="str">
            <v>خالي الطرف</v>
          </cell>
          <cell r="BN429">
            <v>43500</v>
          </cell>
          <cell r="BS429" t="str">
            <v>هندسة الميكاترونكس</v>
          </cell>
          <cell r="BT429" t="str">
            <v>دبلوم تقني</v>
          </cell>
          <cell r="BU429" t="str">
            <v>كلية الجريف شرق التقنية</v>
          </cell>
          <cell r="BV429">
            <v>40924</v>
          </cell>
          <cell r="BW429" t="str">
            <v>Programmable Logic Controller</v>
          </cell>
          <cell r="BX429" t="str">
            <v>دبلوم (معاهد)</v>
          </cell>
          <cell r="BY429" t="str">
            <v>Abdelbary Center For Cmputer Training</v>
          </cell>
          <cell r="BZ429">
            <v>40875</v>
          </cell>
          <cell r="CQ429" t="str">
            <v>الامجد لحديد التسليح والصلب</v>
          </cell>
          <cell r="CR429" t="str">
            <v>فنى كهرباء</v>
          </cell>
          <cell r="CS429">
            <v>40920</v>
          </cell>
          <cell r="CT429">
            <v>41722</v>
          </cell>
          <cell r="CV429" t="str">
            <v>شركة الزوايا لطوب البناء المحدودة</v>
          </cell>
          <cell r="CW429" t="str">
            <v>متدرب</v>
          </cell>
          <cell r="CX429">
            <v>40675</v>
          </cell>
          <cell r="CY429">
            <v>40767</v>
          </cell>
          <cell r="DA429" t="str">
            <v>مصنع التوفيق للصابون</v>
          </cell>
          <cell r="DB429" t="str">
            <v>متدرب</v>
          </cell>
          <cell r="DC429">
            <v>41160</v>
          </cell>
          <cell r="DD429">
            <v>41220</v>
          </cell>
          <cell r="DF429" t="str">
            <v>المنسقية العامة للخدمة الوطنية</v>
          </cell>
          <cell r="DG429" t="str">
            <v>معمل الحاسوب</v>
          </cell>
          <cell r="DH429">
            <v>40952</v>
          </cell>
          <cell r="DI429">
            <v>41256</v>
          </cell>
          <cell r="EN429">
            <v>30</v>
          </cell>
          <cell r="EQ429">
            <v>30</v>
          </cell>
          <cell r="ER429">
            <v>44</v>
          </cell>
          <cell r="ES429">
            <v>41774</v>
          </cell>
          <cell r="ET429">
            <v>42138</v>
          </cell>
          <cell r="EU429" t="str">
            <v>فنى كهرباء</v>
          </cell>
          <cell r="FG429" t="str">
            <v>مدير الصيانه الكهربائيه</v>
          </cell>
          <cell r="FH429" t="str">
            <v>ماهر ضيف الله سليمان جابر</v>
          </cell>
          <cell r="FI429" t="str">
            <v>116-8263513-7</v>
          </cell>
        </row>
        <row r="430">
          <cell r="A430">
            <v>752</v>
          </cell>
          <cell r="B430" t="str">
            <v>الخطاب محمد عبد الصمد محمد</v>
          </cell>
          <cell r="G430" t="str">
            <v>المصنع</v>
          </cell>
          <cell r="H430" t="str">
            <v>الانتاج</v>
          </cell>
          <cell r="L430" t="str">
            <v>تقنى تشغيل</v>
          </cell>
          <cell r="M430">
            <v>41778</v>
          </cell>
          <cell r="O430" t="e">
            <v>#NUM!</v>
          </cell>
          <cell r="P430" t="e">
            <v>#NUM!</v>
          </cell>
          <cell r="R430" t="e">
            <v>#NUM!</v>
          </cell>
          <cell r="T430" t="str">
            <v>m</v>
          </cell>
          <cell r="AS430">
            <v>43500</v>
          </cell>
          <cell r="AT430">
            <v>119</v>
          </cell>
          <cell r="BH430" t="str">
            <v>بحرى</v>
          </cell>
          <cell r="BN430">
            <v>43500</v>
          </cell>
          <cell r="EQ430">
            <v>0</v>
          </cell>
          <cell r="ES430">
            <v>41778</v>
          </cell>
          <cell r="ET430">
            <v>42142</v>
          </cell>
          <cell r="EU430" t="str">
            <v>تقنى تشغيل</v>
          </cell>
          <cell r="FG430" t="str">
            <v xml:space="preserve"> مدير الانتاج</v>
          </cell>
          <cell r="FH430" t="str">
            <v>هشام عيسى محمد عبدالكريم</v>
          </cell>
          <cell r="FI430">
            <v>0</v>
          </cell>
        </row>
        <row r="431">
          <cell r="A431">
            <v>753</v>
          </cell>
          <cell r="B431" t="str">
            <v>مبارك محمد النور اسماعيل</v>
          </cell>
          <cell r="G431" t="str">
            <v>المصنع</v>
          </cell>
          <cell r="H431" t="str">
            <v>الانتاج</v>
          </cell>
          <cell r="L431" t="str">
            <v>مشرف</v>
          </cell>
          <cell r="M431">
            <v>41783</v>
          </cell>
          <cell r="O431" t="e">
            <v>#NUM!</v>
          </cell>
          <cell r="P431" t="e">
            <v>#NUM!</v>
          </cell>
          <cell r="R431" t="e">
            <v>#NUM!</v>
          </cell>
          <cell r="T431" t="str">
            <v>إستقال</v>
          </cell>
          <cell r="U431">
            <v>42506</v>
          </cell>
          <cell r="Z431">
            <v>25569</v>
          </cell>
          <cell r="AI431" t="str">
            <v>تسنين</v>
          </cell>
          <cell r="AJ431" t="str">
            <v>100795</v>
          </cell>
          <cell r="AK431">
            <v>5</v>
          </cell>
          <cell r="AL431">
            <v>9</v>
          </cell>
          <cell r="AM431">
            <v>7</v>
          </cell>
          <cell r="AN431">
            <v>0</v>
          </cell>
          <cell r="AO431">
            <v>0</v>
          </cell>
          <cell r="AP431">
            <v>1</v>
          </cell>
          <cell r="AS431">
            <v>43500</v>
          </cell>
          <cell r="AT431">
            <v>49</v>
          </cell>
          <cell r="BE431" t="str">
            <v>117-1918338-9</v>
          </cell>
          <cell r="BF431" t="str">
            <v>روضه عبدالرحمن</v>
          </cell>
          <cell r="BG431" t="str">
            <v>العربى</v>
          </cell>
          <cell r="BH431" t="str">
            <v>امدرمان - صالحه</v>
          </cell>
          <cell r="BI431" t="str">
            <v>0912821631</v>
          </cell>
          <cell r="BL431" t="str">
            <v>خالي الطرف</v>
          </cell>
          <cell r="BN431">
            <v>43500</v>
          </cell>
          <cell r="BS431" t="str">
            <v>هندسة ميكانيكية ( إنتاج )</v>
          </cell>
          <cell r="BT431" t="str">
            <v>دبلوم تقني</v>
          </cell>
          <cell r="BU431" t="str">
            <v xml:space="preserve">جامعة وادى النيل </v>
          </cell>
          <cell r="BV431">
            <v>35460</v>
          </cell>
          <cell r="BW431" t="str">
            <v>هايدروليكا</v>
          </cell>
          <cell r="BX431" t="str">
            <v>شهاده دورة تدريب</v>
          </cell>
          <cell r="BY431" t="str">
            <v>مركز اجياد للتدريب التقنى</v>
          </cell>
          <cell r="CQ431" t="str">
            <v>شركة معدات المستودعات والمصانع المحدودة</v>
          </cell>
          <cell r="CR431" t="str">
            <v>مهندس ميكانيكى</v>
          </cell>
          <cell r="CS431">
            <v>35930</v>
          </cell>
          <cell r="CT431">
            <v>36540</v>
          </cell>
          <cell r="CV431" t="str">
            <v>شركة المصنع السودانى الماليزى</v>
          </cell>
          <cell r="CW431" t="str">
            <v>مهندس فنى</v>
          </cell>
          <cell r="CX431">
            <v>36540</v>
          </cell>
          <cell r="CY431">
            <v>39783</v>
          </cell>
          <cell r="EQ431">
            <v>0</v>
          </cell>
          <cell r="ES431">
            <v>41783</v>
          </cell>
          <cell r="ET431">
            <v>42147</v>
          </cell>
          <cell r="EU431" t="str">
            <v>مشرف</v>
          </cell>
          <cell r="FG431" t="str">
            <v xml:space="preserve"> مدير الانتاج</v>
          </cell>
          <cell r="FH431" t="str">
            <v>هشام عيسى محمد عبدالكريم</v>
          </cell>
          <cell r="FI431" t="str">
            <v>117-1918338-9</v>
          </cell>
        </row>
        <row r="432">
          <cell r="A432">
            <v>754</v>
          </cell>
          <cell r="B432" t="str">
            <v>صابر عبده الجيلى شايب</v>
          </cell>
          <cell r="C432" t="str">
            <v>صابر</v>
          </cell>
          <cell r="D432" t="str">
            <v>عبده</v>
          </cell>
          <cell r="E432" t="str">
            <v>الجيلي</v>
          </cell>
          <cell r="F432" t="str">
            <v>شايب</v>
          </cell>
          <cell r="G432" t="str">
            <v>المصنع</v>
          </cell>
          <cell r="H432" t="str">
            <v>الانتاج</v>
          </cell>
          <cell r="I432" t="str">
            <v>الخوص</v>
          </cell>
          <cell r="K432" t="str">
            <v>عامل</v>
          </cell>
          <cell r="L432" t="str">
            <v>مشغل</v>
          </cell>
          <cell r="M432">
            <v>41791</v>
          </cell>
          <cell r="N432">
            <v>43500</v>
          </cell>
          <cell r="O432">
            <v>4</v>
          </cell>
          <cell r="P432">
            <v>8</v>
          </cell>
          <cell r="R432">
            <v>140</v>
          </cell>
          <cell r="Z432">
            <v>30682</v>
          </cell>
          <cell r="AG432">
            <v>9</v>
          </cell>
          <cell r="AH432">
            <v>1</v>
          </cell>
          <cell r="AI432" t="str">
            <v>تسنين</v>
          </cell>
          <cell r="AJ432" t="str">
            <v>498477</v>
          </cell>
          <cell r="AK432">
            <v>7</v>
          </cell>
          <cell r="AL432">
            <v>7</v>
          </cell>
          <cell r="AM432">
            <v>4</v>
          </cell>
          <cell r="AN432">
            <v>8</v>
          </cell>
          <cell r="AO432">
            <v>9</v>
          </cell>
          <cell r="AP432">
            <v>4</v>
          </cell>
          <cell r="AS432">
            <v>43500</v>
          </cell>
          <cell r="AT432">
            <v>35</v>
          </cell>
          <cell r="AU432" t="str">
            <v>جنسيه</v>
          </cell>
          <cell r="AV432" t="str">
            <v>0399626</v>
          </cell>
          <cell r="AW432">
            <v>6</v>
          </cell>
          <cell r="AX432">
            <v>2</v>
          </cell>
          <cell r="AY432">
            <v>6</v>
          </cell>
          <cell r="AZ432">
            <v>9</v>
          </cell>
          <cell r="BA432">
            <v>9</v>
          </cell>
          <cell r="BB432">
            <v>3</v>
          </cell>
          <cell r="BC432">
            <v>0</v>
          </cell>
          <cell r="BE432" t="str">
            <v>178-3157548-5</v>
          </cell>
          <cell r="BF432" t="str">
            <v>مريم الدومه شايب</v>
          </cell>
          <cell r="BG432" t="str">
            <v>جبره</v>
          </cell>
          <cell r="BH432" t="str">
            <v xml:space="preserve">جبره - م 15  </v>
          </cell>
          <cell r="BI432" t="str">
            <v>0915157013</v>
          </cell>
          <cell r="BJ432" t="str">
            <v>عبده الجيلي</v>
          </cell>
          <cell r="BK432" t="str">
            <v>0121587042</v>
          </cell>
          <cell r="BL432" t="str">
            <v>خالي الطرف</v>
          </cell>
          <cell r="BN432">
            <v>43500</v>
          </cell>
          <cell r="EQ432">
            <v>30</v>
          </cell>
          <cell r="ER432">
            <v>29</v>
          </cell>
          <cell r="ES432">
            <v>41791</v>
          </cell>
          <cell r="ET432">
            <v>42155</v>
          </cell>
          <cell r="EU432" t="str">
            <v>عامل</v>
          </cell>
          <cell r="FG432" t="str">
            <v xml:space="preserve"> مدير الانتاج</v>
          </cell>
          <cell r="FH432" t="str">
            <v>هشام عيسى محمد عبدالكريم</v>
          </cell>
          <cell r="FI432" t="str">
            <v>178-3157548-5</v>
          </cell>
          <cell r="HC432" t="str">
            <v>30</v>
          </cell>
        </row>
        <row r="433">
          <cell r="A433">
            <v>756</v>
          </cell>
          <cell r="B433" t="str">
            <v>منتصر سليمان عبد السلام محمد</v>
          </cell>
          <cell r="G433" t="str">
            <v>المصنع</v>
          </cell>
          <cell r="H433" t="str">
            <v>الانتاج</v>
          </cell>
          <cell r="L433" t="str">
            <v>مهندس تشغيل</v>
          </cell>
          <cell r="M433">
            <v>41794</v>
          </cell>
          <cell r="O433" t="e">
            <v>#NUM!</v>
          </cell>
          <cell r="P433" t="e">
            <v>#NUM!</v>
          </cell>
          <cell r="R433" t="e">
            <v>#NUM!</v>
          </cell>
          <cell r="T433" t="str">
            <v>m</v>
          </cell>
          <cell r="AS433">
            <v>43500</v>
          </cell>
          <cell r="AT433">
            <v>119</v>
          </cell>
          <cell r="BH433" t="str">
            <v>الجزيرة - التى</v>
          </cell>
          <cell r="BN433">
            <v>43500</v>
          </cell>
          <cell r="EQ433">
            <v>0</v>
          </cell>
          <cell r="ES433">
            <v>41794</v>
          </cell>
          <cell r="ET433">
            <v>42158</v>
          </cell>
          <cell r="EU433" t="str">
            <v>مهندس تشغيل</v>
          </cell>
          <cell r="FG433" t="str">
            <v xml:space="preserve"> مدير الانتاج</v>
          </cell>
          <cell r="FH433" t="str">
            <v>هشام عيسى محمد عبدالكريم</v>
          </cell>
          <cell r="FI433">
            <v>0</v>
          </cell>
        </row>
        <row r="434">
          <cell r="A434">
            <v>757</v>
          </cell>
          <cell r="B434" t="str">
            <v>محمد عثمان عمر عبدالقادر</v>
          </cell>
          <cell r="G434" t="str">
            <v>المصنع</v>
          </cell>
          <cell r="H434" t="str">
            <v>المستودعات</v>
          </cell>
          <cell r="L434" t="str">
            <v>التحميل</v>
          </cell>
          <cell r="M434">
            <v>42127</v>
          </cell>
          <cell r="O434" t="e">
            <v>#NUM!</v>
          </cell>
          <cell r="P434" t="e">
            <v>#NUM!</v>
          </cell>
          <cell r="R434" t="e">
            <v>#NUM!</v>
          </cell>
          <cell r="T434" t="str">
            <v>m</v>
          </cell>
          <cell r="X434">
            <v>41800</v>
          </cell>
          <cell r="Z434">
            <v>30853</v>
          </cell>
          <cell r="AI434" t="str">
            <v>ميلاد</v>
          </cell>
          <cell r="AJ434" t="str">
            <v>114919</v>
          </cell>
          <cell r="AK434">
            <v>9</v>
          </cell>
          <cell r="AL434">
            <v>1</v>
          </cell>
          <cell r="AM434">
            <v>9</v>
          </cell>
          <cell r="AN434">
            <v>4</v>
          </cell>
          <cell r="AO434">
            <v>1</v>
          </cell>
          <cell r="AP434">
            <v>1</v>
          </cell>
          <cell r="AS434">
            <v>43500</v>
          </cell>
          <cell r="AT434">
            <v>34</v>
          </cell>
          <cell r="AU434" t="str">
            <v>بطاقه قوميه</v>
          </cell>
          <cell r="AV434" t="str">
            <v>001101493</v>
          </cell>
          <cell r="AW434">
            <v>3</v>
          </cell>
          <cell r="AX434">
            <v>9</v>
          </cell>
          <cell r="AY434">
            <v>4</v>
          </cell>
          <cell r="AZ434">
            <v>1</v>
          </cell>
          <cell r="BA434">
            <v>0</v>
          </cell>
          <cell r="BB434">
            <v>1</v>
          </cell>
          <cell r="BC434">
            <v>1</v>
          </cell>
          <cell r="BD434">
            <v>0</v>
          </cell>
          <cell r="BE434" t="str">
            <v>115-0725574-6</v>
          </cell>
          <cell r="BF434" t="str">
            <v>الرضيه ابكر الفكى</v>
          </cell>
          <cell r="BH434" t="str">
            <v>امدرمان</v>
          </cell>
          <cell r="BI434" t="str">
            <v>0918189074</v>
          </cell>
          <cell r="BL434" t="str">
            <v>خالي الطرف</v>
          </cell>
          <cell r="BN434">
            <v>43500</v>
          </cell>
          <cell r="EQ434">
            <v>0</v>
          </cell>
          <cell r="ES434">
            <v>41800</v>
          </cell>
          <cell r="ET434">
            <v>42164</v>
          </cell>
          <cell r="EU434" t="str">
            <v>عامل</v>
          </cell>
          <cell r="EW434">
            <v>42127</v>
          </cell>
          <cell r="EX434">
            <v>42492</v>
          </cell>
          <cell r="EY434" t="str">
            <v>عامل</v>
          </cell>
          <cell r="FB434">
            <v>41800</v>
          </cell>
          <cell r="FG434" t="str">
            <v>مدير المستودعات</v>
          </cell>
          <cell r="FH434" t="str">
            <v>على احمد على بابكر</v>
          </cell>
          <cell r="FI434" t="str">
            <v>115-0725574-6</v>
          </cell>
        </row>
        <row r="435">
          <cell r="A435">
            <v>758</v>
          </cell>
          <cell r="B435" t="str">
            <v>سعيد عز الدين كوكو ازيرق</v>
          </cell>
          <cell r="G435" t="str">
            <v>المصنع</v>
          </cell>
          <cell r="H435" t="str">
            <v>المستودعات</v>
          </cell>
          <cell r="L435" t="str">
            <v>عامل</v>
          </cell>
          <cell r="M435">
            <v>41800</v>
          </cell>
          <cell r="O435" t="e">
            <v>#NUM!</v>
          </cell>
          <cell r="P435" t="e">
            <v>#NUM!</v>
          </cell>
          <cell r="R435" t="e">
            <v>#NUM!</v>
          </cell>
          <cell r="T435" t="str">
            <v>m</v>
          </cell>
          <cell r="AS435">
            <v>43500</v>
          </cell>
          <cell r="AT435">
            <v>119</v>
          </cell>
          <cell r="BH435" t="str">
            <v>امدرمان - امبده</v>
          </cell>
          <cell r="BN435">
            <v>43500</v>
          </cell>
          <cell r="EQ435">
            <v>0</v>
          </cell>
          <cell r="ES435">
            <v>41800</v>
          </cell>
          <cell r="ET435">
            <v>42164</v>
          </cell>
          <cell r="EU435" t="str">
            <v>عامل</v>
          </cell>
          <cell r="FG435" t="str">
            <v>مدير المستودعات</v>
          </cell>
          <cell r="FH435" t="str">
            <v>على احمد على بابكر</v>
          </cell>
          <cell r="FI435">
            <v>0</v>
          </cell>
        </row>
        <row r="436">
          <cell r="A436">
            <v>759</v>
          </cell>
          <cell r="B436" t="str">
            <v>بلال عبد الله صابون بلال</v>
          </cell>
          <cell r="G436" t="str">
            <v>المصنع</v>
          </cell>
          <cell r="H436" t="str">
            <v>الكهرباء</v>
          </cell>
          <cell r="L436" t="str">
            <v>فنى كهرباء</v>
          </cell>
          <cell r="M436">
            <v>41804</v>
          </cell>
          <cell r="O436" t="e">
            <v>#NUM!</v>
          </cell>
          <cell r="P436" t="e">
            <v>#NUM!</v>
          </cell>
          <cell r="R436" t="e">
            <v>#NUM!</v>
          </cell>
          <cell r="T436" t="str">
            <v>m</v>
          </cell>
          <cell r="AS436">
            <v>43500</v>
          </cell>
          <cell r="AT436">
            <v>119</v>
          </cell>
          <cell r="BH436" t="str">
            <v>امدرمان - امبده</v>
          </cell>
          <cell r="BN436">
            <v>43500</v>
          </cell>
          <cell r="EQ436">
            <v>0</v>
          </cell>
          <cell r="ES436">
            <v>41804</v>
          </cell>
          <cell r="ET436">
            <v>42168</v>
          </cell>
          <cell r="EU436" t="str">
            <v>فنى كهرباء</v>
          </cell>
          <cell r="FG436" t="str">
            <v>مدير الصيانه الكهربائيه</v>
          </cell>
          <cell r="FH436" t="str">
            <v>ماهر ضيف الله سليمان جابر</v>
          </cell>
          <cell r="FI436">
            <v>0</v>
          </cell>
        </row>
        <row r="437">
          <cell r="A437">
            <v>760</v>
          </cell>
          <cell r="B437" t="str">
            <v xml:space="preserve">اسعد الطيب مصطفى عباس </v>
          </cell>
          <cell r="C437" t="str">
            <v>اسعد</v>
          </cell>
          <cell r="D437" t="str">
            <v>الطيب</v>
          </cell>
          <cell r="E437" t="str">
            <v>مصطفى</v>
          </cell>
          <cell r="F437" t="str">
            <v>عباس</v>
          </cell>
          <cell r="G437" t="str">
            <v>المصنع</v>
          </cell>
          <cell r="H437" t="str">
            <v>الميكانيكا</v>
          </cell>
          <cell r="L437" t="str">
            <v>تقنى صيانة</v>
          </cell>
          <cell r="M437">
            <v>43146</v>
          </cell>
          <cell r="O437" t="e">
            <v>#NUM!</v>
          </cell>
          <cell r="P437" t="e">
            <v>#NUM!</v>
          </cell>
          <cell r="R437" t="e">
            <v>#NUM!</v>
          </cell>
          <cell r="X437">
            <v>41804</v>
          </cell>
          <cell r="Z437">
            <v>31413</v>
          </cell>
          <cell r="AI437" t="str">
            <v>تسنين</v>
          </cell>
          <cell r="AJ437" t="str">
            <v>799096</v>
          </cell>
          <cell r="AK437">
            <v>6</v>
          </cell>
          <cell r="AL437">
            <v>9</v>
          </cell>
          <cell r="AM437">
            <v>0</v>
          </cell>
          <cell r="AN437">
            <v>9</v>
          </cell>
          <cell r="AO437">
            <v>9</v>
          </cell>
          <cell r="AP437">
            <v>7</v>
          </cell>
          <cell r="AS437">
            <v>43500</v>
          </cell>
          <cell r="AT437">
            <v>33</v>
          </cell>
          <cell r="AU437" t="str">
            <v>جواز سفر</v>
          </cell>
          <cell r="AV437" t="str">
            <v>03978381</v>
          </cell>
          <cell r="AW437">
            <v>1</v>
          </cell>
          <cell r="AX437">
            <v>8</v>
          </cell>
          <cell r="AY437">
            <v>3</v>
          </cell>
          <cell r="AZ437">
            <v>8</v>
          </cell>
          <cell r="BA437">
            <v>7</v>
          </cell>
          <cell r="BB437">
            <v>9</v>
          </cell>
          <cell r="BC437">
            <v>3</v>
          </cell>
          <cell r="BD437">
            <v>0</v>
          </cell>
          <cell r="BE437" t="str">
            <v>120-9478963-9</v>
          </cell>
          <cell r="BF437" t="str">
            <v>السره البلوله حسن</v>
          </cell>
          <cell r="BG437" t="str">
            <v>الجزيره</v>
          </cell>
          <cell r="BH437" t="str">
            <v xml:space="preserve">الجزيرة - قرية حبيبه </v>
          </cell>
          <cell r="BI437" t="str">
            <v>0968703589</v>
          </cell>
          <cell r="BJ437" t="str">
            <v>ياسر الطيب</v>
          </cell>
          <cell r="BK437" t="str">
            <v>0913079084</v>
          </cell>
          <cell r="BL437" t="str">
            <v>خالي الطرف</v>
          </cell>
          <cell r="BN437">
            <v>43500</v>
          </cell>
          <cell r="BS437" t="str">
            <v>هندسة ميكانيكية ( قوى )</v>
          </cell>
          <cell r="BT437" t="str">
            <v>دبلوم تقني</v>
          </cell>
          <cell r="BU437" t="str">
            <v>جامعة السودان للعلوم والتكنولوجيا</v>
          </cell>
          <cell r="BV437">
            <v>72959</v>
          </cell>
          <cell r="CQ437" t="str">
            <v>شركة ذات العماد للصناعه المحدوده</v>
          </cell>
          <cell r="CR437" t="str">
            <v>تقنى ميكانيكا</v>
          </cell>
          <cell r="CS437">
            <v>41804</v>
          </cell>
          <cell r="CT437">
            <v>42063</v>
          </cell>
          <cell r="CV437" t="str">
            <v>ليدر تكنولوجى للمنتجات الهندسية</v>
          </cell>
          <cell r="CW437" t="str">
            <v>تقنى صيانة</v>
          </cell>
          <cell r="CX437">
            <v>40615</v>
          </cell>
          <cell r="CY437">
            <v>41802</v>
          </cell>
          <cell r="EQ437">
            <v>0</v>
          </cell>
          <cell r="ES437">
            <v>41804</v>
          </cell>
          <cell r="ET437">
            <v>42168</v>
          </cell>
          <cell r="EU437" t="str">
            <v>تقنى صيانة</v>
          </cell>
          <cell r="FB437">
            <v>41804</v>
          </cell>
          <cell r="FG437" t="str">
            <v>مدير الصيانه الميكانيكيه</v>
          </cell>
          <cell r="FH437" t="str">
            <v>محمد احمد محمد سليمان</v>
          </cell>
          <cell r="FI437" t="str">
            <v>120-9478963-9</v>
          </cell>
        </row>
        <row r="438">
          <cell r="A438">
            <v>761</v>
          </cell>
          <cell r="B438" t="str">
            <v>عثمان ادم ابكر حسن</v>
          </cell>
          <cell r="G438" t="str">
            <v>المصنع</v>
          </cell>
          <cell r="H438" t="str">
            <v>الانتاج</v>
          </cell>
          <cell r="L438" t="str">
            <v>سائق رافعة</v>
          </cell>
          <cell r="M438">
            <v>41804</v>
          </cell>
          <cell r="O438" t="e">
            <v>#NUM!</v>
          </cell>
          <cell r="P438" t="e">
            <v>#NUM!</v>
          </cell>
          <cell r="R438" t="e">
            <v>#NUM!</v>
          </cell>
          <cell r="T438" t="str">
            <v>m</v>
          </cell>
          <cell r="AS438">
            <v>43500</v>
          </cell>
          <cell r="AT438">
            <v>119</v>
          </cell>
          <cell r="BH438" t="str">
            <v>الخرطوم - اللاماب</v>
          </cell>
          <cell r="BN438">
            <v>43500</v>
          </cell>
          <cell r="EQ438">
            <v>0</v>
          </cell>
          <cell r="ES438">
            <v>41804</v>
          </cell>
          <cell r="ET438">
            <v>42168</v>
          </cell>
          <cell r="EU438" t="str">
            <v>سائق رافعة</v>
          </cell>
          <cell r="FG438" t="str">
            <v xml:space="preserve"> مدير الانتاج</v>
          </cell>
          <cell r="FH438" t="str">
            <v>هشام عيسى محمد عبدالكريم</v>
          </cell>
          <cell r="FI438">
            <v>0</v>
          </cell>
        </row>
        <row r="439">
          <cell r="A439">
            <v>762</v>
          </cell>
          <cell r="B439" t="str">
            <v>عبد الجليل عثمان الصادق احمد</v>
          </cell>
          <cell r="G439" t="str">
            <v>المصنع</v>
          </cell>
          <cell r="H439" t="str">
            <v>الامن و الحركه</v>
          </cell>
          <cell r="L439" t="str">
            <v>فرد امن</v>
          </cell>
          <cell r="M439">
            <v>41806</v>
          </cell>
          <cell r="O439" t="e">
            <v>#NUM!</v>
          </cell>
          <cell r="P439" t="e">
            <v>#NUM!</v>
          </cell>
          <cell r="R439" t="e">
            <v>#NUM!</v>
          </cell>
          <cell r="T439" t="str">
            <v>m</v>
          </cell>
          <cell r="Z439">
            <v>24108</v>
          </cell>
          <cell r="AI439" t="str">
            <v>تسنين</v>
          </cell>
          <cell r="AJ439" t="str">
            <v>628857</v>
          </cell>
          <cell r="AK439">
            <v>7</v>
          </cell>
          <cell r="AL439">
            <v>5</v>
          </cell>
          <cell r="AM439">
            <v>8</v>
          </cell>
          <cell r="AN439">
            <v>8</v>
          </cell>
          <cell r="AO439">
            <v>2</v>
          </cell>
          <cell r="AP439">
            <v>6</v>
          </cell>
          <cell r="AS439">
            <v>43500</v>
          </cell>
          <cell r="AT439">
            <v>53</v>
          </cell>
          <cell r="AU439" t="str">
            <v>جنسيه</v>
          </cell>
          <cell r="AV439" t="str">
            <v>538234</v>
          </cell>
          <cell r="AW439">
            <v>4</v>
          </cell>
          <cell r="AX439">
            <v>3</v>
          </cell>
          <cell r="AY439">
            <v>2</v>
          </cell>
          <cell r="AZ439">
            <v>8</v>
          </cell>
          <cell r="BA439">
            <v>3</v>
          </cell>
          <cell r="BB439">
            <v>5</v>
          </cell>
          <cell r="BE439" t="str">
            <v>119-8271095-8</v>
          </cell>
          <cell r="BF439" t="str">
            <v>زهراء عبدالله إبراهيم</v>
          </cell>
          <cell r="BH439" t="str">
            <v>السلمه - م 5</v>
          </cell>
          <cell r="BI439" t="str">
            <v>0913460031</v>
          </cell>
          <cell r="BL439" t="str">
            <v>كبار سن</v>
          </cell>
          <cell r="BN439">
            <v>43500</v>
          </cell>
          <cell r="EQ439">
            <v>0</v>
          </cell>
          <cell r="FG439" t="str">
            <v>مدير الامن و الحركه</v>
          </cell>
          <cell r="FH439" t="str">
            <v>فارس حمدان عبدالله فارس</v>
          </cell>
          <cell r="FI439" t="str">
            <v>119-8271095-8</v>
          </cell>
        </row>
        <row r="440">
          <cell r="A440">
            <v>763</v>
          </cell>
          <cell r="B440" t="str">
            <v>مزاهر ابراهيم بشاره محمد</v>
          </cell>
          <cell r="C440" t="str">
            <v>مزاهر</v>
          </cell>
          <cell r="D440" t="str">
            <v>ابراهيم</v>
          </cell>
          <cell r="E440" t="str">
            <v>بشاره</v>
          </cell>
          <cell r="F440" t="str">
            <v>محمد</v>
          </cell>
          <cell r="G440" t="str">
            <v>المصنع</v>
          </cell>
          <cell r="H440" t="str">
            <v>الانتاج</v>
          </cell>
          <cell r="I440" t="str">
            <v>بيانات</v>
          </cell>
          <cell r="K440" t="str">
            <v>موظفة انتاج</v>
          </cell>
          <cell r="L440" t="str">
            <v>مدخل بيانات</v>
          </cell>
          <cell r="M440">
            <v>41806</v>
          </cell>
          <cell r="N440">
            <v>43500</v>
          </cell>
          <cell r="O440">
            <v>4</v>
          </cell>
          <cell r="P440">
            <v>7</v>
          </cell>
          <cell r="R440">
            <v>137.5</v>
          </cell>
          <cell r="Z440">
            <v>31203</v>
          </cell>
          <cell r="AG440">
            <v>9</v>
          </cell>
          <cell r="AH440">
            <v>1</v>
          </cell>
          <cell r="AS440">
            <v>43500</v>
          </cell>
          <cell r="AT440">
            <v>33</v>
          </cell>
          <cell r="BE440" t="str">
            <v>120-8147193-9</v>
          </cell>
          <cell r="BF440" t="str">
            <v>فاطمه خالد ادم</v>
          </cell>
          <cell r="BG440" t="str">
            <v>الكلاكله</v>
          </cell>
          <cell r="BH440" t="str">
            <v>جبل اولياء - م 4</v>
          </cell>
          <cell r="BI440" t="str">
            <v>0990437432</v>
          </cell>
          <cell r="BJ440" t="str">
            <v>امير إبراهيم بشاره</v>
          </cell>
          <cell r="BK440" t="str">
            <v>0915772698</v>
          </cell>
          <cell r="BN440">
            <v>43500</v>
          </cell>
          <cell r="BS440" t="str">
            <v>الدراسات الإسلامية والقرأنية</v>
          </cell>
          <cell r="BT440" t="str">
            <v>بكلاريوس</v>
          </cell>
          <cell r="BU440" t="str">
            <v>جامعة الرباط الوطنى</v>
          </cell>
          <cell r="BV440">
            <v>39889</v>
          </cell>
          <cell r="BW440" t="str">
            <v>الرعاية الصحية الأولية</v>
          </cell>
          <cell r="BX440" t="str">
            <v>شهاده دورة تدريب</v>
          </cell>
          <cell r="BY440" t="str">
            <v>جمعية الهلال الاحمر السودانيه</v>
          </cell>
          <cell r="BZ440">
            <v>41268</v>
          </cell>
          <cell r="CA440" t="str">
            <v>التدريب العسكرى والقانون الجنائى</v>
          </cell>
          <cell r="CB440" t="str">
            <v>شهاده كورس</v>
          </cell>
          <cell r="CC440" t="str">
            <v>منسقية الشرطة الشعبية</v>
          </cell>
          <cell r="CD440">
            <v>41334</v>
          </cell>
          <cell r="EN440">
            <v>30</v>
          </cell>
          <cell r="EQ440">
            <v>30</v>
          </cell>
          <cell r="ER440">
            <v>26</v>
          </cell>
          <cell r="ES440">
            <v>41806</v>
          </cell>
          <cell r="ET440">
            <v>42170</v>
          </cell>
          <cell r="EU440" t="str">
            <v>موظفه انتاج</v>
          </cell>
          <cell r="FG440" t="str">
            <v xml:space="preserve"> مدير الانتاج</v>
          </cell>
          <cell r="FH440" t="str">
            <v>هشام عيسى محمد عبدالكريم</v>
          </cell>
          <cell r="FI440" t="str">
            <v>120-8147193-9</v>
          </cell>
        </row>
        <row r="441">
          <cell r="A441">
            <v>764</v>
          </cell>
          <cell r="B441" t="str">
            <v>بشير حسين احمد على</v>
          </cell>
          <cell r="G441" t="str">
            <v>المصنع</v>
          </cell>
          <cell r="H441" t="str">
            <v>الانتاج</v>
          </cell>
          <cell r="L441" t="str">
            <v>عامل</v>
          </cell>
          <cell r="M441">
            <v>41807</v>
          </cell>
          <cell r="O441" t="e">
            <v>#NUM!</v>
          </cell>
          <cell r="P441" t="e">
            <v>#NUM!</v>
          </cell>
          <cell r="R441" t="e">
            <v>#NUM!</v>
          </cell>
          <cell r="T441" t="str">
            <v>m</v>
          </cell>
          <cell r="AS441">
            <v>43500</v>
          </cell>
          <cell r="AT441">
            <v>119</v>
          </cell>
          <cell r="BN441">
            <v>43500</v>
          </cell>
          <cell r="EQ441">
            <v>0</v>
          </cell>
          <cell r="ES441">
            <v>41807</v>
          </cell>
          <cell r="ET441">
            <v>42171</v>
          </cell>
          <cell r="EU441" t="str">
            <v>عامل</v>
          </cell>
          <cell r="FG441" t="str">
            <v xml:space="preserve"> مدير الانتاج</v>
          </cell>
          <cell r="FH441" t="str">
            <v>هشام عيسى محمد عبدالكريم</v>
          </cell>
          <cell r="FI441">
            <v>0</v>
          </cell>
        </row>
        <row r="442">
          <cell r="A442">
            <v>765</v>
          </cell>
          <cell r="B442" t="str">
            <v>محمد حماد صالح خالد</v>
          </cell>
          <cell r="G442" t="str">
            <v>المصنع</v>
          </cell>
          <cell r="H442" t="str">
            <v>الكهرباء</v>
          </cell>
          <cell r="L442" t="str">
            <v>تقنى كهرباء</v>
          </cell>
          <cell r="M442">
            <v>41808</v>
          </cell>
          <cell r="O442" t="e">
            <v>#NUM!</v>
          </cell>
          <cell r="P442" t="e">
            <v>#NUM!</v>
          </cell>
          <cell r="R442" t="e">
            <v>#NUM!</v>
          </cell>
          <cell r="T442" t="str">
            <v>m</v>
          </cell>
          <cell r="AS442">
            <v>43500</v>
          </cell>
          <cell r="AT442">
            <v>119</v>
          </cell>
          <cell r="BH442" t="str">
            <v>الخرطوم - جبره</v>
          </cell>
          <cell r="BN442">
            <v>43500</v>
          </cell>
          <cell r="EQ442">
            <v>0</v>
          </cell>
          <cell r="ES442">
            <v>41808</v>
          </cell>
          <cell r="ET442">
            <v>41807</v>
          </cell>
          <cell r="EU442" t="str">
            <v>تقنى كهرباء</v>
          </cell>
          <cell r="FG442" t="str">
            <v>مدير الصيانه الكهربائيه</v>
          </cell>
          <cell r="FH442" t="str">
            <v>ماهر ضيف الله سليمان جابر</v>
          </cell>
          <cell r="FI442">
            <v>0</v>
          </cell>
        </row>
        <row r="443">
          <cell r="A443">
            <v>767</v>
          </cell>
          <cell r="B443" t="str">
            <v xml:space="preserve">ناجى عبد الكريم نعمان على </v>
          </cell>
          <cell r="G443" t="str">
            <v>المصنع</v>
          </cell>
          <cell r="H443" t="str">
            <v>الانتاج</v>
          </cell>
          <cell r="L443" t="str">
            <v>عامل</v>
          </cell>
          <cell r="M443">
            <v>41812</v>
          </cell>
          <cell r="O443" t="e">
            <v>#NUM!</v>
          </cell>
          <cell r="P443" t="e">
            <v>#NUM!</v>
          </cell>
          <cell r="R443" t="e">
            <v>#NUM!</v>
          </cell>
          <cell r="T443" t="str">
            <v>m</v>
          </cell>
          <cell r="AS443">
            <v>43500</v>
          </cell>
          <cell r="AT443">
            <v>119</v>
          </cell>
          <cell r="BH443" t="str">
            <v>الكلاكلة - ابو ادم</v>
          </cell>
          <cell r="BN443">
            <v>43500</v>
          </cell>
          <cell r="EQ443">
            <v>0</v>
          </cell>
          <cell r="ES443">
            <v>41812</v>
          </cell>
          <cell r="ET443">
            <v>42176</v>
          </cell>
          <cell r="EU443" t="str">
            <v>عامل</v>
          </cell>
          <cell r="FG443" t="str">
            <v xml:space="preserve"> مدير الانتاج</v>
          </cell>
          <cell r="FH443" t="str">
            <v>هشام عيسى محمد عبدالكريم</v>
          </cell>
          <cell r="FI443">
            <v>0</v>
          </cell>
        </row>
        <row r="444">
          <cell r="A444">
            <v>768</v>
          </cell>
          <cell r="B444" t="str">
            <v>احمد عيسى معلا مراد</v>
          </cell>
          <cell r="G444" t="str">
            <v>المصنع</v>
          </cell>
          <cell r="H444" t="str">
            <v>الكهرباء</v>
          </cell>
          <cell r="L444" t="str">
            <v>فنى كهرباء</v>
          </cell>
          <cell r="M444">
            <v>41813</v>
          </cell>
          <cell r="O444" t="e">
            <v>#NUM!</v>
          </cell>
          <cell r="P444" t="e">
            <v>#NUM!</v>
          </cell>
          <cell r="R444" t="e">
            <v>#NUM!</v>
          </cell>
          <cell r="T444" t="str">
            <v>m</v>
          </cell>
          <cell r="Z444">
            <v>27395</v>
          </cell>
          <cell r="AI444" t="str">
            <v>تسنين</v>
          </cell>
          <cell r="AJ444" t="str">
            <v>9095</v>
          </cell>
          <cell r="AK444">
            <v>5</v>
          </cell>
          <cell r="AL444">
            <v>9</v>
          </cell>
          <cell r="AM444">
            <v>0</v>
          </cell>
          <cell r="AN444">
            <v>9</v>
          </cell>
          <cell r="AS444">
            <v>43500</v>
          </cell>
          <cell r="AT444">
            <v>44</v>
          </cell>
          <cell r="BE444" t="str">
            <v>120-2762750-9</v>
          </cell>
          <cell r="BF444" t="str">
            <v>فاطمه سليمان صافى</v>
          </cell>
          <cell r="BH444" t="str">
            <v>الجزيره - الكاملين</v>
          </cell>
          <cell r="BI444" t="str">
            <v>0905540045</v>
          </cell>
          <cell r="BL444" t="str">
            <v>خالي الطرف</v>
          </cell>
          <cell r="BN444">
            <v>43500</v>
          </cell>
          <cell r="BS444" t="str">
            <v>الهندسه الكهربائيه</v>
          </cell>
          <cell r="BT444" t="str">
            <v>دبلوم تقني</v>
          </cell>
          <cell r="BU444" t="str">
            <v>جامعة السودان للعلوم والتكنولوجيا</v>
          </cell>
          <cell r="BV444">
            <v>37257</v>
          </cell>
          <cell r="CQ444" t="str">
            <v xml:space="preserve">ليدر تكنولوجى </v>
          </cell>
          <cell r="CR444" t="str">
            <v>تقنى كهرباء</v>
          </cell>
          <cell r="CS444">
            <v>38857</v>
          </cell>
          <cell r="CT444">
            <v>41790</v>
          </cell>
          <cell r="CV444" t="str">
            <v>مصنع القدس للجبص وكربونات الكالسيوم</v>
          </cell>
          <cell r="CW444" t="str">
            <v>مهندس كهرباء</v>
          </cell>
          <cell r="CX444">
            <v>37438</v>
          </cell>
          <cell r="CY444">
            <v>38687</v>
          </cell>
          <cell r="EQ444">
            <v>0</v>
          </cell>
          <cell r="ES444">
            <v>41813</v>
          </cell>
          <cell r="ET444">
            <v>42177</v>
          </cell>
          <cell r="EU444" t="str">
            <v>فنى كهرباء</v>
          </cell>
          <cell r="FG444" t="str">
            <v>مدير الصيانه الكهربائيه</v>
          </cell>
          <cell r="FH444" t="str">
            <v>ماهر ضيف الله سليمان جابر</v>
          </cell>
          <cell r="FI444" t="str">
            <v>120-2762750-9</v>
          </cell>
        </row>
        <row r="445">
          <cell r="A445">
            <v>771</v>
          </cell>
          <cell r="B445" t="str">
            <v>محمد عمر محمد اوسطة</v>
          </cell>
          <cell r="G445" t="str">
            <v>المصنع</v>
          </cell>
          <cell r="H445" t="str">
            <v>الميكانيكا</v>
          </cell>
          <cell r="L445" t="str">
            <v>حداد</v>
          </cell>
          <cell r="M445">
            <v>41825</v>
          </cell>
          <cell r="O445" t="e">
            <v>#NUM!</v>
          </cell>
          <cell r="P445" t="e">
            <v>#NUM!</v>
          </cell>
          <cell r="R445" t="e">
            <v>#NUM!</v>
          </cell>
          <cell r="T445" t="str">
            <v>m</v>
          </cell>
          <cell r="AS445">
            <v>43500</v>
          </cell>
          <cell r="AT445">
            <v>119</v>
          </cell>
          <cell r="BH445" t="str">
            <v>الخرطوم - مايو</v>
          </cell>
          <cell r="BN445">
            <v>43500</v>
          </cell>
          <cell r="EQ445">
            <v>0</v>
          </cell>
          <cell r="ES445">
            <v>41825</v>
          </cell>
          <cell r="ET445">
            <v>42189</v>
          </cell>
          <cell r="EU445" t="str">
            <v>حداد</v>
          </cell>
          <cell r="FG445" t="str">
            <v>مدير الصيانه الميكانيكيه</v>
          </cell>
          <cell r="FH445" t="str">
            <v>محمد احمد محمد سليمان</v>
          </cell>
          <cell r="FI445">
            <v>0</v>
          </cell>
        </row>
        <row r="446">
          <cell r="A446">
            <v>772</v>
          </cell>
          <cell r="B446" t="str">
            <v>احمد ابراهيم حامد عوض السيد</v>
          </cell>
          <cell r="G446" t="str">
            <v>المصنع</v>
          </cell>
          <cell r="H446" t="str">
            <v>الكهرباء</v>
          </cell>
          <cell r="L446" t="str">
            <v>فنى كهرباء</v>
          </cell>
          <cell r="M446">
            <v>41821</v>
          </cell>
          <cell r="O446" t="e">
            <v>#NUM!</v>
          </cell>
          <cell r="P446" t="e">
            <v>#NUM!</v>
          </cell>
          <cell r="R446" t="e">
            <v>#NUM!</v>
          </cell>
          <cell r="T446" t="str">
            <v>فصل</v>
          </cell>
          <cell r="U446">
            <v>41884</v>
          </cell>
          <cell r="AS446">
            <v>43500</v>
          </cell>
          <cell r="AT446">
            <v>119</v>
          </cell>
          <cell r="BH446" t="str">
            <v>الخرطوم - الكلاكله</v>
          </cell>
          <cell r="BN446">
            <v>43500</v>
          </cell>
          <cell r="EQ446">
            <v>0</v>
          </cell>
          <cell r="ES446">
            <v>41821</v>
          </cell>
          <cell r="ET446">
            <v>42185</v>
          </cell>
          <cell r="EU446" t="str">
            <v>فنى كهرباء</v>
          </cell>
          <cell r="FG446" t="str">
            <v>مدير الصيانه الكهربائيه</v>
          </cell>
          <cell r="FH446" t="str">
            <v>ماهر ضيف الله سليمان جابر</v>
          </cell>
          <cell r="FI446">
            <v>0</v>
          </cell>
        </row>
        <row r="447">
          <cell r="A447">
            <v>773</v>
          </cell>
          <cell r="B447" t="str">
            <v>وداعه احمد محمد جبريل</v>
          </cell>
          <cell r="C447" t="str">
            <v>وداعه</v>
          </cell>
          <cell r="D447" t="str">
            <v>احمد</v>
          </cell>
          <cell r="E447" t="str">
            <v>محمد</v>
          </cell>
          <cell r="F447" t="str">
            <v>جبريل</v>
          </cell>
          <cell r="G447" t="str">
            <v>المصنع</v>
          </cell>
          <cell r="H447" t="str">
            <v>الميكانيكا</v>
          </cell>
          <cell r="L447" t="str">
            <v>مهندس صيانه</v>
          </cell>
          <cell r="M447">
            <v>41826</v>
          </cell>
          <cell r="O447" t="e">
            <v>#NUM!</v>
          </cell>
          <cell r="P447" t="e">
            <v>#NUM!</v>
          </cell>
          <cell r="R447" t="e">
            <v>#NUM!</v>
          </cell>
          <cell r="T447" t="str">
            <v>إستقال</v>
          </cell>
          <cell r="U447">
            <v>42631</v>
          </cell>
          <cell r="Z447">
            <v>30091</v>
          </cell>
          <cell r="AS447">
            <v>43500</v>
          </cell>
          <cell r="AT447">
            <v>36</v>
          </cell>
          <cell r="AU447" t="str">
            <v>بطاقه قوميه</v>
          </cell>
          <cell r="AV447" t="str">
            <v>000013519</v>
          </cell>
          <cell r="AW447">
            <v>9</v>
          </cell>
          <cell r="AX447">
            <v>1</v>
          </cell>
          <cell r="AY447">
            <v>5</v>
          </cell>
          <cell r="AZ447">
            <v>3</v>
          </cell>
          <cell r="BA447">
            <v>1</v>
          </cell>
          <cell r="BB447">
            <v>0</v>
          </cell>
          <cell r="BC447">
            <v>0</v>
          </cell>
          <cell r="BD447">
            <v>0</v>
          </cell>
          <cell r="BE447" t="str">
            <v>118-7988479-8</v>
          </cell>
          <cell r="BF447" t="str">
            <v>عرفه ابكر محمد</v>
          </cell>
          <cell r="BH447" t="str">
            <v>مدنى - بركات</v>
          </cell>
          <cell r="BI447" t="str">
            <v>0927183729</v>
          </cell>
          <cell r="BL447" t="str">
            <v>خالي الطرف</v>
          </cell>
          <cell r="BN447">
            <v>43500</v>
          </cell>
          <cell r="BS447" t="str">
            <v xml:space="preserve">هندسة ميكانيكة </v>
          </cell>
          <cell r="BT447" t="str">
            <v>بكلاريوس</v>
          </cell>
          <cell r="BU447" t="str">
            <v xml:space="preserve">جامعة وادى النيل </v>
          </cell>
          <cell r="BV447">
            <v>40721</v>
          </cell>
          <cell r="CQ447" t="str">
            <v>شركة سيبال للاستثمار والتجارة المحدودة</v>
          </cell>
          <cell r="CR447" t="str">
            <v>متدرب</v>
          </cell>
          <cell r="CS447">
            <v>41272</v>
          </cell>
          <cell r="CT447">
            <v>41379</v>
          </cell>
          <cell r="EQ447">
            <v>0</v>
          </cell>
          <cell r="ES447">
            <v>41826</v>
          </cell>
          <cell r="ET447">
            <v>42190</v>
          </cell>
          <cell r="EU447" t="str">
            <v>مهندس صيانة</v>
          </cell>
          <cell r="FG447" t="str">
            <v>مدير الصيانه الميكانيكيه</v>
          </cell>
          <cell r="FH447" t="str">
            <v>محمد احمد محمد سليمان</v>
          </cell>
          <cell r="FI447" t="str">
            <v>118-7988479-8</v>
          </cell>
        </row>
        <row r="448">
          <cell r="A448">
            <v>774</v>
          </cell>
          <cell r="B448" t="str">
            <v>ابوعبيدة السر صالح عبد الرحمن</v>
          </cell>
          <cell r="G448" t="str">
            <v>المصنع</v>
          </cell>
          <cell r="H448" t="str">
            <v>الانتاج</v>
          </cell>
          <cell r="L448" t="str">
            <v>عامل</v>
          </cell>
          <cell r="M448">
            <v>41826</v>
          </cell>
          <cell r="O448" t="e">
            <v>#NUM!</v>
          </cell>
          <cell r="P448" t="e">
            <v>#NUM!</v>
          </cell>
          <cell r="R448" t="e">
            <v>#NUM!</v>
          </cell>
          <cell r="T448" t="str">
            <v>m</v>
          </cell>
          <cell r="AS448">
            <v>43500</v>
          </cell>
          <cell r="AT448">
            <v>119</v>
          </cell>
          <cell r="BH448" t="str">
            <v>الكلاكلة</v>
          </cell>
          <cell r="BN448">
            <v>43500</v>
          </cell>
          <cell r="EQ448">
            <v>0</v>
          </cell>
          <cell r="ES448">
            <v>41826</v>
          </cell>
          <cell r="ET448">
            <v>42190</v>
          </cell>
          <cell r="EU448" t="str">
            <v>عامل</v>
          </cell>
          <cell r="FG448" t="str">
            <v xml:space="preserve"> مدير الانتاج</v>
          </cell>
          <cell r="FH448" t="str">
            <v>هشام عيسى محمد عبدالكريم</v>
          </cell>
          <cell r="FI448">
            <v>0</v>
          </cell>
        </row>
        <row r="449">
          <cell r="A449">
            <v>775</v>
          </cell>
          <cell r="B449" t="str">
            <v>عفيف محمد على بخيت</v>
          </cell>
          <cell r="G449" t="str">
            <v>المصنع</v>
          </cell>
          <cell r="H449" t="str">
            <v>الانتاج</v>
          </cell>
          <cell r="L449" t="str">
            <v>عامل</v>
          </cell>
          <cell r="M449">
            <v>41857</v>
          </cell>
          <cell r="O449" t="e">
            <v>#NUM!</v>
          </cell>
          <cell r="P449" t="e">
            <v>#NUM!</v>
          </cell>
          <cell r="R449" t="e">
            <v>#NUM!</v>
          </cell>
          <cell r="T449" t="str">
            <v>m</v>
          </cell>
          <cell r="AS449">
            <v>43500</v>
          </cell>
          <cell r="AT449">
            <v>119</v>
          </cell>
          <cell r="BN449">
            <v>43500</v>
          </cell>
          <cell r="EQ449">
            <v>0</v>
          </cell>
          <cell r="ES449">
            <v>41857</v>
          </cell>
          <cell r="ET449">
            <v>42221</v>
          </cell>
          <cell r="EU449" t="str">
            <v>عامل</v>
          </cell>
          <cell r="FG449" t="str">
            <v xml:space="preserve"> مدير الانتاج</v>
          </cell>
          <cell r="FH449" t="str">
            <v>هشام عيسى محمد عبدالكريم</v>
          </cell>
          <cell r="FI449">
            <v>0</v>
          </cell>
        </row>
        <row r="450">
          <cell r="A450">
            <v>776</v>
          </cell>
          <cell r="B450" t="str">
            <v>ابراهيم جمعة البخيت الصديق</v>
          </cell>
          <cell r="G450" t="str">
            <v>المصنع</v>
          </cell>
          <cell r="H450" t="str">
            <v>الماليه</v>
          </cell>
          <cell r="L450" t="str">
            <v>محاسب</v>
          </cell>
          <cell r="M450">
            <v>41869</v>
          </cell>
          <cell r="O450" t="e">
            <v>#NUM!</v>
          </cell>
          <cell r="P450" t="e">
            <v>#NUM!</v>
          </cell>
          <cell r="R450" t="e">
            <v>#NUM!</v>
          </cell>
          <cell r="T450" t="str">
            <v>m</v>
          </cell>
          <cell r="AS450">
            <v>43500</v>
          </cell>
          <cell r="AT450">
            <v>119</v>
          </cell>
          <cell r="BN450">
            <v>43500</v>
          </cell>
          <cell r="EQ450">
            <v>0</v>
          </cell>
          <cell r="ES450">
            <v>41869</v>
          </cell>
          <cell r="ET450">
            <v>42233</v>
          </cell>
          <cell r="EU450" t="str">
            <v>محاسب</v>
          </cell>
          <cell r="FG450" t="str">
            <v>المدير المالي</v>
          </cell>
          <cell r="FH450" t="str">
            <v>بالانابه</v>
          </cell>
          <cell r="FI450">
            <v>0</v>
          </cell>
        </row>
        <row r="451">
          <cell r="A451">
            <v>777</v>
          </cell>
          <cell r="B451" t="str">
            <v>طارق عبد الرحيم المقبول شيخ ادريس</v>
          </cell>
          <cell r="G451" t="str">
            <v>المصنع</v>
          </cell>
          <cell r="H451" t="str">
            <v>الانتاج</v>
          </cell>
          <cell r="L451" t="str">
            <v>تقنى تشغيل</v>
          </cell>
          <cell r="M451">
            <v>41883</v>
          </cell>
          <cell r="O451" t="e">
            <v>#NUM!</v>
          </cell>
          <cell r="P451" t="e">
            <v>#NUM!</v>
          </cell>
          <cell r="R451" t="e">
            <v>#NUM!</v>
          </cell>
          <cell r="T451" t="str">
            <v>m</v>
          </cell>
          <cell r="AS451">
            <v>43500</v>
          </cell>
          <cell r="AT451">
            <v>119</v>
          </cell>
          <cell r="BN451">
            <v>43500</v>
          </cell>
          <cell r="EQ451">
            <v>0</v>
          </cell>
          <cell r="ES451">
            <v>41883</v>
          </cell>
          <cell r="ET451">
            <v>42247</v>
          </cell>
          <cell r="EU451" t="str">
            <v>تقنى تشغيل</v>
          </cell>
          <cell r="FG451" t="str">
            <v xml:space="preserve"> مدير الانتاج</v>
          </cell>
          <cell r="FH451" t="str">
            <v>هشام عيسى محمد عبدالكريم</v>
          </cell>
          <cell r="FI451">
            <v>0</v>
          </cell>
        </row>
        <row r="452">
          <cell r="A452">
            <v>780</v>
          </cell>
          <cell r="B452" t="str">
            <v>صبرى بخيت عباس على</v>
          </cell>
          <cell r="G452" t="str">
            <v>المصنع</v>
          </cell>
          <cell r="H452" t="str">
            <v>الميكانيكا</v>
          </cell>
          <cell r="L452" t="str">
            <v>تقنى صيانة</v>
          </cell>
          <cell r="M452">
            <v>41925</v>
          </cell>
          <cell r="O452" t="e">
            <v>#NUM!</v>
          </cell>
          <cell r="P452" t="e">
            <v>#NUM!</v>
          </cell>
          <cell r="R452" t="e">
            <v>#NUM!</v>
          </cell>
          <cell r="T452" t="str">
            <v>m</v>
          </cell>
          <cell r="AS452">
            <v>43500</v>
          </cell>
          <cell r="AT452">
            <v>119</v>
          </cell>
          <cell r="BN452">
            <v>43500</v>
          </cell>
          <cell r="EQ452">
            <v>0</v>
          </cell>
          <cell r="ES452">
            <v>41925</v>
          </cell>
          <cell r="ET452">
            <v>42289</v>
          </cell>
          <cell r="EU452" t="str">
            <v>تقنى صيانة</v>
          </cell>
          <cell r="FG452" t="str">
            <v>مدير الصيانه الميكانيكيه</v>
          </cell>
          <cell r="FH452" t="str">
            <v>محمد احمد محمد سليمان</v>
          </cell>
          <cell r="FI452">
            <v>0</v>
          </cell>
        </row>
        <row r="453">
          <cell r="A453">
            <v>783</v>
          </cell>
          <cell r="B453" t="str">
            <v>ضياء الدين قسم السيد الصديق ازرق</v>
          </cell>
          <cell r="G453" t="str">
            <v>المصنع</v>
          </cell>
          <cell r="H453" t="str">
            <v>الانتاج</v>
          </cell>
          <cell r="L453" t="str">
            <v>تقنى تشغيل</v>
          </cell>
          <cell r="M453">
            <v>41933</v>
          </cell>
          <cell r="O453" t="e">
            <v>#NUM!</v>
          </cell>
          <cell r="P453" t="e">
            <v>#NUM!</v>
          </cell>
          <cell r="R453" t="e">
            <v>#NUM!</v>
          </cell>
          <cell r="T453" t="str">
            <v>m</v>
          </cell>
          <cell r="Z453">
            <v>32509</v>
          </cell>
          <cell r="AI453" t="str">
            <v>تسنين</v>
          </cell>
          <cell r="AJ453" t="str">
            <v>091807</v>
          </cell>
          <cell r="AK453">
            <v>7</v>
          </cell>
          <cell r="AL453">
            <v>0</v>
          </cell>
          <cell r="AM453">
            <v>8</v>
          </cell>
          <cell r="AN453">
            <v>1</v>
          </cell>
          <cell r="AO453">
            <v>9</v>
          </cell>
          <cell r="AP453">
            <v>0</v>
          </cell>
          <cell r="AS453">
            <v>43500</v>
          </cell>
          <cell r="AT453">
            <v>30</v>
          </cell>
          <cell r="AU453" t="str">
            <v>جنسيه</v>
          </cell>
          <cell r="AV453" t="str">
            <v>0547068</v>
          </cell>
          <cell r="AW453">
            <v>8</v>
          </cell>
          <cell r="AX453">
            <v>6</v>
          </cell>
          <cell r="AY453">
            <v>0</v>
          </cell>
          <cell r="AZ453">
            <v>7</v>
          </cell>
          <cell r="BA453">
            <v>4</v>
          </cell>
          <cell r="BB453">
            <v>5</v>
          </cell>
          <cell r="BC453">
            <v>0</v>
          </cell>
          <cell r="BE453" t="str">
            <v>120-2060642-5</v>
          </cell>
          <cell r="BF453" t="str">
            <v>بتول احمد ازرق</v>
          </cell>
          <cell r="BH453" t="str">
            <v>حى السجانه الجديده غرب</v>
          </cell>
          <cell r="BI453" t="str">
            <v>0901795799</v>
          </cell>
          <cell r="BL453" t="str">
            <v>خالي الطرف</v>
          </cell>
          <cell r="BN453">
            <v>43500</v>
          </cell>
          <cell r="BS453" t="str">
            <v>هندسة ميكانيكية ( إنتاج )</v>
          </cell>
          <cell r="BT453" t="str">
            <v>دبلوم تقني</v>
          </cell>
          <cell r="BU453" t="str">
            <v>جامعة السودان للعلوم والتكنولوجيا</v>
          </cell>
          <cell r="BV453">
            <v>41172</v>
          </cell>
          <cell r="EQ453">
            <v>0</v>
          </cell>
          <cell r="ES453">
            <v>41933</v>
          </cell>
          <cell r="ET453">
            <v>42297</v>
          </cell>
          <cell r="EU453" t="str">
            <v>تقنى إنتاج</v>
          </cell>
          <cell r="FG453" t="str">
            <v xml:space="preserve"> مدير الانتاج</v>
          </cell>
          <cell r="FH453" t="str">
            <v>هشام عيسى محمد عبدالكريم</v>
          </cell>
          <cell r="FI453" t="str">
            <v>120-2060642-5</v>
          </cell>
        </row>
        <row r="454">
          <cell r="A454">
            <v>784</v>
          </cell>
          <cell r="B454" t="str">
            <v>مؤيد على محمد طيب الاسماء</v>
          </cell>
          <cell r="G454" t="str">
            <v>المصنع</v>
          </cell>
          <cell r="H454" t="str">
            <v>الانتاج</v>
          </cell>
          <cell r="L454" t="str">
            <v>عامل</v>
          </cell>
          <cell r="M454">
            <v>41933</v>
          </cell>
          <cell r="O454" t="e">
            <v>#NUM!</v>
          </cell>
          <cell r="P454" t="e">
            <v>#NUM!</v>
          </cell>
          <cell r="R454" t="e">
            <v>#NUM!</v>
          </cell>
          <cell r="T454" t="str">
            <v>m</v>
          </cell>
          <cell r="AS454">
            <v>43500</v>
          </cell>
          <cell r="AT454">
            <v>119</v>
          </cell>
          <cell r="BH454" t="str">
            <v>الخرطوم - جبره</v>
          </cell>
          <cell r="BN454">
            <v>43500</v>
          </cell>
          <cell r="EQ454">
            <v>0</v>
          </cell>
          <cell r="ES454">
            <v>41933</v>
          </cell>
          <cell r="ET454">
            <v>42297</v>
          </cell>
          <cell r="EU454" t="str">
            <v>عامل</v>
          </cell>
          <cell r="FG454" t="str">
            <v xml:space="preserve"> مدير الانتاج</v>
          </cell>
          <cell r="FH454" t="str">
            <v>هشام عيسى محمد عبدالكريم</v>
          </cell>
          <cell r="FI454">
            <v>0</v>
          </cell>
        </row>
        <row r="455">
          <cell r="A455">
            <v>785</v>
          </cell>
          <cell r="B455" t="str">
            <v>محمد عبد الرسول الخولانى محمد</v>
          </cell>
          <cell r="G455" t="str">
            <v>المصنع</v>
          </cell>
          <cell r="H455" t="str">
            <v>الانتاج</v>
          </cell>
          <cell r="L455" t="str">
            <v>تقنى إنتاج</v>
          </cell>
          <cell r="M455">
            <v>41933</v>
          </cell>
          <cell r="O455" t="e">
            <v>#NUM!</v>
          </cell>
          <cell r="P455" t="e">
            <v>#NUM!</v>
          </cell>
          <cell r="R455" t="e">
            <v>#NUM!</v>
          </cell>
          <cell r="T455" t="str">
            <v>m</v>
          </cell>
          <cell r="AS455">
            <v>43500</v>
          </cell>
          <cell r="AT455">
            <v>119</v>
          </cell>
          <cell r="BH455" t="str">
            <v>الكلاكلة</v>
          </cell>
          <cell r="BN455">
            <v>43500</v>
          </cell>
          <cell r="EQ455">
            <v>0</v>
          </cell>
          <cell r="ES455">
            <v>41933</v>
          </cell>
          <cell r="ET455">
            <v>42297</v>
          </cell>
          <cell r="EU455" t="str">
            <v>تقنى إنتاج</v>
          </cell>
          <cell r="FG455" t="str">
            <v xml:space="preserve"> مدير الانتاج</v>
          </cell>
          <cell r="FH455" t="str">
            <v>هشام عيسى محمد عبدالكريم</v>
          </cell>
          <cell r="FI455">
            <v>0</v>
          </cell>
        </row>
        <row r="456">
          <cell r="A456">
            <v>790</v>
          </cell>
          <cell r="B456" t="str">
            <v>معمر القذافى حسن احمد</v>
          </cell>
          <cell r="G456" t="str">
            <v>المصنع</v>
          </cell>
          <cell r="H456" t="str">
            <v>الاليات</v>
          </cell>
          <cell r="I456" t="str">
            <v>صيانه اليات</v>
          </cell>
          <cell r="L456" t="str">
            <v>فنى اليات</v>
          </cell>
          <cell r="M456">
            <v>41974</v>
          </cell>
          <cell r="N456">
            <v>42852</v>
          </cell>
          <cell r="O456">
            <v>2</v>
          </cell>
          <cell r="P456">
            <v>4</v>
          </cell>
          <cell r="R456">
            <v>70</v>
          </cell>
          <cell r="T456" t="str">
            <v>إستقال</v>
          </cell>
          <cell r="U456">
            <v>42852</v>
          </cell>
          <cell r="Z456">
            <v>27030</v>
          </cell>
          <cell r="AG456">
            <v>9</v>
          </cell>
          <cell r="AH456">
            <v>1</v>
          </cell>
          <cell r="AI456" t="str">
            <v>تسنين</v>
          </cell>
          <cell r="AJ456" t="str">
            <v>1283349</v>
          </cell>
          <cell r="AK456">
            <v>9</v>
          </cell>
          <cell r="AL456">
            <v>4</v>
          </cell>
          <cell r="AM456">
            <v>3</v>
          </cell>
          <cell r="AN456">
            <v>3</v>
          </cell>
          <cell r="AO456">
            <v>8</v>
          </cell>
          <cell r="AP456">
            <v>2</v>
          </cell>
          <cell r="AQ456">
            <v>1</v>
          </cell>
          <cell r="AS456">
            <v>43500</v>
          </cell>
          <cell r="AT456">
            <v>45</v>
          </cell>
          <cell r="AU456" t="str">
            <v>جنسيه</v>
          </cell>
          <cell r="AV456" t="str">
            <v>0588889</v>
          </cell>
          <cell r="AW456">
            <v>9</v>
          </cell>
          <cell r="AX456">
            <v>8</v>
          </cell>
          <cell r="AY456">
            <v>8</v>
          </cell>
          <cell r="AZ456">
            <v>8</v>
          </cell>
          <cell r="BA456">
            <v>8</v>
          </cell>
          <cell r="BB456">
            <v>5</v>
          </cell>
          <cell r="BC456">
            <v>0</v>
          </cell>
          <cell r="BE456" t="str">
            <v>118-8309862-9</v>
          </cell>
          <cell r="BF456" t="str">
            <v>حواء عبدالرحمن</v>
          </cell>
          <cell r="BG456" t="str">
            <v>بحرى</v>
          </cell>
          <cell r="BH456" t="str">
            <v>بحرى - السامراب</v>
          </cell>
          <cell r="BI456" t="str">
            <v>0924700166</v>
          </cell>
          <cell r="BJ456" t="str">
            <v>بشير فرح</v>
          </cell>
          <cell r="BL456" t="str">
            <v>خالي الطرف</v>
          </cell>
          <cell r="BN456">
            <v>43500</v>
          </cell>
          <cell r="BS456" t="str">
            <v>قيادة مركبة ثقيلة</v>
          </cell>
          <cell r="BT456" t="str">
            <v>شهاده دورة تدريب</v>
          </cell>
          <cell r="BU456" t="str">
            <v>الاكاديمية السودانية للطرق والمرور المحدودة</v>
          </cell>
          <cell r="BV456">
            <v>40642</v>
          </cell>
          <cell r="CQ456" t="str">
            <v>شركة المصنع السودانى الماليزى</v>
          </cell>
          <cell r="CR456" t="str">
            <v>ميكانيكى اول</v>
          </cell>
          <cell r="CS456">
            <v>37803</v>
          </cell>
          <cell r="CT456">
            <v>39121</v>
          </cell>
          <cell r="CV456" t="str">
            <v>شركة ود حدب للانتاج الحيوانى والزراعى المحدوددة</v>
          </cell>
          <cell r="CW456" t="str">
            <v>رئيس الميكانيكية</v>
          </cell>
          <cell r="CX456">
            <v>34700</v>
          </cell>
          <cell r="CY456">
            <v>36892</v>
          </cell>
          <cell r="EQ456">
            <v>0</v>
          </cell>
          <cell r="ER456">
            <v>20</v>
          </cell>
          <cell r="ES456">
            <v>41974</v>
          </cell>
          <cell r="ET456">
            <v>42338</v>
          </cell>
          <cell r="EU456" t="str">
            <v>فنى</v>
          </cell>
          <cell r="FG456" t="str">
            <v>مسئول قسم الاليات</v>
          </cell>
          <cell r="FH456" t="str">
            <v>جمال حامد عبد الكريم العبيد</v>
          </cell>
          <cell r="FI456" t="str">
            <v>118-8309862-9</v>
          </cell>
        </row>
        <row r="457">
          <cell r="A457">
            <v>791</v>
          </cell>
          <cell r="B457" t="str">
            <v>مجاهد حسن عكاشة خضر</v>
          </cell>
          <cell r="G457" t="str">
            <v>المصنع</v>
          </cell>
          <cell r="H457" t="str">
            <v>الامن و الحركه</v>
          </cell>
          <cell r="L457" t="str">
            <v>فرد امن</v>
          </cell>
          <cell r="M457">
            <v>41994</v>
          </cell>
          <cell r="O457" t="e">
            <v>#NUM!</v>
          </cell>
          <cell r="P457" t="e">
            <v>#NUM!</v>
          </cell>
          <cell r="R457" t="e">
            <v>#NUM!</v>
          </cell>
          <cell r="T457" t="str">
            <v>m</v>
          </cell>
          <cell r="AS457">
            <v>43500</v>
          </cell>
          <cell r="AT457">
            <v>119</v>
          </cell>
          <cell r="BH457" t="str">
            <v>الحاج يوسف</v>
          </cell>
          <cell r="BN457">
            <v>43500</v>
          </cell>
          <cell r="EQ457">
            <v>0</v>
          </cell>
          <cell r="ES457">
            <v>41994</v>
          </cell>
          <cell r="ET457">
            <v>42358</v>
          </cell>
          <cell r="EU457" t="str">
            <v>فرد امن</v>
          </cell>
          <cell r="FG457" t="str">
            <v>مدير الامن و الحركه</v>
          </cell>
          <cell r="FH457" t="str">
            <v>فارس حمدان عبدالله فارس</v>
          </cell>
          <cell r="FI457">
            <v>0</v>
          </cell>
        </row>
        <row r="458">
          <cell r="A458">
            <v>792</v>
          </cell>
          <cell r="B458" t="str">
            <v>فيصل الجيلى محمد احمد</v>
          </cell>
          <cell r="G458" t="str">
            <v>المصنع</v>
          </cell>
          <cell r="H458" t="str">
            <v>الامن و الحركه</v>
          </cell>
          <cell r="L458" t="str">
            <v>فرد امن</v>
          </cell>
          <cell r="M458">
            <v>41994</v>
          </cell>
          <cell r="O458" t="e">
            <v>#NUM!</v>
          </cell>
          <cell r="P458" t="e">
            <v>#NUM!</v>
          </cell>
          <cell r="R458" t="e">
            <v>#NUM!</v>
          </cell>
          <cell r="T458" t="str">
            <v>m</v>
          </cell>
          <cell r="AS458">
            <v>43500</v>
          </cell>
          <cell r="AT458">
            <v>119</v>
          </cell>
          <cell r="BH458" t="str">
            <v>الخرطوم - الصحافة</v>
          </cell>
          <cell r="BN458">
            <v>43500</v>
          </cell>
          <cell r="EQ458">
            <v>0</v>
          </cell>
          <cell r="ES458">
            <v>41994</v>
          </cell>
          <cell r="ET458">
            <v>42358</v>
          </cell>
          <cell r="EU458" t="str">
            <v>فرد امن</v>
          </cell>
          <cell r="FG458" t="str">
            <v>مدير الامن و الحركه</v>
          </cell>
          <cell r="FH458" t="str">
            <v>فارس حمدان عبدالله فارس</v>
          </cell>
          <cell r="FI458">
            <v>0</v>
          </cell>
        </row>
        <row r="459">
          <cell r="A459">
            <v>793</v>
          </cell>
          <cell r="B459" t="str">
            <v xml:space="preserve">عاصميه احمد محمد بابكر </v>
          </cell>
          <cell r="G459" t="str">
            <v>المصنع</v>
          </cell>
          <cell r="H459" t="str">
            <v>الخدمات</v>
          </cell>
          <cell r="L459" t="str">
            <v>عامل</v>
          </cell>
          <cell r="M459">
            <v>42015</v>
          </cell>
          <cell r="O459" t="e">
            <v>#NUM!</v>
          </cell>
          <cell r="P459" t="e">
            <v>#NUM!</v>
          </cell>
          <cell r="R459" t="e">
            <v>#NUM!</v>
          </cell>
          <cell r="T459" t="str">
            <v>m</v>
          </cell>
          <cell r="Z459">
            <v>27760</v>
          </cell>
          <cell r="AI459" t="str">
            <v>تسنين</v>
          </cell>
          <cell r="AJ459" t="str">
            <v>121220</v>
          </cell>
          <cell r="AK459">
            <v>0</v>
          </cell>
          <cell r="AL459">
            <v>2</v>
          </cell>
          <cell r="AM459">
            <v>2</v>
          </cell>
          <cell r="AN459">
            <v>1</v>
          </cell>
          <cell r="AO459">
            <v>2</v>
          </cell>
          <cell r="AP459">
            <v>1</v>
          </cell>
          <cell r="AS459">
            <v>43500</v>
          </cell>
          <cell r="AT459">
            <v>43</v>
          </cell>
          <cell r="BE459" t="str">
            <v>181-9959330-5</v>
          </cell>
          <cell r="BF459" t="str">
            <v>زينب ابو نصيب</v>
          </cell>
          <cell r="BH459" t="str">
            <v>سوبا - المحطه</v>
          </cell>
          <cell r="BI459" t="str">
            <v>0910339495</v>
          </cell>
          <cell r="BN459">
            <v>43500</v>
          </cell>
          <cell r="EQ459">
            <v>0</v>
          </cell>
          <cell r="FG459" t="str">
            <v>المدير الادارى</v>
          </cell>
          <cell r="FH459" t="str">
            <v>احمد عبدالرحيم ابوبكر محمد</v>
          </cell>
          <cell r="FI459" t="str">
            <v>181-9959330-5</v>
          </cell>
        </row>
        <row r="460">
          <cell r="A460">
            <v>802</v>
          </cell>
          <cell r="B460" t="str">
            <v>احمد هارون احمد عبدالكريم</v>
          </cell>
          <cell r="G460" t="str">
            <v>المصنع</v>
          </cell>
          <cell r="H460" t="str">
            <v>الانتاج</v>
          </cell>
          <cell r="L460" t="str">
            <v>عامل</v>
          </cell>
          <cell r="M460">
            <v>42096</v>
          </cell>
          <cell r="O460" t="e">
            <v>#NUM!</v>
          </cell>
          <cell r="P460" t="e">
            <v>#NUM!</v>
          </cell>
          <cell r="R460" t="e">
            <v>#NUM!</v>
          </cell>
          <cell r="T460" t="str">
            <v>m</v>
          </cell>
          <cell r="Z460">
            <v>30158</v>
          </cell>
          <cell r="AI460" t="str">
            <v>ميلاد</v>
          </cell>
          <cell r="AJ460" t="str">
            <v>111097</v>
          </cell>
          <cell r="AK460">
            <v>7</v>
          </cell>
          <cell r="AL460">
            <v>9</v>
          </cell>
          <cell r="AM460">
            <v>0</v>
          </cell>
          <cell r="AN460">
            <v>1</v>
          </cell>
          <cell r="AO460">
            <v>1</v>
          </cell>
          <cell r="AP460">
            <v>1</v>
          </cell>
          <cell r="AS460">
            <v>43500</v>
          </cell>
          <cell r="AT460">
            <v>36</v>
          </cell>
          <cell r="AU460" t="str">
            <v>جنسيه</v>
          </cell>
          <cell r="AV460" t="str">
            <v>0958042</v>
          </cell>
          <cell r="AW460">
            <v>2</v>
          </cell>
          <cell r="AX460">
            <v>4</v>
          </cell>
          <cell r="AY460">
            <v>0</v>
          </cell>
          <cell r="AZ460">
            <v>8</v>
          </cell>
          <cell r="BA460">
            <v>5</v>
          </cell>
          <cell r="BB460">
            <v>9</v>
          </cell>
          <cell r="BC460">
            <v>0</v>
          </cell>
          <cell r="BE460" t="str">
            <v>122-2548913-9</v>
          </cell>
          <cell r="BF460" t="str">
            <v>زينب هارون حماد</v>
          </cell>
          <cell r="BG460" t="str">
            <v>العربى</v>
          </cell>
          <cell r="BH460" t="str">
            <v>السلمة</v>
          </cell>
          <cell r="BI460" t="str">
            <v>0911243104</v>
          </cell>
          <cell r="BJ460" t="str">
            <v>هارون احمد</v>
          </cell>
          <cell r="BK460" t="str">
            <v>0907070863</v>
          </cell>
          <cell r="BL460" t="str">
            <v>إستثناء</v>
          </cell>
          <cell r="BN460">
            <v>43500</v>
          </cell>
          <cell r="EQ460">
            <v>0</v>
          </cell>
          <cell r="FG460" t="str">
            <v xml:space="preserve"> مدير الانتاج</v>
          </cell>
          <cell r="FH460" t="str">
            <v>هشام عيسى محمد عبدالكريم</v>
          </cell>
          <cell r="FI460" t="str">
            <v>122-2548913-9</v>
          </cell>
        </row>
        <row r="461">
          <cell r="A461">
            <v>804</v>
          </cell>
          <cell r="B461" t="str">
            <v>يونس احمد حسن احمد</v>
          </cell>
          <cell r="G461" t="str">
            <v>المصنع</v>
          </cell>
          <cell r="H461" t="str">
            <v>الامن و الحركه</v>
          </cell>
          <cell r="L461" t="str">
            <v>فرد امن</v>
          </cell>
          <cell r="M461">
            <v>42098</v>
          </cell>
          <cell r="O461" t="e">
            <v>#NUM!</v>
          </cell>
          <cell r="P461" t="e">
            <v>#NUM!</v>
          </cell>
          <cell r="R461" t="e">
            <v>#NUM!</v>
          </cell>
          <cell r="T461" t="str">
            <v>إستقال</v>
          </cell>
          <cell r="U461">
            <v>42490</v>
          </cell>
          <cell r="Z461">
            <v>26665</v>
          </cell>
          <cell r="AI461" t="str">
            <v>تسنين</v>
          </cell>
          <cell r="AJ461" t="str">
            <v>54036</v>
          </cell>
          <cell r="AK461">
            <v>6</v>
          </cell>
          <cell r="AL461">
            <v>3</v>
          </cell>
          <cell r="AM461">
            <v>0</v>
          </cell>
          <cell r="AN461">
            <v>4</v>
          </cell>
          <cell r="AO461">
            <v>5</v>
          </cell>
          <cell r="AS461">
            <v>43500</v>
          </cell>
          <cell r="AT461">
            <v>46</v>
          </cell>
          <cell r="AU461" t="str">
            <v>جنسيه</v>
          </cell>
          <cell r="AV461" t="str">
            <v>054814</v>
          </cell>
          <cell r="BE461" t="str">
            <v>119-2771557-0</v>
          </cell>
          <cell r="BF461" t="str">
            <v xml:space="preserve">خاد الله ذياده </v>
          </cell>
          <cell r="BG461" t="str">
            <v>العربى</v>
          </cell>
          <cell r="BH461" t="str">
            <v>امبده - ح 36</v>
          </cell>
          <cell r="BI461" t="str">
            <v>0917575744</v>
          </cell>
          <cell r="BJ461" t="str">
            <v>عمر حسن احمد</v>
          </cell>
          <cell r="BL461" t="str">
            <v>خالي الطرف</v>
          </cell>
          <cell r="BN461">
            <v>43500</v>
          </cell>
          <cell r="EQ461">
            <v>0</v>
          </cell>
          <cell r="FG461" t="str">
            <v>مدير الامن و الحركه</v>
          </cell>
          <cell r="FH461" t="str">
            <v>فارس حمدان عبدالله فارس</v>
          </cell>
          <cell r="FI461" t="str">
            <v>119-2771557-0</v>
          </cell>
        </row>
        <row r="462">
          <cell r="A462">
            <v>805</v>
          </cell>
          <cell r="B462" t="str">
            <v>عمر عبدالرحمن البشير عمر</v>
          </cell>
          <cell r="C462" t="str">
            <v>عمر</v>
          </cell>
          <cell r="D462" t="str">
            <v>عبدالرحمن</v>
          </cell>
          <cell r="E462" t="str">
            <v>البشير</v>
          </cell>
          <cell r="F462" t="str">
            <v>عمر</v>
          </cell>
          <cell r="G462" t="str">
            <v>المصنع</v>
          </cell>
          <cell r="H462" t="str">
            <v>الوحده العلاجيه</v>
          </cell>
          <cell r="K462" t="str">
            <v>ممرض</v>
          </cell>
          <cell r="L462" t="str">
            <v>ممرض</v>
          </cell>
          <cell r="M462">
            <v>42104</v>
          </cell>
          <cell r="N462">
            <v>43500</v>
          </cell>
          <cell r="O462">
            <v>3</v>
          </cell>
          <cell r="P462">
            <v>9</v>
          </cell>
          <cell r="R462">
            <v>112.5</v>
          </cell>
          <cell r="Z462">
            <v>22647</v>
          </cell>
          <cell r="AG462">
            <v>9</v>
          </cell>
          <cell r="AH462">
            <v>1</v>
          </cell>
          <cell r="AS462">
            <v>43500</v>
          </cell>
          <cell r="AT462">
            <v>57</v>
          </cell>
          <cell r="BE462" t="str">
            <v>119-1947224-8</v>
          </cell>
          <cell r="BF462" t="str">
            <v>نور المدينه مصطفى</v>
          </cell>
          <cell r="BG462" t="str">
            <v>الجزيره</v>
          </cell>
          <cell r="BH462" t="str">
            <v>الجزيره - المسعوديه</v>
          </cell>
          <cell r="BI462" t="str">
            <v>0914509291</v>
          </cell>
          <cell r="BJ462" t="str">
            <v>عصام الحاج</v>
          </cell>
          <cell r="BL462" t="str">
            <v>كبار سن</v>
          </cell>
          <cell r="BN462">
            <v>43500</v>
          </cell>
          <cell r="BS462" t="str">
            <v>تمريض</v>
          </cell>
          <cell r="BT462" t="str">
            <v>شهاده ثانويه</v>
          </cell>
          <cell r="BU462" t="str">
            <v>مدرسة التمريض الثانوية</v>
          </cell>
          <cell r="BV462">
            <v>31413</v>
          </cell>
          <cell r="EQ462">
            <v>0</v>
          </cell>
          <cell r="ER462">
            <v>1</v>
          </cell>
          <cell r="ES462">
            <v>42104</v>
          </cell>
          <cell r="ET462">
            <v>42469</v>
          </cell>
          <cell r="EU462" t="str">
            <v>ممرض</v>
          </cell>
          <cell r="FG462" t="str">
            <v>المدير الادارى</v>
          </cell>
          <cell r="FH462" t="str">
            <v>احمد عبدالرحيم ابوبكر محمد</v>
          </cell>
          <cell r="FI462" t="str">
            <v>119-1947224-8</v>
          </cell>
        </row>
        <row r="463">
          <cell r="A463">
            <v>808</v>
          </cell>
          <cell r="B463" t="str">
            <v>سامى بلال سعيد</v>
          </cell>
          <cell r="G463" t="str">
            <v>المصنع</v>
          </cell>
          <cell r="H463" t="str">
            <v>الميكانيكا</v>
          </cell>
          <cell r="I463" t="str">
            <v>صيانه عامه</v>
          </cell>
          <cell r="L463" t="str">
            <v>فنى</v>
          </cell>
          <cell r="M463">
            <v>42119</v>
          </cell>
          <cell r="N463">
            <v>42726</v>
          </cell>
          <cell r="O463">
            <v>1</v>
          </cell>
          <cell r="P463">
            <v>7</v>
          </cell>
          <cell r="R463">
            <v>47.5</v>
          </cell>
          <cell r="T463" t="str">
            <v>إستقال</v>
          </cell>
          <cell r="U463">
            <v>42718</v>
          </cell>
          <cell r="V463">
            <v>42726</v>
          </cell>
          <cell r="Z463">
            <v>28135</v>
          </cell>
          <cell r="AG463">
            <v>9</v>
          </cell>
          <cell r="AH463">
            <v>1</v>
          </cell>
          <cell r="AS463">
            <v>43500</v>
          </cell>
          <cell r="AT463">
            <v>42</v>
          </cell>
          <cell r="BE463" t="str">
            <v>102-0030488-2</v>
          </cell>
          <cell r="BF463" t="str">
            <v>عايده جابر</v>
          </cell>
          <cell r="BG463" t="str">
            <v>الكلاكله</v>
          </cell>
          <cell r="BH463" t="str">
            <v>الكلاكلة - الشقيلاب</v>
          </cell>
          <cell r="BI463" t="str">
            <v>0912891023</v>
          </cell>
          <cell r="BJ463" t="str">
            <v>عبدالله فضل</v>
          </cell>
          <cell r="BL463" t="str">
            <v>خالي الطرف</v>
          </cell>
          <cell r="BN463">
            <v>43500</v>
          </cell>
          <cell r="BS463" t="str">
            <v>هندسة النسيج</v>
          </cell>
          <cell r="BT463" t="str">
            <v>بكلاريوس</v>
          </cell>
          <cell r="BU463" t="str">
            <v>جامعة السودان للعلوم والتكنولوجيا</v>
          </cell>
          <cell r="BV463">
            <v>41168</v>
          </cell>
          <cell r="BW463" t="str">
            <v>تبريد وتكييف</v>
          </cell>
          <cell r="BX463" t="str">
            <v>دبلوم (معاهد)</v>
          </cell>
          <cell r="BY463" t="str">
            <v>كلية دلتا للعلوم والتكنولوجيا</v>
          </cell>
          <cell r="BZ463">
            <v>40494</v>
          </cell>
          <cell r="CQ463" t="str">
            <v>مصنع كابلات الشرق</v>
          </cell>
          <cell r="CR463" t="str">
            <v>مهندس إنتاج</v>
          </cell>
          <cell r="CS463">
            <v>41487</v>
          </cell>
          <cell r="CT463">
            <v>41673</v>
          </cell>
          <cell r="CV463" t="str">
            <v>شركة المك نمر</v>
          </cell>
          <cell r="CW463" t="str">
            <v>فنى ميكانيكا</v>
          </cell>
          <cell r="CX463">
            <v>37295</v>
          </cell>
          <cell r="CY463">
            <v>40724</v>
          </cell>
          <cell r="DA463" t="str">
            <v>مجموعة الصفاء للانشطة المتعددة</v>
          </cell>
          <cell r="DB463" t="str">
            <v>فنى تبريد وتكييف</v>
          </cell>
          <cell r="DC463">
            <v>40179</v>
          </cell>
          <cell r="DD463">
            <v>41761</v>
          </cell>
          <cell r="DF463" t="str">
            <v>المجلس القومي للسكان - الامانة العامة</v>
          </cell>
          <cell r="DG463" t="str">
            <v>متعاون</v>
          </cell>
          <cell r="DH463">
            <v>40848</v>
          </cell>
          <cell r="DI463">
            <v>41487</v>
          </cell>
          <cell r="DK463" t="str">
            <v>مصنع الغزل الرفيع</v>
          </cell>
          <cell r="DL463" t="str">
            <v>متدرب</v>
          </cell>
          <cell r="DM463">
            <v>38620</v>
          </cell>
          <cell r="DN463">
            <v>38650</v>
          </cell>
          <cell r="EQ463">
            <v>0</v>
          </cell>
          <cell r="ES463">
            <v>42119</v>
          </cell>
          <cell r="ET463">
            <v>42484</v>
          </cell>
          <cell r="EU463" t="str">
            <v>مهندس صيانة</v>
          </cell>
          <cell r="FG463" t="str">
            <v>مدير الصيانه الميكانيكيه</v>
          </cell>
          <cell r="FH463" t="str">
            <v>محمد احمد محمد سليمان</v>
          </cell>
          <cell r="FI463" t="str">
            <v>102-0030488-2</v>
          </cell>
        </row>
        <row r="464">
          <cell r="A464">
            <v>809</v>
          </cell>
          <cell r="B464" t="str">
            <v>عبدالله الريح عبدالله ابوعاقله</v>
          </cell>
          <cell r="G464" t="str">
            <v>المصنع</v>
          </cell>
          <cell r="H464" t="str">
            <v>الميكانيكا</v>
          </cell>
          <cell r="L464" t="str">
            <v>خراط</v>
          </cell>
          <cell r="M464">
            <v>42119</v>
          </cell>
          <cell r="O464" t="e">
            <v>#NUM!</v>
          </cell>
          <cell r="P464" t="e">
            <v>#NUM!</v>
          </cell>
          <cell r="R464" t="e">
            <v>#NUM!</v>
          </cell>
          <cell r="T464" t="str">
            <v>m</v>
          </cell>
          <cell r="Z464">
            <v>29549</v>
          </cell>
          <cell r="AI464" t="str">
            <v>ميلاد</v>
          </cell>
          <cell r="AJ464" t="str">
            <v>224239</v>
          </cell>
          <cell r="AK464">
            <v>9</v>
          </cell>
          <cell r="AL464">
            <v>3</v>
          </cell>
          <cell r="AM464">
            <v>2</v>
          </cell>
          <cell r="AN464">
            <v>4</v>
          </cell>
          <cell r="AO464">
            <v>2</v>
          </cell>
          <cell r="AP464">
            <v>2</v>
          </cell>
          <cell r="AS464">
            <v>43500</v>
          </cell>
          <cell r="AT464">
            <v>38</v>
          </cell>
          <cell r="AU464" t="str">
            <v>جنسيه</v>
          </cell>
          <cell r="AV464" t="str">
            <v>224239</v>
          </cell>
          <cell r="AW464">
            <v>9</v>
          </cell>
          <cell r="AX464">
            <v>3</v>
          </cell>
          <cell r="AY464">
            <v>2</v>
          </cell>
          <cell r="AZ464">
            <v>4</v>
          </cell>
          <cell r="BA464">
            <v>2</v>
          </cell>
          <cell r="BB464">
            <v>2</v>
          </cell>
          <cell r="BE464" t="str">
            <v>119-3062067-9</v>
          </cell>
          <cell r="BF464" t="str">
            <v>فزاريه احمد بلال</v>
          </cell>
          <cell r="BH464" t="str">
            <v>امدرمان - صالحه</v>
          </cell>
          <cell r="BI464" t="str">
            <v>0912159759</v>
          </cell>
          <cell r="BL464" t="str">
            <v>خالي الطرف</v>
          </cell>
          <cell r="BN464">
            <v>43500</v>
          </cell>
          <cell r="BS464" t="str">
            <v>الخراطه</v>
          </cell>
          <cell r="BT464" t="str">
            <v>تدريب مهني</v>
          </cell>
          <cell r="BU464" t="str">
            <v xml:space="preserve">المجلس الاعلى للتدريب المهنى </v>
          </cell>
          <cell r="BV464">
            <v>37043</v>
          </cell>
          <cell r="EQ464">
            <v>0</v>
          </cell>
          <cell r="ES464">
            <v>42119</v>
          </cell>
          <cell r="ET464">
            <v>42484</v>
          </cell>
          <cell r="EU464" t="str">
            <v>خراط</v>
          </cell>
          <cell r="FG464" t="str">
            <v>مدير الصيانه الميكانيكيه</v>
          </cell>
          <cell r="FH464" t="str">
            <v>محمد احمد محمد سليمان</v>
          </cell>
          <cell r="FI464" t="str">
            <v>119-3062067-9</v>
          </cell>
        </row>
        <row r="465">
          <cell r="A465">
            <v>811</v>
          </cell>
          <cell r="B465" t="str">
            <v>احمد مبارك احمد عبدالله</v>
          </cell>
          <cell r="C465" t="str">
            <v>احمد</v>
          </cell>
          <cell r="D465" t="str">
            <v>مبارك</v>
          </cell>
          <cell r="E465" t="str">
            <v>احمد</v>
          </cell>
          <cell r="F465" t="str">
            <v>عبدالله</v>
          </cell>
          <cell r="G465" t="str">
            <v>المصنع</v>
          </cell>
          <cell r="H465" t="str">
            <v>الكهرباء</v>
          </cell>
          <cell r="I465" t="str">
            <v>كهرباء عامه</v>
          </cell>
          <cell r="K465" t="str">
            <v>تقنى كهرباء</v>
          </cell>
          <cell r="L465" t="str">
            <v>تقنى كهرباء</v>
          </cell>
          <cell r="M465">
            <v>42125</v>
          </cell>
          <cell r="N465">
            <v>43500</v>
          </cell>
          <cell r="O465">
            <v>3</v>
          </cell>
          <cell r="P465">
            <v>9</v>
          </cell>
          <cell r="R465">
            <v>112.5</v>
          </cell>
          <cell r="Z465">
            <v>33070</v>
          </cell>
          <cell r="AG465">
            <v>9</v>
          </cell>
          <cell r="AH465">
            <v>1</v>
          </cell>
          <cell r="AI465" t="str">
            <v>ميلاد</v>
          </cell>
          <cell r="AJ465" t="str">
            <v>098343</v>
          </cell>
          <cell r="AK465">
            <v>3</v>
          </cell>
          <cell r="AL465">
            <v>4</v>
          </cell>
          <cell r="AM465">
            <v>3</v>
          </cell>
          <cell r="AN465">
            <v>8</v>
          </cell>
          <cell r="AO465">
            <v>9</v>
          </cell>
          <cell r="AP465">
            <v>0</v>
          </cell>
          <cell r="AS465">
            <v>43500</v>
          </cell>
          <cell r="AT465">
            <v>28</v>
          </cell>
          <cell r="AU465" t="str">
            <v>جنسيه</v>
          </cell>
          <cell r="AV465" t="str">
            <v>0698287</v>
          </cell>
          <cell r="AW465">
            <v>7</v>
          </cell>
          <cell r="AX465">
            <v>8</v>
          </cell>
          <cell r="AY465">
            <v>2</v>
          </cell>
          <cell r="AZ465">
            <v>8</v>
          </cell>
          <cell r="BA465">
            <v>9</v>
          </cell>
          <cell r="BB465">
            <v>6</v>
          </cell>
          <cell r="BC465">
            <v>0</v>
          </cell>
          <cell r="BE465" t="str">
            <v>119-5257337-4</v>
          </cell>
          <cell r="BF465" t="str">
            <v>منى محمد احمد</v>
          </cell>
          <cell r="BG465" t="str">
            <v>العربى</v>
          </cell>
          <cell r="BH465" t="str">
            <v>امدرمان - الثوره ح 55</v>
          </cell>
          <cell r="BI465" t="str">
            <v>0920929096</v>
          </cell>
          <cell r="BJ465" t="str">
            <v>مبارك محمد نور</v>
          </cell>
          <cell r="BL465" t="str">
            <v>خالي الطرف</v>
          </cell>
          <cell r="BN465">
            <v>43500</v>
          </cell>
          <cell r="BS465" t="str">
            <v>هندسة كهرباء</v>
          </cell>
          <cell r="BT465" t="str">
            <v>دبلوم تقني</v>
          </cell>
          <cell r="BU465" t="str">
            <v>جامعة النيلين</v>
          </cell>
          <cell r="BV465">
            <v>41526</v>
          </cell>
          <cell r="CQ465" t="str">
            <v>وزارة الصحة</v>
          </cell>
          <cell r="CR465" t="str">
            <v>متدرب</v>
          </cell>
          <cell r="CS465">
            <v>41456</v>
          </cell>
          <cell r="CT465">
            <v>41821</v>
          </cell>
          <cell r="EQ465">
            <v>0</v>
          </cell>
          <cell r="ER465">
            <v>7</v>
          </cell>
          <cell r="ES465">
            <v>42125</v>
          </cell>
          <cell r="ET465">
            <v>42490</v>
          </cell>
          <cell r="EU465" t="str">
            <v>تقنى كهرباء</v>
          </cell>
          <cell r="FG465" t="str">
            <v>مدير الصيانه الكهربائيه</v>
          </cell>
          <cell r="FH465" t="str">
            <v>ماهر ضيف الله سليمان جابر</v>
          </cell>
          <cell r="FI465" t="str">
            <v>119-5257337-4</v>
          </cell>
        </row>
        <row r="466">
          <cell r="A466">
            <v>812</v>
          </cell>
          <cell r="B466" t="str">
            <v>خالد احمد قنديل خلف الله</v>
          </cell>
          <cell r="C466" t="str">
            <v>خالد</v>
          </cell>
          <cell r="D466" t="str">
            <v>احمد</v>
          </cell>
          <cell r="E466" t="str">
            <v>قنديل</v>
          </cell>
          <cell r="F466" t="str">
            <v>خلف الله</v>
          </cell>
          <cell r="G466" t="str">
            <v>المصنع</v>
          </cell>
          <cell r="H466" t="str">
            <v>الانتاج</v>
          </cell>
          <cell r="K466" t="str">
            <v>عامل</v>
          </cell>
          <cell r="L466" t="str">
            <v>عامل</v>
          </cell>
          <cell r="M466">
            <v>42127</v>
          </cell>
          <cell r="N466">
            <v>43500</v>
          </cell>
          <cell r="O466">
            <v>3</v>
          </cell>
          <cell r="P466">
            <v>9</v>
          </cell>
          <cell r="R466">
            <v>112.5</v>
          </cell>
          <cell r="Z466">
            <v>29087</v>
          </cell>
          <cell r="AG466">
            <v>9</v>
          </cell>
          <cell r="AH466">
            <v>1</v>
          </cell>
          <cell r="AI466" t="str">
            <v>ميلاد</v>
          </cell>
          <cell r="AJ466" t="str">
            <v>045124</v>
          </cell>
          <cell r="AK466">
            <v>4</v>
          </cell>
          <cell r="AL466">
            <v>2</v>
          </cell>
          <cell r="AM466">
            <v>1</v>
          </cell>
          <cell r="AN466">
            <v>5</v>
          </cell>
          <cell r="AO466">
            <v>4</v>
          </cell>
          <cell r="AP466">
            <v>0</v>
          </cell>
          <cell r="AS466">
            <v>43500</v>
          </cell>
          <cell r="AT466">
            <v>39</v>
          </cell>
          <cell r="AU466" t="str">
            <v>جنسيه</v>
          </cell>
          <cell r="AV466" t="str">
            <v>0749060</v>
          </cell>
          <cell r="AW466">
            <v>0</v>
          </cell>
          <cell r="AX466">
            <v>6</v>
          </cell>
          <cell r="AY466">
            <v>0</v>
          </cell>
          <cell r="AZ466">
            <v>9</v>
          </cell>
          <cell r="BA466">
            <v>4</v>
          </cell>
          <cell r="BB466">
            <v>7</v>
          </cell>
          <cell r="BC466">
            <v>0</v>
          </cell>
          <cell r="BD466">
            <v>0</v>
          </cell>
          <cell r="BE466" t="str">
            <v>116-9539823-5</v>
          </cell>
          <cell r="BF466" t="str">
            <v>عرفه احمد جبريل</v>
          </cell>
          <cell r="BG466" t="str">
            <v>العربى</v>
          </cell>
          <cell r="BH466" t="str">
            <v>الازهرى</v>
          </cell>
          <cell r="BI466" t="str">
            <v>0915982932</v>
          </cell>
          <cell r="BJ466" t="str">
            <v>امجد</v>
          </cell>
          <cell r="BL466" t="str">
            <v>خالي الطرف</v>
          </cell>
          <cell r="BN466">
            <v>43500</v>
          </cell>
          <cell r="EQ466">
            <v>0</v>
          </cell>
          <cell r="ER466">
            <v>10</v>
          </cell>
          <cell r="ES466">
            <v>42127</v>
          </cell>
          <cell r="ET466">
            <v>42492</v>
          </cell>
          <cell r="EU466" t="str">
            <v>عامل</v>
          </cell>
          <cell r="FG466" t="str">
            <v xml:space="preserve"> مدير الانتاج</v>
          </cell>
          <cell r="FH466" t="str">
            <v>هشام عيسى محمد عبدالكريم</v>
          </cell>
          <cell r="FI466" t="str">
            <v>116-9539823-5</v>
          </cell>
        </row>
        <row r="467">
          <cell r="A467">
            <v>814</v>
          </cell>
          <cell r="B467" t="str">
            <v>التجانى محمد زين احمد محمد</v>
          </cell>
          <cell r="C467" t="str">
            <v>التجانى</v>
          </cell>
          <cell r="D467" t="str">
            <v>محمد</v>
          </cell>
          <cell r="E467" t="str">
            <v>زين</v>
          </cell>
          <cell r="F467" t="str">
            <v>احمد</v>
          </cell>
          <cell r="G467" t="str">
            <v>المصنع</v>
          </cell>
          <cell r="H467" t="str">
            <v>الانتاج</v>
          </cell>
          <cell r="K467" t="str">
            <v>مشرف انتاج</v>
          </cell>
          <cell r="L467" t="str">
            <v>مشرف ورديه</v>
          </cell>
          <cell r="M467">
            <v>42140</v>
          </cell>
          <cell r="N467">
            <v>43500</v>
          </cell>
          <cell r="O467">
            <v>3</v>
          </cell>
          <cell r="P467">
            <v>8</v>
          </cell>
          <cell r="R467">
            <v>110</v>
          </cell>
          <cell r="Z467">
            <v>24898</v>
          </cell>
          <cell r="AG467">
            <v>9</v>
          </cell>
          <cell r="AH467">
            <v>1</v>
          </cell>
          <cell r="AI467" t="str">
            <v>ميلاد</v>
          </cell>
          <cell r="AJ467" t="str">
            <v>550719</v>
          </cell>
          <cell r="AK467">
            <v>9</v>
          </cell>
          <cell r="AL467">
            <v>1</v>
          </cell>
          <cell r="AM467">
            <v>7</v>
          </cell>
          <cell r="AN467">
            <v>0</v>
          </cell>
          <cell r="AO467">
            <v>5</v>
          </cell>
          <cell r="AP467">
            <v>5</v>
          </cell>
          <cell r="AS467">
            <v>43500</v>
          </cell>
          <cell r="AT467">
            <v>50</v>
          </cell>
          <cell r="AU467" t="str">
            <v>جنسيه</v>
          </cell>
          <cell r="AV467" t="str">
            <v>359921</v>
          </cell>
          <cell r="AW467">
            <v>1</v>
          </cell>
          <cell r="AX467">
            <v>2</v>
          </cell>
          <cell r="AY467">
            <v>9</v>
          </cell>
          <cell r="AZ467">
            <v>9</v>
          </cell>
          <cell r="BA467">
            <v>5</v>
          </cell>
          <cell r="BB467">
            <v>3</v>
          </cell>
          <cell r="BE467" t="str">
            <v>115-5303014-7</v>
          </cell>
          <cell r="BF467" t="str">
            <v>فاطمه إبراهيم</v>
          </cell>
          <cell r="BG467" t="str">
            <v>الكلاكله</v>
          </cell>
          <cell r="BH467" t="str">
            <v>جبل اولياء - طيبه</v>
          </cell>
          <cell r="BI467" t="str">
            <v>0112463607</v>
          </cell>
          <cell r="BJ467" t="str">
            <v>احمد محمد زين</v>
          </cell>
          <cell r="BN467">
            <v>43500</v>
          </cell>
          <cell r="BS467" t="str">
            <v>تبريد وتكييف</v>
          </cell>
          <cell r="BT467" t="str">
            <v>دبلوم (معاهد)</v>
          </cell>
          <cell r="BU467" t="str">
            <v>مركز الاسكندرية للاسلكي وهندسية الراديو والتلفزيون</v>
          </cell>
          <cell r="BV467">
            <v>32564</v>
          </cell>
          <cell r="CQ467" t="str">
            <v>مصنع مينا للصناعات الحديدية</v>
          </cell>
          <cell r="CR467" t="str">
            <v>مشرف صاله</v>
          </cell>
          <cell r="CS467">
            <v>38657</v>
          </cell>
          <cell r="CT467">
            <v>41569</v>
          </cell>
          <cell r="EQ467">
            <v>0</v>
          </cell>
          <cell r="ER467">
            <v>12</v>
          </cell>
          <cell r="ES467">
            <v>42140</v>
          </cell>
          <cell r="ET467">
            <v>42505</v>
          </cell>
          <cell r="EU467" t="str">
            <v>مشرف إنتاج</v>
          </cell>
          <cell r="FG467" t="str">
            <v xml:space="preserve"> مدير الانتاج</v>
          </cell>
          <cell r="FH467" t="str">
            <v>هشام عيسى محمد عبدالكريم</v>
          </cell>
          <cell r="FI467" t="str">
            <v>115-5303014-7</v>
          </cell>
        </row>
        <row r="468">
          <cell r="A468">
            <v>816</v>
          </cell>
          <cell r="B468" t="str">
            <v>عبدالمحمود محمد ربيع عبدالوهاب</v>
          </cell>
          <cell r="G468" t="str">
            <v>المصنع</v>
          </cell>
          <cell r="H468" t="str">
            <v>الامن و الحركه</v>
          </cell>
          <cell r="L468" t="str">
            <v>سائق</v>
          </cell>
          <cell r="M468">
            <v>42179</v>
          </cell>
          <cell r="O468" t="e">
            <v>#NUM!</v>
          </cell>
          <cell r="P468" t="e">
            <v>#NUM!</v>
          </cell>
          <cell r="R468" t="e">
            <v>#NUM!</v>
          </cell>
          <cell r="T468" t="str">
            <v>m</v>
          </cell>
          <cell r="Z468">
            <v>32254</v>
          </cell>
          <cell r="AS468">
            <v>43500</v>
          </cell>
          <cell r="AT468">
            <v>30</v>
          </cell>
          <cell r="AU468" t="str">
            <v>بطاقه قوميه</v>
          </cell>
          <cell r="AV468" t="str">
            <v>000296147</v>
          </cell>
          <cell r="AW468">
            <v>7</v>
          </cell>
          <cell r="AX468">
            <v>4</v>
          </cell>
          <cell r="AY468">
            <v>1</v>
          </cell>
          <cell r="AZ468">
            <v>6</v>
          </cell>
          <cell r="BA468">
            <v>9</v>
          </cell>
          <cell r="BB468">
            <v>0</v>
          </cell>
          <cell r="BC468">
            <v>0</v>
          </cell>
          <cell r="BD468">
            <v>0</v>
          </cell>
          <cell r="BE468" t="str">
            <v>117-5307532-5</v>
          </cell>
          <cell r="BF468" t="str">
            <v>اسماء سلامه ادم</v>
          </cell>
          <cell r="BH468" t="str">
            <v>الثوره - ح 12</v>
          </cell>
          <cell r="BI468" t="str">
            <v>0912182345</v>
          </cell>
          <cell r="BJ468" t="str">
            <v>امين عبدالعزيز</v>
          </cell>
          <cell r="BK468" t="str">
            <v>0912723939</v>
          </cell>
          <cell r="BL468" t="str">
            <v>خالي الطرف</v>
          </cell>
          <cell r="BN468">
            <v>43500</v>
          </cell>
          <cell r="BT468" t="str">
            <v>شهاده ثانويه</v>
          </cell>
          <cell r="BV468">
            <v>38777</v>
          </cell>
          <cell r="BW468" t="str">
            <v>حاسوب</v>
          </cell>
          <cell r="BX468" t="str">
            <v>دبلوم (معاهد)</v>
          </cell>
          <cell r="BY468" t="str">
            <v>كلية الخوارزمى لعلوم الحاسوب</v>
          </cell>
          <cell r="BZ468">
            <v>40669</v>
          </cell>
          <cell r="EQ468">
            <v>0</v>
          </cell>
          <cell r="ES468">
            <v>42179</v>
          </cell>
          <cell r="ET468">
            <v>42544</v>
          </cell>
          <cell r="EU468" t="str">
            <v>سائق</v>
          </cell>
          <cell r="FG468" t="str">
            <v>مدير الامن و الحركه</v>
          </cell>
          <cell r="FH468" t="str">
            <v>فارس حمدان عبدالله فارس</v>
          </cell>
          <cell r="FI468" t="str">
            <v>117-5307532-5</v>
          </cell>
        </row>
        <row r="469">
          <cell r="A469">
            <v>817</v>
          </cell>
          <cell r="B469" t="str">
            <v>سراج الدين محمد خميس ادم</v>
          </cell>
          <cell r="C469" t="str">
            <v>سراج الدين</v>
          </cell>
          <cell r="D469" t="str">
            <v>محمد</v>
          </cell>
          <cell r="E469" t="str">
            <v>خميس</v>
          </cell>
          <cell r="F469" t="str">
            <v>ادم</v>
          </cell>
          <cell r="G469" t="str">
            <v>المصنع</v>
          </cell>
          <cell r="H469" t="str">
            <v>الانتاج</v>
          </cell>
          <cell r="I469" t="str">
            <v>المواسير</v>
          </cell>
          <cell r="K469" t="str">
            <v>حداد</v>
          </cell>
          <cell r="L469" t="str">
            <v>مساعد مشغل</v>
          </cell>
          <cell r="M469">
            <v>42156</v>
          </cell>
          <cell r="N469">
            <v>43500</v>
          </cell>
          <cell r="O469">
            <v>3</v>
          </cell>
          <cell r="P469">
            <v>8</v>
          </cell>
          <cell r="R469">
            <v>110</v>
          </cell>
          <cell r="Z469">
            <v>25944</v>
          </cell>
          <cell r="AG469">
            <v>9</v>
          </cell>
          <cell r="AH469">
            <v>1</v>
          </cell>
          <cell r="AI469" t="str">
            <v>ميلاد</v>
          </cell>
          <cell r="AJ469" t="str">
            <v>480361</v>
          </cell>
          <cell r="AK469">
            <v>1</v>
          </cell>
          <cell r="AL469">
            <v>6</v>
          </cell>
          <cell r="AM469">
            <v>3</v>
          </cell>
          <cell r="AN469">
            <v>0</v>
          </cell>
          <cell r="AO469">
            <v>8</v>
          </cell>
          <cell r="AP469">
            <v>4</v>
          </cell>
          <cell r="AS469">
            <v>43500</v>
          </cell>
          <cell r="AT469">
            <v>48</v>
          </cell>
          <cell r="AU469" t="str">
            <v>جنسيه</v>
          </cell>
          <cell r="AV469" t="str">
            <v>080020</v>
          </cell>
          <cell r="AW469">
            <v>0</v>
          </cell>
          <cell r="AX469">
            <v>2</v>
          </cell>
          <cell r="AY469">
            <v>0</v>
          </cell>
          <cell r="AZ469">
            <v>0</v>
          </cell>
          <cell r="BA469">
            <v>8</v>
          </cell>
          <cell r="BB469">
            <v>0</v>
          </cell>
          <cell r="BE469" t="str">
            <v>118-1119718-2</v>
          </cell>
          <cell r="BF469" t="str">
            <v>بخيته محمود</v>
          </cell>
          <cell r="BG469" t="str">
            <v>العربى</v>
          </cell>
          <cell r="BH469" t="str">
            <v>السمير</v>
          </cell>
          <cell r="BI469" t="str">
            <v>0913862866</v>
          </cell>
          <cell r="BJ469" t="str">
            <v>خالد محمد خميس</v>
          </cell>
          <cell r="BK469" t="str">
            <v>0910556523</v>
          </cell>
          <cell r="BL469" t="str">
            <v>خالي الطرف</v>
          </cell>
          <cell r="BN469">
            <v>43500</v>
          </cell>
          <cell r="CQ469" t="str">
            <v xml:space="preserve">ليدر تكنولوجى </v>
          </cell>
          <cell r="CR469" t="str">
            <v>لحام</v>
          </cell>
          <cell r="CS469">
            <v>41092</v>
          </cell>
          <cell r="CT469">
            <v>41513</v>
          </cell>
          <cell r="EQ469">
            <v>0</v>
          </cell>
          <cell r="ER469">
            <v>20</v>
          </cell>
          <cell r="ES469">
            <v>42156</v>
          </cell>
          <cell r="ET469">
            <v>42521</v>
          </cell>
          <cell r="EU469" t="str">
            <v>حداد</v>
          </cell>
          <cell r="FG469" t="str">
            <v xml:space="preserve"> مدير الانتاج</v>
          </cell>
          <cell r="FH469" t="str">
            <v>هشام عيسى محمد عبدالكريم</v>
          </cell>
          <cell r="FI469" t="str">
            <v>118-1119718-2</v>
          </cell>
        </row>
        <row r="470">
          <cell r="A470">
            <v>818</v>
          </cell>
          <cell r="B470" t="str">
            <v>بدر الدين محمد ابراهيم</v>
          </cell>
          <cell r="G470" t="str">
            <v>المصنع</v>
          </cell>
          <cell r="H470" t="str">
            <v>الكهرباء</v>
          </cell>
          <cell r="I470" t="str">
            <v>كهرباء عامه</v>
          </cell>
          <cell r="L470" t="str">
            <v>تقنى كهرباء</v>
          </cell>
          <cell r="M470">
            <v>42158</v>
          </cell>
          <cell r="N470">
            <v>42643</v>
          </cell>
          <cell r="O470">
            <v>1</v>
          </cell>
          <cell r="P470">
            <v>3</v>
          </cell>
          <cell r="R470">
            <v>37.5</v>
          </cell>
          <cell r="T470" t="str">
            <v>إستقال</v>
          </cell>
          <cell r="U470">
            <v>42644</v>
          </cell>
          <cell r="V470">
            <v>42643</v>
          </cell>
          <cell r="Z470">
            <v>32917</v>
          </cell>
          <cell r="AG470">
            <v>9</v>
          </cell>
          <cell r="AH470">
            <v>1</v>
          </cell>
          <cell r="AI470" t="str">
            <v>ميلاد</v>
          </cell>
          <cell r="AJ470" t="str">
            <v>029005</v>
          </cell>
          <cell r="AK470">
            <v>5</v>
          </cell>
          <cell r="AL470">
            <v>0</v>
          </cell>
          <cell r="AM470">
            <v>0</v>
          </cell>
          <cell r="AN470">
            <v>9</v>
          </cell>
          <cell r="AO470">
            <v>2</v>
          </cell>
          <cell r="AP470">
            <v>0</v>
          </cell>
          <cell r="AS470">
            <v>43500</v>
          </cell>
          <cell r="AT470">
            <v>28</v>
          </cell>
          <cell r="AU470" t="str">
            <v>جنسيه</v>
          </cell>
          <cell r="AV470" t="str">
            <v>0726103</v>
          </cell>
          <cell r="AW470">
            <v>3</v>
          </cell>
          <cell r="AX470">
            <v>0</v>
          </cell>
          <cell r="AY470">
            <v>1</v>
          </cell>
          <cell r="AZ470">
            <v>6</v>
          </cell>
          <cell r="BA470">
            <v>2</v>
          </cell>
          <cell r="BB470">
            <v>7</v>
          </cell>
          <cell r="BC470">
            <v>0</v>
          </cell>
          <cell r="BE470" t="str">
            <v>115-1321866-5</v>
          </cell>
          <cell r="BF470" t="str">
            <v>سعيده ادم عبدالقادر</v>
          </cell>
          <cell r="BG470" t="str">
            <v>بحرى</v>
          </cell>
          <cell r="BH470" t="str">
            <v>امبده - الحارة 17</v>
          </cell>
          <cell r="BI470" t="str">
            <v>0914083533</v>
          </cell>
          <cell r="BJ470" t="str">
            <v>محمد إبراهيم عبدالكريم</v>
          </cell>
          <cell r="BL470" t="str">
            <v>خالي الطرف</v>
          </cell>
          <cell r="BN470">
            <v>43500</v>
          </cell>
          <cell r="BS470" t="str">
            <v>هندسة كهربائية</v>
          </cell>
          <cell r="BT470" t="str">
            <v>دبلوم تقني</v>
          </cell>
          <cell r="BU470" t="str">
            <v>جامعة السودان للعلوم والتكنولوجيا</v>
          </cell>
          <cell r="BV470">
            <v>41347</v>
          </cell>
          <cell r="EQ470">
            <v>0</v>
          </cell>
          <cell r="ES470">
            <v>42158</v>
          </cell>
          <cell r="ET470">
            <v>42523</v>
          </cell>
          <cell r="EU470" t="str">
            <v>تقنى</v>
          </cell>
          <cell r="FG470" t="str">
            <v>مدير الصيانه الكهربائيه</v>
          </cell>
          <cell r="FH470" t="str">
            <v>ماهر ضيف الله سليمان جابر</v>
          </cell>
          <cell r="FI470" t="str">
            <v>115-1321866-5</v>
          </cell>
        </row>
        <row r="471">
          <cell r="A471">
            <v>823</v>
          </cell>
          <cell r="B471" t="str">
            <v>ابوبكر فاروق عوض الله عوض السيد</v>
          </cell>
          <cell r="C471" t="str">
            <v>ابوبكر</v>
          </cell>
          <cell r="D471" t="str">
            <v>فاروق</v>
          </cell>
          <cell r="E471" t="str">
            <v>عوض الله</v>
          </cell>
          <cell r="F471" t="str">
            <v>عوض السيد</v>
          </cell>
          <cell r="G471" t="str">
            <v>المصنع</v>
          </cell>
          <cell r="H471" t="str">
            <v>الاليات</v>
          </cell>
          <cell r="K471" t="str">
            <v>تقنى</v>
          </cell>
          <cell r="L471" t="str">
            <v>تقنى ميكانيكا اليات</v>
          </cell>
          <cell r="M471">
            <v>42173</v>
          </cell>
          <cell r="N471">
            <v>43500</v>
          </cell>
          <cell r="O471">
            <v>3</v>
          </cell>
          <cell r="P471">
            <v>7</v>
          </cell>
          <cell r="R471">
            <v>107.5</v>
          </cell>
          <cell r="X471">
            <v>42080</v>
          </cell>
          <cell r="Z471">
            <v>32135</v>
          </cell>
          <cell r="AG471">
            <v>9</v>
          </cell>
          <cell r="AH471">
            <v>1</v>
          </cell>
          <cell r="AI471" t="str">
            <v>ميلاد</v>
          </cell>
          <cell r="AJ471" t="str">
            <v>524874</v>
          </cell>
          <cell r="AK471">
            <v>4</v>
          </cell>
          <cell r="AL471">
            <v>7</v>
          </cell>
          <cell r="AM471">
            <v>8</v>
          </cell>
          <cell r="AN471">
            <v>4</v>
          </cell>
          <cell r="AO471">
            <v>2</v>
          </cell>
          <cell r="AP471">
            <v>5</v>
          </cell>
          <cell r="AS471">
            <v>43500</v>
          </cell>
          <cell r="AT471">
            <v>31</v>
          </cell>
          <cell r="AU471" t="str">
            <v>بطاقه قوميه</v>
          </cell>
          <cell r="AV471" t="str">
            <v>000013607</v>
          </cell>
          <cell r="AW471">
            <v>7</v>
          </cell>
          <cell r="AX471">
            <v>0</v>
          </cell>
          <cell r="AY471">
            <v>6</v>
          </cell>
          <cell r="AZ471">
            <v>3</v>
          </cell>
          <cell r="BA471">
            <v>1</v>
          </cell>
          <cell r="BB471">
            <v>0</v>
          </cell>
          <cell r="BC471">
            <v>0</v>
          </cell>
          <cell r="BD471">
            <v>0</v>
          </cell>
          <cell r="BE471" t="str">
            <v>112-2357233-1</v>
          </cell>
          <cell r="BF471" t="str">
            <v>سلوى عوض</v>
          </cell>
          <cell r="BG471" t="str">
            <v>بحرى</v>
          </cell>
          <cell r="BH471" t="str">
            <v>شرق النيل - القادسيه</v>
          </cell>
          <cell r="BI471" t="str">
            <v>0913276203</v>
          </cell>
          <cell r="BJ471" t="str">
            <v>فاروق عوض الله</v>
          </cell>
          <cell r="BK471" t="str">
            <v>0912181688</v>
          </cell>
          <cell r="BL471" t="str">
            <v>خالي الطرف</v>
          </cell>
          <cell r="BN471">
            <v>43500</v>
          </cell>
          <cell r="BS471" t="str">
            <v>هندسة سيارات</v>
          </cell>
          <cell r="BT471" t="str">
            <v>دبلوم تقني</v>
          </cell>
          <cell r="BU471" t="str">
            <v>جامعة امدرمان الاسلامية</v>
          </cell>
          <cell r="BV471">
            <v>41634</v>
          </cell>
          <cell r="BW471" t="str">
            <v>حاسوب</v>
          </cell>
          <cell r="BX471" t="str">
            <v>دبلوم (معاهد)</v>
          </cell>
          <cell r="BY471" t="str">
            <v>الاتحاد الوطنى لاندية اليونسكو</v>
          </cell>
          <cell r="BZ471">
            <v>40572</v>
          </cell>
          <cell r="CQ471" t="str">
            <v>مركز عمر الحبو لخدمات السيارت</v>
          </cell>
          <cell r="CS471">
            <v>41057</v>
          </cell>
          <cell r="CT471">
            <v>41789</v>
          </cell>
          <cell r="EQ471">
            <v>0</v>
          </cell>
          <cell r="ER471">
            <v>41</v>
          </cell>
          <cell r="ES471">
            <v>42173</v>
          </cell>
          <cell r="ET471">
            <v>42538</v>
          </cell>
          <cell r="EU471" t="str">
            <v>تقنى</v>
          </cell>
          <cell r="FB471">
            <v>42080</v>
          </cell>
          <cell r="FG471" t="str">
            <v>مسئول قسم الاليات</v>
          </cell>
          <cell r="FH471" t="str">
            <v>جمال حامد عبد الكريم العبيد</v>
          </cell>
          <cell r="FI471" t="str">
            <v>112-2357233-1</v>
          </cell>
        </row>
        <row r="472">
          <cell r="A472">
            <v>825</v>
          </cell>
          <cell r="B472" t="str">
            <v>يحى عطيه حلوف حماد</v>
          </cell>
          <cell r="C472" t="str">
            <v>يحى</v>
          </cell>
          <cell r="D472" t="str">
            <v>عطيه</v>
          </cell>
          <cell r="E472" t="str">
            <v>حلوف</v>
          </cell>
          <cell r="F472" t="str">
            <v>حماد</v>
          </cell>
          <cell r="G472" t="str">
            <v>المصنع</v>
          </cell>
          <cell r="H472" t="str">
            <v>الميكانيكا</v>
          </cell>
          <cell r="I472" t="str">
            <v>الحداده</v>
          </cell>
          <cell r="K472" t="str">
            <v>فنى صيانة</v>
          </cell>
          <cell r="L472" t="str">
            <v>حداد صيانه</v>
          </cell>
          <cell r="M472">
            <v>42186</v>
          </cell>
          <cell r="N472">
            <v>43500</v>
          </cell>
          <cell r="O472">
            <v>3</v>
          </cell>
          <cell r="P472">
            <v>7</v>
          </cell>
          <cell r="R472">
            <v>107.5</v>
          </cell>
          <cell r="Z472">
            <v>20821</v>
          </cell>
          <cell r="AG472">
            <v>9</v>
          </cell>
          <cell r="AH472">
            <v>1</v>
          </cell>
          <cell r="AI472" t="str">
            <v>تسنين</v>
          </cell>
          <cell r="AJ472" t="str">
            <v>121293</v>
          </cell>
          <cell r="AK472">
            <v>3</v>
          </cell>
          <cell r="AL472">
            <v>9</v>
          </cell>
          <cell r="AM472">
            <v>2</v>
          </cell>
          <cell r="AN472">
            <v>1</v>
          </cell>
          <cell r="AO472">
            <v>2</v>
          </cell>
          <cell r="AP472">
            <v>1</v>
          </cell>
          <cell r="AS472">
            <v>43500</v>
          </cell>
          <cell r="AT472">
            <v>62</v>
          </cell>
          <cell r="BE472" t="str">
            <v>118-1798923-9</v>
          </cell>
          <cell r="BF472" t="str">
            <v>عائشه مامون</v>
          </cell>
          <cell r="BG472" t="str">
            <v>العربى</v>
          </cell>
          <cell r="BH472" t="str">
            <v>الجديده الثوره</v>
          </cell>
          <cell r="BI472" t="str">
            <v>0129066540</v>
          </cell>
          <cell r="BJ472" t="str">
            <v>الفاتح عامر</v>
          </cell>
          <cell r="BK472" t="str">
            <v>0912691360</v>
          </cell>
          <cell r="BL472" t="str">
            <v>كبار سن</v>
          </cell>
          <cell r="BN472">
            <v>43500</v>
          </cell>
          <cell r="BS472" t="str">
            <v>البراده العامه</v>
          </cell>
          <cell r="BT472" t="str">
            <v>تدريب مهني</v>
          </cell>
          <cell r="BU472" t="str">
            <v>مركز التدريب المهنى</v>
          </cell>
          <cell r="BV472">
            <v>31777</v>
          </cell>
          <cell r="CQ472" t="str">
            <v>المؤسسة العامة للزراعة الالية</v>
          </cell>
          <cell r="CR472" t="str">
            <v>ميكانيكى</v>
          </cell>
          <cell r="CS472">
            <v>29252</v>
          </cell>
          <cell r="CT472">
            <v>32025</v>
          </cell>
          <cell r="CV472" t="str">
            <v>شركة معاصر زيوت مرحب المحدودة</v>
          </cell>
          <cell r="CW472" t="str">
            <v>رئيس وردية بقسم الملح</v>
          </cell>
          <cell r="CX472">
            <v>32039</v>
          </cell>
          <cell r="CY472">
            <v>34067</v>
          </cell>
          <cell r="DA472" t="str">
            <v>شركة المصنع السودانى الماليزى</v>
          </cell>
          <cell r="DB472" t="str">
            <v>فنى حداده</v>
          </cell>
          <cell r="DC472">
            <v>36457</v>
          </cell>
          <cell r="DD472">
            <v>42155</v>
          </cell>
          <cell r="EQ472">
            <v>0</v>
          </cell>
          <cell r="ER472">
            <v>7</v>
          </cell>
          <cell r="ES472">
            <v>42186</v>
          </cell>
          <cell r="ET472">
            <v>42551</v>
          </cell>
          <cell r="EU472" t="str">
            <v>فنى</v>
          </cell>
          <cell r="FG472" t="str">
            <v>مدير الصيانه الميكانيكيه</v>
          </cell>
          <cell r="FH472" t="str">
            <v>محمد احمد محمد سليمان</v>
          </cell>
          <cell r="FI472" t="str">
            <v>118-1798923-9</v>
          </cell>
        </row>
        <row r="473">
          <cell r="A473">
            <v>827</v>
          </cell>
          <cell r="B473" t="str">
            <v>انور سليمان ادم محمد</v>
          </cell>
          <cell r="C473" t="str">
            <v>انور</v>
          </cell>
          <cell r="D473" t="str">
            <v>سليمان</v>
          </cell>
          <cell r="E473" t="str">
            <v>ادم</v>
          </cell>
          <cell r="F473" t="str">
            <v>محمد</v>
          </cell>
          <cell r="G473" t="str">
            <v>المصنع</v>
          </cell>
          <cell r="H473" t="str">
            <v>الانتاج</v>
          </cell>
          <cell r="K473" t="str">
            <v>عامل</v>
          </cell>
          <cell r="L473" t="str">
            <v>عامل</v>
          </cell>
          <cell r="M473">
            <v>43359</v>
          </cell>
          <cell r="O473" t="e">
            <v>#NUM!</v>
          </cell>
          <cell r="P473" t="e">
            <v>#NUM!</v>
          </cell>
          <cell r="R473" t="e">
            <v>#NUM!</v>
          </cell>
          <cell r="X473">
            <v>42186</v>
          </cell>
          <cell r="Z473">
            <v>34335</v>
          </cell>
          <cell r="AI473" t="str">
            <v>تسنين</v>
          </cell>
          <cell r="AJ473" t="str">
            <v>878348</v>
          </cell>
          <cell r="AK473">
            <v>8</v>
          </cell>
          <cell r="AL473">
            <v>4</v>
          </cell>
          <cell r="AM473">
            <v>3</v>
          </cell>
          <cell r="AN473">
            <v>8</v>
          </cell>
          <cell r="AO473">
            <v>7</v>
          </cell>
          <cell r="AP473">
            <v>8</v>
          </cell>
          <cell r="AS473">
            <v>43500</v>
          </cell>
          <cell r="AT473">
            <v>25</v>
          </cell>
          <cell r="AU473" t="str">
            <v>بطاقه قوميه</v>
          </cell>
          <cell r="AV473" t="str">
            <v>001472923</v>
          </cell>
          <cell r="AW473">
            <v>3</v>
          </cell>
          <cell r="AX473">
            <v>2</v>
          </cell>
          <cell r="AY473">
            <v>9</v>
          </cell>
          <cell r="AZ473">
            <v>2</v>
          </cell>
          <cell r="BA473">
            <v>7</v>
          </cell>
          <cell r="BB473">
            <v>4</v>
          </cell>
          <cell r="BC473">
            <v>1</v>
          </cell>
          <cell r="BD473">
            <v>0</v>
          </cell>
          <cell r="BE473" t="str">
            <v>181-3512891-9</v>
          </cell>
          <cell r="BF473" t="str">
            <v>حواء هلال الشامي</v>
          </cell>
          <cell r="BG473" t="str">
            <v>العربى</v>
          </cell>
          <cell r="BI473" t="str">
            <v>0913090327</v>
          </cell>
          <cell r="BJ473" t="str">
            <v>امير سليمان ادم</v>
          </cell>
          <cell r="BK473" t="str">
            <v>0918465297</v>
          </cell>
          <cell r="BL473" t="str">
            <v>خالي الطرف</v>
          </cell>
          <cell r="BN473">
            <v>43500</v>
          </cell>
          <cell r="BT473" t="str">
            <v>شهاده ثانويه</v>
          </cell>
          <cell r="BV473">
            <v>40969</v>
          </cell>
          <cell r="EQ473">
            <v>0</v>
          </cell>
          <cell r="FG473" t="str">
            <v xml:space="preserve"> مدير الانتاج</v>
          </cell>
          <cell r="FH473" t="str">
            <v>هشام عيسى محمد عبدالكريم</v>
          </cell>
          <cell r="FI473" t="str">
            <v>181-3512891-9</v>
          </cell>
        </row>
        <row r="474">
          <cell r="A474">
            <v>828</v>
          </cell>
          <cell r="B474" t="str">
            <v>عيسي احمد المهدى عبدالعزيز</v>
          </cell>
          <cell r="C474" t="str">
            <v>عيسى</v>
          </cell>
          <cell r="D474" t="str">
            <v>احمد</v>
          </cell>
          <cell r="E474" t="str">
            <v>المهدى</v>
          </cell>
          <cell r="F474" t="str">
            <v>عبدالعزيز</v>
          </cell>
          <cell r="G474" t="str">
            <v>المصنع</v>
          </cell>
          <cell r="H474" t="str">
            <v>الانتاج</v>
          </cell>
          <cell r="K474" t="str">
            <v>عامل</v>
          </cell>
          <cell r="L474" t="str">
            <v>مشغل كرين</v>
          </cell>
          <cell r="M474">
            <v>42187</v>
          </cell>
          <cell r="N474">
            <v>43500</v>
          </cell>
          <cell r="O474">
            <v>3</v>
          </cell>
          <cell r="P474">
            <v>7</v>
          </cell>
          <cell r="R474">
            <v>107.5</v>
          </cell>
          <cell r="T474" t="str">
            <v>توفي</v>
          </cell>
          <cell r="Z474">
            <v>28491</v>
          </cell>
          <cell r="AG474">
            <v>9</v>
          </cell>
          <cell r="AH474">
            <v>1</v>
          </cell>
          <cell r="AI474" t="str">
            <v>تسنين</v>
          </cell>
          <cell r="AJ474" t="str">
            <v>419860</v>
          </cell>
          <cell r="AK474">
            <v>0</v>
          </cell>
          <cell r="AL474">
            <v>6</v>
          </cell>
          <cell r="AM474">
            <v>8</v>
          </cell>
          <cell r="AN474">
            <v>9</v>
          </cell>
          <cell r="AO474">
            <v>1</v>
          </cell>
          <cell r="AP474">
            <v>4</v>
          </cell>
          <cell r="AS474">
            <v>43500</v>
          </cell>
          <cell r="AT474">
            <v>41</v>
          </cell>
          <cell r="AU474" t="str">
            <v>جنسيه</v>
          </cell>
          <cell r="AV474" t="str">
            <v>133968</v>
          </cell>
          <cell r="AW474">
            <v>8</v>
          </cell>
          <cell r="AX474">
            <v>6</v>
          </cell>
          <cell r="AY474">
            <v>9</v>
          </cell>
          <cell r="AZ474">
            <v>3</v>
          </cell>
          <cell r="BA474">
            <v>3</v>
          </cell>
          <cell r="BB474">
            <v>1</v>
          </cell>
          <cell r="BE474" t="str">
            <v>178-5805880-9</v>
          </cell>
          <cell r="BF474" t="str">
            <v>حواء اسماعيل</v>
          </cell>
          <cell r="BG474" t="str">
            <v>العربى</v>
          </cell>
          <cell r="BH474" t="str">
            <v>السمير - المحطه</v>
          </cell>
          <cell r="BI474" t="str">
            <v>0915687038</v>
          </cell>
          <cell r="BJ474" t="str">
            <v>محمد عبدالله</v>
          </cell>
          <cell r="BK474" t="str">
            <v>0990473990</v>
          </cell>
          <cell r="BL474" t="str">
            <v>خالي الطرف</v>
          </cell>
          <cell r="BN474">
            <v>43500</v>
          </cell>
          <cell r="BS474" t="str">
            <v>لغة انجليزية</v>
          </cell>
          <cell r="BT474" t="str">
            <v>بكلاريوس الشرف</v>
          </cell>
          <cell r="BU474" t="str">
            <v>جامعة النيلين</v>
          </cell>
          <cell r="BV474">
            <v>42290</v>
          </cell>
          <cell r="EP474">
            <v>30</v>
          </cell>
          <cell r="EQ474">
            <v>30</v>
          </cell>
          <cell r="ER474">
            <v>7</v>
          </cell>
          <cell r="ES474">
            <v>42187</v>
          </cell>
          <cell r="ET474">
            <v>42552</v>
          </cell>
          <cell r="EU474" t="str">
            <v>عامل</v>
          </cell>
          <cell r="FG474" t="str">
            <v xml:space="preserve"> مدير الانتاج</v>
          </cell>
          <cell r="FH474" t="str">
            <v>هشام عيسى محمد عبدالكريم</v>
          </cell>
          <cell r="FI474" t="str">
            <v>178-5805880-9</v>
          </cell>
        </row>
        <row r="475">
          <cell r="A475">
            <v>830</v>
          </cell>
          <cell r="B475" t="str">
            <v>سماح محمد تيراب احمد</v>
          </cell>
          <cell r="C475" t="str">
            <v>سماح</v>
          </cell>
          <cell r="D475" t="str">
            <v>محمد</v>
          </cell>
          <cell r="E475" t="str">
            <v>تيراب</v>
          </cell>
          <cell r="F475" t="str">
            <v>احمد</v>
          </cell>
          <cell r="G475" t="str">
            <v>المصنع</v>
          </cell>
          <cell r="H475" t="str">
            <v>المستودعات</v>
          </cell>
          <cell r="I475" t="str">
            <v>قطع الغيار</v>
          </cell>
          <cell r="K475" t="str">
            <v>مدخل بيانات</v>
          </cell>
          <cell r="L475" t="str">
            <v>مدخل بيانات</v>
          </cell>
          <cell r="M475">
            <v>42217</v>
          </cell>
          <cell r="N475">
            <v>43500</v>
          </cell>
          <cell r="O475">
            <v>3</v>
          </cell>
          <cell r="P475">
            <v>6</v>
          </cell>
          <cell r="R475">
            <v>105</v>
          </cell>
          <cell r="Z475">
            <v>32682</v>
          </cell>
          <cell r="AG475">
            <v>9</v>
          </cell>
          <cell r="AH475">
            <v>1</v>
          </cell>
          <cell r="AI475" t="str">
            <v>ميلاد</v>
          </cell>
          <cell r="AJ475" t="str">
            <v>931841</v>
          </cell>
          <cell r="AK475">
            <v>1</v>
          </cell>
          <cell r="AL475">
            <v>4</v>
          </cell>
          <cell r="AM475">
            <v>8</v>
          </cell>
          <cell r="AN475">
            <v>1</v>
          </cell>
          <cell r="AO475">
            <v>3</v>
          </cell>
          <cell r="AP475">
            <v>9</v>
          </cell>
          <cell r="AS475">
            <v>43500</v>
          </cell>
          <cell r="AT475">
            <v>29</v>
          </cell>
          <cell r="AU475" t="str">
            <v>بطاقه قوميه</v>
          </cell>
          <cell r="AV475" t="str">
            <v>001689889</v>
          </cell>
          <cell r="AW475">
            <v>9</v>
          </cell>
          <cell r="AX475">
            <v>8</v>
          </cell>
          <cell r="AY475">
            <v>8</v>
          </cell>
          <cell r="AZ475">
            <v>9</v>
          </cell>
          <cell r="BA475">
            <v>8</v>
          </cell>
          <cell r="BB475">
            <v>6</v>
          </cell>
          <cell r="BC475">
            <v>1</v>
          </cell>
          <cell r="BD475">
            <v>0</v>
          </cell>
          <cell r="BE475" t="str">
            <v>120-4298981-9</v>
          </cell>
          <cell r="BF475" t="str">
            <v>الحاجه بابكر عبدالرحمن</v>
          </cell>
          <cell r="BG475" t="str">
            <v>الجزيره</v>
          </cell>
          <cell r="BH475" t="str">
            <v>الجزيره - المسعوديه</v>
          </cell>
          <cell r="BI475" t="str">
            <v>0918856540</v>
          </cell>
          <cell r="BJ475" t="str">
            <v>محمد تيراب احمد</v>
          </cell>
          <cell r="BK475" t="str">
            <v>0911506694</v>
          </cell>
          <cell r="BL475" t="str">
            <v>خالي الطرف</v>
          </cell>
          <cell r="BN475">
            <v>43500</v>
          </cell>
          <cell r="BS475" t="str">
            <v>هندسة حاسوب</v>
          </cell>
          <cell r="BT475" t="str">
            <v>دبلوم تقني</v>
          </cell>
          <cell r="BU475" t="str">
            <v>جامعة السودان للعلوم والتكنولوجيا</v>
          </cell>
          <cell r="BV475">
            <v>40462</v>
          </cell>
          <cell r="BW475" t="str">
            <v>شبكات - صيانة الحاسوب</v>
          </cell>
          <cell r="BX475" t="str">
            <v>شهاده دورة تدريب</v>
          </cell>
          <cell r="BY475" t="str">
            <v>وكالة السودان للانباء</v>
          </cell>
          <cell r="BZ475">
            <v>40942</v>
          </cell>
          <cell r="CQ475" t="str">
            <v>MTN</v>
          </cell>
          <cell r="CR475" t="str">
            <v>متدرب</v>
          </cell>
          <cell r="CS475">
            <v>41856</v>
          </cell>
          <cell r="CT475">
            <v>41934</v>
          </cell>
          <cell r="CV475" t="str">
            <v>شركة سك النقود السودانية المحدودة</v>
          </cell>
          <cell r="CW475" t="str">
            <v>متدرب</v>
          </cell>
          <cell r="CX475">
            <v>41619</v>
          </cell>
          <cell r="CY475">
            <v>41681</v>
          </cell>
          <cell r="DA475" t="str">
            <v>وكالة بروبر للسفر والسياحة</v>
          </cell>
          <cell r="DB475" t="str">
            <v>متدرب</v>
          </cell>
          <cell r="DC475">
            <v>41332</v>
          </cell>
          <cell r="DD475">
            <v>41391</v>
          </cell>
          <cell r="DF475" t="str">
            <v>مدرسة الشروق الثانوية الخاصة</v>
          </cell>
          <cell r="DG475" t="str">
            <v>مدير مالى</v>
          </cell>
          <cell r="DH475">
            <v>41091</v>
          </cell>
          <cell r="DI475">
            <v>41301</v>
          </cell>
          <cell r="EQ475">
            <v>0</v>
          </cell>
          <cell r="ER475">
            <v>9</v>
          </cell>
          <cell r="ES475">
            <v>42213</v>
          </cell>
          <cell r="ET475">
            <v>42578</v>
          </cell>
          <cell r="EU475" t="str">
            <v>مدخلة بيانات</v>
          </cell>
          <cell r="FG475" t="str">
            <v>مدير المستودعات</v>
          </cell>
          <cell r="FH475" t="str">
            <v>على احمد على بابكر</v>
          </cell>
          <cell r="FI475" t="str">
            <v>120-4298981-9</v>
          </cell>
        </row>
        <row r="476">
          <cell r="A476">
            <v>831</v>
          </cell>
          <cell r="B476" t="str">
            <v>نجم الدين السيد عبدالقادر الصديق</v>
          </cell>
          <cell r="G476" t="str">
            <v>المصنع</v>
          </cell>
          <cell r="H476" t="str">
            <v>الميكانيكا</v>
          </cell>
          <cell r="L476" t="str">
            <v>مهندس صيانه</v>
          </cell>
          <cell r="M476">
            <v>42217</v>
          </cell>
          <cell r="O476" t="e">
            <v>#NUM!</v>
          </cell>
          <cell r="P476" t="e">
            <v>#NUM!</v>
          </cell>
          <cell r="R476" t="e">
            <v>#NUM!</v>
          </cell>
          <cell r="T476" t="str">
            <v>m</v>
          </cell>
          <cell r="Z476">
            <v>27760</v>
          </cell>
          <cell r="AI476" t="str">
            <v>تسنين</v>
          </cell>
          <cell r="AJ476" t="str">
            <v>161253</v>
          </cell>
          <cell r="AK476">
            <v>3</v>
          </cell>
          <cell r="AL476">
            <v>5</v>
          </cell>
          <cell r="AM476">
            <v>2</v>
          </cell>
          <cell r="AN476">
            <v>1</v>
          </cell>
          <cell r="AO476">
            <v>6</v>
          </cell>
          <cell r="AP476">
            <v>1</v>
          </cell>
          <cell r="AS476">
            <v>43500</v>
          </cell>
          <cell r="AT476">
            <v>43</v>
          </cell>
          <cell r="AU476" t="str">
            <v>جنسيه</v>
          </cell>
          <cell r="AV476" t="str">
            <v>514658</v>
          </cell>
          <cell r="AW476">
            <v>8</v>
          </cell>
          <cell r="AX476">
            <v>5</v>
          </cell>
          <cell r="AY476">
            <v>6</v>
          </cell>
          <cell r="AZ476">
            <v>4</v>
          </cell>
          <cell r="BA476">
            <v>1</v>
          </cell>
          <cell r="BB476">
            <v>5</v>
          </cell>
          <cell r="BE476" t="str">
            <v>122-0504862-9</v>
          </cell>
          <cell r="BF476" t="str">
            <v>جليله عبدالله عمر</v>
          </cell>
          <cell r="BH476" t="str">
            <v>اركويت - م 48</v>
          </cell>
          <cell r="BI476" t="str">
            <v>0915249403</v>
          </cell>
          <cell r="BL476" t="str">
            <v>خالي الطرف</v>
          </cell>
          <cell r="BN476">
            <v>43500</v>
          </cell>
          <cell r="BS476" t="str">
            <v xml:space="preserve">هندسة ميكانيكة </v>
          </cell>
          <cell r="BT476" t="str">
            <v>بكلاريوس الشرف</v>
          </cell>
          <cell r="BU476" t="str">
            <v>جامعة الخرطوم</v>
          </cell>
          <cell r="BV476">
            <v>37163</v>
          </cell>
          <cell r="BW476" t="str">
            <v>حاسوب</v>
          </cell>
          <cell r="BX476" t="str">
            <v>دبلوم (معاهد)</v>
          </cell>
          <cell r="BY476" t="str">
            <v>مركز البروف لعلوم الحاسوب</v>
          </cell>
          <cell r="BZ476">
            <v>41001</v>
          </cell>
          <cell r="CQ476" t="str">
            <v>اوميقا</v>
          </cell>
          <cell r="CR476" t="str">
            <v xml:space="preserve">مهندس صيانة </v>
          </cell>
          <cell r="CS476">
            <v>41310</v>
          </cell>
          <cell r="CT476">
            <v>41759</v>
          </cell>
          <cell r="CV476" t="str">
            <v>عمال شمس</v>
          </cell>
          <cell r="CW476" t="str">
            <v>مهندس</v>
          </cell>
          <cell r="CX476">
            <v>39414</v>
          </cell>
          <cell r="CY476">
            <v>39504</v>
          </cell>
          <cell r="DA476" t="str">
            <v>الطريفى للنقل</v>
          </cell>
          <cell r="DB476" t="str">
            <v>مهندس</v>
          </cell>
          <cell r="DC476">
            <v>37622</v>
          </cell>
          <cell r="DD476">
            <v>38474</v>
          </cell>
          <cell r="EQ476">
            <v>0</v>
          </cell>
          <cell r="ES476">
            <v>42217</v>
          </cell>
          <cell r="ET476">
            <v>42582</v>
          </cell>
          <cell r="EU476" t="str">
            <v>مهندس</v>
          </cell>
          <cell r="FG476" t="str">
            <v>مدير الصيانه الميكانيكيه</v>
          </cell>
          <cell r="FH476" t="str">
            <v>محمد احمد محمد سليمان</v>
          </cell>
          <cell r="FI476" t="str">
            <v>122-0504862-9</v>
          </cell>
        </row>
        <row r="477">
          <cell r="A477">
            <v>832</v>
          </cell>
          <cell r="B477" t="str">
            <v>محمد فائز حسن محمد</v>
          </cell>
          <cell r="C477" t="str">
            <v>محمد</v>
          </cell>
          <cell r="D477" t="str">
            <v>فائز</v>
          </cell>
          <cell r="E477" t="str">
            <v>حسن</v>
          </cell>
          <cell r="F477" t="str">
            <v>محمد</v>
          </cell>
          <cell r="G477" t="str">
            <v>المصنع</v>
          </cell>
          <cell r="H477" t="str">
            <v>الميكانيكا</v>
          </cell>
          <cell r="I477" t="str">
            <v>المخارط</v>
          </cell>
          <cell r="K477" t="str">
            <v>فنى خراطة</v>
          </cell>
          <cell r="L477" t="str">
            <v>فورمان مخارط</v>
          </cell>
          <cell r="M477">
            <v>42220</v>
          </cell>
          <cell r="N477">
            <v>43500</v>
          </cell>
          <cell r="O477">
            <v>3</v>
          </cell>
          <cell r="P477">
            <v>6</v>
          </cell>
          <cell r="R477">
            <v>105</v>
          </cell>
          <cell r="Z477">
            <v>32387</v>
          </cell>
          <cell r="AG477">
            <v>9</v>
          </cell>
          <cell r="AH477">
            <v>1</v>
          </cell>
          <cell r="AI477" t="str">
            <v>ميلاد</v>
          </cell>
          <cell r="AJ477" t="str">
            <v>730520</v>
          </cell>
          <cell r="AK477">
            <v>0</v>
          </cell>
          <cell r="AL477">
            <v>2</v>
          </cell>
          <cell r="AM477">
            <v>5</v>
          </cell>
          <cell r="AN477">
            <v>0</v>
          </cell>
          <cell r="AO477">
            <v>3</v>
          </cell>
          <cell r="AP477">
            <v>7</v>
          </cell>
          <cell r="AS477">
            <v>43500</v>
          </cell>
          <cell r="AT477">
            <v>30</v>
          </cell>
          <cell r="BE477" t="str">
            <v>120-2693750-6</v>
          </cell>
          <cell r="BF477" t="str">
            <v>نعمه ميرغنى سيد احمد</v>
          </cell>
          <cell r="BG477" t="str">
            <v>الكلاكله</v>
          </cell>
          <cell r="BH477" t="str">
            <v>الكلاكله</v>
          </cell>
          <cell r="BI477" t="str">
            <v>0924092922</v>
          </cell>
          <cell r="BJ477" t="str">
            <v>فائز حسن</v>
          </cell>
          <cell r="BK477" t="str">
            <v>0912658487</v>
          </cell>
          <cell r="BN477">
            <v>43500</v>
          </cell>
          <cell r="BT477" t="str">
            <v>شهاده ثانويه</v>
          </cell>
          <cell r="BV477">
            <v>38777</v>
          </cell>
          <cell r="BW477" t="str">
            <v>ماكينات</v>
          </cell>
          <cell r="BX477" t="str">
            <v>تدريب مهني</v>
          </cell>
          <cell r="BY477" t="str">
            <v>الإداره العامة للتعليم الفنى</v>
          </cell>
          <cell r="BZ477">
            <v>38777</v>
          </cell>
          <cell r="EQ477">
            <v>0</v>
          </cell>
          <cell r="ER477">
            <v>16</v>
          </cell>
          <cell r="ES477">
            <v>42220</v>
          </cell>
          <cell r="ET477">
            <v>42585</v>
          </cell>
          <cell r="EU477" t="str">
            <v>فنى</v>
          </cell>
          <cell r="FG477" t="str">
            <v>مدير الصيانه الميكانيكيه</v>
          </cell>
          <cell r="FH477" t="str">
            <v>محمد احمد محمد سليمان</v>
          </cell>
          <cell r="FI477" t="str">
            <v>120-2693750-6</v>
          </cell>
        </row>
        <row r="478">
          <cell r="A478">
            <v>833</v>
          </cell>
          <cell r="B478" t="str">
            <v>احمد عبدالوهاب الامين العبيد</v>
          </cell>
          <cell r="C478" t="str">
            <v>احمد</v>
          </cell>
          <cell r="D478" t="str">
            <v>عبدالوهاب</v>
          </cell>
          <cell r="E478" t="str">
            <v>الامين</v>
          </cell>
          <cell r="F478" t="str">
            <v>عبدالله</v>
          </cell>
          <cell r="G478" t="str">
            <v>المصنع</v>
          </cell>
          <cell r="H478" t="str">
            <v>الانتاج</v>
          </cell>
          <cell r="K478" t="str">
            <v>عامل</v>
          </cell>
          <cell r="L478" t="str">
            <v>عامل</v>
          </cell>
          <cell r="M478">
            <v>42228</v>
          </cell>
          <cell r="N478">
            <v>43500</v>
          </cell>
          <cell r="O478">
            <v>3</v>
          </cell>
          <cell r="P478">
            <v>5</v>
          </cell>
          <cell r="R478">
            <v>102.5</v>
          </cell>
          <cell r="Z478">
            <v>33482</v>
          </cell>
          <cell r="AG478">
            <v>9</v>
          </cell>
          <cell r="AH478">
            <v>1</v>
          </cell>
          <cell r="AI478" t="str">
            <v>ميلاد</v>
          </cell>
          <cell r="AJ478" t="str">
            <v>130742</v>
          </cell>
          <cell r="AK478">
            <v>2</v>
          </cell>
          <cell r="AL478">
            <v>4</v>
          </cell>
          <cell r="AM478">
            <v>7</v>
          </cell>
          <cell r="AN478">
            <v>0</v>
          </cell>
          <cell r="AO478">
            <v>3</v>
          </cell>
          <cell r="AP478">
            <v>1</v>
          </cell>
          <cell r="AS478">
            <v>43500</v>
          </cell>
          <cell r="AT478">
            <v>27</v>
          </cell>
          <cell r="AU478" t="str">
            <v>جنسيه</v>
          </cell>
          <cell r="AV478" t="str">
            <v>0301423</v>
          </cell>
          <cell r="AW478">
            <v>3</v>
          </cell>
          <cell r="AX478">
            <v>2</v>
          </cell>
          <cell r="AY478">
            <v>4</v>
          </cell>
          <cell r="AZ478">
            <v>1</v>
          </cell>
          <cell r="BA478">
            <v>0</v>
          </cell>
          <cell r="BB478">
            <v>3</v>
          </cell>
          <cell r="BC478">
            <v>0</v>
          </cell>
          <cell r="BE478" t="str">
            <v>190-3190275-9</v>
          </cell>
          <cell r="BF478" t="str">
            <v>سمية إبراهيم الامين</v>
          </cell>
          <cell r="BG478" t="str">
            <v>الجزيره</v>
          </cell>
          <cell r="BH478" t="str">
            <v>الجزيره - النوبه</v>
          </cell>
          <cell r="BI478" t="str">
            <v>0112543686</v>
          </cell>
          <cell r="BJ478" t="str">
            <v>ماهر محمد الامين</v>
          </cell>
          <cell r="BK478" t="str">
            <v>0111998050</v>
          </cell>
          <cell r="BL478" t="str">
            <v>خالي الطرف</v>
          </cell>
          <cell r="BN478">
            <v>43500</v>
          </cell>
          <cell r="BT478" t="str">
            <v>شهاده ثانويه</v>
          </cell>
          <cell r="BV478">
            <v>40238</v>
          </cell>
          <cell r="EQ478">
            <v>0</v>
          </cell>
          <cell r="ER478">
            <v>8</v>
          </cell>
          <cell r="ES478">
            <v>42228</v>
          </cell>
          <cell r="ET478">
            <v>42593</v>
          </cell>
          <cell r="EU478" t="str">
            <v>عامل</v>
          </cell>
          <cell r="FG478" t="str">
            <v xml:space="preserve"> مدير الانتاج</v>
          </cell>
          <cell r="FH478" t="str">
            <v>هشام عيسى محمد عبدالكريم</v>
          </cell>
          <cell r="FI478" t="str">
            <v>190-3190275-9</v>
          </cell>
        </row>
        <row r="479">
          <cell r="A479">
            <v>834</v>
          </cell>
          <cell r="B479" t="str">
            <v>كمال عبدالرحمن احمد عبدالله</v>
          </cell>
          <cell r="C479" t="str">
            <v>كمال</v>
          </cell>
          <cell r="D479" t="str">
            <v>عبدالرحمن</v>
          </cell>
          <cell r="E479" t="str">
            <v>احمد</v>
          </cell>
          <cell r="F479" t="str">
            <v>عبدالله</v>
          </cell>
          <cell r="G479" t="str">
            <v>المصنع</v>
          </cell>
          <cell r="H479" t="str">
            <v>الخدمات</v>
          </cell>
          <cell r="K479" t="str">
            <v>عامل</v>
          </cell>
          <cell r="L479" t="str">
            <v>عامل</v>
          </cell>
          <cell r="M479">
            <v>42229</v>
          </cell>
          <cell r="N479">
            <v>43500</v>
          </cell>
          <cell r="O479">
            <v>3</v>
          </cell>
          <cell r="P479">
            <v>5</v>
          </cell>
          <cell r="R479">
            <v>102.5</v>
          </cell>
          <cell r="Z479">
            <v>21717</v>
          </cell>
          <cell r="AG479">
            <v>9</v>
          </cell>
          <cell r="AH479">
            <v>1</v>
          </cell>
          <cell r="AI479" t="str">
            <v>ميلاد</v>
          </cell>
          <cell r="AJ479" t="str">
            <v>71333</v>
          </cell>
          <cell r="AK479">
            <v>3</v>
          </cell>
          <cell r="AL479">
            <v>3</v>
          </cell>
          <cell r="AM479">
            <v>3</v>
          </cell>
          <cell r="AN479">
            <v>1</v>
          </cell>
          <cell r="AO479">
            <v>7</v>
          </cell>
          <cell r="AS479">
            <v>43500</v>
          </cell>
          <cell r="AT479">
            <v>59</v>
          </cell>
          <cell r="BE479" t="str">
            <v>203-9640794-2</v>
          </cell>
          <cell r="BF479" t="str">
            <v>حواء على احمد</v>
          </cell>
          <cell r="BG479" t="str">
            <v>العربى</v>
          </cell>
          <cell r="BH479" t="str">
            <v>سوبا - اللعوته</v>
          </cell>
          <cell r="BI479" t="str">
            <v>0913952907</v>
          </cell>
          <cell r="BJ479" t="str">
            <v>حسن إبراهيم صالح</v>
          </cell>
          <cell r="BK479" t="str">
            <v>0915388866</v>
          </cell>
          <cell r="BL479" t="str">
            <v>كبار سن</v>
          </cell>
          <cell r="BN479">
            <v>43500</v>
          </cell>
          <cell r="CQ479" t="str">
            <v>شركة المصنع السودانى الماليزى</v>
          </cell>
          <cell r="CR479" t="str">
            <v>عامل</v>
          </cell>
          <cell r="CS479">
            <v>39935</v>
          </cell>
          <cell r="CT479">
            <v>40269</v>
          </cell>
          <cell r="EQ479">
            <v>0</v>
          </cell>
          <cell r="ER479">
            <v>29</v>
          </cell>
          <cell r="ES479">
            <v>42229</v>
          </cell>
          <cell r="ET479">
            <v>42594</v>
          </cell>
          <cell r="EU479" t="str">
            <v>عامل</v>
          </cell>
          <cell r="FG479" t="str">
            <v>المدير الادارى</v>
          </cell>
          <cell r="FH479" t="str">
            <v>احمد عبدالرحيم ابوبكر محمد</v>
          </cell>
          <cell r="FI479" t="str">
            <v>203-9640794-2</v>
          </cell>
        </row>
        <row r="480">
          <cell r="A480">
            <v>835</v>
          </cell>
          <cell r="B480" t="str">
            <v>ابراهيم حسين عبدالمجيد</v>
          </cell>
          <cell r="C480" t="str">
            <v>ابراهيم</v>
          </cell>
          <cell r="D480" t="str">
            <v>حسين</v>
          </cell>
          <cell r="E480" t="str">
            <v>عبدالمجيد</v>
          </cell>
          <cell r="G480" t="str">
            <v>المصنع</v>
          </cell>
          <cell r="H480" t="str">
            <v>الجوده</v>
          </cell>
          <cell r="K480" t="str">
            <v>عامل</v>
          </cell>
          <cell r="L480" t="str">
            <v>عامل</v>
          </cell>
          <cell r="M480">
            <v>42231</v>
          </cell>
          <cell r="N480">
            <v>42643</v>
          </cell>
          <cell r="O480">
            <v>1</v>
          </cell>
          <cell r="P480">
            <v>1</v>
          </cell>
          <cell r="R480">
            <v>32.5</v>
          </cell>
          <cell r="T480" t="str">
            <v>إستقال</v>
          </cell>
          <cell r="U480">
            <v>42653</v>
          </cell>
          <cell r="V480">
            <v>42643</v>
          </cell>
          <cell r="W480" t="str">
            <v>إنذار نهائي</v>
          </cell>
          <cell r="Z480">
            <v>32352</v>
          </cell>
          <cell r="AG480">
            <v>9</v>
          </cell>
          <cell r="AH480">
            <v>1</v>
          </cell>
          <cell r="AI480" t="str">
            <v>ميلاد</v>
          </cell>
          <cell r="AJ480" t="str">
            <v>10870531</v>
          </cell>
          <cell r="AK480">
            <v>1</v>
          </cell>
          <cell r="AL480">
            <v>3</v>
          </cell>
          <cell r="AM480">
            <v>5</v>
          </cell>
          <cell r="AN480">
            <v>0</v>
          </cell>
          <cell r="AO480">
            <v>7</v>
          </cell>
          <cell r="AP480">
            <v>8</v>
          </cell>
          <cell r="AQ480">
            <v>0</v>
          </cell>
          <cell r="AR480">
            <v>1</v>
          </cell>
          <cell r="AS480">
            <v>43500</v>
          </cell>
          <cell r="AT480">
            <v>30</v>
          </cell>
          <cell r="AU480" t="str">
            <v>جنسيه</v>
          </cell>
          <cell r="AV480" t="str">
            <v>0813529</v>
          </cell>
          <cell r="AW480">
            <v>9</v>
          </cell>
          <cell r="AX480">
            <v>2</v>
          </cell>
          <cell r="AY480">
            <v>5</v>
          </cell>
          <cell r="AZ480">
            <v>3</v>
          </cell>
          <cell r="BA480">
            <v>1</v>
          </cell>
          <cell r="BB480">
            <v>8</v>
          </cell>
          <cell r="BC480">
            <v>0</v>
          </cell>
          <cell r="BE480" t="str">
            <v>187-9220095-0</v>
          </cell>
          <cell r="BF480" t="str">
            <v>فتحيه محمد سليمان</v>
          </cell>
          <cell r="BG480" t="str">
            <v>الكلاكله</v>
          </cell>
          <cell r="BH480" t="str">
            <v>الكلاكلة صنقعت - م 12</v>
          </cell>
          <cell r="BI480" t="str">
            <v>0906301152</v>
          </cell>
          <cell r="BJ480" t="str">
            <v>بكرى محمد عبدالجليل</v>
          </cell>
          <cell r="BL480" t="str">
            <v>خالي الطرف</v>
          </cell>
          <cell r="BN480">
            <v>43500</v>
          </cell>
          <cell r="BS480" t="str">
            <v>إحصاء تطبيقي</v>
          </cell>
          <cell r="BT480" t="str">
            <v>دبلوم تقني</v>
          </cell>
          <cell r="BU480" t="str">
            <v>جامعة الجزيرة</v>
          </cell>
          <cell r="BV480">
            <v>41714</v>
          </cell>
          <cell r="EQ480">
            <v>0</v>
          </cell>
          <cell r="ES480">
            <v>42231</v>
          </cell>
          <cell r="ET480">
            <v>42596</v>
          </cell>
          <cell r="EU480" t="str">
            <v>عامل</v>
          </cell>
          <cell r="FG480" t="str">
            <v>مسئول قسم الجوده</v>
          </cell>
          <cell r="FH480" t="str">
            <v>المبارك محمد ابراهيم</v>
          </cell>
          <cell r="FI480" t="str">
            <v>187-9220095-0</v>
          </cell>
        </row>
        <row r="481">
          <cell r="A481">
            <v>838</v>
          </cell>
          <cell r="B481" t="str">
            <v>الريح حسن ابكر عبدالرحمن</v>
          </cell>
          <cell r="G481" t="str">
            <v>المصنع</v>
          </cell>
          <cell r="H481" t="str">
            <v>الانتاج</v>
          </cell>
          <cell r="L481" t="str">
            <v>سائق اليات</v>
          </cell>
          <cell r="M481">
            <v>42238</v>
          </cell>
          <cell r="O481" t="e">
            <v>#NUM!</v>
          </cell>
          <cell r="P481" t="e">
            <v>#NUM!</v>
          </cell>
          <cell r="R481" t="e">
            <v>#NUM!</v>
          </cell>
          <cell r="T481" t="str">
            <v>m</v>
          </cell>
          <cell r="Z481">
            <v>31778</v>
          </cell>
          <cell r="AS481">
            <v>43500</v>
          </cell>
          <cell r="AT481">
            <v>32</v>
          </cell>
          <cell r="AU481" t="str">
            <v>جنسيه</v>
          </cell>
          <cell r="AV481" t="str">
            <v>798245</v>
          </cell>
          <cell r="AW481">
            <v>5</v>
          </cell>
          <cell r="AX481">
            <v>4</v>
          </cell>
          <cell r="AY481">
            <v>8</v>
          </cell>
          <cell r="AZ481">
            <v>9</v>
          </cell>
          <cell r="BA481">
            <v>7</v>
          </cell>
          <cell r="BE481" t="str">
            <v>118-5852136-2</v>
          </cell>
          <cell r="BF481" t="str">
            <v>حليمه النور</v>
          </cell>
          <cell r="BG481" t="str">
            <v>العربى</v>
          </cell>
          <cell r="BH481" t="str">
            <v>السمير - المحطه</v>
          </cell>
          <cell r="BI481" t="str">
            <v>0925486960</v>
          </cell>
          <cell r="BJ481" t="str">
            <v>الفكى حسن ابكر</v>
          </cell>
          <cell r="BN481">
            <v>43500</v>
          </cell>
          <cell r="CQ481" t="str">
            <v>مصنع الاسعد للحديد والتسليح</v>
          </cell>
          <cell r="CR481" t="str">
            <v>سائق</v>
          </cell>
          <cell r="CS481">
            <v>39340</v>
          </cell>
          <cell r="CT481">
            <v>40921</v>
          </cell>
          <cell r="EQ481">
            <v>0</v>
          </cell>
          <cell r="FG481" t="str">
            <v xml:space="preserve"> مدير الانتاج</v>
          </cell>
          <cell r="FH481" t="str">
            <v>هشام عيسى محمد عبدالكريم</v>
          </cell>
          <cell r="FI481" t="str">
            <v>118-5852136-2</v>
          </cell>
        </row>
        <row r="482">
          <cell r="A482">
            <v>839</v>
          </cell>
          <cell r="B482" t="str">
            <v>عبدالرحمن موسى محمد عبدالرحمن</v>
          </cell>
          <cell r="C482" t="str">
            <v>عبدالرحمن</v>
          </cell>
          <cell r="D482" t="str">
            <v>موسى</v>
          </cell>
          <cell r="E482" t="str">
            <v>محمد</v>
          </cell>
          <cell r="F482" t="str">
            <v>عبدالرحمن</v>
          </cell>
          <cell r="G482" t="str">
            <v>المصنع</v>
          </cell>
          <cell r="H482" t="str">
            <v>الميكانيكا</v>
          </cell>
          <cell r="I482" t="str">
            <v>صيانه عامه</v>
          </cell>
          <cell r="K482" t="str">
            <v>تقنى ميكانيكا</v>
          </cell>
          <cell r="L482" t="str">
            <v>تقنى ميكانيكا</v>
          </cell>
          <cell r="M482">
            <v>43136</v>
          </cell>
          <cell r="N482">
            <v>43500</v>
          </cell>
          <cell r="O482">
            <v>0</v>
          </cell>
          <cell r="P482">
            <v>11</v>
          </cell>
          <cell r="R482">
            <v>27.5</v>
          </cell>
          <cell r="X482">
            <v>42248</v>
          </cell>
          <cell r="Y482" t="str">
            <v>إستقال</v>
          </cell>
          <cell r="Z482">
            <v>32736</v>
          </cell>
          <cell r="AG482">
            <v>9</v>
          </cell>
          <cell r="AH482">
            <v>1</v>
          </cell>
          <cell r="AI482" t="str">
            <v>ميلاد</v>
          </cell>
          <cell r="AJ482" t="str">
            <v>0245031</v>
          </cell>
          <cell r="AK482">
            <v>1</v>
          </cell>
          <cell r="AL482">
            <v>3</v>
          </cell>
          <cell r="AM482">
            <v>0</v>
          </cell>
          <cell r="AN482">
            <v>5</v>
          </cell>
          <cell r="AO482">
            <v>4</v>
          </cell>
          <cell r="AP482">
            <v>2</v>
          </cell>
          <cell r="AQ482">
            <v>0</v>
          </cell>
          <cell r="AS482">
            <v>43500</v>
          </cell>
          <cell r="AT482">
            <v>29</v>
          </cell>
          <cell r="AU482" t="str">
            <v>جنسيه</v>
          </cell>
          <cell r="AV482" t="str">
            <v>0700606</v>
          </cell>
          <cell r="AW482">
            <v>6</v>
          </cell>
          <cell r="AX482">
            <v>0</v>
          </cell>
          <cell r="AY482">
            <v>6</v>
          </cell>
          <cell r="AZ482">
            <v>0</v>
          </cell>
          <cell r="BA482">
            <v>0</v>
          </cell>
          <cell r="BB482">
            <v>7</v>
          </cell>
          <cell r="BC482">
            <v>0</v>
          </cell>
          <cell r="BE482" t="str">
            <v>190-3731817-2</v>
          </cell>
          <cell r="BF482" t="str">
            <v>ابتسام عثمان</v>
          </cell>
          <cell r="BG482" t="str">
            <v>العربى</v>
          </cell>
          <cell r="BH482" t="str">
            <v>سوبا</v>
          </cell>
          <cell r="BI482" t="str">
            <v>0929265918</v>
          </cell>
          <cell r="BJ482" t="str">
            <v>عباس سعيد</v>
          </cell>
          <cell r="BK482" t="str">
            <v>0923882742</v>
          </cell>
          <cell r="BL482" t="str">
            <v>خالي الطرف</v>
          </cell>
          <cell r="BN482">
            <v>43500</v>
          </cell>
          <cell r="BS482" t="str">
            <v>هندسة ميكانيكية ( صيانة )</v>
          </cell>
          <cell r="BT482" t="str">
            <v>دبلوم تقني</v>
          </cell>
          <cell r="BU482" t="str">
            <v>جامعة السودان للعلوم والتكنولوجيا</v>
          </cell>
          <cell r="BV482">
            <v>41172</v>
          </cell>
          <cell r="CQ482" t="str">
            <v>شركة ذات العماد للصناعه المحدوده</v>
          </cell>
          <cell r="CR482" t="str">
            <v>تقنى ميكانيكا</v>
          </cell>
          <cell r="CS482">
            <v>42248</v>
          </cell>
          <cell r="CT482">
            <v>42674</v>
          </cell>
          <cell r="EQ482">
            <v>0</v>
          </cell>
          <cell r="ES482">
            <v>42248</v>
          </cell>
          <cell r="ET482">
            <v>42613</v>
          </cell>
          <cell r="EU482" t="str">
            <v>تقنى</v>
          </cell>
          <cell r="FB482">
            <v>42248</v>
          </cell>
          <cell r="FG482" t="str">
            <v>مدير الصيانه الميكانيكيه</v>
          </cell>
          <cell r="FH482" t="str">
            <v>محمد احمد محمد سليمان</v>
          </cell>
          <cell r="FI482" t="str">
            <v>190-3731817-2</v>
          </cell>
        </row>
        <row r="483">
          <cell r="A483">
            <v>840</v>
          </cell>
          <cell r="B483" t="str">
            <v>محمد خضر محمد صديق</v>
          </cell>
          <cell r="C483" t="str">
            <v>محمد</v>
          </cell>
          <cell r="D483" t="str">
            <v>خضر</v>
          </cell>
          <cell r="E483" t="str">
            <v>محمد</v>
          </cell>
          <cell r="F483" t="str">
            <v>صديق</v>
          </cell>
          <cell r="G483" t="str">
            <v>المصنع</v>
          </cell>
          <cell r="H483" t="str">
            <v>الميكانيكا</v>
          </cell>
          <cell r="I483" t="str">
            <v>صيانه عامه</v>
          </cell>
          <cell r="K483" t="str">
            <v>فنى صيانة</v>
          </cell>
          <cell r="L483" t="str">
            <v>تقنى ميكانيكا</v>
          </cell>
          <cell r="M483">
            <v>42248</v>
          </cell>
          <cell r="N483">
            <v>43500</v>
          </cell>
          <cell r="O483">
            <v>3</v>
          </cell>
          <cell r="P483">
            <v>5</v>
          </cell>
          <cell r="R483">
            <v>102.5</v>
          </cell>
          <cell r="Z483">
            <v>33095</v>
          </cell>
          <cell r="AG483">
            <v>9</v>
          </cell>
          <cell r="AH483">
            <v>1</v>
          </cell>
          <cell r="AI483" t="str">
            <v>ميلاد</v>
          </cell>
          <cell r="AJ483" t="str">
            <v>906574</v>
          </cell>
          <cell r="AK483">
            <v>4</v>
          </cell>
          <cell r="AL483">
            <v>7</v>
          </cell>
          <cell r="AM483">
            <v>5</v>
          </cell>
          <cell r="AN483">
            <v>6</v>
          </cell>
          <cell r="AO483">
            <v>0</v>
          </cell>
          <cell r="AP483">
            <v>9</v>
          </cell>
          <cell r="AS483">
            <v>43500</v>
          </cell>
          <cell r="AT483">
            <v>28</v>
          </cell>
          <cell r="AU483" t="str">
            <v>بطاقه قوميه</v>
          </cell>
          <cell r="AV483" t="str">
            <v>004314110</v>
          </cell>
          <cell r="AW483">
            <v>0</v>
          </cell>
          <cell r="AX483">
            <v>1</v>
          </cell>
          <cell r="AY483">
            <v>1</v>
          </cell>
          <cell r="AZ483">
            <v>4</v>
          </cell>
          <cell r="BA483">
            <v>1</v>
          </cell>
          <cell r="BB483">
            <v>3</v>
          </cell>
          <cell r="BC483">
            <v>4</v>
          </cell>
          <cell r="BD483">
            <v>0</v>
          </cell>
          <cell r="BE483" t="str">
            <v>112-9711274-9</v>
          </cell>
          <cell r="BF483" t="str">
            <v>شاديه إبراهيم عبدالرحيم</v>
          </cell>
          <cell r="BG483" t="str">
            <v>العربى</v>
          </cell>
          <cell r="BH483" t="str">
            <v>القادسيه - م 1</v>
          </cell>
          <cell r="BI483" t="str">
            <v>0923414913</v>
          </cell>
          <cell r="BJ483" t="str">
            <v>مفتى محمد على</v>
          </cell>
          <cell r="BK483" t="str">
            <v>0991710220</v>
          </cell>
          <cell r="BL483" t="str">
            <v>خالي الطرف</v>
          </cell>
          <cell r="BN483">
            <v>43500</v>
          </cell>
          <cell r="BT483" t="str">
            <v>شهاده ثانويه</v>
          </cell>
          <cell r="BV483">
            <v>40238</v>
          </cell>
          <cell r="CQ483" t="str">
            <v>شركة جياد للسيارات المحدودة</v>
          </cell>
          <cell r="CR483" t="str">
            <v>متدرب</v>
          </cell>
          <cell r="CS483">
            <v>42064</v>
          </cell>
          <cell r="CT483">
            <v>42186</v>
          </cell>
          <cell r="CV483" t="str">
            <v>ورشة جياد كافورى لصيانة السيارات</v>
          </cell>
          <cell r="CW483" t="str">
            <v>متدرب</v>
          </cell>
          <cell r="CX483">
            <v>41129</v>
          </cell>
          <cell r="CY483">
            <v>41513</v>
          </cell>
          <cell r="EQ483">
            <v>0</v>
          </cell>
          <cell r="ER483">
            <v>17</v>
          </cell>
          <cell r="ES483">
            <v>42248</v>
          </cell>
          <cell r="ET483">
            <v>42613</v>
          </cell>
          <cell r="EU483" t="str">
            <v>فنى</v>
          </cell>
          <cell r="FG483" t="str">
            <v>مدير الصيانه الميكانيكيه</v>
          </cell>
          <cell r="FH483" t="str">
            <v>محمد احمد محمد سليمان</v>
          </cell>
          <cell r="FI483" t="str">
            <v>112-9711274-9</v>
          </cell>
        </row>
        <row r="484">
          <cell r="A484">
            <v>841</v>
          </cell>
          <cell r="B484" t="str">
            <v>احمد إسماعيل احمد منعم</v>
          </cell>
          <cell r="C484" t="str">
            <v>احمد</v>
          </cell>
          <cell r="D484" t="str">
            <v>اسماعيل</v>
          </cell>
          <cell r="E484" t="str">
            <v>احمد</v>
          </cell>
          <cell r="F484" t="str">
            <v>منعم</v>
          </cell>
          <cell r="G484" t="str">
            <v>المصنع</v>
          </cell>
          <cell r="H484" t="str">
            <v>المستودعات</v>
          </cell>
          <cell r="L484" t="str">
            <v>امين مستودع</v>
          </cell>
          <cell r="M484">
            <v>42248</v>
          </cell>
          <cell r="O484" t="e">
            <v>#NUM!</v>
          </cell>
          <cell r="P484" t="e">
            <v>#NUM!</v>
          </cell>
          <cell r="R484" t="e">
            <v>#NUM!</v>
          </cell>
          <cell r="T484" t="str">
            <v>m</v>
          </cell>
          <cell r="Z484">
            <v>32801</v>
          </cell>
          <cell r="AI484" t="str">
            <v>ميلاد</v>
          </cell>
          <cell r="AJ484" t="str">
            <v>209849</v>
          </cell>
          <cell r="AK484">
            <v>9</v>
          </cell>
          <cell r="AL484">
            <v>4</v>
          </cell>
          <cell r="AM484">
            <v>8</v>
          </cell>
          <cell r="AN484">
            <v>9</v>
          </cell>
          <cell r="AO484">
            <v>0</v>
          </cell>
          <cell r="AP484">
            <v>2</v>
          </cell>
          <cell r="AS484">
            <v>43500</v>
          </cell>
          <cell r="AT484">
            <v>29</v>
          </cell>
          <cell r="AU484" t="str">
            <v>بطاقه قوميه</v>
          </cell>
          <cell r="AV484" t="str">
            <v>000862469</v>
          </cell>
          <cell r="AW484">
            <v>9</v>
          </cell>
          <cell r="AX484">
            <v>6</v>
          </cell>
          <cell r="AY484">
            <v>4</v>
          </cell>
          <cell r="AZ484">
            <v>2</v>
          </cell>
          <cell r="BA484">
            <v>6</v>
          </cell>
          <cell r="BB484">
            <v>8</v>
          </cell>
          <cell r="BC484">
            <v>0</v>
          </cell>
          <cell r="BD484">
            <v>0</v>
          </cell>
          <cell r="BE484" t="str">
            <v>117-7044051-3</v>
          </cell>
          <cell r="BF484" t="str">
            <v>رجاء محمد إبراهيم</v>
          </cell>
          <cell r="BH484" t="str">
            <v>الكلاكله - ابو ادم - م 9</v>
          </cell>
          <cell r="BI484" t="str">
            <v>0916567909</v>
          </cell>
          <cell r="BL484" t="str">
            <v>خالي الطرف</v>
          </cell>
          <cell r="BN484">
            <v>43500</v>
          </cell>
          <cell r="BS484" t="str">
            <v>حاسوب</v>
          </cell>
          <cell r="BT484" t="str">
            <v>دبلوم تقني</v>
          </cell>
          <cell r="BU484" t="str">
            <v>جامعة السودان للعلوم والتكنولوجيا</v>
          </cell>
          <cell r="BV484">
            <v>40695</v>
          </cell>
          <cell r="EQ484">
            <v>0</v>
          </cell>
          <cell r="FG484" t="str">
            <v>مدير المستودعات</v>
          </cell>
          <cell r="FH484" t="str">
            <v>على احمد على بابكر</v>
          </cell>
          <cell r="FI484" t="str">
            <v>117-7044051-3</v>
          </cell>
        </row>
        <row r="485">
          <cell r="A485">
            <v>842</v>
          </cell>
          <cell r="B485" t="str">
            <v>عبدالرحمن اسماعيل محمد على</v>
          </cell>
          <cell r="C485" t="str">
            <v>عبدالرحمن</v>
          </cell>
          <cell r="D485" t="str">
            <v>اسماعيل</v>
          </cell>
          <cell r="E485" t="str">
            <v>محمد</v>
          </cell>
          <cell r="F485" t="str">
            <v>على</v>
          </cell>
          <cell r="G485" t="str">
            <v>المصنع</v>
          </cell>
          <cell r="H485" t="str">
            <v>الانتاج</v>
          </cell>
          <cell r="I485" t="str">
            <v>المواسير</v>
          </cell>
          <cell r="K485" t="str">
            <v>عامل</v>
          </cell>
          <cell r="L485" t="str">
            <v>مشغل</v>
          </cell>
          <cell r="M485">
            <v>42248</v>
          </cell>
          <cell r="N485">
            <v>43500</v>
          </cell>
          <cell r="O485">
            <v>3</v>
          </cell>
          <cell r="P485">
            <v>5</v>
          </cell>
          <cell r="R485">
            <v>102.5</v>
          </cell>
          <cell r="Z485">
            <v>31727</v>
          </cell>
          <cell r="AG485">
            <v>9</v>
          </cell>
          <cell r="AH485">
            <v>1</v>
          </cell>
          <cell r="AI485" t="str">
            <v>ميلاد</v>
          </cell>
          <cell r="AJ485" t="str">
            <v>081282</v>
          </cell>
          <cell r="AK485">
            <v>2</v>
          </cell>
          <cell r="AL485">
            <v>8</v>
          </cell>
          <cell r="AM485">
            <v>2</v>
          </cell>
          <cell r="AN485">
            <v>1</v>
          </cell>
          <cell r="AO485">
            <v>8</v>
          </cell>
          <cell r="AP485">
            <v>0</v>
          </cell>
          <cell r="AS485">
            <v>43500</v>
          </cell>
          <cell r="AT485">
            <v>32</v>
          </cell>
          <cell r="AU485" t="str">
            <v>جنسيه</v>
          </cell>
          <cell r="AV485" t="str">
            <v>0453401</v>
          </cell>
          <cell r="AW485">
            <v>1</v>
          </cell>
          <cell r="AX485">
            <v>0</v>
          </cell>
          <cell r="AY485">
            <v>4</v>
          </cell>
          <cell r="AZ485">
            <v>3</v>
          </cell>
          <cell r="BA485">
            <v>5</v>
          </cell>
          <cell r="BB485">
            <v>4</v>
          </cell>
          <cell r="BC485">
            <v>0</v>
          </cell>
          <cell r="BE485" t="str">
            <v>291-2532364-2</v>
          </cell>
          <cell r="BF485" t="str">
            <v>علويه</v>
          </cell>
          <cell r="BG485" t="str">
            <v>الجزيره</v>
          </cell>
          <cell r="BH485" t="str">
            <v>الجزيره - النوبه</v>
          </cell>
          <cell r="BI485" t="str">
            <v>0914979107</v>
          </cell>
          <cell r="BJ485" t="str">
            <v>احمد ابكر</v>
          </cell>
          <cell r="BK485" t="str">
            <v>0912687452</v>
          </cell>
          <cell r="BL485" t="str">
            <v>خالي الطرف</v>
          </cell>
          <cell r="BN485">
            <v>43500</v>
          </cell>
          <cell r="BT485" t="str">
            <v>شهاده ثانويه</v>
          </cell>
          <cell r="BV485">
            <v>39142</v>
          </cell>
          <cell r="EQ485">
            <v>0</v>
          </cell>
          <cell r="ER485">
            <v>7</v>
          </cell>
          <cell r="ES485">
            <v>42248</v>
          </cell>
          <cell r="ET485">
            <v>42613</v>
          </cell>
          <cell r="EU485" t="str">
            <v>عامل</v>
          </cell>
          <cell r="FG485" t="str">
            <v xml:space="preserve"> مدير الانتاج</v>
          </cell>
          <cell r="FH485" t="str">
            <v>هشام عيسى محمد عبدالكريم</v>
          </cell>
          <cell r="FI485" t="str">
            <v>291-2532364-2</v>
          </cell>
        </row>
        <row r="486">
          <cell r="A486">
            <v>843</v>
          </cell>
          <cell r="B486" t="str">
            <v>احمد محمد احمد ادم</v>
          </cell>
          <cell r="C486" t="str">
            <v>احمد</v>
          </cell>
          <cell r="D486" t="str">
            <v>محمد</v>
          </cell>
          <cell r="E486" t="str">
            <v>احمد</v>
          </cell>
          <cell r="F486" t="str">
            <v>ادم</v>
          </cell>
          <cell r="G486" t="str">
            <v>المصنع</v>
          </cell>
          <cell r="H486" t="str">
            <v>الامن و الحركه</v>
          </cell>
          <cell r="I486" t="str">
            <v>الامن</v>
          </cell>
          <cell r="L486" t="str">
            <v>فرد امن</v>
          </cell>
          <cell r="M486">
            <v>42248</v>
          </cell>
          <cell r="N486">
            <v>42653</v>
          </cell>
          <cell r="O486">
            <v>1</v>
          </cell>
          <cell r="P486">
            <v>1</v>
          </cell>
          <cell r="R486">
            <v>32.5</v>
          </cell>
          <cell r="T486" t="str">
            <v>إستقال</v>
          </cell>
          <cell r="U486">
            <v>42672</v>
          </cell>
          <cell r="V486">
            <v>42653</v>
          </cell>
          <cell r="Z486">
            <v>27030</v>
          </cell>
          <cell r="AG486">
            <v>9</v>
          </cell>
          <cell r="AH486">
            <v>1</v>
          </cell>
          <cell r="AI486" t="str">
            <v>تسنين</v>
          </cell>
          <cell r="AJ486" t="str">
            <v>484538</v>
          </cell>
          <cell r="AK486">
            <v>8</v>
          </cell>
          <cell r="AL486">
            <v>3</v>
          </cell>
          <cell r="AM486">
            <v>5</v>
          </cell>
          <cell r="AN486">
            <v>4</v>
          </cell>
          <cell r="AO486">
            <v>8</v>
          </cell>
          <cell r="AP486">
            <v>4</v>
          </cell>
          <cell r="AS486">
            <v>43500</v>
          </cell>
          <cell r="AT486">
            <v>45</v>
          </cell>
          <cell r="BG486" t="str">
            <v>العربى</v>
          </cell>
          <cell r="BH486" t="str">
            <v>الازهرى</v>
          </cell>
          <cell r="BI486" t="str">
            <v>0917152822</v>
          </cell>
          <cell r="BJ486" t="str">
            <v>حسن محمد</v>
          </cell>
          <cell r="BL486" t="str">
            <v>إستثناء</v>
          </cell>
          <cell r="BN486">
            <v>43500</v>
          </cell>
          <cell r="EQ486">
            <v>0</v>
          </cell>
          <cell r="ES486">
            <v>42248</v>
          </cell>
          <cell r="ET486">
            <v>42613</v>
          </cell>
          <cell r="EU486" t="str">
            <v>فرد امن</v>
          </cell>
          <cell r="FG486" t="str">
            <v>مدير الامن و الحركه</v>
          </cell>
          <cell r="FH486" t="str">
            <v>فارس حمدان عبدالله فارس</v>
          </cell>
          <cell r="FI486">
            <v>0</v>
          </cell>
        </row>
        <row r="487">
          <cell r="A487">
            <v>844</v>
          </cell>
          <cell r="B487" t="str">
            <v>احمد الريح ابو ادريس  على</v>
          </cell>
          <cell r="G487" t="str">
            <v>المصنع</v>
          </cell>
          <cell r="H487" t="str">
            <v>الانتاج</v>
          </cell>
          <cell r="L487" t="str">
            <v>عامل</v>
          </cell>
          <cell r="M487">
            <v>42249</v>
          </cell>
          <cell r="O487" t="e">
            <v>#NUM!</v>
          </cell>
          <cell r="P487" t="e">
            <v>#NUM!</v>
          </cell>
          <cell r="R487" t="e">
            <v>#NUM!</v>
          </cell>
          <cell r="T487" t="str">
            <v>m</v>
          </cell>
          <cell r="AS487">
            <v>43500</v>
          </cell>
          <cell r="AT487">
            <v>119</v>
          </cell>
          <cell r="BH487" t="str">
            <v>امدرمان - ود البخيت</v>
          </cell>
          <cell r="BN487">
            <v>43500</v>
          </cell>
          <cell r="EQ487">
            <v>0</v>
          </cell>
          <cell r="ES487">
            <v>42249</v>
          </cell>
          <cell r="ET487">
            <v>42614</v>
          </cell>
          <cell r="EU487" t="str">
            <v>عامل</v>
          </cell>
          <cell r="FG487" t="str">
            <v xml:space="preserve"> مدير الانتاج</v>
          </cell>
          <cell r="FH487" t="str">
            <v>هشام عيسى محمد عبدالكريم</v>
          </cell>
          <cell r="FI487">
            <v>0</v>
          </cell>
        </row>
        <row r="488">
          <cell r="A488">
            <v>845</v>
          </cell>
          <cell r="B488" t="str">
            <v>عبد القادر سعد عوض الكريم حبيب</v>
          </cell>
          <cell r="G488" t="str">
            <v>المصنع</v>
          </cell>
          <cell r="H488" t="str">
            <v>الانتاج</v>
          </cell>
          <cell r="L488" t="str">
            <v>عامل</v>
          </cell>
          <cell r="M488">
            <v>42280</v>
          </cell>
          <cell r="O488" t="e">
            <v>#NUM!</v>
          </cell>
          <cell r="P488" t="e">
            <v>#NUM!</v>
          </cell>
          <cell r="R488" t="e">
            <v>#NUM!</v>
          </cell>
          <cell r="T488" t="str">
            <v>m</v>
          </cell>
          <cell r="AS488">
            <v>43500</v>
          </cell>
          <cell r="AT488">
            <v>119</v>
          </cell>
          <cell r="BH488" t="str">
            <v>الجزيرة - السمير</v>
          </cell>
          <cell r="BN488">
            <v>43500</v>
          </cell>
          <cell r="EQ488">
            <v>0</v>
          </cell>
          <cell r="ES488">
            <v>42280</v>
          </cell>
          <cell r="ET488">
            <v>42645</v>
          </cell>
          <cell r="EU488" t="str">
            <v>عامل</v>
          </cell>
          <cell r="FG488" t="str">
            <v xml:space="preserve"> مدير الانتاج</v>
          </cell>
          <cell r="FH488" t="str">
            <v>هشام عيسى محمد عبدالكريم</v>
          </cell>
          <cell r="FI488">
            <v>0</v>
          </cell>
        </row>
        <row r="489">
          <cell r="A489">
            <v>847</v>
          </cell>
          <cell r="B489" t="str">
            <v>محمد يعقوب التجانى سليمان</v>
          </cell>
          <cell r="G489" t="str">
            <v>المصنع</v>
          </cell>
          <cell r="H489" t="str">
            <v>الكهرباء</v>
          </cell>
          <cell r="L489" t="str">
            <v>فنى</v>
          </cell>
          <cell r="M489">
            <v>42295</v>
          </cell>
          <cell r="O489" t="e">
            <v>#NUM!</v>
          </cell>
          <cell r="P489" t="e">
            <v>#NUM!</v>
          </cell>
          <cell r="R489" t="e">
            <v>#NUM!</v>
          </cell>
          <cell r="T489" t="str">
            <v>m</v>
          </cell>
          <cell r="AS489">
            <v>43500</v>
          </cell>
          <cell r="AT489">
            <v>119</v>
          </cell>
          <cell r="BH489" t="str">
            <v>بحرى - العزبه</v>
          </cell>
          <cell r="BN489">
            <v>43500</v>
          </cell>
          <cell r="EQ489">
            <v>0</v>
          </cell>
          <cell r="ES489">
            <v>42295</v>
          </cell>
          <cell r="ET489">
            <v>42660</v>
          </cell>
          <cell r="EU489" t="str">
            <v>فنى</v>
          </cell>
          <cell r="FG489" t="str">
            <v>مدير الصيانه الكهربائيه</v>
          </cell>
          <cell r="FH489" t="str">
            <v>ماهر ضيف الله سليمان جابر</v>
          </cell>
          <cell r="FI489">
            <v>0</v>
          </cell>
        </row>
        <row r="490">
          <cell r="A490">
            <v>848</v>
          </cell>
          <cell r="B490" t="str">
            <v>خالد بشير محمد حفظ الله</v>
          </cell>
          <cell r="G490" t="str">
            <v>المصنع</v>
          </cell>
          <cell r="H490" t="str">
            <v>المستودعات</v>
          </cell>
          <cell r="L490" t="str">
            <v>عامل</v>
          </cell>
          <cell r="M490">
            <v>42296</v>
          </cell>
          <cell r="O490" t="e">
            <v>#NUM!</v>
          </cell>
          <cell r="P490" t="e">
            <v>#NUM!</v>
          </cell>
          <cell r="R490" t="e">
            <v>#NUM!</v>
          </cell>
          <cell r="T490" t="str">
            <v>m</v>
          </cell>
          <cell r="Z490">
            <v>27355</v>
          </cell>
          <cell r="AI490" t="str">
            <v>ميلاد</v>
          </cell>
          <cell r="AJ490" t="str">
            <v>3047</v>
          </cell>
          <cell r="AK490">
            <v>7</v>
          </cell>
          <cell r="AL490">
            <v>4</v>
          </cell>
          <cell r="AM490">
            <v>0</v>
          </cell>
          <cell r="AN490">
            <v>3</v>
          </cell>
          <cell r="AS490">
            <v>43500</v>
          </cell>
          <cell r="AT490">
            <v>44</v>
          </cell>
          <cell r="AU490" t="str">
            <v>جنسيه</v>
          </cell>
          <cell r="AV490" t="str">
            <v>525085</v>
          </cell>
          <cell r="AW490">
            <v>5</v>
          </cell>
          <cell r="AX490">
            <v>8</v>
          </cell>
          <cell r="AY490">
            <v>0</v>
          </cell>
          <cell r="AZ490">
            <v>5</v>
          </cell>
          <cell r="BA490">
            <v>2</v>
          </cell>
          <cell r="BB490">
            <v>5</v>
          </cell>
          <cell r="BE490" t="str">
            <v>101-0136446-0</v>
          </cell>
          <cell r="BF490" t="str">
            <v>طيبه عبدالمجيد</v>
          </cell>
          <cell r="BI490" t="str">
            <v>0112531247</v>
          </cell>
          <cell r="BL490" t="str">
            <v>خالي الطرف</v>
          </cell>
          <cell r="BN490">
            <v>43500</v>
          </cell>
          <cell r="BS490" t="str">
            <v>هندسه مبانى</v>
          </cell>
          <cell r="BT490" t="str">
            <v>دبلوم تقني</v>
          </cell>
          <cell r="BU490" t="str">
            <v>جامعة السودان للعلوم والتكنولوجيا</v>
          </cell>
          <cell r="BV490">
            <v>39022</v>
          </cell>
          <cell r="EQ490">
            <v>0</v>
          </cell>
          <cell r="FG490" t="str">
            <v>مدير المستودعات</v>
          </cell>
          <cell r="FH490" t="str">
            <v>على احمد على بابكر</v>
          </cell>
          <cell r="FI490" t="str">
            <v>101-0136446-0</v>
          </cell>
        </row>
        <row r="491">
          <cell r="A491">
            <v>849</v>
          </cell>
          <cell r="B491" t="str">
            <v>الطاهر محمد ابكر علي</v>
          </cell>
          <cell r="C491" t="str">
            <v>الطاهر</v>
          </cell>
          <cell r="D491" t="str">
            <v>محمد</v>
          </cell>
          <cell r="E491" t="str">
            <v>ابكر</v>
          </cell>
          <cell r="F491" t="str">
            <v>على</v>
          </cell>
          <cell r="G491" t="str">
            <v>المصنع</v>
          </cell>
          <cell r="H491" t="str">
            <v>الالكترونيات</v>
          </cell>
          <cell r="K491" t="str">
            <v>فنى الكترونيات</v>
          </cell>
          <cell r="L491" t="str">
            <v>فنىالكترونيات</v>
          </cell>
          <cell r="M491">
            <v>42309</v>
          </cell>
          <cell r="N491">
            <v>43500</v>
          </cell>
          <cell r="O491">
            <v>3</v>
          </cell>
          <cell r="P491">
            <v>3</v>
          </cell>
          <cell r="R491">
            <v>97.5</v>
          </cell>
          <cell r="Z491">
            <v>33102</v>
          </cell>
          <cell r="AG491">
            <v>9</v>
          </cell>
          <cell r="AH491">
            <v>1</v>
          </cell>
          <cell r="AI491" t="str">
            <v>ميلاد</v>
          </cell>
          <cell r="AJ491" t="str">
            <v>221012</v>
          </cell>
          <cell r="AK491">
            <v>2</v>
          </cell>
          <cell r="AL491">
            <v>1</v>
          </cell>
          <cell r="AM491">
            <v>0</v>
          </cell>
          <cell r="AN491">
            <v>1</v>
          </cell>
          <cell r="AO491">
            <v>2</v>
          </cell>
          <cell r="AP491">
            <v>2</v>
          </cell>
          <cell r="AS491">
            <v>43500</v>
          </cell>
          <cell r="AT491">
            <v>28</v>
          </cell>
          <cell r="AU491" t="str">
            <v>جنسيه</v>
          </cell>
          <cell r="AV491" t="str">
            <v>0125943</v>
          </cell>
          <cell r="AW491">
            <v>3</v>
          </cell>
          <cell r="AX491">
            <v>4</v>
          </cell>
          <cell r="AY491">
            <v>9</v>
          </cell>
          <cell r="AZ491">
            <v>5</v>
          </cell>
          <cell r="BA491">
            <v>2</v>
          </cell>
          <cell r="BB491">
            <v>1</v>
          </cell>
          <cell r="BC491">
            <v>0</v>
          </cell>
          <cell r="BE491" t="str">
            <v>119-5007709-0</v>
          </cell>
          <cell r="BF491" t="str">
            <v>ميمونه محمد جارى</v>
          </cell>
          <cell r="BG491" t="str">
            <v>العربى</v>
          </cell>
          <cell r="BH491" t="str">
            <v>الازهرى - حى الانقاذ - م 2</v>
          </cell>
          <cell r="BI491" t="str">
            <v>0920723991</v>
          </cell>
          <cell r="BJ491" t="str">
            <v>خالد محمد ابكر</v>
          </cell>
          <cell r="BK491" t="str">
            <v>0922595436</v>
          </cell>
          <cell r="BL491" t="str">
            <v>خالي الطرف</v>
          </cell>
          <cell r="BN491">
            <v>43500</v>
          </cell>
          <cell r="BS491" t="str">
            <v>صيانة حاسوب</v>
          </cell>
          <cell r="BT491" t="str">
            <v>شهاده كورس</v>
          </cell>
          <cell r="BU491" t="str">
            <v xml:space="preserve">الاتحاد الوطنى لاندية اليونسكو </v>
          </cell>
          <cell r="BV491">
            <v>39823</v>
          </cell>
          <cell r="BW491" t="str">
            <v>الالكترونيات</v>
          </cell>
          <cell r="BX491" t="str">
            <v>تدريب مهني</v>
          </cell>
          <cell r="BY491" t="str">
            <v>المجلس الاعلى للتدريب المهنى والتلمذة الصناعية</v>
          </cell>
          <cell r="BZ491">
            <v>39965</v>
          </cell>
          <cell r="CQ491" t="str">
            <v>كمبيو شوب</v>
          </cell>
          <cell r="CR491" t="str">
            <v>متدرب</v>
          </cell>
          <cell r="CS491">
            <v>39692</v>
          </cell>
          <cell r="CT491">
            <v>39964</v>
          </cell>
          <cell r="EQ491">
            <v>0</v>
          </cell>
          <cell r="ER491">
            <v>13</v>
          </cell>
          <cell r="ES491">
            <v>42309</v>
          </cell>
          <cell r="ET491">
            <v>42674</v>
          </cell>
          <cell r="EU491" t="str">
            <v>فنى</v>
          </cell>
          <cell r="FG491" t="str">
            <v>مدير الصيانه الالكترونيه</v>
          </cell>
          <cell r="FH491" t="str">
            <v>الشاذلى احمد  محمد على</v>
          </cell>
          <cell r="FI491" t="str">
            <v>119-5007709-0</v>
          </cell>
        </row>
        <row r="492">
          <cell r="A492">
            <v>850</v>
          </cell>
          <cell r="B492" t="str">
            <v>علاء الدين حمودى حامد النور</v>
          </cell>
          <cell r="G492" t="str">
            <v>المصنع</v>
          </cell>
          <cell r="H492" t="str">
            <v>الانتاج</v>
          </cell>
          <cell r="L492" t="str">
            <v>عامل</v>
          </cell>
          <cell r="M492">
            <v>42309</v>
          </cell>
          <cell r="O492" t="e">
            <v>#NUM!</v>
          </cell>
          <cell r="P492" t="e">
            <v>#NUM!</v>
          </cell>
          <cell r="R492" t="e">
            <v>#NUM!</v>
          </cell>
          <cell r="T492" t="str">
            <v>m</v>
          </cell>
          <cell r="Z492">
            <v>32879</v>
          </cell>
          <cell r="AI492" t="str">
            <v>ميلاد</v>
          </cell>
          <cell r="AJ492" t="str">
            <v>228460</v>
          </cell>
          <cell r="AK492">
            <v>0</v>
          </cell>
          <cell r="AL492">
            <v>6</v>
          </cell>
          <cell r="AM492">
            <v>4</v>
          </cell>
          <cell r="AN492">
            <v>8</v>
          </cell>
          <cell r="AO492">
            <v>2</v>
          </cell>
          <cell r="AP492">
            <v>2</v>
          </cell>
          <cell r="AS492">
            <v>43500</v>
          </cell>
          <cell r="AT492">
            <v>29</v>
          </cell>
          <cell r="BE492" t="str">
            <v>122-2524947-8</v>
          </cell>
          <cell r="BF492" t="str">
            <v>فاطمه النعيم</v>
          </cell>
          <cell r="BH492" t="str">
            <v>مايو - عد حسين</v>
          </cell>
          <cell r="BI492" t="str">
            <v>0910428837</v>
          </cell>
          <cell r="BL492" t="str">
            <v>خالي الطرف</v>
          </cell>
          <cell r="BN492">
            <v>43500</v>
          </cell>
          <cell r="EQ492">
            <v>0</v>
          </cell>
          <cell r="ES492">
            <v>42309</v>
          </cell>
          <cell r="ET492">
            <v>42674</v>
          </cell>
          <cell r="EU492" t="str">
            <v>عامل</v>
          </cell>
          <cell r="FG492" t="str">
            <v xml:space="preserve"> مدير الانتاج</v>
          </cell>
          <cell r="FH492" t="str">
            <v>هشام عيسى محمد عبدالكريم</v>
          </cell>
          <cell r="FI492" t="str">
            <v>122-2524947-8</v>
          </cell>
        </row>
        <row r="493">
          <cell r="A493">
            <v>851</v>
          </cell>
          <cell r="B493" t="str">
            <v>نسيبه شوقى عبد الله احمد</v>
          </cell>
          <cell r="G493" t="str">
            <v>المصنع</v>
          </cell>
          <cell r="H493" t="str">
            <v>الماليه</v>
          </cell>
          <cell r="L493" t="str">
            <v>موظفه</v>
          </cell>
          <cell r="M493">
            <v>42309</v>
          </cell>
          <cell r="O493" t="e">
            <v>#NUM!</v>
          </cell>
          <cell r="P493" t="e">
            <v>#NUM!</v>
          </cell>
          <cell r="R493" t="e">
            <v>#NUM!</v>
          </cell>
          <cell r="T493" t="str">
            <v>m</v>
          </cell>
          <cell r="AS493">
            <v>43500</v>
          </cell>
          <cell r="AT493">
            <v>119</v>
          </cell>
          <cell r="BH493" t="str">
            <v>الجزيرة - المسعودية</v>
          </cell>
          <cell r="BN493">
            <v>43500</v>
          </cell>
          <cell r="EQ493">
            <v>0</v>
          </cell>
          <cell r="ES493">
            <v>42309</v>
          </cell>
          <cell r="ET493">
            <v>42674</v>
          </cell>
          <cell r="EU493" t="str">
            <v>موظفه</v>
          </cell>
          <cell r="FG493" t="str">
            <v>المدير المالي</v>
          </cell>
          <cell r="FH493" t="str">
            <v>بالانابه</v>
          </cell>
          <cell r="FI493">
            <v>0</v>
          </cell>
        </row>
        <row r="494">
          <cell r="A494">
            <v>852</v>
          </cell>
          <cell r="B494" t="str">
            <v>محمد على دليل محمد</v>
          </cell>
          <cell r="C494" t="str">
            <v>محمد</v>
          </cell>
          <cell r="D494" t="str">
            <v>على</v>
          </cell>
          <cell r="E494" t="str">
            <v>دليل</v>
          </cell>
          <cell r="F494" t="str">
            <v>محمد</v>
          </cell>
          <cell r="G494" t="str">
            <v>المصنع</v>
          </cell>
          <cell r="H494" t="str">
            <v>الانتاج</v>
          </cell>
          <cell r="I494" t="str">
            <v>المواسير</v>
          </cell>
          <cell r="K494" t="str">
            <v>عامل</v>
          </cell>
          <cell r="L494" t="str">
            <v>عامل</v>
          </cell>
          <cell r="M494">
            <v>42316</v>
          </cell>
          <cell r="N494">
            <v>43500</v>
          </cell>
          <cell r="O494">
            <v>3</v>
          </cell>
          <cell r="P494">
            <v>2</v>
          </cell>
          <cell r="R494">
            <v>95</v>
          </cell>
          <cell r="Z494">
            <v>23743</v>
          </cell>
          <cell r="AG494">
            <v>9</v>
          </cell>
          <cell r="AH494">
            <v>1</v>
          </cell>
          <cell r="AI494" t="str">
            <v>تسنين</v>
          </cell>
          <cell r="AJ494" t="str">
            <v>1216014</v>
          </cell>
          <cell r="AK494">
            <v>4</v>
          </cell>
          <cell r="AL494">
            <v>1</v>
          </cell>
          <cell r="AM494">
            <v>0</v>
          </cell>
          <cell r="AN494">
            <v>6</v>
          </cell>
          <cell r="AO494">
            <v>1</v>
          </cell>
          <cell r="AP494">
            <v>2</v>
          </cell>
          <cell r="AQ494">
            <v>1</v>
          </cell>
          <cell r="AS494">
            <v>43500</v>
          </cell>
          <cell r="AT494">
            <v>54</v>
          </cell>
          <cell r="AU494" t="str">
            <v>بطاقه قوميه</v>
          </cell>
          <cell r="AV494" t="str">
            <v>000990496</v>
          </cell>
          <cell r="AW494">
            <v>6</v>
          </cell>
          <cell r="AX494">
            <v>9</v>
          </cell>
          <cell r="AY494">
            <v>4</v>
          </cell>
          <cell r="AZ494">
            <v>0</v>
          </cell>
          <cell r="BA494">
            <v>9</v>
          </cell>
          <cell r="BB494">
            <v>9</v>
          </cell>
          <cell r="BC494">
            <v>0</v>
          </cell>
          <cell r="BD494">
            <v>0</v>
          </cell>
          <cell r="BE494" t="str">
            <v>118-5390270-0</v>
          </cell>
          <cell r="BF494" t="str">
            <v>التايه محمد الحسن</v>
          </cell>
          <cell r="BG494" t="str">
            <v>العربى</v>
          </cell>
          <cell r="BH494" t="str">
            <v>السلمه - المدينه الخيريه</v>
          </cell>
          <cell r="BI494" t="str">
            <v>0918901169</v>
          </cell>
          <cell r="BJ494" t="str">
            <v>حميد</v>
          </cell>
          <cell r="BL494" t="str">
            <v>إستثناء</v>
          </cell>
          <cell r="BN494">
            <v>43500</v>
          </cell>
          <cell r="EQ494">
            <v>0</v>
          </cell>
          <cell r="ER494">
            <v>30</v>
          </cell>
          <cell r="FG494" t="str">
            <v xml:space="preserve"> مدير الانتاج</v>
          </cell>
          <cell r="FH494" t="str">
            <v>هشام عيسى محمد عبدالكريم</v>
          </cell>
          <cell r="FI494" t="str">
            <v>118-5390270-0</v>
          </cell>
        </row>
        <row r="495">
          <cell r="A495">
            <v>853</v>
          </cell>
          <cell r="B495" t="str">
            <v>مهند حاج حمد محمد عثمان</v>
          </cell>
          <cell r="C495" t="str">
            <v>مهند</v>
          </cell>
          <cell r="D495" t="str">
            <v>حاج حمد</v>
          </cell>
          <cell r="E495" t="str">
            <v>محمد</v>
          </cell>
          <cell r="F495" t="str">
            <v>عثمان</v>
          </cell>
          <cell r="G495" t="str">
            <v>المصنع</v>
          </cell>
          <cell r="H495" t="str">
            <v>المستودعات</v>
          </cell>
          <cell r="I495" t="str">
            <v>المنتج الجاهز</v>
          </cell>
          <cell r="K495" t="str">
            <v>امين مستودع</v>
          </cell>
          <cell r="L495" t="str">
            <v>امين مستودع م ج</v>
          </cell>
          <cell r="M495">
            <v>42325</v>
          </cell>
          <cell r="N495">
            <v>43500</v>
          </cell>
          <cell r="O495">
            <v>3</v>
          </cell>
          <cell r="P495">
            <v>2</v>
          </cell>
          <cell r="R495">
            <v>95</v>
          </cell>
          <cell r="T495" t="str">
            <v>m</v>
          </cell>
          <cell r="Z495">
            <v>32245</v>
          </cell>
          <cell r="AG495">
            <v>9</v>
          </cell>
          <cell r="AH495">
            <v>1</v>
          </cell>
          <cell r="AI495" t="str">
            <v>ميلاد</v>
          </cell>
          <cell r="AJ495" t="str">
            <v>4164  3</v>
          </cell>
          <cell r="AK495">
            <v>3</v>
          </cell>
          <cell r="AL495">
            <v>4</v>
          </cell>
          <cell r="AM495">
            <v>6</v>
          </cell>
          <cell r="AN495">
            <v>1</v>
          </cell>
          <cell r="AO495">
            <v>4</v>
          </cell>
          <cell r="AS495">
            <v>43500</v>
          </cell>
          <cell r="AT495">
            <v>30</v>
          </cell>
          <cell r="AU495" t="str">
            <v>جواز سفر</v>
          </cell>
          <cell r="AV495" t="str">
            <v>04156693</v>
          </cell>
          <cell r="AW495">
            <v>3</v>
          </cell>
          <cell r="AX495">
            <v>9</v>
          </cell>
          <cell r="AY495">
            <v>6</v>
          </cell>
          <cell r="AZ495">
            <v>6</v>
          </cell>
          <cell r="BA495">
            <v>5</v>
          </cell>
          <cell r="BB495">
            <v>1</v>
          </cell>
          <cell r="BC495">
            <v>4</v>
          </cell>
          <cell r="BD495">
            <v>0</v>
          </cell>
          <cell r="BE495" t="str">
            <v>185-7582346-6</v>
          </cell>
          <cell r="BF495" t="str">
            <v>فاطمه محمد على</v>
          </cell>
          <cell r="BG495" t="str">
            <v>جبره</v>
          </cell>
          <cell r="BH495" t="str">
            <v>جبره شمال</v>
          </cell>
          <cell r="BI495" t="str">
            <v>0915082008</v>
          </cell>
          <cell r="BJ495" t="str">
            <v>ميرغنى حاج حمد</v>
          </cell>
          <cell r="BK495" t="str">
            <v>0910202215</v>
          </cell>
          <cell r="BL495" t="str">
            <v>خالي الطرف</v>
          </cell>
          <cell r="BN495">
            <v>43500</v>
          </cell>
          <cell r="BS495" t="str">
            <v>الاقتصاد</v>
          </cell>
          <cell r="BT495" t="str">
            <v>بكلاريوس</v>
          </cell>
          <cell r="BU495" t="str">
            <v>كلية بورتسودان الأهلية</v>
          </cell>
          <cell r="BV495">
            <v>41065</v>
          </cell>
          <cell r="EQ495">
            <v>0</v>
          </cell>
          <cell r="ER495">
            <v>1</v>
          </cell>
          <cell r="FG495" t="str">
            <v>مدير المستودعات</v>
          </cell>
          <cell r="FH495" t="str">
            <v>على احمد على بابكر</v>
          </cell>
          <cell r="FI495" t="str">
            <v>185-7582346-6</v>
          </cell>
        </row>
        <row r="496">
          <cell r="A496">
            <v>854</v>
          </cell>
          <cell r="B496" t="str">
            <v>عادل حسن المومن ابراهيم</v>
          </cell>
          <cell r="C496" t="str">
            <v>عادل</v>
          </cell>
          <cell r="D496" t="str">
            <v>حسن</v>
          </cell>
          <cell r="E496" t="str">
            <v>المومن</v>
          </cell>
          <cell r="F496" t="str">
            <v>ابراهيم</v>
          </cell>
          <cell r="G496" t="str">
            <v>المصنع</v>
          </cell>
          <cell r="H496" t="str">
            <v>الخدمات</v>
          </cell>
          <cell r="K496" t="str">
            <v>عامل</v>
          </cell>
          <cell r="L496" t="str">
            <v>عامل</v>
          </cell>
          <cell r="M496">
            <v>42329</v>
          </cell>
          <cell r="N496">
            <v>43500</v>
          </cell>
          <cell r="O496">
            <v>3</v>
          </cell>
          <cell r="P496">
            <v>2</v>
          </cell>
          <cell r="R496">
            <v>95</v>
          </cell>
          <cell r="Z496">
            <v>23377</v>
          </cell>
          <cell r="AG496">
            <v>9</v>
          </cell>
          <cell r="AH496">
            <v>1</v>
          </cell>
          <cell r="AS496">
            <v>43500</v>
          </cell>
          <cell r="AT496">
            <v>55</v>
          </cell>
          <cell r="BE496" t="str">
            <v>115-5151087-5</v>
          </cell>
          <cell r="BF496" t="str">
            <v>فاطمه ادم عبدالله</v>
          </cell>
          <cell r="BG496" t="str">
            <v>العربى</v>
          </cell>
          <cell r="BH496" t="str">
            <v>امدرمان - الحله الجديده</v>
          </cell>
          <cell r="BI496" t="str">
            <v>0961218105</v>
          </cell>
          <cell r="BJ496" t="str">
            <v>عبدالجبار إبراهيم صالح</v>
          </cell>
          <cell r="BL496" t="str">
            <v>إستثناء</v>
          </cell>
          <cell r="BN496">
            <v>43500</v>
          </cell>
          <cell r="EQ496">
            <v>0</v>
          </cell>
          <cell r="ER496">
            <v>6</v>
          </cell>
          <cell r="FG496" t="str">
            <v>المدير الادارى</v>
          </cell>
          <cell r="FH496" t="str">
            <v>احمد عبدالرحيم ابوبكر محمد</v>
          </cell>
          <cell r="FI496" t="str">
            <v>115-5151087-5</v>
          </cell>
        </row>
        <row r="497">
          <cell r="A497">
            <v>855</v>
          </cell>
          <cell r="B497" t="str">
            <v>وليد شمس الدين شريف جاويش</v>
          </cell>
          <cell r="C497" t="str">
            <v>وليد</v>
          </cell>
          <cell r="D497" t="str">
            <v>شمس الدين</v>
          </cell>
          <cell r="E497" t="str">
            <v>شريف</v>
          </cell>
          <cell r="F497" t="str">
            <v>جاويش</v>
          </cell>
          <cell r="G497" t="str">
            <v>المصنع</v>
          </cell>
          <cell r="H497" t="str">
            <v>الماليه</v>
          </cell>
          <cell r="K497" t="str">
            <v>محاسب</v>
          </cell>
          <cell r="L497" t="str">
            <v>محاسب</v>
          </cell>
          <cell r="M497">
            <v>42353</v>
          </cell>
          <cell r="N497">
            <v>43500</v>
          </cell>
          <cell r="O497">
            <v>3</v>
          </cell>
          <cell r="P497">
            <v>1</v>
          </cell>
          <cell r="R497">
            <v>92.5</v>
          </cell>
          <cell r="Z497">
            <v>29221</v>
          </cell>
          <cell r="AG497">
            <v>9</v>
          </cell>
          <cell r="AH497">
            <v>1</v>
          </cell>
          <cell r="AI497" t="str">
            <v>تسنين</v>
          </cell>
          <cell r="AJ497" t="str">
            <v>192187</v>
          </cell>
          <cell r="AK497">
            <v>7</v>
          </cell>
          <cell r="AL497">
            <v>8</v>
          </cell>
          <cell r="AM497">
            <v>1</v>
          </cell>
          <cell r="AN497">
            <v>2</v>
          </cell>
          <cell r="AO497">
            <v>9</v>
          </cell>
          <cell r="AP497">
            <v>1</v>
          </cell>
          <cell r="AS497">
            <v>43500</v>
          </cell>
          <cell r="AT497">
            <v>39</v>
          </cell>
          <cell r="AU497" t="str">
            <v>بطاقه قوميه</v>
          </cell>
          <cell r="AV497" t="str">
            <v>003350366</v>
          </cell>
          <cell r="AW497">
            <v>6</v>
          </cell>
          <cell r="AX497">
            <v>6</v>
          </cell>
          <cell r="AY497">
            <v>3</v>
          </cell>
          <cell r="AZ497">
            <v>0</v>
          </cell>
          <cell r="BA497">
            <v>5</v>
          </cell>
          <cell r="BB497">
            <v>3</v>
          </cell>
          <cell r="BC497">
            <v>3</v>
          </cell>
          <cell r="BD497">
            <v>0</v>
          </cell>
          <cell r="BE497" t="str">
            <v>114-6258040-9</v>
          </cell>
          <cell r="BF497" t="str">
            <v>فتحيه احمد حامد</v>
          </cell>
          <cell r="BG497" t="str">
            <v>الكلاكله</v>
          </cell>
          <cell r="BH497" t="str">
            <v>الكلاكله شرق</v>
          </cell>
          <cell r="BI497" t="str">
            <v>0912624519</v>
          </cell>
          <cell r="BJ497" t="str">
            <v>عاصم محمد فضل</v>
          </cell>
          <cell r="BK497" t="str">
            <v>0912643851</v>
          </cell>
          <cell r="BL497" t="str">
            <v>خالي الطرف</v>
          </cell>
          <cell r="BN497">
            <v>43500</v>
          </cell>
          <cell r="BS497" t="str">
            <v>محاسبة</v>
          </cell>
          <cell r="BT497" t="str">
            <v>بكلاريوس</v>
          </cell>
          <cell r="BU497" t="str">
            <v>جامعة السودان المفتوحة</v>
          </cell>
          <cell r="BV497">
            <v>42054</v>
          </cell>
          <cell r="CQ497" t="str">
            <v>مراجعون ومحاسبون قانونيون معتمدون ومستشارون ماليون ونظم محاسبية</v>
          </cell>
          <cell r="CR497" t="str">
            <v>مراجع</v>
          </cell>
          <cell r="CS497">
            <v>42064</v>
          </cell>
          <cell r="CT497">
            <v>42351</v>
          </cell>
          <cell r="EQ497">
            <v>0</v>
          </cell>
          <cell r="ER497">
            <v>1</v>
          </cell>
          <cell r="FG497" t="str">
            <v>المدير المالي</v>
          </cell>
          <cell r="FH497" t="str">
            <v>بالانابه</v>
          </cell>
          <cell r="FI497" t="str">
            <v>114-6258040-9</v>
          </cell>
        </row>
        <row r="498">
          <cell r="A498">
            <v>856</v>
          </cell>
          <cell r="B498" t="str">
            <v>محمد يوسف محمد يوسف</v>
          </cell>
          <cell r="C498" t="str">
            <v>محمد</v>
          </cell>
          <cell r="D498" t="str">
            <v>يوسف</v>
          </cell>
          <cell r="E498" t="str">
            <v>محمد</v>
          </cell>
          <cell r="F498" t="str">
            <v>يوسف</v>
          </cell>
          <cell r="G498" t="str">
            <v>المصنع</v>
          </cell>
          <cell r="H498" t="str">
            <v>الانتاج</v>
          </cell>
          <cell r="I498" t="str">
            <v>التشريح</v>
          </cell>
          <cell r="K498" t="str">
            <v xml:space="preserve">فنى </v>
          </cell>
          <cell r="L498" t="str">
            <v>مشغل</v>
          </cell>
          <cell r="M498">
            <v>42372</v>
          </cell>
          <cell r="N498">
            <v>43500</v>
          </cell>
          <cell r="O498">
            <v>3</v>
          </cell>
          <cell r="P498">
            <v>1</v>
          </cell>
          <cell r="R498">
            <v>92.5</v>
          </cell>
          <cell r="Z498">
            <v>33686</v>
          </cell>
          <cell r="AG498">
            <v>9</v>
          </cell>
          <cell r="AH498">
            <v>1</v>
          </cell>
          <cell r="AI498" t="str">
            <v>ميلاد</v>
          </cell>
          <cell r="AJ498" t="str">
            <v>143701</v>
          </cell>
          <cell r="AK498">
            <v>1</v>
          </cell>
          <cell r="AL498">
            <v>0</v>
          </cell>
          <cell r="AM498">
            <v>7</v>
          </cell>
          <cell r="AN498">
            <v>3</v>
          </cell>
          <cell r="AO498">
            <v>4</v>
          </cell>
          <cell r="AP498">
            <v>1</v>
          </cell>
          <cell r="AS498">
            <v>43500</v>
          </cell>
          <cell r="AT498">
            <v>26</v>
          </cell>
          <cell r="AU498" t="str">
            <v>بطاقه قوميه</v>
          </cell>
          <cell r="AV498" t="str">
            <v>005160268</v>
          </cell>
          <cell r="AW498">
            <v>8</v>
          </cell>
          <cell r="AX498">
            <v>6</v>
          </cell>
          <cell r="AY498">
            <v>2</v>
          </cell>
          <cell r="AZ498">
            <v>0</v>
          </cell>
          <cell r="BA498">
            <v>6</v>
          </cell>
          <cell r="BB498">
            <v>1</v>
          </cell>
          <cell r="BC498">
            <v>5</v>
          </cell>
          <cell r="BD498">
            <v>0</v>
          </cell>
          <cell r="BE498" t="str">
            <v>119-2744355-4</v>
          </cell>
          <cell r="BF498" t="str">
            <v>عزيزه عبدالله عمر</v>
          </cell>
          <cell r="BG498" t="str">
            <v>العربى</v>
          </cell>
          <cell r="BH498" t="str">
            <v>اركويت حى البركه</v>
          </cell>
          <cell r="BI498" t="str">
            <v>0962598022</v>
          </cell>
          <cell r="BJ498" t="str">
            <v>حسن حيدر</v>
          </cell>
          <cell r="BK498" t="str">
            <v>0919788935</v>
          </cell>
          <cell r="BL498" t="str">
            <v>خالي الطرف</v>
          </cell>
          <cell r="BN498">
            <v>43500</v>
          </cell>
          <cell r="BS498" t="str">
            <v>هندسة ميكانيكية ( إنتاج )</v>
          </cell>
          <cell r="BT498" t="str">
            <v>دبلوم تقني</v>
          </cell>
          <cell r="BU498" t="str">
            <v>جامعة السودان للعلوم والتكنولوجيا</v>
          </cell>
          <cell r="BV498">
            <v>41536</v>
          </cell>
          <cell r="CQ498" t="str">
            <v>شركة المصنع السودانى الماليزى</v>
          </cell>
          <cell r="CR498" t="str">
            <v>متدرب</v>
          </cell>
          <cell r="CS498">
            <v>41792</v>
          </cell>
          <cell r="CT498">
            <v>41884</v>
          </cell>
          <cell r="EQ498">
            <v>0</v>
          </cell>
          <cell r="FG498" t="str">
            <v xml:space="preserve"> مدير الانتاج</v>
          </cell>
          <cell r="FH498" t="str">
            <v>هشام عيسى محمد عبدالكريم</v>
          </cell>
          <cell r="FI498" t="str">
            <v>119-2744355-4</v>
          </cell>
        </row>
        <row r="499">
          <cell r="A499">
            <v>857</v>
          </cell>
          <cell r="B499" t="str">
            <v>سبت على جابر اوش</v>
          </cell>
          <cell r="C499" t="str">
            <v>سبت</v>
          </cell>
          <cell r="D499" t="str">
            <v>على</v>
          </cell>
          <cell r="E499" t="str">
            <v>جابر</v>
          </cell>
          <cell r="F499" t="str">
            <v>اوش</v>
          </cell>
          <cell r="G499" t="str">
            <v>المصنع</v>
          </cell>
          <cell r="H499" t="str">
            <v>الامن و الحركه</v>
          </cell>
          <cell r="I499" t="str">
            <v>الحركه</v>
          </cell>
          <cell r="K499" t="str">
            <v>سائق</v>
          </cell>
          <cell r="L499" t="str">
            <v>سائق</v>
          </cell>
          <cell r="M499">
            <v>42386</v>
          </cell>
          <cell r="N499">
            <v>43500</v>
          </cell>
          <cell r="O499">
            <v>3</v>
          </cell>
          <cell r="P499">
            <v>0</v>
          </cell>
          <cell r="R499">
            <v>90</v>
          </cell>
          <cell r="Z499">
            <v>25204</v>
          </cell>
          <cell r="AG499">
            <v>9</v>
          </cell>
          <cell r="AH499">
            <v>1</v>
          </cell>
          <cell r="AI499" t="str">
            <v>تسنين</v>
          </cell>
          <cell r="AJ499" t="str">
            <v>25390</v>
          </cell>
          <cell r="AK499">
            <v>0</v>
          </cell>
          <cell r="AL499">
            <v>9</v>
          </cell>
          <cell r="AM499">
            <v>3</v>
          </cell>
          <cell r="AN499">
            <v>5</v>
          </cell>
          <cell r="AO499">
            <v>2</v>
          </cell>
          <cell r="AS499">
            <v>43500</v>
          </cell>
          <cell r="AT499">
            <v>50</v>
          </cell>
          <cell r="BE499" t="str">
            <v>119-7758404-9</v>
          </cell>
          <cell r="BF499" t="str">
            <v>تلفون سوار مضوى</v>
          </cell>
          <cell r="BG499" t="str">
            <v>بحرى</v>
          </cell>
          <cell r="BH499" t="str">
            <v>الحاج يوسف م 1</v>
          </cell>
          <cell r="BI499" t="str">
            <v>0912618263</v>
          </cell>
          <cell r="BJ499" t="str">
            <v>عمر على جابر</v>
          </cell>
          <cell r="BK499" t="str">
            <v>0911100141</v>
          </cell>
          <cell r="BL499" t="str">
            <v>كبار سن</v>
          </cell>
          <cell r="BN499">
            <v>43500</v>
          </cell>
          <cell r="CQ499" t="str">
            <v>شركة المصنع السودانى الماليزى</v>
          </cell>
          <cell r="CR499" t="str">
            <v>سائق</v>
          </cell>
          <cell r="CS499">
            <v>36351</v>
          </cell>
          <cell r="CT499">
            <v>39739</v>
          </cell>
          <cell r="EQ499">
            <v>30</v>
          </cell>
          <cell r="FG499" t="str">
            <v>مدير الامن و الحركه</v>
          </cell>
          <cell r="FH499" t="str">
            <v>فارس حمدان عبدالله فارس</v>
          </cell>
          <cell r="FI499" t="str">
            <v>119-7758404-9</v>
          </cell>
          <cell r="HC499" t="str">
            <v>30</v>
          </cell>
        </row>
        <row r="500">
          <cell r="A500">
            <v>858</v>
          </cell>
          <cell r="B500" t="str">
            <v>إبراهيم منصور عمر محمد</v>
          </cell>
          <cell r="G500" t="str">
            <v>المصنع</v>
          </cell>
          <cell r="H500" t="str">
            <v>المستودعات</v>
          </cell>
          <cell r="I500" t="str">
            <v>التحميل</v>
          </cell>
          <cell r="L500" t="str">
            <v>عامل</v>
          </cell>
          <cell r="M500">
            <v>42392</v>
          </cell>
          <cell r="O500" t="e">
            <v>#NUM!</v>
          </cell>
          <cell r="P500" t="e">
            <v>#NUM!</v>
          </cell>
          <cell r="R500" t="e">
            <v>#NUM!</v>
          </cell>
          <cell r="T500" t="str">
            <v>m</v>
          </cell>
          <cell r="Z500">
            <v>23743</v>
          </cell>
          <cell r="AI500" t="str">
            <v>تسنين</v>
          </cell>
          <cell r="AJ500" t="str">
            <v>097198</v>
          </cell>
          <cell r="AK500">
            <v>8</v>
          </cell>
          <cell r="AL500">
            <v>9</v>
          </cell>
          <cell r="AM500">
            <v>1</v>
          </cell>
          <cell r="AN500">
            <v>7</v>
          </cell>
          <cell r="AO500">
            <v>9</v>
          </cell>
          <cell r="AP500">
            <v>0</v>
          </cell>
          <cell r="AS500">
            <v>43500</v>
          </cell>
          <cell r="AT500">
            <v>54</v>
          </cell>
          <cell r="AU500" t="str">
            <v>بطاقه قوميه</v>
          </cell>
          <cell r="AV500" t="str">
            <v>003070840</v>
          </cell>
          <cell r="AW500">
            <v>0</v>
          </cell>
          <cell r="AX500">
            <v>4</v>
          </cell>
          <cell r="AY500">
            <v>8</v>
          </cell>
          <cell r="AZ500">
            <v>0</v>
          </cell>
          <cell r="BA500">
            <v>7</v>
          </cell>
          <cell r="BB500">
            <v>0</v>
          </cell>
          <cell r="BC500">
            <v>3</v>
          </cell>
          <cell r="BD500">
            <v>0</v>
          </cell>
          <cell r="BE500" t="str">
            <v>120-8540377-4</v>
          </cell>
          <cell r="BF500" t="str">
            <v>فاطمه محمد احمد</v>
          </cell>
          <cell r="BH500" t="str">
            <v>الامتداد م 13</v>
          </cell>
          <cell r="BI500" t="str">
            <v>0111998796</v>
          </cell>
          <cell r="BL500" t="str">
            <v>كبار سن</v>
          </cell>
          <cell r="BN500">
            <v>43500</v>
          </cell>
          <cell r="EQ500">
            <v>0</v>
          </cell>
          <cell r="FG500" t="str">
            <v>مدير المستودعات</v>
          </cell>
          <cell r="FH500" t="str">
            <v>على احمد على بابكر</v>
          </cell>
          <cell r="FI500" t="str">
            <v>120-8540377-4</v>
          </cell>
        </row>
        <row r="501">
          <cell r="A501">
            <v>859</v>
          </cell>
          <cell r="B501" t="str">
            <v>صلاح الدين بشير احمد</v>
          </cell>
          <cell r="C501" t="str">
            <v>صلاح</v>
          </cell>
          <cell r="D501" t="str">
            <v>الدين</v>
          </cell>
          <cell r="E501" t="str">
            <v>بشير</v>
          </cell>
          <cell r="F501" t="str">
            <v>احمد</v>
          </cell>
          <cell r="G501" t="str">
            <v>المصنع</v>
          </cell>
          <cell r="H501" t="str">
            <v>الامن و الحركه</v>
          </cell>
          <cell r="I501" t="str">
            <v>الحركه</v>
          </cell>
          <cell r="K501" t="str">
            <v>سائق</v>
          </cell>
          <cell r="L501" t="str">
            <v>سائق</v>
          </cell>
          <cell r="M501">
            <v>42401</v>
          </cell>
          <cell r="N501">
            <v>43500</v>
          </cell>
          <cell r="O501">
            <v>3</v>
          </cell>
          <cell r="P501">
            <v>0</v>
          </cell>
          <cell r="R501">
            <v>90</v>
          </cell>
          <cell r="Z501">
            <v>24705</v>
          </cell>
          <cell r="AG501">
            <v>9</v>
          </cell>
          <cell r="AH501">
            <v>1</v>
          </cell>
          <cell r="AI501" t="str">
            <v>ميلاد</v>
          </cell>
          <cell r="AJ501" t="str">
            <v>556486</v>
          </cell>
          <cell r="AK501">
            <v>6</v>
          </cell>
          <cell r="AL501">
            <v>8</v>
          </cell>
          <cell r="AM501">
            <v>4</v>
          </cell>
          <cell r="AN501">
            <v>6</v>
          </cell>
          <cell r="AO501">
            <v>5</v>
          </cell>
          <cell r="AP501">
            <v>5</v>
          </cell>
          <cell r="AS501">
            <v>43500</v>
          </cell>
          <cell r="AT501">
            <v>51</v>
          </cell>
          <cell r="AU501" t="str">
            <v>بطاقه قوميه</v>
          </cell>
          <cell r="AV501" t="str">
            <v>001840962</v>
          </cell>
          <cell r="AW501">
            <v>2</v>
          </cell>
          <cell r="AX501">
            <v>6</v>
          </cell>
          <cell r="AY501">
            <v>9</v>
          </cell>
          <cell r="AZ501">
            <v>0</v>
          </cell>
          <cell r="BA501">
            <v>4</v>
          </cell>
          <cell r="BB501">
            <v>8</v>
          </cell>
          <cell r="BC501">
            <v>1</v>
          </cell>
          <cell r="BD501">
            <v>0</v>
          </cell>
          <cell r="BE501" t="str">
            <v>115-1260160-5</v>
          </cell>
          <cell r="BF501" t="str">
            <v>سكينه عجيب شاور</v>
          </cell>
          <cell r="BG501" t="str">
            <v>بحرى</v>
          </cell>
          <cell r="BH501" t="str">
            <v>بحرى - شمبات الغربيه</v>
          </cell>
          <cell r="BI501" t="str">
            <v>0911700603</v>
          </cell>
          <cell r="BJ501" t="str">
            <v>مصطفى بشير</v>
          </cell>
          <cell r="BK501" t="str">
            <v>0912425810</v>
          </cell>
          <cell r="BL501" t="str">
            <v>كبار سن</v>
          </cell>
          <cell r="BN501">
            <v>43500</v>
          </cell>
          <cell r="EQ501">
            <v>0</v>
          </cell>
          <cell r="FG501" t="str">
            <v>مدير الامن و الحركه</v>
          </cell>
          <cell r="FH501" t="str">
            <v>فارس حمدان عبدالله فارس</v>
          </cell>
          <cell r="FI501" t="str">
            <v>115-1260160-5</v>
          </cell>
        </row>
        <row r="502">
          <cell r="A502">
            <v>860</v>
          </cell>
          <cell r="B502" t="str">
            <v>محمد الحاج عبدالله التوم</v>
          </cell>
          <cell r="C502" t="str">
            <v>محمد</v>
          </cell>
          <cell r="D502" t="str">
            <v>الحاج</v>
          </cell>
          <cell r="E502" t="str">
            <v>عبدالله</v>
          </cell>
          <cell r="F502" t="str">
            <v>التوم</v>
          </cell>
          <cell r="G502" t="str">
            <v>المصنع</v>
          </cell>
          <cell r="H502" t="str">
            <v>الانتاج</v>
          </cell>
          <cell r="I502" t="str">
            <v>المواسير</v>
          </cell>
          <cell r="K502" t="str">
            <v>عامل</v>
          </cell>
          <cell r="L502" t="str">
            <v>عامل</v>
          </cell>
          <cell r="M502">
            <v>42919</v>
          </cell>
          <cell r="N502">
            <v>43500</v>
          </cell>
          <cell r="O502">
            <v>1</v>
          </cell>
          <cell r="P502">
            <v>7</v>
          </cell>
          <cell r="R502">
            <v>47.5</v>
          </cell>
          <cell r="X502">
            <v>42403</v>
          </cell>
          <cell r="Z502">
            <v>25934</v>
          </cell>
          <cell r="AG502">
            <v>9</v>
          </cell>
          <cell r="AH502">
            <v>1</v>
          </cell>
          <cell r="AI502" t="str">
            <v>تسنين</v>
          </cell>
          <cell r="AJ502" t="str">
            <v>2814934</v>
          </cell>
          <cell r="AK502">
            <v>4</v>
          </cell>
          <cell r="AL502">
            <v>3</v>
          </cell>
          <cell r="AM502">
            <v>9</v>
          </cell>
          <cell r="AN502">
            <v>4</v>
          </cell>
          <cell r="AO502">
            <v>1</v>
          </cell>
          <cell r="AP502">
            <v>8</v>
          </cell>
          <cell r="AQ502">
            <v>2</v>
          </cell>
          <cell r="AS502">
            <v>43500</v>
          </cell>
          <cell r="AT502">
            <v>48</v>
          </cell>
          <cell r="AU502" t="str">
            <v>بطاقه قوميه</v>
          </cell>
          <cell r="AV502" t="str">
            <v>001650332</v>
          </cell>
          <cell r="AW502">
            <v>2</v>
          </cell>
          <cell r="AX502">
            <v>3</v>
          </cell>
          <cell r="AY502">
            <v>3</v>
          </cell>
          <cell r="AZ502">
            <v>0</v>
          </cell>
          <cell r="BA502">
            <v>5</v>
          </cell>
          <cell r="BB502">
            <v>6</v>
          </cell>
          <cell r="BC502">
            <v>1</v>
          </cell>
          <cell r="BD502">
            <v>0</v>
          </cell>
          <cell r="BE502" t="str">
            <v>196-1573382-1</v>
          </cell>
          <cell r="BF502" t="str">
            <v>رقية الدود توتو</v>
          </cell>
          <cell r="BG502" t="str">
            <v>العربى</v>
          </cell>
          <cell r="BH502" t="str">
            <v>امدرمان - الحله الجديده</v>
          </cell>
          <cell r="BI502" t="str">
            <v>0962012450</v>
          </cell>
          <cell r="BJ502" t="str">
            <v>مقبول حماد</v>
          </cell>
          <cell r="BL502" t="str">
            <v>إستثناء</v>
          </cell>
          <cell r="BN502">
            <v>43500</v>
          </cell>
          <cell r="EQ502">
            <v>0</v>
          </cell>
          <cell r="ES502">
            <v>42919</v>
          </cell>
          <cell r="ET502">
            <v>43283</v>
          </cell>
          <cell r="EU502" t="str">
            <v>عامل</v>
          </cell>
          <cell r="FB502">
            <v>42403</v>
          </cell>
          <cell r="FC502" t="str">
            <v>إستقاله</v>
          </cell>
          <cell r="FG502" t="str">
            <v xml:space="preserve"> مدير الانتاج</v>
          </cell>
          <cell r="FH502" t="str">
            <v>هشام عيسى محمد عبدالكريم</v>
          </cell>
          <cell r="FI502" t="str">
            <v>196-1573382-1</v>
          </cell>
        </row>
        <row r="503">
          <cell r="A503">
            <v>861</v>
          </cell>
          <cell r="B503" t="str">
            <v>هيثم محمود عطيه إدريس</v>
          </cell>
          <cell r="G503" t="str">
            <v>المصنع</v>
          </cell>
          <cell r="H503" t="str">
            <v>الماليه</v>
          </cell>
          <cell r="M503">
            <v>42403</v>
          </cell>
          <cell r="O503" t="e">
            <v>#NUM!</v>
          </cell>
          <cell r="P503" t="e">
            <v>#NUM!</v>
          </cell>
          <cell r="R503" t="e">
            <v>#NUM!</v>
          </cell>
          <cell r="T503" t="str">
            <v>إستقال</v>
          </cell>
          <cell r="U503">
            <v>42522</v>
          </cell>
          <cell r="Z503">
            <v>28440</v>
          </cell>
          <cell r="AI503" t="str">
            <v>ميلاد</v>
          </cell>
          <cell r="AJ503" t="str">
            <v>663045</v>
          </cell>
          <cell r="AK503">
            <v>5</v>
          </cell>
          <cell r="AL503">
            <v>4</v>
          </cell>
          <cell r="AM503">
            <v>0</v>
          </cell>
          <cell r="AN503">
            <v>3</v>
          </cell>
          <cell r="AO503">
            <v>6</v>
          </cell>
          <cell r="AP503">
            <v>6</v>
          </cell>
          <cell r="AS503">
            <v>43500</v>
          </cell>
          <cell r="AT503">
            <v>41</v>
          </cell>
          <cell r="BF503" t="str">
            <v>سعيده حمزه البدري</v>
          </cell>
          <cell r="BH503" t="str">
            <v>الكلاكله - الوحده م 6</v>
          </cell>
          <cell r="BI503" t="str">
            <v>0118745426</v>
          </cell>
          <cell r="BL503" t="str">
            <v>خالي الطرف</v>
          </cell>
          <cell r="BN503">
            <v>43500</v>
          </cell>
          <cell r="BS503" t="str">
            <v>إدارة الاعمال</v>
          </cell>
          <cell r="BT503" t="str">
            <v>دبلوم تقني</v>
          </cell>
          <cell r="BU503" t="str">
            <v>جامعة النيلين</v>
          </cell>
          <cell r="BV503">
            <v>38851</v>
          </cell>
          <cell r="BW503" t="str">
            <v>حاسوب</v>
          </cell>
          <cell r="BX503" t="str">
            <v>دبلوم (معاهد)</v>
          </cell>
          <cell r="BY503" t="str">
            <v>مركز بي سي قيت لعلوم الكمبيوتر والانترنت</v>
          </cell>
          <cell r="BZ503">
            <v>39943</v>
          </cell>
          <cell r="CA503" t="str">
            <v>المحاسبة الالكترونية</v>
          </cell>
          <cell r="CB503" t="str">
            <v>دبلوم (معاهد)</v>
          </cell>
          <cell r="CC503" t="str">
            <v>معهد الشرق الاوسط الدولى</v>
          </cell>
          <cell r="CD503">
            <v>40957</v>
          </cell>
          <cell r="EQ503">
            <v>0</v>
          </cell>
          <cell r="FG503" t="str">
            <v>المدير المالي</v>
          </cell>
          <cell r="FH503" t="str">
            <v>بالانابه</v>
          </cell>
          <cell r="FI503">
            <v>0</v>
          </cell>
        </row>
        <row r="504">
          <cell r="A504">
            <v>862</v>
          </cell>
          <cell r="B504" t="str">
            <v>على محمد المهدى سعيد</v>
          </cell>
          <cell r="C504" t="str">
            <v>على</v>
          </cell>
          <cell r="D504" t="str">
            <v>محمد</v>
          </cell>
          <cell r="E504" t="str">
            <v>المهدى</v>
          </cell>
          <cell r="F504" t="str">
            <v>سعيد</v>
          </cell>
          <cell r="G504" t="str">
            <v>المصنع</v>
          </cell>
          <cell r="H504" t="str">
            <v>الانتاج</v>
          </cell>
          <cell r="I504" t="str">
            <v>المواسير</v>
          </cell>
          <cell r="K504" t="str">
            <v>عامل</v>
          </cell>
          <cell r="L504" t="str">
            <v>مشغل كرين</v>
          </cell>
          <cell r="M504">
            <v>42404</v>
          </cell>
          <cell r="N504">
            <v>43500</v>
          </cell>
          <cell r="O504">
            <v>3</v>
          </cell>
          <cell r="P504">
            <v>0</v>
          </cell>
          <cell r="R504">
            <v>90</v>
          </cell>
          <cell r="Z504">
            <v>31998</v>
          </cell>
          <cell r="AG504">
            <v>9</v>
          </cell>
          <cell r="AH504">
            <v>1</v>
          </cell>
          <cell r="AI504" t="str">
            <v>ميلاد</v>
          </cell>
          <cell r="AJ504" t="str">
            <v>441262</v>
          </cell>
          <cell r="AK504">
            <v>2</v>
          </cell>
          <cell r="AL504">
            <v>6</v>
          </cell>
          <cell r="AM504">
            <v>2</v>
          </cell>
          <cell r="AN504">
            <v>1</v>
          </cell>
          <cell r="AO504">
            <v>4</v>
          </cell>
          <cell r="AP504">
            <v>4</v>
          </cell>
          <cell r="AS504">
            <v>43500</v>
          </cell>
          <cell r="AT504">
            <v>31</v>
          </cell>
          <cell r="AU504" t="str">
            <v>بطاقه قوميه</v>
          </cell>
          <cell r="AV504" t="str">
            <v>000912312</v>
          </cell>
          <cell r="AW504">
            <v>2</v>
          </cell>
          <cell r="AX504">
            <v>1</v>
          </cell>
          <cell r="AY504">
            <v>3</v>
          </cell>
          <cell r="AZ504">
            <v>2</v>
          </cell>
          <cell r="BA504">
            <v>1</v>
          </cell>
          <cell r="BB504">
            <v>9</v>
          </cell>
          <cell r="BC504">
            <v>0</v>
          </cell>
          <cell r="BD504">
            <v>0</v>
          </cell>
          <cell r="BE504" t="str">
            <v>181-9683714-2</v>
          </cell>
          <cell r="BF504" t="str">
            <v>زهراء محمد سعيد</v>
          </cell>
          <cell r="BG504" t="str">
            <v>العربى</v>
          </cell>
          <cell r="BH504" t="str">
            <v>الخرطوم - الشجره</v>
          </cell>
          <cell r="BI504" t="str">
            <v>0914999610</v>
          </cell>
          <cell r="BJ504" t="str">
            <v>المهدى الفكى</v>
          </cell>
          <cell r="BK504" t="str">
            <v>0914304028</v>
          </cell>
          <cell r="BL504" t="str">
            <v>خالي الطرف</v>
          </cell>
          <cell r="BN504">
            <v>43500</v>
          </cell>
          <cell r="BT504" t="str">
            <v>شهاده ثانويه</v>
          </cell>
          <cell r="BV504">
            <v>38777</v>
          </cell>
          <cell r="EQ504">
            <v>0</v>
          </cell>
          <cell r="FG504" t="str">
            <v xml:space="preserve"> مدير الانتاج</v>
          </cell>
          <cell r="FH504" t="str">
            <v>هشام عيسى محمد عبدالكريم</v>
          </cell>
          <cell r="FI504" t="str">
            <v>181-9683714-2</v>
          </cell>
        </row>
        <row r="505">
          <cell r="A505">
            <v>863</v>
          </cell>
          <cell r="B505" t="str">
            <v>فواز توفيق محمد صادق</v>
          </cell>
          <cell r="C505" t="str">
            <v>فواز</v>
          </cell>
          <cell r="D505" t="str">
            <v>توفيق</v>
          </cell>
          <cell r="E505" t="str">
            <v>محمد</v>
          </cell>
          <cell r="F505" t="str">
            <v>صادق</v>
          </cell>
          <cell r="G505" t="str">
            <v>المصنع</v>
          </cell>
          <cell r="H505" t="str">
            <v>الموارد البشريه</v>
          </cell>
          <cell r="I505" t="str">
            <v>موظف</v>
          </cell>
          <cell r="K505" t="str">
            <v>موظف موارد بشرية</v>
          </cell>
          <cell r="L505" t="str">
            <v>موظف موارد بشريه</v>
          </cell>
          <cell r="M505">
            <v>42409</v>
          </cell>
          <cell r="N505">
            <v>43500</v>
          </cell>
          <cell r="O505">
            <v>2</v>
          </cell>
          <cell r="P505">
            <v>11</v>
          </cell>
          <cell r="R505">
            <v>87.5</v>
          </cell>
          <cell r="Z505">
            <v>33031</v>
          </cell>
          <cell r="AG505">
            <v>9</v>
          </cell>
          <cell r="AH505">
            <v>1</v>
          </cell>
          <cell r="AI505" t="str">
            <v>ميلاد</v>
          </cell>
          <cell r="AJ505" t="str">
            <v>249864</v>
          </cell>
          <cell r="AK505">
            <v>4</v>
          </cell>
          <cell r="AL505">
            <v>6</v>
          </cell>
          <cell r="AM505">
            <v>8</v>
          </cell>
          <cell r="AN505">
            <v>9</v>
          </cell>
          <cell r="AO505">
            <v>4</v>
          </cell>
          <cell r="AP505">
            <v>2</v>
          </cell>
          <cell r="AS505">
            <v>43500</v>
          </cell>
          <cell r="AT505">
            <v>28</v>
          </cell>
          <cell r="AU505" t="str">
            <v>بطاقه قوميه</v>
          </cell>
          <cell r="AV505" t="str">
            <v>002781946</v>
          </cell>
          <cell r="AW505">
            <v>6</v>
          </cell>
          <cell r="AX505">
            <v>4</v>
          </cell>
          <cell r="AY505">
            <v>9</v>
          </cell>
          <cell r="AZ505">
            <v>1</v>
          </cell>
          <cell r="BA505">
            <v>8</v>
          </cell>
          <cell r="BB505">
            <v>7</v>
          </cell>
          <cell r="BC505">
            <v>2</v>
          </cell>
          <cell r="BD505">
            <v>0</v>
          </cell>
          <cell r="BE505" t="str">
            <v>187-9200841-5</v>
          </cell>
          <cell r="BF505" t="str">
            <v>هيام محمد حسن</v>
          </cell>
          <cell r="BG505" t="str">
            <v>بحرى</v>
          </cell>
          <cell r="BH505" t="str">
            <v>بحرى - الحلفايه</v>
          </cell>
          <cell r="BI505" t="str">
            <v>0917389610</v>
          </cell>
          <cell r="BJ505" t="str">
            <v>لقمان الياس محمد</v>
          </cell>
          <cell r="BK505" t="str">
            <v>0919016830</v>
          </cell>
          <cell r="BL505" t="str">
            <v>خالي الطرف</v>
          </cell>
          <cell r="BN505">
            <v>43500</v>
          </cell>
          <cell r="BS505" t="str">
            <v>إدارة الاعمال</v>
          </cell>
          <cell r="BT505" t="str">
            <v>بكلاريوس</v>
          </cell>
          <cell r="BU505" t="str">
            <v>كلية الشرق الاهلية</v>
          </cell>
          <cell r="BV505">
            <v>41934</v>
          </cell>
          <cell r="BW505" t="str">
            <v>حاسوب</v>
          </cell>
          <cell r="BX505" t="str">
            <v>دبلوم (معاهد)</v>
          </cell>
          <cell r="BY505" t="str">
            <v>Faid Technology</v>
          </cell>
          <cell r="BZ505">
            <v>41463</v>
          </cell>
          <cell r="CA505" t="str">
            <v>المحاسبة الالكترونية</v>
          </cell>
          <cell r="CB505" t="str">
            <v>دبلوم (معاهد)</v>
          </cell>
          <cell r="CC505" t="str">
            <v>Step by step for training &amp; Human Development Center</v>
          </cell>
          <cell r="CD505">
            <v>43249</v>
          </cell>
          <cell r="CQ505" t="str">
            <v>بنك النيل</v>
          </cell>
          <cell r="CR505" t="str">
            <v>متدرب</v>
          </cell>
          <cell r="CS505">
            <v>41260</v>
          </cell>
          <cell r="CT505">
            <v>41290</v>
          </cell>
          <cell r="EQ505">
            <v>0</v>
          </cell>
          <cell r="ES505">
            <v>42409</v>
          </cell>
          <cell r="ET505">
            <v>42774</v>
          </cell>
          <cell r="EU505" t="str">
            <v>موارد بشرية</v>
          </cell>
          <cell r="FG505" t="str">
            <v>نائب مدير الموارد المكلف</v>
          </cell>
          <cell r="FH505" t="str">
            <v>محمد على عبدالرحيم ابوبكر</v>
          </cell>
          <cell r="FI505" t="str">
            <v>187-9200841-5</v>
          </cell>
        </row>
        <row r="506">
          <cell r="A506">
            <v>864</v>
          </cell>
          <cell r="B506" t="str">
            <v>عبدالحليم عيسى درار عيسى</v>
          </cell>
          <cell r="C506" t="str">
            <v>عبدالحليم</v>
          </cell>
          <cell r="D506" t="str">
            <v>عيسى</v>
          </cell>
          <cell r="E506" t="str">
            <v>درار</v>
          </cell>
          <cell r="F506" t="str">
            <v>عيسى</v>
          </cell>
          <cell r="G506" t="str">
            <v>المصنع</v>
          </cell>
          <cell r="H506" t="str">
            <v>الخدمات</v>
          </cell>
          <cell r="K506" t="str">
            <v>فنى سباكة</v>
          </cell>
          <cell r="L506" t="str">
            <v>سباك</v>
          </cell>
          <cell r="M506">
            <v>42410</v>
          </cell>
          <cell r="N506">
            <v>42997</v>
          </cell>
          <cell r="O506">
            <v>1</v>
          </cell>
          <cell r="P506">
            <v>7</v>
          </cell>
          <cell r="R506">
            <v>47.5</v>
          </cell>
          <cell r="T506" t="str">
            <v>إستقال</v>
          </cell>
          <cell r="U506">
            <v>42997</v>
          </cell>
          <cell r="Z506">
            <v>28581</v>
          </cell>
          <cell r="AG506">
            <v>9</v>
          </cell>
          <cell r="AH506">
            <v>1</v>
          </cell>
          <cell r="AI506" t="str">
            <v>ميلاد</v>
          </cell>
          <cell r="AJ506" t="str">
            <v>236317</v>
          </cell>
          <cell r="AK506">
            <v>7</v>
          </cell>
          <cell r="AL506">
            <v>1</v>
          </cell>
          <cell r="AM506">
            <v>3</v>
          </cell>
          <cell r="AN506">
            <v>6</v>
          </cell>
          <cell r="AO506">
            <v>3</v>
          </cell>
          <cell r="AP506">
            <v>2</v>
          </cell>
          <cell r="AS506">
            <v>43500</v>
          </cell>
          <cell r="AT506">
            <v>40</v>
          </cell>
          <cell r="AU506" t="str">
            <v>جنسيه</v>
          </cell>
          <cell r="AV506" t="str">
            <v>0565890</v>
          </cell>
          <cell r="AW506">
            <v>0</v>
          </cell>
          <cell r="AX506">
            <v>9</v>
          </cell>
          <cell r="AY506">
            <v>8</v>
          </cell>
          <cell r="AZ506">
            <v>5</v>
          </cell>
          <cell r="BA506">
            <v>6</v>
          </cell>
          <cell r="BB506">
            <v>5</v>
          </cell>
          <cell r="BC506">
            <v>0</v>
          </cell>
          <cell r="BE506" t="str">
            <v>120-3059167-7</v>
          </cell>
          <cell r="BF506" t="str">
            <v>امنه عبدالحليم</v>
          </cell>
          <cell r="BG506" t="str">
            <v>الكلاكله</v>
          </cell>
          <cell r="BH506" t="str">
            <v>الكلاكله - القادسيه</v>
          </cell>
          <cell r="BI506" t="str">
            <v>0913312029</v>
          </cell>
          <cell r="BJ506" t="str">
            <v>هاشم على</v>
          </cell>
          <cell r="BK506" t="str">
            <v>0912206397</v>
          </cell>
          <cell r="BL506" t="str">
            <v>خالي الطرف</v>
          </cell>
          <cell r="BN506">
            <v>43500</v>
          </cell>
          <cell r="BS506" t="str">
            <v>كهرباء عامة</v>
          </cell>
          <cell r="BT506" t="str">
            <v>دبلوم (معاهد)</v>
          </cell>
          <cell r="BU506" t="str">
            <v>وزارة الثقافة والشباب والرياضة</v>
          </cell>
          <cell r="BV506">
            <v>40231</v>
          </cell>
          <cell r="BW506" t="str">
            <v>تبريد حول الممارسات السليمة الصديقة للاوزون</v>
          </cell>
          <cell r="BX506" t="str">
            <v>شهاده دورة تدريب</v>
          </cell>
          <cell r="BY506" t="str">
            <v>منظمة الامم المتحدة</v>
          </cell>
          <cell r="BZ506">
            <v>40192</v>
          </cell>
          <cell r="EQ506">
            <v>0</v>
          </cell>
          <cell r="FG506" t="str">
            <v>المدير الادارى</v>
          </cell>
          <cell r="FH506" t="str">
            <v>احمد عبدالرحيم ابوبكر محمد</v>
          </cell>
          <cell r="FI506" t="str">
            <v>120-3059167-7</v>
          </cell>
        </row>
        <row r="507">
          <cell r="A507">
            <v>865</v>
          </cell>
          <cell r="B507" t="str">
            <v>امير محمد يعقوب ادم</v>
          </cell>
          <cell r="G507" t="str">
            <v>المصنع</v>
          </cell>
          <cell r="H507" t="str">
            <v>الانتاج</v>
          </cell>
          <cell r="L507" t="str">
            <v>عامل</v>
          </cell>
          <cell r="M507">
            <v>41681</v>
          </cell>
          <cell r="O507" t="e">
            <v>#NUM!</v>
          </cell>
          <cell r="P507" t="e">
            <v>#NUM!</v>
          </cell>
          <cell r="R507" t="e">
            <v>#NUM!</v>
          </cell>
          <cell r="T507" t="str">
            <v>فصل</v>
          </cell>
          <cell r="U507">
            <v>42500</v>
          </cell>
          <cell r="Z507">
            <v>27395</v>
          </cell>
          <cell r="AI507" t="str">
            <v>تسنين</v>
          </cell>
          <cell r="AJ507" t="str">
            <v>0035025</v>
          </cell>
          <cell r="AK507">
            <v>5</v>
          </cell>
          <cell r="AL507">
            <v>2</v>
          </cell>
          <cell r="AM507">
            <v>0</v>
          </cell>
          <cell r="AN507">
            <v>5</v>
          </cell>
          <cell r="AO507">
            <v>3</v>
          </cell>
          <cell r="AP507">
            <v>0</v>
          </cell>
          <cell r="AQ507">
            <v>0</v>
          </cell>
          <cell r="AS507">
            <v>43500</v>
          </cell>
          <cell r="AT507">
            <v>44</v>
          </cell>
          <cell r="AU507" t="str">
            <v>جنسيه</v>
          </cell>
          <cell r="AV507" t="str">
            <v>0545290</v>
          </cell>
          <cell r="AW507">
            <v>0</v>
          </cell>
          <cell r="AX507">
            <v>9</v>
          </cell>
          <cell r="AY507">
            <v>2</v>
          </cell>
          <cell r="AZ507">
            <v>5</v>
          </cell>
          <cell r="BA507">
            <v>4</v>
          </cell>
          <cell r="BB507">
            <v>5</v>
          </cell>
          <cell r="BC507">
            <v>0</v>
          </cell>
          <cell r="BE507" t="str">
            <v>190-1311233-7</v>
          </cell>
          <cell r="BN507">
            <v>43500</v>
          </cell>
          <cell r="EQ507">
            <v>0</v>
          </cell>
          <cell r="FG507" t="str">
            <v xml:space="preserve"> مدير الانتاج</v>
          </cell>
          <cell r="FH507" t="str">
            <v>هشام عيسى محمد عبدالكريم</v>
          </cell>
          <cell r="FI507" t="str">
            <v>190-1311233-7</v>
          </cell>
        </row>
        <row r="508">
          <cell r="A508">
            <v>866</v>
          </cell>
          <cell r="B508" t="str">
            <v>بركات حميده النعمه بركات</v>
          </cell>
          <cell r="C508" t="str">
            <v>بركات</v>
          </cell>
          <cell r="D508" t="str">
            <v>حميده</v>
          </cell>
          <cell r="E508" t="str">
            <v>النعمه</v>
          </cell>
          <cell r="F508" t="str">
            <v>بركات</v>
          </cell>
          <cell r="G508" t="str">
            <v>المصنع</v>
          </cell>
          <cell r="H508" t="str">
            <v>الانتاج</v>
          </cell>
          <cell r="I508" t="str">
            <v>الخوص</v>
          </cell>
          <cell r="K508" t="str">
            <v>عامل</v>
          </cell>
          <cell r="L508" t="str">
            <v>مساعد مشغل</v>
          </cell>
          <cell r="M508">
            <v>42415</v>
          </cell>
          <cell r="N508">
            <v>43500</v>
          </cell>
          <cell r="O508">
            <v>2</v>
          </cell>
          <cell r="P508">
            <v>11</v>
          </cell>
          <cell r="R508">
            <v>87.5</v>
          </cell>
          <cell r="Z508">
            <v>32695</v>
          </cell>
          <cell r="AG508">
            <v>9</v>
          </cell>
          <cell r="AH508">
            <v>1</v>
          </cell>
          <cell r="AI508" t="str">
            <v>ميلاد</v>
          </cell>
          <cell r="AJ508" t="str">
            <v>891874</v>
          </cell>
          <cell r="AK508">
            <v>4</v>
          </cell>
          <cell r="AL508">
            <v>7</v>
          </cell>
          <cell r="AM508">
            <v>8</v>
          </cell>
          <cell r="AN508">
            <v>1</v>
          </cell>
          <cell r="AO508">
            <v>9</v>
          </cell>
          <cell r="AP508">
            <v>8</v>
          </cell>
          <cell r="AS508">
            <v>43500</v>
          </cell>
          <cell r="AT508">
            <v>29</v>
          </cell>
          <cell r="AU508" t="str">
            <v>جنسيه</v>
          </cell>
          <cell r="AV508" t="str">
            <v>0101602</v>
          </cell>
          <cell r="AW508">
            <v>2</v>
          </cell>
          <cell r="AX508">
            <v>0</v>
          </cell>
          <cell r="AY508">
            <v>6</v>
          </cell>
          <cell r="AZ508">
            <v>1</v>
          </cell>
          <cell r="BA508">
            <v>0</v>
          </cell>
          <cell r="BB508">
            <v>1</v>
          </cell>
          <cell r="BC508">
            <v>0</v>
          </cell>
          <cell r="BE508" t="str">
            <v>197-2950348-3</v>
          </cell>
          <cell r="BF508" t="str">
            <v>عزله محمد بركات</v>
          </cell>
          <cell r="BG508" t="str">
            <v>الجزيره</v>
          </cell>
          <cell r="BH508" t="str">
            <v>الجزيره - المسعودية</v>
          </cell>
          <cell r="BL508" t="str">
            <v>خالي الطرف</v>
          </cell>
          <cell r="BN508">
            <v>43500</v>
          </cell>
          <cell r="EQ508">
            <v>0</v>
          </cell>
          <cell r="FG508" t="str">
            <v xml:space="preserve"> مدير الانتاج</v>
          </cell>
          <cell r="FH508" t="str">
            <v>هشام عيسى محمد عبدالكريم</v>
          </cell>
          <cell r="FI508" t="str">
            <v>197-2950348-3</v>
          </cell>
        </row>
        <row r="509">
          <cell r="A509">
            <v>867</v>
          </cell>
          <cell r="B509" t="str">
            <v>هشام فتحى محمد صالح</v>
          </cell>
          <cell r="C509" t="str">
            <v>هشام</v>
          </cell>
          <cell r="D509" t="str">
            <v>فتحى</v>
          </cell>
          <cell r="E509" t="str">
            <v>محمد</v>
          </cell>
          <cell r="F509" t="str">
            <v>صالح</v>
          </cell>
          <cell r="G509" t="str">
            <v>المصنع</v>
          </cell>
          <cell r="H509" t="str">
            <v>الكهرباء</v>
          </cell>
          <cell r="I509" t="str">
            <v>تبريد وتكيف</v>
          </cell>
          <cell r="K509" t="str">
            <v>فنى تبريد وتكييف</v>
          </cell>
          <cell r="L509" t="str">
            <v>فني تبريد وتكيف</v>
          </cell>
          <cell r="M509">
            <v>42424</v>
          </cell>
          <cell r="N509">
            <v>43500</v>
          </cell>
          <cell r="O509">
            <v>2</v>
          </cell>
          <cell r="P509">
            <v>11</v>
          </cell>
          <cell r="R509">
            <v>87.5</v>
          </cell>
          <cell r="Z509">
            <v>32406</v>
          </cell>
          <cell r="AG509">
            <v>9</v>
          </cell>
          <cell r="AH509">
            <v>1</v>
          </cell>
          <cell r="AS509">
            <v>43500</v>
          </cell>
          <cell r="AT509">
            <v>30</v>
          </cell>
          <cell r="AU509" t="str">
            <v>بطاقه قوميه</v>
          </cell>
          <cell r="AV509" t="str">
            <v>00490231</v>
          </cell>
          <cell r="AW509">
            <v>1</v>
          </cell>
          <cell r="AX509">
            <v>3</v>
          </cell>
          <cell r="AY509">
            <v>2</v>
          </cell>
          <cell r="AZ509">
            <v>0</v>
          </cell>
          <cell r="BA509">
            <v>9</v>
          </cell>
          <cell r="BB509">
            <v>4</v>
          </cell>
          <cell r="BC509">
            <v>0</v>
          </cell>
          <cell r="BD509">
            <v>0</v>
          </cell>
          <cell r="BE509" t="str">
            <v>119-9640736-0</v>
          </cell>
          <cell r="BF509" t="str">
            <v>سهام تاج الدين محمد</v>
          </cell>
          <cell r="BG509" t="str">
            <v>جبره</v>
          </cell>
          <cell r="BH509" t="str">
            <v>جبره - م 4</v>
          </cell>
          <cell r="BI509" t="str">
            <v>0922088891</v>
          </cell>
          <cell r="BJ509" t="str">
            <v>هانى فتحى محمد</v>
          </cell>
          <cell r="BK509" t="str">
            <v>0928059765</v>
          </cell>
          <cell r="BL509" t="str">
            <v>خالي الطرف</v>
          </cell>
          <cell r="BN509">
            <v>43500</v>
          </cell>
          <cell r="BS509" t="str">
            <v>تبريد وتكييف</v>
          </cell>
          <cell r="BT509" t="str">
            <v>تدريب مهني</v>
          </cell>
          <cell r="BU509" t="str">
            <v xml:space="preserve">المجلس الاعلى للتدريب المهنى </v>
          </cell>
          <cell r="BV509">
            <v>38998</v>
          </cell>
          <cell r="CQ509" t="str">
            <v>شركة المبشر للاستثمار المحدودة</v>
          </cell>
          <cell r="CR509" t="str">
            <v>فنى تبريد وتكييف</v>
          </cell>
          <cell r="CS509">
            <v>39128</v>
          </cell>
          <cell r="CT509">
            <v>39859</v>
          </cell>
          <cell r="EQ509">
            <v>0</v>
          </cell>
          <cell r="FG509" t="str">
            <v>مدير الصيانه الكهربائيه</v>
          </cell>
          <cell r="FH509" t="str">
            <v>ماهر ضيف الله سليمان جابر</v>
          </cell>
          <cell r="FI509" t="str">
            <v>119-9640736-0</v>
          </cell>
        </row>
        <row r="510">
          <cell r="A510">
            <v>868</v>
          </cell>
          <cell r="B510" t="str">
            <v>طلال محمد سليمان محمد على</v>
          </cell>
          <cell r="C510" t="str">
            <v>طلال</v>
          </cell>
          <cell r="D510" t="str">
            <v>محمد</v>
          </cell>
          <cell r="E510" t="str">
            <v>سليمان</v>
          </cell>
          <cell r="F510" t="str">
            <v>محمد</v>
          </cell>
          <cell r="G510" t="str">
            <v>الرئاسه</v>
          </cell>
          <cell r="H510" t="str">
            <v>الرقابه الداخليه</v>
          </cell>
          <cell r="K510" t="str">
            <v>موظف رقابه</v>
          </cell>
          <cell r="L510" t="str">
            <v>مراجع</v>
          </cell>
          <cell r="M510">
            <v>42417</v>
          </cell>
          <cell r="N510">
            <v>43500</v>
          </cell>
          <cell r="O510">
            <v>2</v>
          </cell>
          <cell r="P510">
            <v>11</v>
          </cell>
          <cell r="R510">
            <v>87.5</v>
          </cell>
          <cell r="Z510">
            <v>28491</v>
          </cell>
          <cell r="AG510">
            <v>9</v>
          </cell>
          <cell r="AH510">
            <v>1</v>
          </cell>
          <cell r="AS510">
            <v>43500</v>
          </cell>
          <cell r="AT510">
            <v>41</v>
          </cell>
          <cell r="AU510" t="str">
            <v>بطاقه شخصيه</v>
          </cell>
          <cell r="AV510" t="str">
            <v>KHOM11060713</v>
          </cell>
          <cell r="AW510">
            <v>3</v>
          </cell>
          <cell r="AX510">
            <v>1</v>
          </cell>
          <cell r="AY510">
            <v>7</v>
          </cell>
          <cell r="AZ510">
            <v>0</v>
          </cell>
          <cell r="BA510">
            <v>6</v>
          </cell>
          <cell r="BB510">
            <v>0</v>
          </cell>
          <cell r="BC510">
            <v>1</v>
          </cell>
          <cell r="BD510">
            <v>1</v>
          </cell>
          <cell r="BF510" t="str">
            <v>بدريه عبد الحليم</v>
          </cell>
          <cell r="BG510" t="str">
            <v>خاص</v>
          </cell>
          <cell r="BH510" t="str">
            <v>امدرمان</v>
          </cell>
          <cell r="BI510" t="str">
            <v>0123874516</v>
          </cell>
          <cell r="BJ510" t="str">
            <v>عماد سليمان الزيات</v>
          </cell>
          <cell r="BL510" t="str">
            <v>خاضع للخدمه</v>
          </cell>
          <cell r="BN510">
            <v>43500</v>
          </cell>
          <cell r="BS510" t="str">
            <v>محاسبة</v>
          </cell>
          <cell r="BT510" t="str">
            <v>بكلاريوس</v>
          </cell>
          <cell r="BU510" t="str">
            <v>جامعة النيلين</v>
          </cell>
          <cell r="BV510">
            <v>36161</v>
          </cell>
          <cell r="BW510" t="str">
            <v>حاسوب</v>
          </cell>
          <cell r="BX510" t="str">
            <v>دبلوم (معاهد)</v>
          </cell>
          <cell r="BY510" t="str">
            <v>مركز مؤسسة التنمية للكمبيوتر</v>
          </cell>
          <cell r="BZ510">
            <v>38099</v>
          </cell>
          <cell r="EQ510">
            <v>30</v>
          </cell>
          <cell r="FG510" t="str">
            <v>المدير الادارى</v>
          </cell>
          <cell r="FH510" t="str">
            <v>احمد عبدالرحيم ابوبكر محمد</v>
          </cell>
          <cell r="FI510">
            <v>0</v>
          </cell>
          <cell r="HC510" t="str">
            <v>30</v>
          </cell>
        </row>
        <row r="511">
          <cell r="A511">
            <v>869</v>
          </cell>
          <cell r="B511" t="str">
            <v>صالح عبدالله عبدالرحمن صالح</v>
          </cell>
          <cell r="C511" t="str">
            <v>صالح</v>
          </cell>
          <cell r="D511" t="str">
            <v>عبدالله</v>
          </cell>
          <cell r="E511" t="str">
            <v>عبدالرحمن</v>
          </cell>
          <cell r="F511" t="str">
            <v>صالح</v>
          </cell>
          <cell r="G511" t="str">
            <v>المصنع</v>
          </cell>
          <cell r="H511" t="str">
            <v>الانتاج</v>
          </cell>
          <cell r="L511" t="str">
            <v>مهندس انتاج</v>
          </cell>
          <cell r="M511">
            <v>42430</v>
          </cell>
          <cell r="O511" t="e">
            <v>#NUM!</v>
          </cell>
          <cell r="P511" t="e">
            <v>#NUM!</v>
          </cell>
          <cell r="R511" t="e">
            <v>#NUM!</v>
          </cell>
          <cell r="T511" t="str">
            <v>m</v>
          </cell>
          <cell r="Z511">
            <v>31427</v>
          </cell>
          <cell r="AI511" t="str">
            <v>ميلاد</v>
          </cell>
          <cell r="AJ511" t="str">
            <v>23016</v>
          </cell>
          <cell r="AK511">
            <v>6</v>
          </cell>
          <cell r="AL511">
            <v>1</v>
          </cell>
          <cell r="AM511">
            <v>0</v>
          </cell>
          <cell r="AN511">
            <v>3</v>
          </cell>
          <cell r="AO511">
            <v>2</v>
          </cell>
          <cell r="AS511">
            <v>43500</v>
          </cell>
          <cell r="AT511">
            <v>33</v>
          </cell>
          <cell r="AU511" t="str">
            <v>بطاقه قوميه</v>
          </cell>
          <cell r="AV511" t="str">
            <v>001776807</v>
          </cell>
          <cell r="AW511">
            <v>7</v>
          </cell>
          <cell r="AX511">
            <v>0</v>
          </cell>
          <cell r="AY511">
            <v>8</v>
          </cell>
          <cell r="AZ511">
            <v>6</v>
          </cell>
          <cell r="BA511">
            <v>7</v>
          </cell>
          <cell r="BB511">
            <v>7</v>
          </cell>
          <cell r="BC511">
            <v>1</v>
          </cell>
          <cell r="BD511">
            <v>0</v>
          </cell>
          <cell r="BE511" t="str">
            <v>221-4363278-0</v>
          </cell>
          <cell r="BF511" t="str">
            <v>سميره على الحاج</v>
          </cell>
          <cell r="BG511" t="str">
            <v>جبره</v>
          </cell>
          <cell r="BH511" t="str">
            <v>جبره - م 9</v>
          </cell>
          <cell r="BI511" t="str">
            <v>0121333505</v>
          </cell>
          <cell r="BJ511" t="str">
            <v>يسرى توفيق عبدالله</v>
          </cell>
          <cell r="BL511" t="str">
            <v>خالي الطرف</v>
          </cell>
          <cell r="BN511">
            <v>43500</v>
          </cell>
          <cell r="BS511" t="str">
            <v>ميكانيكا انتاج</v>
          </cell>
          <cell r="BT511" t="str">
            <v>بكلاريوس الشرف</v>
          </cell>
          <cell r="BU511" t="str">
            <v>جامعة السودان للعلوم والتكنولوجيا</v>
          </cell>
          <cell r="BV511">
            <v>41697</v>
          </cell>
          <cell r="EQ511">
            <v>0</v>
          </cell>
          <cell r="FG511" t="str">
            <v xml:space="preserve"> مدير الانتاج</v>
          </cell>
          <cell r="FH511" t="str">
            <v>هشام عيسى محمد عبدالكريم</v>
          </cell>
          <cell r="FI511" t="str">
            <v>221-4363278-0</v>
          </cell>
        </row>
        <row r="512">
          <cell r="A512">
            <v>870</v>
          </cell>
          <cell r="B512" t="str">
            <v>عوض عبدالعزيز إدريس حمدناالله</v>
          </cell>
          <cell r="G512" t="str">
            <v>المصنع</v>
          </cell>
          <cell r="H512" t="str">
            <v>الانتاج</v>
          </cell>
          <cell r="L512" t="str">
            <v>عامل</v>
          </cell>
          <cell r="M512">
            <v>42430</v>
          </cell>
          <cell r="O512" t="e">
            <v>#NUM!</v>
          </cell>
          <cell r="P512" t="e">
            <v>#NUM!</v>
          </cell>
          <cell r="R512" t="e">
            <v>#NUM!</v>
          </cell>
          <cell r="T512" t="str">
            <v>إستقال</v>
          </cell>
          <cell r="U512">
            <v>42499</v>
          </cell>
          <cell r="Z512">
            <v>27352</v>
          </cell>
          <cell r="AI512" t="str">
            <v>ميلاد</v>
          </cell>
          <cell r="AJ512" t="str">
            <v>85475</v>
          </cell>
          <cell r="AK512">
            <v>5</v>
          </cell>
          <cell r="AL512">
            <v>7</v>
          </cell>
          <cell r="AM512">
            <v>4</v>
          </cell>
          <cell r="AN512">
            <v>5</v>
          </cell>
          <cell r="AO512">
            <v>8</v>
          </cell>
          <cell r="AS512">
            <v>43500</v>
          </cell>
          <cell r="AT512">
            <v>44</v>
          </cell>
          <cell r="AU512" t="str">
            <v>جواز سفر</v>
          </cell>
          <cell r="AV512" t="str">
            <v>0305215</v>
          </cell>
          <cell r="AW512">
            <v>5</v>
          </cell>
          <cell r="AX512">
            <v>1</v>
          </cell>
          <cell r="AY512">
            <v>2</v>
          </cell>
          <cell r="AZ512">
            <v>5</v>
          </cell>
          <cell r="BA512">
            <v>0</v>
          </cell>
          <cell r="BB512">
            <v>3</v>
          </cell>
          <cell r="BC512">
            <v>0</v>
          </cell>
          <cell r="BE512" t="str">
            <v>117-0301306-6</v>
          </cell>
          <cell r="BF512" t="str">
            <v>عيشه على محمد</v>
          </cell>
          <cell r="BH512" t="str">
            <v>الجزيره - المسعوديه</v>
          </cell>
          <cell r="BI512" t="str">
            <v>0918061119</v>
          </cell>
          <cell r="BL512" t="str">
            <v>خالي الطرف</v>
          </cell>
          <cell r="BN512">
            <v>43500</v>
          </cell>
          <cell r="BS512" t="str">
            <v>ميكانيكا سيارات</v>
          </cell>
          <cell r="BT512" t="str">
            <v>تدريب مهني</v>
          </cell>
          <cell r="BU512" t="str">
            <v xml:space="preserve">المجلس الاعلى للتدريب المهنى </v>
          </cell>
          <cell r="BV512">
            <v>35947</v>
          </cell>
          <cell r="CQ512" t="str">
            <v>الشركة الوطنية لصناعة الحديد والصلب المحدودة</v>
          </cell>
          <cell r="CR512" t="str">
            <v>فنى فرن</v>
          </cell>
          <cell r="CS512">
            <v>38397</v>
          </cell>
          <cell r="CT512">
            <v>40574</v>
          </cell>
          <cell r="CV512" t="str">
            <v>مصنع الاسعد للحديد والتسليح</v>
          </cell>
          <cell r="CW512" t="str">
            <v>عامل فرن</v>
          </cell>
          <cell r="CX512">
            <v>40544</v>
          </cell>
          <cell r="CY512">
            <v>41030</v>
          </cell>
          <cell r="EQ512">
            <v>0</v>
          </cell>
          <cell r="FG512" t="str">
            <v xml:space="preserve"> مدير الانتاج</v>
          </cell>
          <cell r="FH512" t="str">
            <v>هشام عيسى محمد عبدالكريم</v>
          </cell>
          <cell r="FI512" t="str">
            <v>117-0301306-6</v>
          </cell>
        </row>
        <row r="513">
          <cell r="A513">
            <v>871</v>
          </cell>
          <cell r="B513" t="str">
            <v>متوكل ادم مهاجر احمد</v>
          </cell>
          <cell r="G513" t="str">
            <v>المصنع</v>
          </cell>
          <cell r="H513" t="str">
            <v>الانتاج</v>
          </cell>
          <cell r="L513" t="str">
            <v>عامل</v>
          </cell>
          <cell r="M513">
            <v>42434</v>
          </cell>
          <cell r="O513" t="e">
            <v>#NUM!</v>
          </cell>
          <cell r="P513" t="e">
            <v>#NUM!</v>
          </cell>
          <cell r="R513" t="e">
            <v>#NUM!</v>
          </cell>
          <cell r="T513" t="str">
            <v>فصل</v>
          </cell>
          <cell r="U513">
            <v>42522</v>
          </cell>
          <cell r="Z513">
            <v>33970</v>
          </cell>
          <cell r="AI513" t="str">
            <v>تسنين</v>
          </cell>
          <cell r="AJ513" t="str">
            <v>473708</v>
          </cell>
          <cell r="AK513">
            <v>8</v>
          </cell>
          <cell r="AL513">
            <v>0</v>
          </cell>
          <cell r="AM513">
            <v>7</v>
          </cell>
          <cell r="AN513">
            <v>3</v>
          </cell>
          <cell r="AO513">
            <v>7</v>
          </cell>
          <cell r="AP513">
            <v>4</v>
          </cell>
          <cell r="AS513">
            <v>43500</v>
          </cell>
          <cell r="AT513">
            <v>26</v>
          </cell>
          <cell r="BE513" t="str">
            <v>190-9966036-7</v>
          </cell>
          <cell r="BF513" t="str">
            <v>امنه محمد عثمان</v>
          </cell>
          <cell r="BH513" t="str">
            <v>الصناعات - دار السلام</v>
          </cell>
          <cell r="BI513" t="str">
            <v>0914307670</v>
          </cell>
          <cell r="BL513" t="str">
            <v>خالي الطرف</v>
          </cell>
          <cell r="BN513">
            <v>43500</v>
          </cell>
          <cell r="EQ513">
            <v>0</v>
          </cell>
          <cell r="FG513" t="str">
            <v xml:space="preserve"> مدير الانتاج</v>
          </cell>
          <cell r="FH513" t="str">
            <v>هشام عيسى محمد عبدالكريم</v>
          </cell>
          <cell r="FI513" t="str">
            <v>190-9966036-7</v>
          </cell>
        </row>
        <row r="514">
          <cell r="A514">
            <v>872</v>
          </cell>
          <cell r="B514" t="str">
            <v>احمد حميدة النعمة بركات</v>
          </cell>
          <cell r="C514" t="str">
            <v>احمد</v>
          </cell>
          <cell r="D514" t="str">
            <v>حميده</v>
          </cell>
          <cell r="E514" t="str">
            <v>النعمه</v>
          </cell>
          <cell r="F514" t="str">
            <v>بركات</v>
          </cell>
          <cell r="G514" t="str">
            <v>المصنع</v>
          </cell>
          <cell r="H514" t="str">
            <v>الانتاج</v>
          </cell>
          <cell r="L514" t="str">
            <v>عامل</v>
          </cell>
          <cell r="M514">
            <v>42434</v>
          </cell>
          <cell r="O514" t="e">
            <v>#NUM!</v>
          </cell>
          <cell r="P514" t="e">
            <v>#NUM!</v>
          </cell>
          <cell r="R514" t="e">
            <v>#NUM!</v>
          </cell>
          <cell r="T514" t="str">
            <v>فصل</v>
          </cell>
          <cell r="U514">
            <v>42522</v>
          </cell>
          <cell r="Z514">
            <v>31695</v>
          </cell>
          <cell r="AI514" t="str">
            <v>ميلاد</v>
          </cell>
          <cell r="AJ514" t="str">
            <v>583823</v>
          </cell>
          <cell r="AK514">
            <v>3</v>
          </cell>
          <cell r="AL514">
            <v>2</v>
          </cell>
          <cell r="AM514">
            <v>8</v>
          </cell>
          <cell r="AN514">
            <v>3</v>
          </cell>
          <cell r="AO514">
            <v>8</v>
          </cell>
          <cell r="AP514">
            <v>5</v>
          </cell>
          <cell r="AS514">
            <v>43500</v>
          </cell>
          <cell r="AT514">
            <v>32</v>
          </cell>
          <cell r="AU514" t="str">
            <v>جنسيه</v>
          </cell>
          <cell r="AV514" t="str">
            <v>0263459</v>
          </cell>
          <cell r="AW514">
            <v>9</v>
          </cell>
          <cell r="AX514">
            <v>5</v>
          </cell>
          <cell r="AY514">
            <v>4</v>
          </cell>
          <cell r="AZ514">
            <v>3</v>
          </cell>
          <cell r="BA514">
            <v>6</v>
          </cell>
          <cell r="BB514">
            <v>2</v>
          </cell>
          <cell r="BC514">
            <v>0</v>
          </cell>
          <cell r="BE514" t="str">
            <v>120-9416898-5</v>
          </cell>
          <cell r="BF514" t="str">
            <v>عزله محمد بركات</v>
          </cell>
          <cell r="BG514" t="str">
            <v>الجزيره</v>
          </cell>
          <cell r="BH514" t="str">
            <v>الجزيره - المسعودية</v>
          </cell>
          <cell r="BI514" t="str">
            <v>0918382712</v>
          </cell>
          <cell r="BJ514" t="str">
            <v>على الامين محمد</v>
          </cell>
          <cell r="BL514" t="str">
            <v>خالي الطرف</v>
          </cell>
          <cell r="BN514">
            <v>43500</v>
          </cell>
          <cell r="EQ514">
            <v>0</v>
          </cell>
          <cell r="FG514" t="str">
            <v xml:space="preserve"> مدير الانتاج</v>
          </cell>
          <cell r="FH514" t="str">
            <v>هشام عيسى محمد عبدالكريم</v>
          </cell>
          <cell r="FI514" t="str">
            <v>120-9416898-5</v>
          </cell>
        </row>
        <row r="515">
          <cell r="A515">
            <v>873</v>
          </cell>
          <cell r="B515" t="str">
            <v>رماح صلاح الدين سالم رفاى</v>
          </cell>
          <cell r="C515" t="str">
            <v>رماح</v>
          </cell>
          <cell r="D515" t="str">
            <v>صلاح الدين</v>
          </cell>
          <cell r="E515" t="str">
            <v>سالم</v>
          </cell>
          <cell r="F515" t="str">
            <v>رفاى</v>
          </cell>
          <cell r="G515" t="str">
            <v>المصنع</v>
          </cell>
          <cell r="H515" t="str">
            <v>الجوده</v>
          </cell>
          <cell r="K515" t="str">
            <v>عامل</v>
          </cell>
          <cell r="L515" t="str">
            <v>مراقب انتاج</v>
          </cell>
          <cell r="M515">
            <v>42436</v>
          </cell>
          <cell r="N515">
            <v>43500</v>
          </cell>
          <cell r="O515">
            <v>2</v>
          </cell>
          <cell r="P515">
            <v>10</v>
          </cell>
          <cell r="R515">
            <v>85</v>
          </cell>
          <cell r="Z515">
            <v>33036</v>
          </cell>
          <cell r="AG515">
            <v>9</v>
          </cell>
          <cell r="AH515">
            <v>1</v>
          </cell>
          <cell r="AI515" t="str">
            <v>ميلاد</v>
          </cell>
          <cell r="AJ515" t="str">
            <v>965221</v>
          </cell>
          <cell r="AK515">
            <v>1</v>
          </cell>
          <cell r="AL515">
            <v>2</v>
          </cell>
          <cell r="AM515">
            <v>2</v>
          </cell>
          <cell r="AN515">
            <v>5</v>
          </cell>
          <cell r="AO515">
            <v>6</v>
          </cell>
          <cell r="AP515">
            <v>9</v>
          </cell>
          <cell r="AS515">
            <v>43500</v>
          </cell>
          <cell r="AT515">
            <v>28</v>
          </cell>
          <cell r="AU515" t="str">
            <v>بطاقه قوميه</v>
          </cell>
          <cell r="AV515" t="str">
            <v>001160531</v>
          </cell>
          <cell r="AW515">
            <v>1</v>
          </cell>
          <cell r="AX515">
            <v>3</v>
          </cell>
          <cell r="AY515">
            <v>5</v>
          </cell>
          <cell r="AZ515">
            <v>0</v>
          </cell>
          <cell r="BA515">
            <v>6</v>
          </cell>
          <cell r="BB515">
            <v>1</v>
          </cell>
          <cell r="BC515">
            <v>1</v>
          </cell>
          <cell r="BD515">
            <v>0</v>
          </cell>
          <cell r="BE515" t="str">
            <v>120-1660445-2</v>
          </cell>
          <cell r="BF515" t="str">
            <v>انتصار عبدالحليم جابر</v>
          </cell>
          <cell r="BG515" t="str">
            <v>الجزيره</v>
          </cell>
          <cell r="BH515" t="str">
            <v>الجزيره - النوبه</v>
          </cell>
          <cell r="BI515" t="str">
            <v>0919026222</v>
          </cell>
          <cell r="BJ515" t="str">
            <v>زاهى عبدالحليم</v>
          </cell>
          <cell r="BK515" t="str">
            <v>0912922836</v>
          </cell>
          <cell r="BL515" t="str">
            <v>خالي الطرف</v>
          </cell>
          <cell r="BN515">
            <v>43500</v>
          </cell>
          <cell r="BS515" t="str">
            <v>هندسة مدنية</v>
          </cell>
          <cell r="BT515" t="str">
            <v>دبلوم تقني</v>
          </cell>
          <cell r="BU515" t="str">
            <v>كلية الخرطوم التقنية</v>
          </cell>
          <cell r="BV515">
            <v>41426</v>
          </cell>
          <cell r="CQ515" t="str">
            <v>شركة مليون ميل المحدودة</v>
          </cell>
          <cell r="CR515" t="str">
            <v>متدرب</v>
          </cell>
          <cell r="EQ515">
            <v>0</v>
          </cell>
          <cell r="FG515" t="str">
            <v>مسئول قسم الجوده</v>
          </cell>
          <cell r="FH515" t="str">
            <v>المبارك محمد ابراهيم</v>
          </cell>
          <cell r="FI515" t="str">
            <v>120-1660445-2</v>
          </cell>
        </row>
        <row r="516">
          <cell r="A516">
            <v>874</v>
          </cell>
          <cell r="B516" t="str">
            <v>حسين عثمان سيد حمد</v>
          </cell>
          <cell r="C516" t="str">
            <v>حسين</v>
          </cell>
          <cell r="D516" t="str">
            <v>عثمان</v>
          </cell>
          <cell r="E516" t="str">
            <v>سيد</v>
          </cell>
          <cell r="F516" t="str">
            <v>حمد</v>
          </cell>
          <cell r="G516" t="str">
            <v>المصنع</v>
          </cell>
          <cell r="H516" t="str">
            <v>المستودعات</v>
          </cell>
          <cell r="I516" t="str">
            <v>الاسكبات</v>
          </cell>
          <cell r="K516" t="str">
            <v>امين مستودع</v>
          </cell>
          <cell r="L516" t="str">
            <v>امين مستودع ا س</v>
          </cell>
          <cell r="M516">
            <v>42437</v>
          </cell>
          <cell r="N516">
            <v>43500</v>
          </cell>
          <cell r="O516">
            <v>2</v>
          </cell>
          <cell r="P516">
            <v>10</v>
          </cell>
          <cell r="R516">
            <v>85</v>
          </cell>
          <cell r="Z516">
            <v>31413</v>
          </cell>
          <cell r="AG516">
            <v>9</v>
          </cell>
          <cell r="AH516">
            <v>1</v>
          </cell>
          <cell r="AS516">
            <v>43500</v>
          </cell>
          <cell r="AT516">
            <v>33</v>
          </cell>
          <cell r="AU516" t="str">
            <v>بطاقه قوميه</v>
          </cell>
          <cell r="AV516" t="str">
            <v>000772820</v>
          </cell>
          <cell r="AW516">
            <v>0</v>
          </cell>
          <cell r="AX516">
            <v>2</v>
          </cell>
          <cell r="AY516">
            <v>8</v>
          </cell>
          <cell r="AZ516">
            <v>2</v>
          </cell>
          <cell r="BA516">
            <v>7</v>
          </cell>
          <cell r="BB516">
            <v>7</v>
          </cell>
          <cell r="BC516">
            <v>0</v>
          </cell>
          <cell r="BD516">
            <v>0</v>
          </cell>
          <cell r="BE516" t="str">
            <v>114-0314378-4</v>
          </cell>
          <cell r="BF516" t="str">
            <v>حسيبه عبدالقادر صالح</v>
          </cell>
          <cell r="BG516" t="str">
            <v>الكلاكله</v>
          </cell>
          <cell r="BH516" t="str">
            <v>الكلاكلة - الوحدة</v>
          </cell>
          <cell r="BI516" t="str">
            <v>0910202215</v>
          </cell>
          <cell r="BJ516" t="str">
            <v>مهند حاج حمد</v>
          </cell>
          <cell r="BK516" t="str">
            <v>0915082008</v>
          </cell>
          <cell r="BL516" t="str">
            <v>خالي الطرف</v>
          </cell>
          <cell r="BN516">
            <v>43500</v>
          </cell>
          <cell r="BS516" t="str">
            <v>محاسبة</v>
          </cell>
          <cell r="BT516" t="str">
            <v>دبلوم تقني</v>
          </cell>
          <cell r="BU516" t="str">
            <v>جامعة السودان للعلوم والتكنولوجيا</v>
          </cell>
          <cell r="BV516">
            <v>40836</v>
          </cell>
          <cell r="BW516" t="str">
            <v>حاسوب</v>
          </cell>
          <cell r="BX516" t="str">
            <v>دبلوم (معاهد)</v>
          </cell>
          <cell r="BY516" t="str">
            <v>مركز سوفتي دريم للتدريب</v>
          </cell>
          <cell r="BZ516">
            <v>41465</v>
          </cell>
          <cell r="EQ516">
            <v>0</v>
          </cell>
          <cell r="FG516" t="str">
            <v>مدير المستودعات</v>
          </cell>
          <cell r="FH516" t="str">
            <v>على احمد على بابكر</v>
          </cell>
          <cell r="FI516" t="str">
            <v>114-0314378-4</v>
          </cell>
        </row>
        <row r="517">
          <cell r="A517">
            <v>875</v>
          </cell>
          <cell r="B517" t="str">
            <v>مصعب محمد صابر محمود</v>
          </cell>
          <cell r="G517" t="str">
            <v>المصنع</v>
          </cell>
          <cell r="H517" t="str">
            <v>الانتاج</v>
          </cell>
          <cell r="L517" t="str">
            <v>عامل</v>
          </cell>
          <cell r="M517">
            <v>42462</v>
          </cell>
          <cell r="O517" t="e">
            <v>#NUM!</v>
          </cell>
          <cell r="P517" t="e">
            <v>#NUM!</v>
          </cell>
          <cell r="R517" t="e">
            <v>#NUM!</v>
          </cell>
          <cell r="T517" t="str">
            <v>فصل</v>
          </cell>
          <cell r="U517">
            <v>42490</v>
          </cell>
          <cell r="Z517">
            <v>31732</v>
          </cell>
          <cell r="AS517">
            <v>43500</v>
          </cell>
          <cell r="AT517">
            <v>32</v>
          </cell>
          <cell r="AU517" t="str">
            <v>بطاقه قوميه</v>
          </cell>
          <cell r="AV517" t="str">
            <v>001964885</v>
          </cell>
          <cell r="AW517">
            <v>5</v>
          </cell>
          <cell r="AX517">
            <v>8</v>
          </cell>
          <cell r="AY517">
            <v>8</v>
          </cell>
          <cell r="AZ517">
            <v>4</v>
          </cell>
          <cell r="BA517">
            <v>6</v>
          </cell>
          <cell r="BB517">
            <v>9</v>
          </cell>
          <cell r="BC517">
            <v>1</v>
          </cell>
          <cell r="BD517">
            <v>0</v>
          </cell>
          <cell r="BE517" t="str">
            <v>112-5121557-2</v>
          </cell>
          <cell r="BF517" t="str">
            <v>محاسن عبدالجابر</v>
          </cell>
          <cell r="BH517" t="str">
            <v>جبره - الاسكان م 3</v>
          </cell>
          <cell r="BI517" t="str">
            <v>0919086474</v>
          </cell>
          <cell r="BL517" t="str">
            <v>خالي الطرف</v>
          </cell>
          <cell r="BN517">
            <v>43500</v>
          </cell>
          <cell r="BS517" t="str">
            <v>سفر وسياحه</v>
          </cell>
          <cell r="BT517" t="str">
            <v>شهاده كورس</v>
          </cell>
          <cell r="BU517" t="str">
            <v>كلية علوم الطيران</v>
          </cell>
          <cell r="BV517">
            <v>40360</v>
          </cell>
          <cell r="CQ517" t="str">
            <v>وكالة الموده للسفر والسياحه</v>
          </cell>
          <cell r="CR517" t="str">
            <v>ضابط حجز</v>
          </cell>
          <cell r="CS517">
            <v>41365</v>
          </cell>
          <cell r="CT517">
            <v>41395</v>
          </cell>
          <cell r="EQ517">
            <v>0</v>
          </cell>
          <cell r="FG517" t="str">
            <v xml:space="preserve"> مدير الانتاج</v>
          </cell>
          <cell r="FH517" t="str">
            <v>هشام عيسى محمد عبدالكريم</v>
          </cell>
          <cell r="FI517" t="str">
            <v>112-5121557-2</v>
          </cell>
        </row>
        <row r="518">
          <cell r="A518">
            <v>876</v>
          </cell>
          <cell r="B518" t="str">
            <v>حنان بخيت عبدالفضيل اسماعيل</v>
          </cell>
          <cell r="G518" t="str">
            <v>المصنع</v>
          </cell>
          <cell r="H518" t="str">
            <v>الخدمات</v>
          </cell>
          <cell r="L518" t="str">
            <v>عامل</v>
          </cell>
          <cell r="M518">
            <v>42464</v>
          </cell>
          <cell r="O518" t="e">
            <v>#NUM!</v>
          </cell>
          <cell r="P518" t="e">
            <v>#NUM!</v>
          </cell>
          <cell r="R518" t="e">
            <v>#NUM!</v>
          </cell>
          <cell r="T518" t="str">
            <v>m</v>
          </cell>
          <cell r="Z518">
            <v>27395</v>
          </cell>
          <cell r="AS518">
            <v>43500</v>
          </cell>
          <cell r="AT518">
            <v>44</v>
          </cell>
          <cell r="BE518" t="str">
            <v>120-2367388-8</v>
          </cell>
          <cell r="BF518" t="str">
            <v>نعيمه جباره الله</v>
          </cell>
          <cell r="BH518" t="str">
            <v>الجزيره - المسعوديه</v>
          </cell>
          <cell r="BN518">
            <v>43500</v>
          </cell>
          <cell r="EQ518">
            <v>0</v>
          </cell>
          <cell r="FG518" t="str">
            <v>المدير الادارى</v>
          </cell>
          <cell r="FH518" t="str">
            <v>احمد عبدالرحيم ابوبكر محمد</v>
          </cell>
          <cell r="FI518" t="str">
            <v>120-2367388-8</v>
          </cell>
        </row>
        <row r="519">
          <cell r="A519">
            <v>877</v>
          </cell>
          <cell r="B519" t="str">
            <v>يوسف عثمان دفع الله مصطفى</v>
          </cell>
          <cell r="C519" t="str">
            <v>يوسف</v>
          </cell>
          <cell r="D519" t="str">
            <v>عثمان</v>
          </cell>
          <cell r="E519" t="str">
            <v>دفع الله</v>
          </cell>
          <cell r="F519" t="str">
            <v>مصطفى</v>
          </cell>
          <cell r="G519" t="str">
            <v>المصنع</v>
          </cell>
          <cell r="H519" t="str">
            <v>الانتاج</v>
          </cell>
          <cell r="L519" t="str">
            <v>عامل</v>
          </cell>
          <cell r="M519">
            <v>42476</v>
          </cell>
          <cell r="N519">
            <v>42686</v>
          </cell>
          <cell r="O519">
            <v>0</v>
          </cell>
          <cell r="P519">
            <v>6</v>
          </cell>
          <cell r="R519">
            <v>15</v>
          </cell>
          <cell r="T519" t="str">
            <v>فصل</v>
          </cell>
          <cell r="U519">
            <v>42689</v>
          </cell>
          <cell r="V519">
            <v>42686</v>
          </cell>
          <cell r="Z519">
            <v>33239</v>
          </cell>
          <cell r="AG519">
            <v>9</v>
          </cell>
          <cell r="AH519">
            <v>1</v>
          </cell>
          <cell r="AI519" t="str">
            <v>تسنين</v>
          </cell>
          <cell r="AJ519" t="str">
            <v>106914</v>
          </cell>
          <cell r="AK519">
            <v>4</v>
          </cell>
          <cell r="AL519">
            <v>1</v>
          </cell>
          <cell r="AM519">
            <v>9</v>
          </cell>
          <cell r="AN519">
            <v>6</v>
          </cell>
          <cell r="AO519">
            <v>0</v>
          </cell>
          <cell r="AP519">
            <v>1</v>
          </cell>
          <cell r="AS519">
            <v>43500</v>
          </cell>
          <cell r="AT519">
            <v>28</v>
          </cell>
          <cell r="AU519" t="str">
            <v>بطاقه قوميه</v>
          </cell>
          <cell r="AV519" t="str">
            <v>002298241</v>
          </cell>
          <cell r="AW519">
            <v>1</v>
          </cell>
          <cell r="AX519">
            <v>4</v>
          </cell>
          <cell r="AY519">
            <v>2</v>
          </cell>
          <cell r="AZ519">
            <v>8</v>
          </cell>
          <cell r="BA519">
            <v>9</v>
          </cell>
          <cell r="BB519">
            <v>2</v>
          </cell>
          <cell r="BC519">
            <v>2</v>
          </cell>
          <cell r="BD519">
            <v>0</v>
          </cell>
          <cell r="BE519" t="str">
            <v>114-0075577-3</v>
          </cell>
          <cell r="BF519" t="str">
            <v>سميه الامام عباس</v>
          </cell>
          <cell r="BG519" t="str">
            <v>الجزيره</v>
          </cell>
          <cell r="BH519" t="str">
            <v>مدنى</v>
          </cell>
          <cell r="BI519" t="str">
            <v>0112055585</v>
          </cell>
          <cell r="BJ519" t="str">
            <v>بدرالدين مصطفى</v>
          </cell>
          <cell r="BK519" t="str">
            <v>0122688485</v>
          </cell>
          <cell r="BL519" t="str">
            <v>إستثناء</v>
          </cell>
          <cell r="BN519">
            <v>43500</v>
          </cell>
          <cell r="BT519" t="str">
            <v>شهاده ثانويه</v>
          </cell>
          <cell r="BV519">
            <v>39508</v>
          </cell>
          <cell r="EQ519">
            <v>0</v>
          </cell>
          <cell r="FG519" t="str">
            <v xml:space="preserve"> مدير الانتاج</v>
          </cell>
          <cell r="FH519" t="str">
            <v>هشام عيسى محمد عبدالكريم</v>
          </cell>
          <cell r="FI519" t="str">
            <v>114-0075577-3</v>
          </cell>
        </row>
        <row r="520">
          <cell r="A520">
            <v>878</v>
          </cell>
          <cell r="B520" t="str">
            <v>ابوبكر صديق محمد صالح</v>
          </cell>
          <cell r="G520" t="str">
            <v>المصنع</v>
          </cell>
          <cell r="H520" t="str">
            <v>الانتاج</v>
          </cell>
          <cell r="L520" t="str">
            <v>عامل</v>
          </cell>
          <cell r="M520">
            <v>42479</v>
          </cell>
          <cell r="N520">
            <v>42705</v>
          </cell>
          <cell r="O520">
            <v>0</v>
          </cell>
          <cell r="P520">
            <v>7</v>
          </cell>
          <cell r="R520">
            <v>17.5</v>
          </cell>
          <cell r="T520" t="str">
            <v>فصل</v>
          </cell>
          <cell r="Z520">
            <v>32874</v>
          </cell>
          <cell r="AG520">
            <v>9</v>
          </cell>
          <cell r="AH520">
            <v>1</v>
          </cell>
          <cell r="AI520" t="str">
            <v>تسنين</v>
          </cell>
          <cell r="AJ520" t="str">
            <v>2455426</v>
          </cell>
          <cell r="AK520">
            <v>6</v>
          </cell>
          <cell r="AL520">
            <v>2</v>
          </cell>
          <cell r="AM520">
            <v>4</v>
          </cell>
          <cell r="AN520">
            <v>5</v>
          </cell>
          <cell r="AO520">
            <v>5</v>
          </cell>
          <cell r="AP520">
            <v>4</v>
          </cell>
          <cell r="AQ520">
            <v>2</v>
          </cell>
          <cell r="AS520">
            <v>43500</v>
          </cell>
          <cell r="AT520">
            <v>29</v>
          </cell>
          <cell r="AU520" t="str">
            <v>بطاقه شخصيه</v>
          </cell>
          <cell r="AV520" t="str">
            <v>00204811</v>
          </cell>
          <cell r="AW520">
            <v>1</v>
          </cell>
          <cell r="AX520">
            <v>1</v>
          </cell>
          <cell r="AY520">
            <v>8</v>
          </cell>
          <cell r="AZ520">
            <v>4</v>
          </cell>
          <cell r="BA520">
            <v>0</v>
          </cell>
          <cell r="BB520">
            <v>2</v>
          </cell>
          <cell r="BC520">
            <v>0</v>
          </cell>
          <cell r="BD520">
            <v>0</v>
          </cell>
          <cell r="BF520" t="str">
            <v>ايمان السنوسى</v>
          </cell>
          <cell r="BG520" t="str">
            <v>بحرى</v>
          </cell>
          <cell r="BH520" t="str">
            <v>الحاج يوسف</v>
          </cell>
          <cell r="BI520" t="str">
            <v>0927779649</v>
          </cell>
          <cell r="BJ520" t="str">
            <v>عماد السنوسى</v>
          </cell>
          <cell r="BL520" t="str">
            <v>خالي الطرف</v>
          </cell>
          <cell r="BN520">
            <v>43500</v>
          </cell>
          <cell r="BS520" t="str">
            <v>لحام وتوضيب</v>
          </cell>
          <cell r="BT520" t="str">
            <v>تدريب مهني</v>
          </cell>
          <cell r="BU520" t="str">
            <v xml:space="preserve">المجلس الاعلى للتدريب المهنى </v>
          </cell>
          <cell r="BV520">
            <v>41310</v>
          </cell>
          <cell r="CQ520" t="str">
            <v>سلاح الاسلحة والذخائر</v>
          </cell>
          <cell r="CR520" t="str">
            <v>فنى اصلاح وصيانه</v>
          </cell>
          <cell r="CS520">
            <v>40923</v>
          </cell>
          <cell r="CT520">
            <v>42073</v>
          </cell>
          <cell r="EQ520">
            <v>0</v>
          </cell>
          <cell r="FG520" t="str">
            <v xml:space="preserve"> مدير الانتاج</v>
          </cell>
          <cell r="FH520" t="str">
            <v>هشام عيسى محمد عبدالكريم</v>
          </cell>
          <cell r="FI520">
            <v>0</v>
          </cell>
        </row>
        <row r="521">
          <cell r="A521">
            <v>879</v>
          </cell>
          <cell r="B521" t="str">
            <v>على احمد سالمين كوكو</v>
          </cell>
          <cell r="O521">
            <v>0</v>
          </cell>
          <cell r="P521">
            <v>0</v>
          </cell>
          <cell r="R521">
            <v>0</v>
          </cell>
          <cell r="T521" t="str">
            <v>إستقال</v>
          </cell>
          <cell r="U521">
            <v>42635</v>
          </cell>
          <cell r="Z521">
            <v>31415</v>
          </cell>
          <cell r="AI521" t="str">
            <v>ميلاد</v>
          </cell>
          <cell r="AJ521" t="str">
            <v>86131</v>
          </cell>
          <cell r="AK521">
            <v>1</v>
          </cell>
          <cell r="AL521">
            <v>3</v>
          </cell>
          <cell r="AM521">
            <v>1</v>
          </cell>
          <cell r="AN521">
            <v>6</v>
          </cell>
          <cell r="AO521">
            <v>8</v>
          </cell>
          <cell r="AS521">
            <v>43500</v>
          </cell>
          <cell r="AT521">
            <v>33</v>
          </cell>
          <cell r="BE521" t="str">
            <v>119-6062181-6</v>
          </cell>
          <cell r="BF521" t="str">
            <v xml:space="preserve">ربيه محمد </v>
          </cell>
          <cell r="BG521" t="str">
            <v>العربى</v>
          </cell>
          <cell r="BH521" t="str">
            <v>الحلة الجديده</v>
          </cell>
          <cell r="BI521" t="str">
            <v>0920021206</v>
          </cell>
          <cell r="BJ521" t="str">
            <v>مصطفى احمد</v>
          </cell>
          <cell r="BL521" t="str">
            <v>خالي الطرف</v>
          </cell>
          <cell r="BN521">
            <v>43500</v>
          </cell>
          <cell r="BT521" t="str">
            <v>دبلوم (معاهد)</v>
          </cell>
          <cell r="BV521">
            <v>38777</v>
          </cell>
          <cell r="EQ521">
            <v>0</v>
          </cell>
          <cell r="FG521" t="e">
            <v>#N/A</v>
          </cell>
          <cell r="FH521" t="e">
            <v>#N/A</v>
          </cell>
          <cell r="FI521" t="str">
            <v>119-6062181-6</v>
          </cell>
        </row>
        <row r="522">
          <cell r="A522">
            <v>880</v>
          </cell>
          <cell r="B522" t="str">
            <v>احمد يوسف ادم محمد</v>
          </cell>
          <cell r="C522" t="str">
            <v>احمد</v>
          </cell>
          <cell r="D522" t="str">
            <v>يوسف</v>
          </cell>
          <cell r="E522" t="str">
            <v>ادم</v>
          </cell>
          <cell r="F522" t="str">
            <v>محمد</v>
          </cell>
          <cell r="G522" t="str">
            <v>المصنع</v>
          </cell>
          <cell r="H522" t="str">
            <v>الميكانيكا</v>
          </cell>
          <cell r="I522" t="str">
            <v>صيانه عامه</v>
          </cell>
          <cell r="M522">
            <v>42483</v>
          </cell>
          <cell r="N522">
            <v>43016</v>
          </cell>
          <cell r="O522">
            <v>1</v>
          </cell>
          <cell r="P522">
            <v>5</v>
          </cell>
          <cell r="R522">
            <v>42.5</v>
          </cell>
          <cell r="T522" t="str">
            <v>فصل</v>
          </cell>
          <cell r="U522">
            <v>43016</v>
          </cell>
          <cell r="V522">
            <v>43016</v>
          </cell>
          <cell r="AG522">
            <v>9</v>
          </cell>
          <cell r="AH522">
            <v>1</v>
          </cell>
          <cell r="AS522">
            <v>43500</v>
          </cell>
          <cell r="AT522">
            <v>119</v>
          </cell>
          <cell r="BG522" t="str">
            <v>الجزيره</v>
          </cell>
          <cell r="BH522" t="str">
            <v>الجزيره - التى</v>
          </cell>
          <cell r="BI522" t="str">
            <v>0911877115</v>
          </cell>
          <cell r="BJ522" t="str">
            <v>محمد يوسف ادم</v>
          </cell>
          <cell r="BK522" t="str">
            <v>0918941603</v>
          </cell>
          <cell r="BN522">
            <v>43500</v>
          </cell>
          <cell r="EQ522">
            <v>0</v>
          </cell>
          <cell r="FG522" t="str">
            <v>مدير الصيانه الميكانيكيه</v>
          </cell>
          <cell r="FH522" t="str">
            <v>محمد احمد محمد سليمان</v>
          </cell>
          <cell r="FI522">
            <v>0</v>
          </cell>
        </row>
        <row r="523">
          <cell r="A523">
            <v>881</v>
          </cell>
          <cell r="B523" t="str">
            <v>الباقر ابراهيم النعيم الحاج</v>
          </cell>
          <cell r="C523" t="str">
            <v>الباقر</v>
          </cell>
          <cell r="D523" t="str">
            <v>ابراهيم</v>
          </cell>
          <cell r="E523" t="str">
            <v>النعيم</v>
          </cell>
          <cell r="F523" t="str">
            <v>الحاج</v>
          </cell>
          <cell r="G523" t="str">
            <v>المصنع</v>
          </cell>
          <cell r="H523" t="str">
            <v>الانتاج</v>
          </cell>
          <cell r="L523" t="str">
            <v>عامل</v>
          </cell>
          <cell r="M523">
            <v>42492</v>
          </cell>
          <cell r="N523">
            <v>43500</v>
          </cell>
          <cell r="O523">
            <v>2</v>
          </cell>
          <cell r="P523">
            <v>9</v>
          </cell>
          <cell r="R523">
            <v>82.5</v>
          </cell>
          <cell r="T523" t="str">
            <v>توفي</v>
          </cell>
          <cell r="Z523">
            <v>25703</v>
          </cell>
          <cell r="AG523">
            <v>9</v>
          </cell>
          <cell r="AH523">
            <v>1</v>
          </cell>
          <cell r="AI523" t="str">
            <v>ميلاد</v>
          </cell>
          <cell r="AJ523" t="str">
            <v>167813</v>
          </cell>
          <cell r="AK523">
            <v>3</v>
          </cell>
          <cell r="AL523">
            <v>1</v>
          </cell>
          <cell r="AM523">
            <v>8</v>
          </cell>
          <cell r="AN523">
            <v>7</v>
          </cell>
          <cell r="AO523">
            <v>6</v>
          </cell>
          <cell r="AP523">
            <v>1</v>
          </cell>
          <cell r="AS523">
            <v>43500</v>
          </cell>
          <cell r="AT523">
            <v>48</v>
          </cell>
          <cell r="AU523" t="str">
            <v>جنسيه</v>
          </cell>
          <cell r="AV523" t="str">
            <v>024808</v>
          </cell>
          <cell r="AW523">
            <v>8</v>
          </cell>
          <cell r="AX523">
            <v>0</v>
          </cell>
          <cell r="AY523">
            <v>8</v>
          </cell>
          <cell r="AZ523">
            <v>4</v>
          </cell>
          <cell r="BA523">
            <v>2</v>
          </cell>
          <cell r="BB523">
            <v>0</v>
          </cell>
          <cell r="BE523" t="str">
            <v>182-2007650-3</v>
          </cell>
          <cell r="BF523" t="str">
            <v>امنه الحاج</v>
          </cell>
          <cell r="BG523" t="str">
            <v>الكلاكله</v>
          </cell>
          <cell r="BH523" t="str">
            <v>الكلاكله - الشقيلاب - موده</v>
          </cell>
          <cell r="BI523" t="str">
            <v>0912590221</v>
          </cell>
          <cell r="BJ523" t="str">
            <v>على إبراهيم النعيم</v>
          </cell>
          <cell r="BL523" t="str">
            <v>خالي الطرف</v>
          </cell>
          <cell r="BN523">
            <v>43500</v>
          </cell>
          <cell r="CQ523" t="str">
            <v>هيئة النقل النهرى</v>
          </cell>
          <cell r="CR523" t="str">
            <v>بحارى</v>
          </cell>
          <cell r="CS523">
            <v>34579</v>
          </cell>
          <cell r="CT523">
            <v>39629</v>
          </cell>
          <cell r="EQ523">
            <v>0</v>
          </cell>
          <cell r="FG523" t="str">
            <v xml:space="preserve"> مدير الانتاج</v>
          </cell>
          <cell r="FH523" t="str">
            <v>هشام عيسى محمد عبدالكريم</v>
          </cell>
          <cell r="FI523" t="str">
            <v>182-2007650-3</v>
          </cell>
        </row>
        <row r="524">
          <cell r="A524">
            <v>882</v>
          </cell>
          <cell r="B524" t="str">
            <v>محمد بشير عبدالكريم الهادى</v>
          </cell>
          <cell r="C524" t="str">
            <v>محمد</v>
          </cell>
          <cell r="D524" t="str">
            <v>بشير</v>
          </cell>
          <cell r="E524" t="str">
            <v>عبدالكريم</v>
          </cell>
          <cell r="F524" t="str">
            <v>الهادى</v>
          </cell>
          <cell r="G524" t="str">
            <v>المصنع</v>
          </cell>
          <cell r="H524" t="str">
            <v>الانتاج</v>
          </cell>
          <cell r="I524" t="str">
            <v>المواسير</v>
          </cell>
          <cell r="K524" t="str">
            <v>عامل</v>
          </cell>
          <cell r="L524" t="str">
            <v>عامل</v>
          </cell>
          <cell r="M524">
            <v>42504</v>
          </cell>
          <cell r="N524">
            <v>43500</v>
          </cell>
          <cell r="O524">
            <v>2</v>
          </cell>
          <cell r="P524">
            <v>8</v>
          </cell>
          <cell r="R524">
            <v>80</v>
          </cell>
          <cell r="Z524">
            <v>30077</v>
          </cell>
          <cell r="AG524">
            <v>9</v>
          </cell>
          <cell r="AH524">
            <v>1</v>
          </cell>
          <cell r="AI524" t="str">
            <v>ميلاد</v>
          </cell>
          <cell r="AJ524" t="str">
            <v>161201</v>
          </cell>
          <cell r="AK524">
            <v>1</v>
          </cell>
          <cell r="AL524">
            <v>0</v>
          </cell>
          <cell r="AM524">
            <v>2</v>
          </cell>
          <cell r="AN524">
            <v>1</v>
          </cell>
          <cell r="AO524">
            <v>6</v>
          </cell>
          <cell r="AP524">
            <v>1</v>
          </cell>
          <cell r="AS524">
            <v>43500</v>
          </cell>
          <cell r="AT524">
            <v>36</v>
          </cell>
          <cell r="AU524" t="str">
            <v>جنسيه</v>
          </cell>
          <cell r="AV524" t="str">
            <v>0511692</v>
          </cell>
          <cell r="AW524">
            <v>2</v>
          </cell>
          <cell r="AX524">
            <v>9</v>
          </cell>
          <cell r="AY524">
            <v>6</v>
          </cell>
          <cell r="AZ524">
            <v>1</v>
          </cell>
          <cell r="BA524">
            <v>1</v>
          </cell>
          <cell r="BB524">
            <v>5</v>
          </cell>
          <cell r="BC524">
            <v>0</v>
          </cell>
          <cell r="BE524" t="str">
            <v>190-0139728-4</v>
          </cell>
          <cell r="BF524" t="str">
            <v>زينب محمد احمد</v>
          </cell>
          <cell r="BG524" t="str">
            <v>العربى</v>
          </cell>
          <cell r="BH524" t="str">
            <v>سوبا - اللعوته</v>
          </cell>
          <cell r="BI524" t="str">
            <v>0127059802</v>
          </cell>
          <cell r="BJ524" t="str">
            <v>الهادى محمد زين</v>
          </cell>
          <cell r="BK524" t="str">
            <v>0122131279</v>
          </cell>
          <cell r="BL524" t="str">
            <v>خالي الطرف</v>
          </cell>
          <cell r="BN524">
            <v>43500</v>
          </cell>
          <cell r="BS524" t="str">
            <v>الهندسة الزراعية</v>
          </cell>
          <cell r="BT524" t="str">
            <v>دبلوم تقني</v>
          </cell>
          <cell r="BU524" t="str">
            <v>جامعة سنار</v>
          </cell>
          <cell r="BV524">
            <v>39104</v>
          </cell>
          <cell r="EQ524">
            <v>0</v>
          </cell>
          <cell r="FG524" t="str">
            <v xml:space="preserve"> مدير الانتاج</v>
          </cell>
          <cell r="FH524" t="str">
            <v>هشام عيسى محمد عبدالكريم</v>
          </cell>
          <cell r="FI524" t="str">
            <v>190-0139728-4</v>
          </cell>
        </row>
        <row r="525">
          <cell r="A525">
            <v>883</v>
          </cell>
          <cell r="B525" t="str">
            <v>مصطفى جاروط مصطفى جاروط</v>
          </cell>
          <cell r="C525" t="str">
            <v>مصطفى</v>
          </cell>
          <cell r="D525" t="str">
            <v>جاروط</v>
          </cell>
          <cell r="E525" t="str">
            <v>مصطفى</v>
          </cell>
          <cell r="F525" t="str">
            <v>جاروط</v>
          </cell>
          <cell r="G525" t="str">
            <v>المصنع</v>
          </cell>
          <cell r="H525" t="str">
            <v>الانتاج</v>
          </cell>
          <cell r="I525" t="str">
            <v>المواسير</v>
          </cell>
          <cell r="K525" t="str">
            <v>فني</v>
          </cell>
          <cell r="L525" t="str">
            <v>مشغل</v>
          </cell>
          <cell r="M525">
            <v>42504</v>
          </cell>
          <cell r="N525">
            <v>43500</v>
          </cell>
          <cell r="O525">
            <v>2</v>
          </cell>
          <cell r="P525">
            <v>8</v>
          </cell>
          <cell r="R525">
            <v>80</v>
          </cell>
          <cell r="Z525">
            <v>32143</v>
          </cell>
          <cell r="AG525">
            <v>9</v>
          </cell>
          <cell r="AH525">
            <v>1</v>
          </cell>
          <cell r="AI525" t="str">
            <v>تسنين</v>
          </cell>
          <cell r="AJ525" t="str">
            <v>011027</v>
          </cell>
          <cell r="AK525">
            <v>7</v>
          </cell>
          <cell r="AL525">
            <v>2</v>
          </cell>
          <cell r="AM525">
            <v>0</v>
          </cell>
          <cell r="AN525">
            <v>1</v>
          </cell>
          <cell r="AO525">
            <v>1</v>
          </cell>
          <cell r="AP525">
            <v>0</v>
          </cell>
          <cell r="AS525">
            <v>43500</v>
          </cell>
          <cell r="AT525">
            <v>31</v>
          </cell>
          <cell r="AU525" t="str">
            <v>بطاقه قوميه</v>
          </cell>
          <cell r="AV525" t="str">
            <v>001579783</v>
          </cell>
          <cell r="AW525">
            <v>3</v>
          </cell>
          <cell r="AX525">
            <v>8</v>
          </cell>
          <cell r="AY525">
            <v>7</v>
          </cell>
          <cell r="AZ525">
            <v>9</v>
          </cell>
          <cell r="BA525">
            <v>7</v>
          </cell>
          <cell r="BB525">
            <v>5</v>
          </cell>
          <cell r="BC525">
            <v>1</v>
          </cell>
          <cell r="BD525">
            <v>0</v>
          </cell>
          <cell r="BE525" t="str">
            <v>182-2870617-3</v>
          </cell>
          <cell r="BF525" t="str">
            <v>عواطف احمد مرحوم</v>
          </cell>
          <cell r="BG525" t="str">
            <v>العربى</v>
          </cell>
          <cell r="BH525" t="str">
            <v>الثوره - ح 59</v>
          </cell>
          <cell r="BI525" t="str">
            <v>0917267266</v>
          </cell>
          <cell r="BJ525" t="str">
            <v>يوسف إسماعيل</v>
          </cell>
          <cell r="BK525" t="str">
            <v>0911283985</v>
          </cell>
          <cell r="BL525" t="str">
            <v>خالي الطرف</v>
          </cell>
          <cell r="BN525">
            <v>43500</v>
          </cell>
          <cell r="BS525" t="str">
            <v>هندسة ميكانيكية ( إنتاج )</v>
          </cell>
          <cell r="BT525" t="str">
            <v>دبلوم وسيط</v>
          </cell>
          <cell r="BU525" t="str">
            <v>جامعة الامام المهدى</v>
          </cell>
          <cell r="BV525">
            <v>41585</v>
          </cell>
          <cell r="EQ525">
            <v>0</v>
          </cell>
          <cell r="FG525" t="str">
            <v xml:space="preserve"> مدير الانتاج</v>
          </cell>
          <cell r="FH525" t="str">
            <v>هشام عيسى محمد عبدالكريم</v>
          </cell>
          <cell r="FI525" t="str">
            <v>182-2870617-3</v>
          </cell>
        </row>
        <row r="526">
          <cell r="A526">
            <v>884</v>
          </cell>
          <cell r="B526" t="str">
            <v>SHAHID MIAH</v>
          </cell>
          <cell r="G526" t="str">
            <v>أجانب</v>
          </cell>
          <cell r="H526" t="str">
            <v>الانتاج</v>
          </cell>
          <cell r="N526">
            <v>43500</v>
          </cell>
          <cell r="O526">
            <v>119</v>
          </cell>
          <cell r="P526">
            <v>1</v>
          </cell>
          <cell r="R526">
            <v>3572.5</v>
          </cell>
          <cell r="T526" t="str">
            <v>m</v>
          </cell>
          <cell r="AG526">
            <v>9</v>
          </cell>
          <cell r="AH526">
            <v>1</v>
          </cell>
          <cell r="AS526">
            <v>43500</v>
          </cell>
          <cell r="AT526">
            <v>119</v>
          </cell>
          <cell r="BN526">
            <v>43500</v>
          </cell>
          <cell r="EQ526">
            <v>0</v>
          </cell>
          <cell r="FG526" t="str">
            <v xml:space="preserve"> مدير الانتاج</v>
          </cell>
          <cell r="FH526" t="str">
            <v>هشام عيسى محمد عبدالكريم</v>
          </cell>
          <cell r="FI526">
            <v>0</v>
          </cell>
        </row>
        <row r="527">
          <cell r="A527">
            <v>885</v>
          </cell>
          <cell r="B527" t="str">
            <v>MOHAMMED NAYEM MIAH</v>
          </cell>
          <cell r="G527" t="str">
            <v>أجانب</v>
          </cell>
          <cell r="H527" t="str">
            <v>الانتاج</v>
          </cell>
          <cell r="N527">
            <v>43500</v>
          </cell>
          <cell r="O527">
            <v>119</v>
          </cell>
          <cell r="P527">
            <v>1</v>
          </cell>
          <cell r="R527">
            <v>3572.5</v>
          </cell>
          <cell r="T527" t="str">
            <v>m</v>
          </cell>
          <cell r="AG527">
            <v>9</v>
          </cell>
          <cell r="AH527">
            <v>1</v>
          </cell>
          <cell r="AS527">
            <v>43500</v>
          </cell>
          <cell r="AT527">
            <v>119</v>
          </cell>
          <cell r="BN527">
            <v>43500</v>
          </cell>
          <cell r="EQ527">
            <v>0</v>
          </cell>
          <cell r="FG527" t="str">
            <v xml:space="preserve"> مدير الانتاج</v>
          </cell>
          <cell r="FH527" t="str">
            <v>هشام عيسى محمد عبدالكريم</v>
          </cell>
          <cell r="FI527">
            <v>0</v>
          </cell>
        </row>
        <row r="528">
          <cell r="A528">
            <v>886</v>
          </cell>
          <cell r="B528" t="str">
            <v>MUSTAKIN MIAH</v>
          </cell>
          <cell r="G528" t="str">
            <v>أجانب</v>
          </cell>
          <cell r="H528" t="str">
            <v>الانتاج</v>
          </cell>
          <cell r="N528">
            <v>43500</v>
          </cell>
          <cell r="O528">
            <v>119</v>
          </cell>
          <cell r="P528">
            <v>1</v>
          </cell>
          <cell r="R528">
            <v>3572.5</v>
          </cell>
          <cell r="T528" t="str">
            <v>m</v>
          </cell>
          <cell r="AG528">
            <v>9</v>
          </cell>
          <cell r="AH528">
            <v>1</v>
          </cell>
          <cell r="AS528">
            <v>43500</v>
          </cell>
          <cell r="AT528">
            <v>119</v>
          </cell>
          <cell r="BN528">
            <v>43500</v>
          </cell>
          <cell r="EQ528">
            <v>0</v>
          </cell>
          <cell r="FG528" t="str">
            <v xml:space="preserve"> مدير الانتاج</v>
          </cell>
          <cell r="FH528" t="str">
            <v>هشام عيسى محمد عبدالكريم</v>
          </cell>
          <cell r="FI528">
            <v>0</v>
          </cell>
        </row>
        <row r="529">
          <cell r="A529">
            <v>888</v>
          </cell>
          <cell r="B529" t="str">
            <v>RAHIM MIAH</v>
          </cell>
          <cell r="G529" t="str">
            <v>أجانب</v>
          </cell>
          <cell r="H529" t="str">
            <v>الانتاج</v>
          </cell>
          <cell r="N529">
            <v>43500</v>
          </cell>
          <cell r="O529">
            <v>119</v>
          </cell>
          <cell r="P529">
            <v>1</v>
          </cell>
          <cell r="R529">
            <v>3572.5</v>
          </cell>
          <cell r="T529" t="str">
            <v>m</v>
          </cell>
          <cell r="AG529">
            <v>9</v>
          </cell>
          <cell r="AH529">
            <v>1</v>
          </cell>
          <cell r="AS529">
            <v>43500</v>
          </cell>
          <cell r="AT529">
            <v>119</v>
          </cell>
          <cell r="BN529">
            <v>43500</v>
          </cell>
          <cell r="EQ529">
            <v>0</v>
          </cell>
          <cell r="FG529" t="str">
            <v xml:space="preserve"> مدير الانتاج</v>
          </cell>
          <cell r="FH529" t="str">
            <v>هشام عيسى محمد عبدالكريم</v>
          </cell>
          <cell r="FI529">
            <v>0</v>
          </cell>
        </row>
        <row r="530">
          <cell r="A530">
            <v>889</v>
          </cell>
          <cell r="B530" t="str">
            <v>MOHAMMED SHOHEL</v>
          </cell>
          <cell r="G530" t="str">
            <v>أجانب</v>
          </cell>
          <cell r="H530" t="str">
            <v>الانتاج</v>
          </cell>
          <cell r="N530">
            <v>43500</v>
          </cell>
          <cell r="O530">
            <v>119</v>
          </cell>
          <cell r="P530">
            <v>1</v>
          </cell>
          <cell r="R530">
            <v>3572.5</v>
          </cell>
          <cell r="T530" t="str">
            <v>m</v>
          </cell>
          <cell r="AG530">
            <v>9</v>
          </cell>
          <cell r="AH530">
            <v>1</v>
          </cell>
          <cell r="AS530">
            <v>43500</v>
          </cell>
          <cell r="AT530">
            <v>119</v>
          </cell>
          <cell r="BN530">
            <v>43500</v>
          </cell>
          <cell r="EQ530">
            <v>0</v>
          </cell>
          <cell r="FG530" t="str">
            <v xml:space="preserve"> مدير الانتاج</v>
          </cell>
          <cell r="FH530" t="str">
            <v>هشام عيسى محمد عبدالكريم</v>
          </cell>
          <cell r="FI530">
            <v>0</v>
          </cell>
        </row>
        <row r="531">
          <cell r="A531">
            <v>890</v>
          </cell>
          <cell r="B531" t="str">
            <v>NAGMOUE HASAN AHMED</v>
          </cell>
          <cell r="G531" t="str">
            <v>أجانب</v>
          </cell>
          <cell r="H531" t="str">
            <v>الانتاج</v>
          </cell>
          <cell r="N531">
            <v>43500</v>
          </cell>
          <cell r="O531">
            <v>119</v>
          </cell>
          <cell r="P531">
            <v>1</v>
          </cell>
          <cell r="R531">
            <v>3572.5</v>
          </cell>
          <cell r="T531" t="str">
            <v>m</v>
          </cell>
          <cell r="AG531">
            <v>9</v>
          </cell>
          <cell r="AH531">
            <v>1</v>
          </cell>
          <cell r="AS531">
            <v>43500</v>
          </cell>
          <cell r="AT531">
            <v>119</v>
          </cell>
          <cell r="BN531">
            <v>43500</v>
          </cell>
          <cell r="EQ531">
            <v>0</v>
          </cell>
          <cell r="FG531" t="str">
            <v xml:space="preserve"> مدير الانتاج</v>
          </cell>
          <cell r="FH531" t="str">
            <v>هشام عيسى محمد عبدالكريم</v>
          </cell>
          <cell r="FI531">
            <v>0</v>
          </cell>
        </row>
        <row r="532">
          <cell r="A532">
            <v>891</v>
          </cell>
          <cell r="B532" t="str">
            <v>MOHAMMED SHAHIMIM</v>
          </cell>
          <cell r="G532" t="str">
            <v>أجانب</v>
          </cell>
          <cell r="H532" t="str">
            <v>الانتاج</v>
          </cell>
          <cell r="N532">
            <v>43500</v>
          </cell>
          <cell r="O532">
            <v>119</v>
          </cell>
          <cell r="P532">
            <v>1</v>
          </cell>
          <cell r="R532">
            <v>3572.5</v>
          </cell>
          <cell r="T532" t="str">
            <v>m</v>
          </cell>
          <cell r="AG532">
            <v>9</v>
          </cell>
          <cell r="AH532">
            <v>1</v>
          </cell>
          <cell r="AS532">
            <v>43500</v>
          </cell>
          <cell r="AT532">
            <v>119</v>
          </cell>
          <cell r="BN532">
            <v>43500</v>
          </cell>
          <cell r="EQ532">
            <v>0</v>
          </cell>
          <cell r="FG532" t="str">
            <v xml:space="preserve"> مدير الانتاج</v>
          </cell>
          <cell r="FH532" t="str">
            <v>هشام عيسى محمد عبدالكريم</v>
          </cell>
          <cell r="FI532">
            <v>0</v>
          </cell>
        </row>
        <row r="533">
          <cell r="A533">
            <v>892</v>
          </cell>
          <cell r="B533" t="str">
            <v>MOHAMMED BAPPI</v>
          </cell>
          <cell r="G533" t="str">
            <v>أجانب</v>
          </cell>
          <cell r="H533" t="str">
            <v>الانتاج</v>
          </cell>
          <cell r="N533">
            <v>43500</v>
          </cell>
          <cell r="O533">
            <v>119</v>
          </cell>
          <cell r="P533">
            <v>1</v>
          </cell>
          <cell r="R533">
            <v>3572.5</v>
          </cell>
          <cell r="T533" t="str">
            <v>إستقال</v>
          </cell>
          <cell r="V533">
            <v>42735</v>
          </cell>
          <cell r="AG533">
            <v>9</v>
          </cell>
          <cell r="AH533">
            <v>1</v>
          </cell>
          <cell r="AS533">
            <v>43500</v>
          </cell>
          <cell r="AT533">
            <v>119</v>
          </cell>
          <cell r="BN533">
            <v>43500</v>
          </cell>
          <cell r="EQ533">
            <v>0</v>
          </cell>
          <cell r="FG533" t="str">
            <v xml:space="preserve"> مدير الانتاج</v>
          </cell>
          <cell r="FH533" t="str">
            <v>هشام عيسى محمد عبدالكريم</v>
          </cell>
          <cell r="FI533">
            <v>0</v>
          </cell>
        </row>
        <row r="534">
          <cell r="A534">
            <v>893</v>
          </cell>
          <cell r="B534" t="str">
            <v>MOHAMMED RASAL</v>
          </cell>
          <cell r="G534" t="str">
            <v>أجانب</v>
          </cell>
          <cell r="H534" t="str">
            <v>الانتاج</v>
          </cell>
          <cell r="N534">
            <v>43500</v>
          </cell>
          <cell r="O534">
            <v>119</v>
          </cell>
          <cell r="P534">
            <v>1</v>
          </cell>
          <cell r="R534">
            <v>3572.5</v>
          </cell>
          <cell r="T534" t="str">
            <v>m</v>
          </cell>
          <cell r="AG534">
            <v>9</v>
          </cell>
          <cell r="AH534">
            <v>1</v>
          </cell>
          <cell r="AS534">
            <v>43500</v>
          </cell>
          <cell r="AT534">
            <v>119</v>
          </cell>
          <cell r="BN534">
            <v>43500</v>
          </cell>
          <cell r="EQ534">
            <v>0</v>
          </cell>
          <cell r="FG534" t="str">
            <v xml:space="preserve"> مدير الانتاج</v>
          </cell>
          <cell r="FH534" t="str">
            <v>هشام عيسى محمد عبدالكريم</v>
          </cell>
          <cell r="FI534">
            <v>0</v>
          </cell>
        </row>
        <row r="535">
          <cell r="A535">
            <v>894</v>
          </cell>
          <cell r="B535" t="str">
            <v>مدثر على النور اسماعيل</v>
          </cell>
          <cell r="C535" t="str">
            <v>مدثر</v>
          </cell>
          <cell r="D535" t="str">
            <v>على</v>
          </cell>
          <cell r="E535" t="str">
            <v>النور</v>
          </cell>
          <cell r="F535" t="str">
            <v>اسماعيل</v>
          </cell>
          <cell r="G535" t="str">
            <v>المصنع</v>
          </cell>
          <cell r="H535" t="str">
            <v>الانتاج</v>
          </cell>
          <cell r="I535" t="str">
            <v>المواسير</v>
          </cell>
          <cell r="K535" t="str">
            <v>عامل</v>
          </cell>
          <cell r="L535" t="str">
            <v>مشغل كرين</v>
          </cell>
          <cell r="M535">
            <v>42509</v>
          </cell>
          <cell r="N535">
            <v>43500</v>
          </cell>
          <cell r="O535">
            <v>2</v>
          </cell>
          <cell r="P535">
            <v>8</v>
          </cell>
          <cell r="R535">
            <v>80</v>
          </cell>
          <cell r="Z535">
            <v>31679</v>
          </cell>
          <cell r="AG535">
            <v>9</v>
          </cell>
          <cell r="AH535">
            <v>1</v>
          </cell>
          <cell r="AI535" t="str">
            <v>ميلاد</v>
          </cell>
          <cell r="AJ535" t="str">
            <v>264023</v>
          </cell>
          <cell r="AS535">
            <v>43500</v>
          </cell>
          <cell r="AT535">
            <v>32</v>
          </cell>
          <cell r="AU535" t="str">
            <v>جنسيه</v>
          </cell>
          <cell r="AV535" t="str">
            <v>0334257</v>
          </cell>
          <cell r="AW535">
            <v>7</v>
          </cell>
          <cell r="AX535">
            <v>5</v>
          </cell>
          <cell r="AY535">
            <v>2</v>
          </cell>
          <cell r="AZ535">
            <v>4</v>
          </cell>
          <cell r="BA535">
            <v>3</v>
          </cell>
          <cell r="BB535">
            <v>3</v>
          </cell>
          <cell r="BC535">
            <v>0</v>
          </cell>
          <cell r="BE535" t="str">
            <v>119-9823979-4</v>
          </cell>
          <cell r="BF535" t="str">
            <v>فاطمه عبدالمجيد</v>
          </cell>
          <cell r="BG535" t="str">
            <v>بحرى</v>
          </cell>
          <cell r="BH535" t="str">
            <v>بحرى - السامراب</v>
          </cell>
          <cell r="BI535" t="str">
            <v>0999322366</v>
          </cell>
          <cell r="BJ535" t="str">
            <v>هشام عيسى</v>
          </cell>
          <cell r="BL535" t="str">
            <v>خالي الطرف</v>
          </cell>
          <cell r="BN535">
            <v>43500</v>
          </cell>
          <cell r="BS535" t="str">
            <v xml:space="preserve">الدراسات الإسلامية </v>
          </cell>
          <cell r="BT535" t="str">
            <v>بكلاريوس</v>
          </cell>
          <cell r="BU535" t="str">
            <v>جامعة امدرمان الاسلامية</v>
          </cell>
          <cell r="BV535">
            <v>41813</v>
          </cell>
          <cell r="EQ535">
            <v>0</v>
          </cell>
          <cell r="FG535" t="str">
            <v xml:space="preserve"> مدير الانتاج</v>
          </cell>
          <cell r="FH535" t="str">
            <v>هشام عيسى محمد عبدالكريم</v>
          </cell>
          <cell r="FI535" t="str">
            <v>119-9823979-4</v>
          </cell>
        </row>
        <row r="536">
          <cell r="A536">
            <v>895</v>
          </cell>
          <cell r="B536" t="str">
            <v>عبد الرحمن ادم اسماعيل حماد</v>
          </cell>
          <cell r="C536" t="str">
            <v>عبدالرحمن</v>
          </cell>
          <cell r="D536" t="str">
            <v>ادم</v>
          </cell>
          <cell r="E536" t="str">
            <v>اسماعيل</v>
          </cell>
          <cell r="F536" t="str">
            <v>حماد</v>
          </cell>
          <cell r="G536" t="str">
            <v>المصنع</v>
          </cell>
          <cell r="H536" t="str">
            <v>الميكانيكا</v>
          </cell>
          <cell r="K536" t="str">
            <v>حداد صيانة</v>
          </cell>
          <cell r="L536" t="str">
            <v>حداد صيانه</v>
          </cell>
          <cell r="M536">
            <v>42522</v>
          </cell>
          <cell r="N536">
            <v>43500</v>
          </cell>
          <cell r="O536">
            <v>2</v>
          </cell>
          <cell r="P536">
            <v>8</v>
          </cell>
          <cell r="R536">
            <v>80</v>
          </cell>
          <cell r="Z536">
            <v>23743</v>
          </cell>
          <cell r="AG536">
            <v>9</v>
          </cell>
          <cell r="AH536">
            <v>1</v>
          </cell>
          <cell r="AI536" t="str">
            <v>تسنين</v>
          </cell>
          <cell r="AJ536" t="str">
            <v>43156</v>
          </cell>
          <cell r="AS536">
            <v>43500</v>
          </cell>
          <cell r="AT536">
            <v>54</v>
          </cell>
          <cell r="AU536" t="str">
            <v>جنسيه</v>
          </cell>
          <cell r="AV536" t="str">
            <v>0232008</v>
          </cell>
          <cell r="AW536">
            <v>8</v>
          </cell>
          <cell r="AX536">
            <v>0</v>
          </cell>
          <cell r="AY536">
            <v>0</v>
          </cell>
          <cell r="AZ536">
            <v>2</v>
          </cell>
          <cell r="BA536">
            <v>3</v>
          </cell>
          <cell r="BB536">
            <v>2</v>
          </cell>
          <cell r="BC536">
            <v>0</v>
          </cell>
          <cell r="BE536" t="str">
            <v>120-3288191-9</v>
          </cell>
          <cell r="BF536" t="str">
            <v>مريم حسن مهدى</v>
          </cell>
          <cell r="BG536" t="str">
            <v>الجزيره</v>
          </cell>
          <cell r="BH536" t="str">
            <v>الجزيرة - السمير</v>
          </cell>
          <cell r="BI536" t="str">
            <v>0915401294</v>
          </cell>
          <cell r="BJ536" t="str">
            <v>هشام صالح</v>
          </cell>
          <cell r="BL536" t="str">
            <v>كبار سن</v>
          </cell>
          <cell r="BN536">
            <v>43500</v>
          </cell>
          <cell r="CQ536" t="str">
            <v>شركة فيرونايل للاستثمار والخدمات المحدودة</v>
          </cell>
          <cell r="CR536" t="str">
            <v>حداد</v>
          </cell>
          <cell r="CS536">
            <v>42249</v>
          </cell>
          <cell r="CT536">
            <v>42515</v>
          </cell>
          <cell r="CV536" t="str">
            <v>اعمال مصارف للخدمات والمقاولات</v>
          </cell>
          <cell r="CW536" t="str">
            <v>حداد</v>
          </cell>
          <cell r="CX536">
            <v>40909</v>
          </cell>
          <cell r="CY536">
            <v>41699</v>
          </cell>
          <cell r="EQ536">
            <v>0</v>
          </cell>
          <cell r="FG536" t="str">
            <v>مدير الصيانه الميكانيكيه</v>
          </cell>
          <cell r="FH536" t="str">
            <v>محمد احمد محمد سليمان</v>
          </cell>
          <cell r="FI536" t="str">
            <v>120-3288191-9</v>
          </cell>
        </row>
        <row r="537">
          <cell r="A537">
            <v>896</v>
          </cell>
          <cell r="B537" t="str">
            <v>محمد بخيت عثمان الصديق</v>
          </cell>
          <cell r="C537" t="str">
            <v>محمد</v>
          </cell>
          <cell r="D537" t="str">
            <v>بخيت</v>
          </cell>
          <cell r="E537" t="str">
            <v>عثمان</v>
          </cell>
          <cell r="F537" t="str">
            <v>الصديق</v>
          </cell>
          <cell r="G537" t="str">
            <v>المصنع</v>
          </cell>
          <cell r="H537" t="str">
            <v>الانتاج</v>
          </cell>
          <cell r="K537" t="str">
            <v>عامل</v>
          </cell>
          <cell r="L537" t="str">
            <v>عداد</v>
          </cell>
          <cell r="M537">
            <v>42522</v>
          </cell>
          <cell r="N537">
            <v>43500</v>
          </cell>
          <cell r="O537">
            <v>2</v>
          </cell>
          <cell r="P537">
            <v>8</v>
          </cell>
          <cell r="R537">
            <v>80</v>
          </cell>
          <cell r="Z537">
            <v>33425</v>
          </cell>
          <cell r="AG537">
            <v>9</v>
          </cell>
          <cell r="AH537">
            <v>1</v>
          </cell>
          <cell r="AI537" t="str">
            <v>ميلاد</v>
          </cell>
          <cell r="AJ537" t="str">
            <v>130710</v>
          </cell>
          <cell r="AS537">
            <v>43500</v>
          </cell>
          <cell r="AT537">
            <v>27</v>
          </cell>
          <cell r="AU537" t="str">
            <v>بطاقه قوميه</v>
          </cell>
          <cell r="AV537" t="str">
            <v>000960554</v>
          </cell>
          <cell r="AW537">
            <v>4</v>
          </cell>
          <cell r="AX537">
            <v>5</v>
          </cell>
          <cell r="AY537">
            <v>5</v>
          </cell>
          <cell r="AZ537">
            <v>0</v>
          </cell>
          <cell r="BA537">
            <v>6</v>
          </cell>
          <cell r="BB537">
            <v>9</v>
          </cell>
          <cell r="BC537">
            <v>0</v>
          </cell>
          <cell r="BD537">
            <v>0</v>
          </cell>
          <cell r="BE537" t="str">
            <v>190-2554488-9</v>
          </cell>
          <cell r="BF537" t="str">
            <v>انعام الامين</v>
          </cell>
          <cell r="BG537" t="str">
            <v>الجزيره</v>
          </cell>
          <cell r="BH537" t="str">
            <v>الجزيرة - النوبة</v>
          </cell>
          <cell r="BI537" t="str">
            <v>0924980213</v>
          </cell>
          <cell r="BJ537" t="str">
            <v>ماهر محمد الامين</v>
          </cell>
          <cell r="BL537" t="str">
            <v>خالي الطرف</v>
          </cell>
          <cell r="BN537">
            <v>43500</v>
          </cell>
          <cell r="BS537" t="str">
            <v>إدارة المكاتب</v>
          </cell>
          <cell r="BT537" t="str">
            <v>دبلوم تقني</v>
          </cell>
          <cell r="BU537" t="str">
            <v>جامعة السودان للعلوم والتكنولوجيا</v>
          </cell>
          <cell r="BV537">
            <v>42278</v>
          </cell>
          <cell r="EQ537">
            <v>0</v>
          </cell>
          <cell r="FG537" t="str">
            <v xml:space="preserve"> مدير الانتاج</v>
          </cell>
          <cell r="FH537" t="str">
            <v>هشام عيسى محمد عبدالكريم</v>
          </cell>
          <cell r="FI537" t="str">
            <v>190-2554488-9</v>
          </cell>
        </row>
        <row r="538">
          <cell r="A538">
            <v>897</v>
          </cell>
          <cell r="B538" t="str">
            <v>بشير صالح بشير صالح</v>
          </cell>
          <cell r="C538" t="str">
            <v>بشير</v>
          </cell>
          <cell r="D538" t="str">
            <v>صالح</v>
          </cell>
          <cell r="E538" t="str">
            <v>بشير</v>
          </cell>
          <cell r="F538" t="str">
            <v>صالح</v>
          </cell>
          <cell r="G538" t="str">
            <v>المصنع</v>
          </cell>
          <cell r="H538" t="str">
            <v>الانتاج</v>
          </cell>
          <cell r="K538" t="str">
            <v>عامل</v>
          </cell>
          <cell r="L538" t="str">
            <v>عامل</v>
          </cell>
          <cell r="M538">
            <v>42523</v>
          </cell>
          <cell r="O538" t="e">
            <v>#NUM!</v>
          </cell>
          <cell r="P538" t="e">
            <v>#NUM!</v>
          </cell>
          <cell r="R538" t="e">
            <v>#NUM!</v>
          </cell>
          <cell r="T538" t="str">
            <v>m</v>
          </cell>
          <cell r="Z538">
            <v>30654</v>
          </cell>
          <cell r="AI538" t="str">
            <v>ميلاد</v>
          </cell>
          <cell r="AJ538" t="str">
            <v>563548</v>
          </cell>
          <cell r="AS538">
            <v>43500</v>
          </cell>
          <cell r="AT538">
            <v>35</v>
          </cell>
          <cell r="BE538" t="str">
            <v>101-0120288-2</v>
          </cell>
          <cell r="BF538" t="str">
            <v>روضه طه عبدالرحيم</v>
          </cell>
          <cell r="BH538" t="str">
            <v>امدرمان - ابروف</v>
          </cell>
          <cell r="BI538" t="str">
            <v>0915255479</v>
          </cell>
          <cell r="BL538" t="str">
            <v>خالي الطرف</v>
          </cell>
          <cell r="BN538">
            <v>43500</v>
          </cell>
          <cell r="BS538" t="str">
            <v>هندسة كهرباء</v>
          </cell>
          <cell r="BT538" t="str">
            <v>دبلوم تقني</v>
          </cell>
          <cell r="BU538" t="str">
            <v>جامعة امدرمان الاسلامية</v>
          </cell>
          <cell r="BV538">
            <v>39234</v>
          </cell>
          <cell r="EQ538">
            <v>0</v>
          </cell>
          <cell r="FG538" t="str">
            <v xml:space="preserve"> مدير الانتاج</v>
          </cell>
          <cell r="FH538" t="str">
            <v>هشام عيسى محمد عبدالكريم</v>
          </cell>
          <cell r="FI538" t="str">
            <v>101-0120288-2</v>
          </cell>
        </row>
        <row r="539">
          <cell r="A539">
            <v>898</v>
          </cell>
          <cell r="B539" t="str">
            <v>محمد صالح محمد عبد الله</v>
          </cell>
          <cell r="C539" t="str">
            <v>محمد</v>
          </cell>
          <cell r="D539" t="str">
            <v>صالح</v>
          </cell>
          <cell r="E539" t="str">
            <v>محمد</v>
          </cell>
          <cell r="F539" t="str">
            <v>عبدالله</v>
          </cell>
          <cell r="G539" t="str">
            <v>المصنع</v>
          </cell>
          <cell r="H539" t="str">
            <v>الانتاج</v>
          </cell>
          <cell r="K539" t="str">
            <v>عامل</v>
          </cell>
          <cell r="L539" t="str">
            <v>عامل</v>
          </cell>
          <cell r="M539">
            <v>42523</v>
          </cell>
          <cell r="N539">
            <v>42705</v>
          </cell>
          <cell r="O539">
            <v>0</v>
          </cell>
          <cell r="P539">
            <v>5</v>
          </cell>
          <cell r="R539">
            <v>12.5</v>
          </cell>
          <cell r="T539" t="str">
            <v>إستقال</v>
          </cell>
          <cell r="Z539">
            <v>32784</v>
          </cell>
          <cell r="AG539">
            <v>9</v>
          </cell>
          <cell r="AH539">
            <v>1</v>
          </cell>
          <cell r="AI539" t="str">
            <v>ميلاد</v>
          </cell>
          <cell r="AJ539" t="str">
            <v>029616</v>
          </cell>
          <cell r="AS539">
            <v>43500</v>
          </cell>
          <cell r="AT539">
            <v>29</v>
          </cell>
          <cell r="AU539" t="str">
            <v>جواز سفر</v>
          </cell>
          <cell r="AV539" t="str">
            <v>00691867</v>
          </cell>
          <cell r="AW539">
            <v>7</v>
          </cell>
          <cell r="AX539">
            <v>6</v>
          </cell>
          <cell r="AY539">
            <v>8</v>
          </cell>
          <cell r="AZ539">
            <v>1</v>
          </cell>
          <cell r="BA539">
            <v>9</v>
          </cell>
          <cell r="BB539">
            <v>6</v>
          </cell>
          <cell r="BC539">
            <v>0</v>
          </cell>
          <cell r="BD539">
            <v>0</v>
          </cell>
          <cell r="BE539" t="str">
            <v>115-1886967-1</v>
          </cell>
          <cell r="BF539" t="str">
            <v>ام كلثوم حامد جاد الكريم</v>
          </cell>
          <cell r="BH539" t="str">
            <v>الثوره - ح 51</v>
          </cell>
          <cell r="BI539" t="str">
            <v>0903737035</v>
          </cell>
          <cell r="BL539" t="str">
            <v>خالي الطرف</v>
          </cell>
          <cell r="BN539">
            <v>43500</v>
          </cell>
          <cell r="EQ539">
            <v>0</v>
          </cell>
          <cell r="FG539" t="str">
            <v xml:space="preserve"> مدير الانتاج</v>
          </cell>
          <cell r="FH539" t="str">
            <v>هشام عيسى محمد عبدالكريم</v>
          </cell>
          <cell r="FI539" t="str">
            <v>115-1886967-1</v>
          </cell>
        </row>
        <row r="540">
          <cell r="A540">
            <v>899</v>
          </cell>
          <cell r="B540" t="str">
            <v>محمد احمد فضل السيد</v>
          </cell>
          <cell r="C540" t="str">
            <v>محمد</v>
          </cell>
          <cell r="D540" t="str">
            <v>احمد</v>
          </cell>
          <cell r="E540" t="str">
            <v>فضل السيد</v>
          </cell>
          <cell r="G540" t="str">
            <v>المصنع</v>
          </cell>
          <cell r="H540" t="str">
            <v>الانتاج</v>
          </cell>
          <cell r="K540" t="str">
            <v>عامل</v>
          </cell>
          <cell r="L540" t="str">
            <v>عامل</v>
          </cell>
          <cell r="M540">
            <v>42526</v>
          </cell>
          <cell r="O540" t="e">
            <v>#NUM!</v>
          </cell>
          <cell r="P540" t="e">
            <v>#NUM!</v>
          </cell>
          <cell r="R540" t="e">
            <v>#NUM!</v>
          </cell>
          <cell r="T540" t="str">
            <v>إستقال</v>
          </cell>
          <cell r="U540">
            <v>42544</v>
          </cell>
          <cell r="Z540">
            <v>32136</v>
          </cell>
          <cell r="AI540" t="str">
            <v>ميلاد</v>
          </cell>
          <cell r="AJ540" t="str">
            <v>575070</v>
          </cell>
          <cell r="AS540">
            <v>43500</v>
          </cell>
          <cell r="AT540">
            <v>31</v>
          </cell>
          <cell r="AU540" t="str">
            <v>جنسيه</v>
          </cell>
          <cell r="AV540" t="str">
            <v>0569257</v>
          </cell>
          <cell r="AW540">
            <v>7</v>
          </cell>
          <cell r="AX540">
            <v>5</v>
          </cell>
          <cell r="AY540">
            <v>2</v>
          </cell>
          <cell r="AZ540">
            <v>9</v>
          </cell>
          <cell r="BA540">
            <v>6</v>
          </cell>
          <cell r="BB540">
            <v>5</v>
          </cell>
          <cell r="BC540">
            <v>0</v>
          </cell>
          <cell r="BE540" t="str">
            <v>119-8079506-0</v>
          </cell>
          <cell r="BF540" t="str">
            <v>هنادى محمد احمد</v>
          </cell>
          <cell r="BH540" t="str">
            <v>سوبا - الحله</v>
          </cell>
          <cell r="BI540" t="str">
            <v>0915941196</v>
          </cell>
          <cell r="BL540" t="str">
            <v>خالي الطرف</v>
          </cell>
          <cell r="BN540">
            <v>43500</v>
          </cell>
          <cell r="EQ540">
            <v>0</v>
          </cell>
          <cell r="FG540" t="str">
            <v xml:space="preserve"> مدير الانتاج</v>
          </cell>
          <cell r="FH540" t="str">
            <v>هشام عيسى محمد عبدالكريم</v>
          </cell>
          <cell r="FI540" t="str">
            <v>119-8079506-0</v>
          </cell>
        </row>
        <row r="541">
          <cell r="A541">
            <v>900</v>
          </cell>
          <cell r="B541" t="str">
            <v>عثمان على عثمان على</v>
          </cell>
          <cell r="C541" t="str">
            <v>عثمان</v>
          </cell>
          <cell r="D541" t="str">
            <v>على</v>
          </cell>
          <cell r="E541" t="str">
            <v>عثمان</v>
          </cell>
          <cell r="F541" t="str">
            <v>على</v>
          </cell>
          <cell r="G541" t="str">
            <v>المصنع</v>
          </cell>
          <cell r="H541" t="str">
            <v>الماليه</v>
          </cell>
          <cell r="K541" t="str">
            <v>محاسب</v>
          </cell>
          <cell r="L541" t="str">
            <v>محاسب</v>
          </cell>
          <cell r="M541">
            <v>42523</v>
          </cell>
          <cell r="N541">
            <v>43500</v>
          </cell>
          <cell r="O541">
            <v>2</v>
          </cell>
          <cell r="P541">
            <v>8</v>
          </cell>
          <cell r="R541">
            <v>80</v>
          </cell>
          <cell r="Z541">
            <v>30010</v>
          </cell>
          <cell r="AG541">
            <v>9</v>
          </cell>
          <cell r="AH541">
            <v>1</v>
          </cell>
          <cell r="AI541" t="str">
            <v>ميلاد</v>
          </cell>
          <cell r="AJ541" t="str">
            <v>223734</v>
          </cell>
          <cell r="AS541">
            <v>43500</v>
          </cell>
          <cell r="AT541">
            <v>36</v>
          </cell>
          <cell r="BE541" t="str">
            <v>120-0907890-0</v>
          </cell>
          <cell r="BF541" t="str">
            <v>رجبية الله جابو نورين</v>
          </cell>
          <cell r="BG541" t="str">
            <v>بحرى</v>
          </cell>
          <cell r="BH541" t="str">
            <v>بحرى - كوبر م 6</v>
          </cell>
          <cell r="BI541" t="str">
            <v>0912267821</v>
          </cell>
          <cell r="BJ541" t="str">
            <v>عاصم محمد فضل</v>
          </cell>
          <cell r="BL541" t="str">
            <v>خالي الطرف</v>
          </cell>
          <cell r="BN541">
            <v>43500</v>
          </cell>
          <cell r="BS541" t="str">
            <v>محاسبة وإدارة الاعمال</v>
          </cell>
          <cell r="BT541" t="str">
            <v>دبلوم تقني</v>
          </cell>
          <cell r="BU541" t="str">
            <v>كلية افريقيا</v>
          </cell>
          <cell r="BV541">
            <v>37975</v>
          </cell>
          <cell r="CQ541" t="str">
            <v>صديق والزاكى وشركاهم للمحاسبة والمراجعة</v>
          </cell>
          <cell r="CR541" t="str">
            <v>متدرب</v>
          </cell>
          <cell r="CS541">
            <v>38063</v>
          </cell>
          <cell r="CT541">
            <v>38817</v>
          </cell>
          <cell r="CV541" t="str">
            <v>شركة اند ايه للهندسة والانشاءات المحدودة</v>
          </cell>
          <cell r="CW541" t="str">
            <v>محاسب</v>
          </cell>
          <cell r="CX541">
            <v>39512</v>
          </cell>
          <cell r="CY541">
            <v>39979</v>
          </cell>
          <cell r="DA541" t="str">
            <v>مصنع بست للمواد الغذائية</v>
          </cell>
          <cell r="DB541" t="str">
            <v>صراف</v>
          </cell>
          <cell r="DC541">
            <v>40335</v>
          </cell>
          <cell r="DD541">
            <v>40406</v>
          </cell>
          <cell r="DF541" t="str">
            <v>مصنع يثرب للمياه النقية والعصائر</v>
          </cell>
          <cell r="DG541" t="str">
            <v>محاسب</v>
          </cell>
          <cell r="DH541">
            <v>41122</v>
          </cell>
          <cell r="DI541">
            <v>41395</v>
          </cell>
          <cell r="EQ541">
            <v>0</v>
          </cell>
          <cell r="FG541" t="str">
            <v>المدير المالي</v>
          </cell>
          <cell r="FH541" t="str">
            <v>بالانابه</v>
          </cell>
          <cell r="FI541" t="str">
            <v>120-0907890-0</v>
          </cell>
        </row>
        <row r="542">
          <cell r="A542">
            <v>901</v>
          </cell>
          <cell r="B542" t="str">
            <v>إبراهيم حسين طه بقادى</v>
          </cell>
          <cell r="C542" t="str">
            <v>ابراهيم</v>
          </cell>
          <cell r="D542" t="str">
            <v>حسين</v>
          </cell>
          <cell r="E542" t="str">
            <v>طه</v>
          </cell>
          <cell r="F542" t="str">
            <v>بقادى</v>
          </cell>
          <cell r="G542" t="str">
            <v>المصنع</v>
          </cell>
          <cell r="H542" t="str">
            <v>المستودعات</v>
          </cell>
          <cell r="L542" t="str">
            <v>التحميل</v>
          </cell>
          <cell r="M542">
            <v>42541</v>
          </cell>
          <cell r="O542" t="e">
            <v>#NUM!</v>
          </cell>
          <cell r="P542" t="e">
            <v>#NUM!</v>
          </cell>
          <cell r="R542" t="e">
            <v>#NUM!</v>
          </cell>
          <cell r="T542" t="str">
            <v>m</v>
          </cell>
          <cell r="Z542">
            <v>31572</v>
          </cell>
          <cell r="AI542" t="str">
            <v>ميلاد</v>
          </cell>
          <cell r="AJ542" t="str">
            <v>502881</v>
          </cell>
          <cell r="AS542">
            <v>43500</v>
          </cell>
          <cell r="AT542">
            <v>32</v>
          </cell>
          <cell r="AU542" t="str">
            <v>جنسيه</v>
          </cell>
          <cell r="AV542" t="str">
            <v>0053477</v>
          </cell>
          <cell r="AW542">
            <v>7</v>
          </cell>
          <cell r="AX542">
            <v>7</v>
          </cell>
          <cell r="AY542">
            <v>4</v>
          </cell>
          <cell r="AZ542">
            <v>3</v>
          </cell>
          <cell r="BA542">
            <v>5</v>
          </cell>
          <cell r="BB542">
            <v>0</v>
          </cell>
          <cell r="BC542">
            <v>0</v>
          </cell>
          <cell r="BE542" t="str">
            <v>120-7405973-3</v>
          </cell>
          <cell r="BF542" t="str">
            <v>جميله ادم مطر</v>
          </cell>
          <cell r="BG542" t="str">
            <v>الكلاكله</v>
          </cell>
          <cell r="BH542" t="str">
            <v>الكلاكلة - القبة</v>
          </cell>
          <cell r="BI542" t="str">
            <v>0116844727</v>
          </cell>
          <cell r="BJ542" t="str">
            <v>بقادى حسين طه بقادى</v>
          </cell>
          <cell r="BK542" t="str">
            <v>0910838406</v>
          </cell>
          <cell r="BL542" t="str">
            <v>خالي الطرف</v>
          </cell>
          <cell r="BN542">
            <v>43500</v>
          </cell>
          <cell r="BS542" t="str">
            <v>إدارة الاعمال</v>
          </cell>
          <cell r="BT542" t="str">
            <v>بكلاريوس</v>
          </cell>
          <cell r="BU542" t="str">
            <v>جامعة جوبا</v>
          </cell>
          <cell r="BV542">
            <v>40600</v>
          </cell>
          <cell r="EQ542">
            <v>0</v>
          </cell>
          <cell r="FG542" t="str">
            <v>مدير المستودعات</v>
          </cell>
          <cell r="FH542" t="str">
            <v>على احمد على بابكر</v>
          </cell>
          <cell r="FI542" t="str">
            <v>120-7405973-3</v>
          </cell>
        </row>
        <row r="543">
          <cell r="A543">
            <v>902</v>
          </cell>
          <cell r="B543" t="str">
            <v>جمال حامد عبد الكريم العبيد</v>
          </cell>
          <cell r="C543" t="str">
            <v>جمال</v>
          </cell>
          <cell r="D543" t="str">
            <v>حامد</v>
          </cell>
          <cell r="E543" t="str">
            <v>عبدالكريم</v>
          </cell>
          <cell r="F543" t="str">
            <v>العبيد</v>
          </cell>
          <cell r="G543" t="str">
            <v>المصنع</v>
          </cell>
          <cell r="H543" t="str">
            <v>الاليات</v>
          </cell>
          <cell r="K543" t="str">
            <v>فنى صيانة اليات</v>
          </cell>
          <cell r="L543" t="str">
            <v>مسئول قسم الاليات</v>
          </cell>
          <cell r="M543">
            <v>42541</v>
          </cell>
          <cell r="N543">
            <v>43500</v>
          </cell>
          <cell r="O543">
            <v>2</v>
          </cell>
          <cell r="P543">
            <v>7</v>
          </cell>
          <cell r="R543">
            <v>77.5</v>
          </cell>
          <cell r="Z543">
            <v>23231</v>
          </cell>
          <cell r="AG543">
            <v>9</v>
          </cell>
          <cell r="AH543">
            <v>1</v>
          </cell>
          <cell r="AI543" t="str">
            <v>ميلاد</v>
          </cell>
          <cell r="AJ543" t="str">
            <v>0474429</v>
          </cell>
          <cell r="AS543">
            <v>43500</v>
          </cell>
          <cell r="AT543">
            <v>55</v>
          </cell>
          <cell r="AU543" t="str">
            <v>جنسيه</v>
          </cell>
          <cell r="AV543" t="str">
            <v>885262</v>
          </cell>
          <cell r="AW543">
            <v>2</v>
          </cell>
          <cell r="AX543">
            <v>6</v>
          </cell>
          <cell r="AY543">
            <v>2</v>
          </cell>
          <cell r="AZ543">
            <v>5</v>
          </cell>
          <cell r="BA543">
            <v>8</v>
          </cell>
          <cell r="BB543">
            <v>8</v>
          </cell>
          <cell r="BE543" t="str">
            <v>115-1155786-3</v>
          </cell>
          <cell r="BF543" t="str">
            <v>النعمه على العوض</v>
          </cell>
          <cell r="BG543" t="str">
            <v>الكلاكله</v>
          </cell>
          <cell r="BH543" t="str">
            <v>الكلاكلة - القطينه</v>
          </cell>
          <cell r="BI543" t="str">
            <v>0912191384</v>
          </cell>
          <cell r="BJ543" t="str">
            <v>الفاتح محمد عامر</v>
          </cell>
          <cell r="BL543" t="str">
            <v>كبار سن</v>
          </cell>
          <cell r="BN543">
            <v>43500</v>
          </cell>
          <cell r="CQ543" t="str">
            <v>مصنع مينا للصناعات الحديدية</v>
          </cell>
          <cell r="CR543" t="str">
            <v>فنى ميكانيكى</v>
          </cell>
          <cell r="CS543">
            <v>40210</v>
          </cell>
          <cell r="CT543">
            <v>42005</v>
          </cell>
          <cell r="CV543" t="str">
            <v>مصنع الشهيد ابانوب لتصنيع الحديد</v>
          </cell>
          <cell r="CW543" t="str">
            <v>ميكانيكى اليات</v>
          </cell>
          <cell r="CX543">
            <v>41320</v>
          </cell>
          <cell r="CY543">
            <v>42530</v>
          </cell>
          <cell r="EP543">
            <v>30</v>
          </cell>
          <cell r="EQ543">
            <v>30</v>
          </cell>
          <cell r="FG543" t="str">
            <v>مسئول قسم الاليات</v>
          </cell>
          <cell r="FH543" t="str">
            <v>جمال حامد عبد الكريم العبيد</v>
          </cell>
          <cell r="FI543" t="str">
            <v>115-1155786-3</v>
          </cell>
        </row>
        <row r="544">
          <cell r="A544">
            <v>903</v>
          </cell>
          <cell r="B544" t="str">
            <v>راضى عوض ختم محمد</v>
          </cell>
          <cell r="G544" t="str">
            <v>المصنع</v>
          </cell>
          <cell r="H544" t="str">
            <v>الانتاج</v>
          </cell>
          <cell r="K544" t="str">
            <v>عامل</v>
          </cell>
          <cell r="L544" t="str">
            <v>عامل</v>
          </cell>
          <cell r="M544">
            <v>42564</v>
          </cell>
          <cell r="N544">
            <v>42735</v>
          </cell>
          <cell r="O544">
            <v>0</v>
          </cell>
          <cell r="P544">
            <v>5</v>
          </cell>
          <cell r="R544">
            <v>12.5</v>
          </cell>
          <cell r="T544" t="str">
            <v>فصل</v>
          </cell>
          <cell r="Z544">
            <v>33955</v>
          </cell>
          <cell r="AG544">
            <v>9</v>
          </cell>
          <cell r="AH544">
            <v>1</v>
          </cell>
          <cell r="AI544" t="str">
            <v>ميلاد</v>
          </cell>
          <cell r="AJ544" t="str">
            <v>732272</v>
          </cell>
          <cell r="AS544">
            <v>43500</v>
          </cell>
          <cell r="AT544">
            <v>26</v>
          </cell>
          <cell r="AU544" t="str">
            <v>جنسيه</v>
          </cell>
          <cell r="AV544" t="str">
            <v>0853372</v>
          </cell>
          <cell r="AW544">
            <v>2</v>
          </cell>
          <cell r="AX544">
            <v>7</v>
          </cell>
          <cell r="AY544">
            <v>3</v>
          </cell>
          <cell r="AZ544">
            <v>3</v>
          </cell>
          <cell r="BA544">
            <v>5</v>
          </cell>
          <cell r="BB544">
            <v>8</v>
          </cell>
          <cell r="BC544">
            <v>0</v>
          </cell>
          <cell r="BE544" t="str">
            <v>119-4810861-6</v>
          </cell>
          <cell r="BF544" t="str">
            <v>سكينه مختار محمد</v>
          </cell>
          <cell r="BG544" t="str">
            <v>الجزيره</v>
          </cell>
          <cell r="BH544" t="str">
            <v>الجزيره - المسعودية</v>
          </cell>
          <cell r="BI544" t="str">
            <v>0906738080</v>
          </cell>
          <cell r="BJ544" t="str">
            <v>عوض ختم</v>
          </cell>
          <cell r="BL544" t="str">
            <v>خالي الطرف</v>
          </cell>
          <cell r="BN544">
            <v>43500</v>
          </cell>
          <cell r="BS544" t="str">
            <v>إدارة المكاتب</v>
          </cell>
          <cell r="BT544" t="str">
            <v>دبلوم تقني</v>
          </cell>
          <cell r="BU544" t="str">
            <v>جامعة السودان للعلوم والتكنولوجيا</v>
          </cell>
          <cell r="BV544">
            <v>41536</v>
          </cell>
          <cell r="EQ544">
            <v>0</v>
          </cell>
          <cell r="FG544" t="str">
            <v xml:space="preserve"> مدير الانتاج</v>
          </cell>
          <cell r="FH544" t="str">
            <v>هشام عيسى محمد عبدالكريم</v>
          </cell>
          <cell r="FI544" t="str">
            <v>119-4810861-6</v>
          </cell>
        </row>
        <row r="545">
          <cell r="A545">
            <v>904</v>
          </cell>
          <cell r="B545" t="str">
            <v>الشيخ محمد ادم احمد</v>
          </cell>
          <cell r="C545" t="str">
            <v>الشيخ</v>
          </cell>
          <cell r="D545" t="str">
            <v>محمد</v>
          </cell>
          <cell r="E545" t="str">
            <v>ادم</v>
          </cell>
          <cell r="F545" t="str">
            <v>احمد</v>
          </cell>
          <cell r="G545" t="str">
            <v>المصنع</v>
          </cell>
          <cell r="H545" t="str">
            <v>الانتاج</v>
          </cell>
          <cell r="K545" t="str">
            <v>عامل</v>
          </cell>
          <cell r="L545" t="str">
            <v>عامل</v>
          </cell>
          <cell r="M545">
            <v>42569</v>
          </cell>
          <cell r="N545">
            <v>43500</v>
          </cell>
          <cell r="O545">
            <v>2</v>
          </cell>
          <cell r="P545">
            <v>6</v>
          </cell>
          <cell r="R545">
            <v>75</v>
          </cell>
          <cell r="Z545">
            <v>29587</v>
          </cell>
          <cell r="AG545">
            <v>9</v>
          </cell>
          <cell r="AH545">
            <v>1</v>
          </cell>
          <cell r="AI545" t="str">
            <v>تسنين</v>
          </cell>
          <cell r="AJ545" t="str">
            <v>0045373</v>
          </cell>
          <cell r="AS545">
            <v>43500</v>
          </cell>
          <cell r="AT545">
            <v>38</v>
          </cell>
          <cell r="AU545" t="str">
            <v>بطاقه قوميه</v>
          </cell>
          <cell r="AV545" t="str">
            <v>001688148</v>
          </cell>
          <cell r="AW545">
            <v>8</v>
          </cell>
          <cell r="AX545">
            <v>4</v>
          </cell>
          <cell r="AY545">
            <v>1</v>
          </cell>
          <cell r="AZ545">
            <v>8</v>
          </cell>
          <cell r="BA545">
            <v>8</v>
          </cell>
          <cell r="BB545">
            <v>6</v>
          </cell>
          <cell r="BC545">
            <v>1</v>
          </cell>
          <cell r="BD545">
            <v>0</v>
          </cell>
          <cell r="BE545" t="str">
            <v>119-1171006-6</v>
          </cell>
          <cell r="BF545" t="str">
            <v>فاطمه حموده احمد</v>
          </cell>
          <cell r="BI545" t="str">
            <v>0902503204</v>
          </cell>
          <cell r="BL545" t="str">
            <v>خالي الطرف</v>
          </cell>
          <cell r="BN545">
            <v>43500</v>
          </cell>
          <cell r="CQ545" t="str">
            <v>شركة جياد للصناعات الحديدية المحدودة</v>
          </cell>
          <cell r="CR545" t="str">
            <v>عامل</v>
          </cell>
          <cell r="CS545">
            <v>38899</v>
          </cell>
          <cell r="CT545">
            <v>41596</v>
          </cell>
          <cell r="EQ545">
            <v>0</v>
          </cell>
          <cell r="FG545" t="str">
            <v xml:space="preserve"> مدير الانتاج</v>
          </cell>
          <cell r="FH545" t="str">
            <v>هشام عيسى محمد عبدالكريم</v>
          </cell>
          <cell r="FI545" t="str">
            <v>119-1171006-6</v>
          </cell>
        </row>
        <row r="546">
          <cell r="A546">
            <v>905</v>
          </cell>
          <cell r="B546" t="str">
            <v>ادم موسى حسين ابكر</v>
          </cell>
          <cell r="C546" t="str">
            <v>ادم</v>
          </cell>
          <cell r="D546" t="str">
            <v>موسى</v>
          </cell>
          <cell r="E546" t="str">
            <v>حسين</v>
          </cell>
          <cell r="F546" t="str">
            <v>ابكر</v>
          </cell>
          <cell r="G546" t="str">
            <v>المصنع</v>
          </cell>
          <cell r="H546" t="str">
            <v>الانتاج</v>
          </cell>
          <cell r="K546" t="str">
            <v>عامل</v>
          </cell>
          <cell r="L546" t="str">
            <v>عامل</v>
          </cell>
          <cell r="M546">
            <v>42569</v>
          </cell>
          <cell r="N546">
            <v>42652</v>
          </cell>
          <cell r="O546">
            <v>0</v>
          </cell>
          <cell r="P546">
            <v>2</v>
          </cell>
          <cell r="R546">
            <v>5</v>
          </cell>
          <cell r="T546" t="str">
            <v>إستقال</v>
          </cell>
          <cell r="U546">
            <v>42653</v>
          </cell>
          <cell r="V546">
            <v>42652</v>
          </cell>
          <cell r="Z546">
            <v>25569</v>
          </cell>
          <cell r="AG546">
            <v>9</v>
          </cell>
          <cell r="AH546">
            <v>1</v>
          </cell>
          <cell r="AI546" t="str">
            <v>تسنين</v>
          </cell>
          <cell r="AJ546" t="str">
            <v>3413524</v>
          </cell>
          <cell r="AS546">
            <v>43500</v>
          </cell>
          <cell r="AT546">
            <v>49</v>
          </cell>
          <cell r="AU546" t="str">
            <v>جنسيه</v>
          </cell>
          <cell r="AV546" t="str">
            <v>0455240</v>
          </cell>
          <cell r="AW546">
            <v>0</v>
          </cell>
          <cell r="AX546">
            <v>4</v>
          </cell>
          <cell r="AY546">
            <v>2</v>
          </cell>
          <cell r="AZ546">
            <v>5</v>
          </cell>
          <cell r="BA546">
            <v>5</v>
          </cell>
          <cell r="BB546">
            <v>4</v>
          </cell>
          <cell r="BC546">
            <v>0</v>
          </cell>
          <cell r="BE546" t="str">
            <v>178-9153657-9</v>
          </cell>
          <cell r="BF546" t="str">
            <v>فاطمه سليمان</v>
          </cell>
          <cell r="BG546" t="str">
            <v>العربى</v>
          </cell>
          <cell r="BH546" t="str">
            <v>السمير - المحطه</v>
          </cell>
          <cell r="BI546" t="str">
            <v>0913141585</v>
          </cell>
          <cell r="BJ546" t="str">
            <v>سليمان يعقوب</v>
          </cell>
          <cell r="BK546" t="str">
            <v>0906494310</v>
          </cell>
          <cell r="BL546" t="str">
            <v>خالي الطرف</v>
          </cell>
          <cell r="BN546">
            <v>43500</v>
          </cell>
          <cell r="EQ546">
            <v>0</v>
          </cell>
          <cell r="FG546" t="str">
            <v xml:space="preserve"> مدير الانتاج</v>
          </cell>
          <cell r="FH546" t="str">
            <v>هشام عيسى محمد عبدالكريم</v>
          </cell>
          <cell r="FI546" t="str">
            <v>178-9153657-9</v>
          </cell>
        </row>
        <row r="547">
          <cell r="A547">
            <v>906</v>
          </cell>
          <cell r="B547" t="str">
            <v>عوض عبداللطيف سعيد على</v>
          </cell>
          <cell r="G547" t="str">
            <v>المصنع</v>
          </cell>
          <cell r="H547" t="str">
            <v>الانتاج</v>
          </cell>
          <cell r="L547" t="str">
            <v>سائق اليات</v>
          </cell>
          <cell r="M547">
            <v>42569</v>
          </cell>
          <cell r="O547" t="e">
            <v>#NUM!</v>
          </cell>
          <cell r="P547" t="e">
            <v>#NUM!</v>
          </cell>
          <cell r="R547" t="e">
            <v>#NUM!</v>
          </cell>
          <cell r="T547" t="str">
            <v>فصل</v>
          </cell>
          <cell r="U547">
            <v>42583</v>
          </cell>
          <cell r="Z547">
            <v>22647</v>
          </cell>
          <cell r="AI547" t="str">
            <v>تسنين</v>
          </cell>
          <cell r="AJ547" t="str">
            <v>1587493</v>
          </cell>
          <cell r="AS547">
            <v>43500</v>
          </cell>
          <cell r="AT547">
            <v>57</v>
          </cell>
          <cell r="AU547" t="str">
            <v>بطاقه شخصيه</v>
          </cell>
          <cell r="AV547" t="str">
            <v>11222001</v>
          </cell>
          <cell r="BE547" t="str">
            <v>114-9871202-0</v>
          </cell>
          <cell r="BF547" t="str">
            <v>ستنا عبدالمجيد ناصر</v>
          </cell>
          <cell r="BG547" t="str">
            <v>الكلاكله</v>
          </cell>
          <cell r="BH547" t="str">
            <v>الكلاكله - الوحده</v>
          </cell>
          <cell r="BI547" t="str">
            <v>0115841949</v>
          </cell>
          <cell r="BJ547" t="str">
            <v>عوض الله صالح</v>
          </cell>
          <cell r="BK547" t="str">
            <v>0912286246</v>
          </cell>
          <cell r="BL547" t="str">
            <v>كبار سن</v>
          </cell>
          <cell r="BN547">
            <v>43500</v>
          </cell>
          <cell r="CQ547" t="str">
            <v>مجموعة شركات معاويه البرير</v>
          </cell>
          <cell r="CR547" t="str">
            <v>سائق رافعه شوكية</v>
          </cell>
          <cell r="CS547">
            <v>40664</v>
          </cell>
          <cell r="CT547">
            <v>40817</v>
          </cell>
          <cell r="CV547" t="str">
            <v>مشروع إنماء للدواجن والاعلاف</v>
          </cell>
          <cell r="CW547" t="str">
            <v>سائق لودر</v>
          </cell>
          <cell r="CX547">
            <v>41183</v>
          </cell>
          <cell r="CY547">
            <v>41776</v>
          </cell>
          <cell r="EQ547">
            <v>0</v>
          </cell>
          <cell r="FG547" t="str">
            <v xml:space="preserve"> مدير الانتاج</v>
          </cell>
          <cell r="FH547" t="str">
            <v>هشام عيسى محمد عبدالكريم</v>
          </cell>
          <cell r="FI547" t="str">
            <v>114-9871202-0</v>
          </cell>
        </row>
        <row r="548">
          <cell r="A548">
            <v>907</v>
          </cell>
          <cell r="B548" t="str">
            <v>بهاء الدين الحاج الصديق محمد</v>
          </cell>
          <cell r="C548" t="str">
            <v>بهاء الدين</v>
          </cell>
          <cell r="D548" t="str">
            <v>الحاج</v>
          </cell>
          <cell r="E548" t="str">
            <v>الصديق</v>
          </cell>
          <cell r="F548" t="str">
            <v>محمد</v>
          </cell>
          <cell r="G548" t="str">
            <v>المصنع</v>
          </cell>
          <cell r="H548" t="str">
            <v>الميكانيكا</v>
          </cell>
          <cell r="K548" t="str">
            <v>فنى خراطة</v>
          </cell>
          <cell r="L548" t="str">
            <v>خراط</v>
          </cell>
          <cell r="M548">
            <v>42583</v>
          </cell>
          <cell r="N548">
            <v>43500</v>
          </cell>
          <cell r="O548">
            <v>2</v>
          </cell>
          <cell r="P548">
            <v>6</v>
          </cell>
          <cell r="R548">
            <v>75</v>
          </cell>
          <cell r="Z548">
            <v>28413</v>
          </cell>
          <cell r="AG548">
            <v>9</v>
          </cell>
          <cell r="AH548">
            <v>1</v>
          </cell>
          <cell r="AS548">
            <v>43500</v>
          </cell>
          <cell r="AT548">
            <v>41</v>
          </cell>
          <cell r="AU548" t="str">
            <v>بطاقه قوميه</v>
          </cell>
          <cell r="AV548" t="str">
            <v>001935507</v>
          </cell>
          <cell r="AW548">
            <v>7</v>
          </cell>
          <cell r="AX548">
            <v>0</v>
          </cell>
          <cell r="AY548">
            <v>5</v>
          </cell>
          <cell r="AZ548">
            <v>5</v>
          </cell>
          <cell r="BA548">
            <v>3</v>
          </cell>
          <cell r="BB548">
            <v>9</v>
          </cell>
          <cell r="BC548">
            <v>1</v>
          </cell>
          <cell r="BD548">
            <v>0</v>
          </cell>
          <cell r="BE548" t="str">
            <v>120-0303083-6</v>
          </cell>
          <cell r="BF548" t="str">
            <v>عائشه عمر عبدالله</v>
          </cell>
          <cell r="BG548" t="str">
            <v>الجزيره</v>
          </cell>
          <cell r="BH548" t="str">
            <v>الجزيرة - التى - ريفى المسيد</v>
          </cell>
          <cell r="BI548" t="str">
            <v>0912254574</v>
          </cell>
          <cell r="BJ548" t="str">
            <v>اسامه عمر عبدالله</v>
          </cell>
          <cell r="BK548" t="str">
            <v>0912298252</v>
          </cell>
          <cell r="BL548" t="str">
            <v>خالي الطرف</v>
          </cell>
          <cell r="BN548">
            <v>43500</v>
          </cell>
          <cell r="BS548" t="str">
            <v>خراطه</v>
          </cell>
          <cell r="BT548" t="str">
            <v>تدريب مهني</v>
          </cell>
          <cell r="BU548" t="str">
            <v>مركز الصداقة للتدريب المهنى</v>
          </cell>
          <cell r="BV548">
            <v>36407</v>
          </cell>
          <cell r="CQ548" t="str">
            <v>هيئة النقل النهرى</v>
          </cell>
          <cell r="CR548" t="str">
            <v>متدرب</v>
          </cell>
          <cell r="CS548">
            <v>36770</v>
          </cell>
          <cell r="CT548">
            <v>37056</v>
          </cell>
          <cell r="EQ548">
            <v>0</v>
          </cell>
          <cell r="FG548" t="str">
            <v>مدير الصيانه الميكانيكيه</v>
          </cell>
          <cell r="FH548" t="str">
            <v>محمد احمد محمد سليمان</v>
          </cell>
          <cell r="FI548" t="str">
            <v>120-0303083-6</v>
          </cell>
        </row>
        <row r="549">
          <cell r="A549">
            <v>908</v>
          </cell>
          <cell r="B549" t="str">
            <v>محمد عدلان عبد الرحمن احمد</v>
          </cell>
          <cell r="C549" t="str">
            <v>محمد</v>
          </cell>
          <cell r="D549" t="str">
            <v>عدلان</v>
          </cell>
          <cell r="E549" t="str">
            <v>عبدالرحمن</v>
          </cell>
          <cell r="F549" t="str">
            <v>احمد</v>
          </cell>
          <cell r="G549" t="str">
            <v>المصنع</v>
          </cell>
          <cell r="H549" t="str">
            <v>الميكانيكا</v>
          </cell>
          <cell r="K549" t="str">
            <v>فنى صيانة</v>
          </cell>
          <cell r="L549" t="str">
            <v>فنى صيانه عامه</v>
          </cell>
          <cell r="M549">
            <v>42583</v>
          </cell>
          <cell r="N549">
            <v>43500</v>
          </cell>
          <cell r="O549">
            <v>2</v>
          </cell>
          <cell r="P549">
            <v>6</v>
          </cell>
          <cell r="R549">
            <v>75</v>
          </cell>
          <cell r="Z549">
            <v>32679</v>
          </cell>
          <cell r="AG549">
            <v>9</v>
          </cell>
          <cell r="AH549">
            <v>1</v>
          </cell>
          <cell r="AI549" t="str">
            <v>ميلاد</v>
          </cell>
          <cell r="AJ549" t="str">
            <v>810068</v>
          </cell>
          <cell r="AS549">
            <v>43500</v>
          </cell>
          <cell r="AT549">
            <v>29</v>
          </cell>
          <cell r="AU549" t="str">
            <v>بطاقه قوميه</v>
          </cell>
          <cell r="AV549" t="str">
            <v>002486237</v>
          </cell>
          <cell r="AW549">
            <v>7</v>
          </cell>
          <cell r="AX549">
            <v>3</v>
          </cell>
          <cell r="AY549">
            <v>2</v>
          </cell>
          <cell r="AZ549">
            <v>6</v>
          </cell>
          <cell r="BA549">
            <v>8</v>
          </cell>
          <cell r="BB549">
            <v>4</v>
          </cell>
          <cell r="BC549">
            <v>2</v>
          </cell>
          <cell r="BD549">
            <v>0</v>
          </cell>
          <cell r="BE549" t="str">
            <v>119-1505481-5</v>
          </cell>
          <cell r="BF549" t="str">
            <v>نوال إسماعيل احمد</v>
          </cell>
          <cell r="BG549" t="str">
            <v>الجزيره</v>
          </cell>
          <cell r="BH549" t="str">
            <v>الجزيرة - النوبة</v>
          </cell>
          <cell r="BI549" t="str">
            <v>0996741802</v>
          </cell>
          <cell r="BJ549" t="str">
            <v>عبدالله فيصل يوسف</v>
          </cell>
          <cell r="BL549" t="str">
            <v>خالي الطرف</v>
          </cell>
          <cell r="BN549">
            <v>43500</v>
          </cell>
          <cell r="BS549" t="str">
            <v>سيارات</v>
          </cell>
          <cell r="BT549" t="str">
            <v>شهاده ثانويه</v>
          </cell>
          <cell r="BV549">
            <v>39142</v>
          </cell>
          <cell r="CQ549" t="str">
            <v>شركة كابلات جياد السويدي</v>
          </cell>
          <cell r="CR549" t="str">
            <v>فنى ميكانيكا</v>
          </cell>
          <cell r="CS549">
            <v>40634</v>
          </cell>
          <cell r="CT549">
            <v>42417</v>
          </cell>
          <cell r="EQ549">
            <v>0</v>
          </cell>
          <cell r="FG549" t="str">
            <v>مدير الصيانه الميكانيكيه</v>
          </cell>
          <cell r="FH549" t="str">
            <v>محمد احمد محمد سليمان</v>
          </cell>
          <cell r="FI549" t="str">
            <v>119-1505481-5</v>
          </cell>
        </row>
        <row r="550">
          <cell r="A550">
            <v>909</v>
          </cell>
          <cell r="B550" t="str">
            <v>حمدى النور محمد حمد</v>
          </cell>
          <cell r="C550" t="str">
            <v>حمدى</v>
          </cell>
          <cell r="D550" t="str">
            <v>النور</v>
          </cell>
          <cell r="E550" t="str">
            <v>محمد</v>
          </cell>
          <cell r="F550" t="str">
            <v>حمد</v>
          </cell>
          <cell r="G550" t="str">
            <v>المصنع</v>
          </cell>
          <cell r="H550" t="str">
            <v>الانتاج</v>
          </cell>
          <cell r="I550" t="str">
            <v>التشريح</v>
          </cell>
          <cell r="K550" t="str">
            <v>مساعد مشغل</v>
          </cell>
          <cell r="L550" t="str">
            <v>مشغل</v>
          </cell>
          <cell r="M550">
            <v>42585</v>
          </cell>
          <cell r="N550">
            <v>43500</v>
          </cell>
          <cell r="O550">
            <v>2</v>
          </cell>
          <cell r="P550">
            <v>6</v>
          </cell>
          <cell r="R550">
            <v>75</v>
          </cell>
          <cell r="Z550">
            <v>32978</v>
          </cell>
          <cell r="AG550">
            <v>9</v>
          </cell>
          <cell r="AH550">
            <v>1</v>
          </cell>
          <cell r="AI550" t="str">
            <v>ميلاد</v>
          </cell>
          <cell r="AJ550" t="str">
            <v>032737</v>
          </cell>
          <cell r="AS550">
            <v>43500</v>
          </cell>
          <cell r="AT550">
            <v>28</v>
          </cell>
          <cell r="AU550" t="str">
            <v>جنسيه</v>
          </cell>
          <cell r="AV550" t="str">
            <v>0614990</v>
          </cell>
          <cell r="AW550">
            <v>0</v>
          </cell>
          <cell r="AX550">
            <v>9</v>
          </cell>
          <cell r="AY550">
            <v>9</v>
          </cell>
          <cell r="AZ550">
            <v>4</v>
          </cell>
          <cell r="BA550">
            <v>1</v>
          </cell>
          <cell r="BB550">
            <v>6</v>
          </cell>
          <cell r="BC550">
            <v>0</v>
          </cell>
          <cell r="BE550" t="str">
            <v>120-3408842-9</v>
          </cell>
          <cell r="BF550" t="str">
            <v>زينب يوسف محمد</v>
          </cell>
          <cell r="BG550" t="str">
            <v>الجزيره</v>
          </cell>
          <cell r="BH550" t="str">
            <v>الجزيرة - الشقله</v>
          </cell>
          <cell r="BI550" t="str">
            <v>0117840507</v>
          </cell>
          <cell r="BJ550" t="str">
            <v>النور محمد احمد</v>
          </cell>
          <cell r="BL550" t="str">
            <v>خالي الطرف</v>
          </cell>
          <cell r="BN550">
            <v>43500</v>
          </cell>
          <cell r="BS550" t="str">
            <v>كهرباء</v>
          </cell>
          <cell r="BT550" t="str">
            <v>شهاده ثانويه</v>
          </cell>
          <cell r="BV550">
            <v>42795</v>
          </cell>
          <cell r="CQ550" t="str">
            <v>شركة جياد للانابيب المحدودة</v>
          </cell>
          <cell r="CR550" t="str">
            <v>عامل</v>
          </cell>
          <cell r="EQ550">
            <v>0</v>
          </cell>
          <cell r="FG550" t="str">
            <v xml:space="preserve"> مدير الانتاج</v>
          </cell>
          <cell r="FH550" t="str">
            <v>هشام عيسى محمد عبدالكريم</v>
          </cell>
          <cell r="FI550" t="str">
            <v>120-3408842-9</v>
          </cell>
        </row>
        <row r="551">
          <cell r="A551">
            <v>910</v>
          </cell>
          <cell r="B551" t="str">
            <v>منتصر محمد الامين حسن</v>
          </cell>
          <cell r="C551" t="str">
            <v>منتصر</v>
          </cell>
          <cell r="D551" t="str">
            <v>محمد</v>
          </cell>
          <cell r="E551" t="str">
            <v>الامين</v>
          </cell>
          <cell r="F551" t="str">
            <v>حسن</v>
          </cell>
          <cell r="G551" t="str">
            <v>المصنع</v>
          </cell>
          <cell r="H551" t="str">
            <v>الامن و الحركه</v>
          </cell>
          <cell r="K551" t="str">
            <v>فرد امن</v>
          </cell>
          <cell r="L551" t="str">
            <v>فرد امن</v>
          </cell>
          <cell r="M551">
            <v>42589</v>
          </cell>
          <cell r="N551">
            <v>43500</v>
          </cell>
          <cell r="O551">
            <v>2</v>
          </cell>
          <cell r="P551">
            <v>5</v>
          </cell>
          <cell r="R551">
            <v>72.5</v>
          </cell>
          <cell r="T551" t="str">
            <v>فصل</v>
          </cell>
          <cell r="U551">
            <v>43355</v>
          </cell>
          <cell r="V551">
            <v>43355</v>
          </cell>
          <cell r="Z551">
            <v>29751</v>
          </cell>
          <cell r="AG551">
            <v>9</v>
          </cell>
          <cell r="AH551">
            <v>1</v>
          </cell>
          <cell r="AI551" t="str">
            <v>ميلاد</v>
          </cell>
          <cell r="AJ551" t="str">
            <v>066910</v>
          </cell>
          <cell r="AS551">
            <v>43500</v>
          </cell>
          <cell r="AT551">
            <v>37</v>
          </cell>
          <cell r="AU551" t="str">
            <v>جنسيه</v>
          </cell>
          <cell r="AV551" t="str">
            <v>0785146</v>
          </cell>
          <cell r="AW551">
            <v>6</v>
          </cell>
          <cell r="AX551">
            <v>4</v>
          </cell>
          <cell r="AY551">
            <v>1</v>
          </cell>
          <cell r="AZ551">
            <v>5</v>
          </cell>
          <cell r="BA551">
            <v>8</v>
          </cell>
          <cell r="BB551">
            <v>7</v>
          </cell>
          <cell r="BC551">
            <v>0</v>
          </cell>
          <cell r="BE551" t="str">
            <v>190-4561225-9</v>
          </cell>
          <cell r="BF551" t="str">
            <v>رابعه بابكر محمد</v>
          </cell>
          <cell r="BG551" t="str">
            <v>الجزيره</v>
          </cell>
          <cell r="BH551" t="str">
            <v>الجزيرة - التى</v>
          </cell>
          <cell r="BI551" t="str">
            <v>0915545416</v>
          </cell>
          <cell r="BJ551" t="str">
            <v>قاسم عبدالرازق</v>
          </cell>
          <cell r="BL551" t="str">
            <v>إستثناء</v>
          </cell>
          <cell r="BN551">
            <v>43500</v>
          </cell>
          <cell r="CQ551" t="str">
            <v>القوات المسلحة - هيئة الاستخبارات</v>
          </cell>
          <cell r="CR551" t="str">
            <v>رقيب</v>
          </cell>
          <cell r="EQ551">
            <v>30</v>
          </cell>
          <cell r="FG551" t="str">
            <v>مدير الامن و الحركه</v>
          </cell>
          <cell r="FH551" t="str">
            <v>فارس حمدان عبدالله فارس</v>
          </cell>
          <cell r="FI551" t="str">
            <v>190-4561225-9</v>
          </cell>
          <cell r="HC551" t="str">
            <v>30</v>
          </cell>
        </row>
        <row r="552">
          <cell r="A552">
            <v>911</v>
          </cell>
          <cell r="B552" t="str">
            <v>السر كباشى احمد ازرق</v>
          </cell>
          <cell r="C552" t="str">
            <v>السر</v>
          </cell>
          <cell r="D552" t="str">
            <v>كباشى</v>
          </cell>
          <cell r="E552" t="str">
            <v>احمد</v>
          </cell>
          <cell r="F552" t="str">
            <v>ازرق</v>
          </cell>
          <cell r="G552" t="str">
            <v>المصنع</v>
          </cell>
          <cell r="H552" t="str">
            <v>الانتاج</v>
          </cell>
          <cell r="I552" t="str">
            <v>المواسير</v>
          </cell>
          <cell r="K552" t="str">
            <v>عامل</v>
          </cell>
          <cell r="L552" t="str">
            <v>مشغل كرين</v>
          </cell>
          <cell r="M552">
            <v>42593</v>
          </cell>
          <cell r="N552">
            <v>43500</v>
          </cell>
          <cell r="O552">
            <v>2</v>
          </cell>
          <cell r="P552">
            <v>5</v>
          </cell>
          <cell r="R552">
            <v>72.5</v>
          </cell>
          <cell r="Z552">
            <v>29952</v>
          </cell>
          <cell r="AG552">
            <v>9</v>
          </cell>
          <cell r="AH552">
            <v>1</v>
          </cell>
          <cell r="AI552" t="str">
            <v>تسنين</v>
          </cell>
          <cell r="AJ552" t="str">
            <v>3427974</v>
          </cell>
          <cell r="AS552">
            <v>43500</v>
          </cell>
          <cell r="AT552">
            <v>37</v>
          </cell>
          <cell r="AU552" t="str">
            <v>بطاقه قوميه</v>
          </cell>
          <cell r="AV552" t="str">
            <v>001168360</v>
          </cell>
          <cell r="AW552">
            <v>0</v>
          </cell>
          <cell r="AX552">
            <v>6</v>
          </cell>
          <cell r="AY552">
            <v>3</v>
          </cell>
          <cell r="AZ552">
            <v>8</v>
          </cell>
          <cell r="BA552">
            <v>6</v>
          </cell>
          <cell r="BB552">
            <v>1</v>
          </cell>
          <cell r="BC552">
            <v>1</v>
          </cell>
          <cell r="BD552">
            <v>0</v>
          </cell>
          <cell r="BE552" t="str">
            <v>116-6565317-9</v>
          </cell>
          <cell r="BF552" t="str">
            <v>فاطمه حماد عبدالرحيم</v>
          </cell>
          <cell r="BG552" t="str">
            <v>العربى</v>
          </cell>
          <cell r="BH552" t="str">
            <v xml:space="preserve">امدرمان - دار السلام </v>
          </cell>
          <cell r="BI552" t="str">
            <v>0922867211</v>
          </cell>
          <cell r="BJ552" t="str">
            <v>الطاهر كباشى</v>
          </cell>
          <cell r="BK552" t="str">
            <v>0918199246</v>
          </cell>
          <cell r="BL552" t="str">
            <v>إستثناء</v>
          </cell>
          <cell r="BN552">
            <v>43500</v>
          </cell>
          <cell r="EQ552">
            <v>0</v>
          </cell>
          <cell r="FG552" t="str">
            <v xml:space="preserve"> مدير الانتاج</v>
          </cell>
          <cell r="FH552" t="str">
            <v>هشام عيسى محمد عبدالكريم</v>
          </cell>
          <cell r="FI552" t="str">
            <v>116-6565317-9</v>
          </cell>
        </row>
        <row r="553">
          <cell r="A553">
            <v>912</v>
          </cell>
          <cell r="B553" t="str">
            <v>بريمه اسماعيل جوده توتو</v>
          </cell>
          <cell r="C553" t="str">
            <v>بريمه</v>
          </cell>
          <cell r="D553" t="str">
            <v>اسماعيل</v>
          </cell>
          <cell r="E553" t="str">
            <v>جوده</v>
          </cell>
          <cell r="F553" t="str">
            <v>توتو</v>
          </cell>
          <cell r="G553" t="str">
            <v>المصنع</v>
          </cell>
          <cell r="H553" t="str">
            <v>الانتاج</v>
          </cell>
          <cell r="I553" t="str">
            <v>الخوص</v>
          </cell>
          <cell r="K553" t="str">
            <v>عامل</v>
          </cell>
          <cell r="L553" t="str">
            <v>مشغل كرين</v>
          </cell>
          <cell r="M553">
            <v>42593</v>
          </cell>
          <cell r="N553">
            <v>43500</v>
          </cell>
          <cell r="O553">
            <v>2</v>
          </cell>
          <cell r="P553">
            <v>5</v>
          </cell>
          <cell r="R553">
            <v>72.5</v>
          </cell>
          <cell r="Z553">
            <v>29952</v>
          </cell>
          <cell r="AG553">
            <v>9</v>
          </cell>
          <cell r="AH553">
            <v>1</v>
          </cell>
          <cell r="AI553" t="str">
            <v>تسنين</v>
          </cell>
          <cell r="AJ553" t="str">
            <v>3234233</v>
          </cell>
          <cell r="AS553">
            <v>43500</v>
          </cell>
          <cell r="AT553">
            <v>37</v>
          </cell>
          <cell r="AU553" t="str">
            <v>جنسيه</v>
          </cell>
          <cell r="AV553" t="str">
            <v>0914274</v>
          </cell>
          <cell r="AW553">
            <v>4</v>
          </cell>
          <cell r="AX553">
            <v>7</v>
          </cell>
          <cell r="AY553">
            <v>2</v>
          </cell>
          <cell r="AZ553">
            <v>4</v>
          </cell>
          <cell r="BA553">
            <v>1</v>
          </cell>
          <cell r="BB553">
            <v>9</v>
          </cell>
          <cell r="BC553">
            <v>0</v>
          </cell>
          <cell r="BE553" t="str">
            <v>120-4561857-6</v>
          </cell>
          <cell r="BF553" t="str">
            <v>منى كوه كافى</v>
          </cell>
          <cell r="BG553" t="str">
            <v>العربى</v>
          </cell>
          <cell r="BH553" t="str">
            <v xml:space="preserve">امدرمان - دار السلام </v>
          </cell>
          <cell r="BI553" t="str">
            <v>0922004809</v>
          </cell>
          <cell r="BJ553" t="str">
            <v>إسماعيل جوده توتو</v>
          </cell>
          <cell r="BK553" t="str">
            <v>0915548696</v>
          </cell>
          <cell r="BL553" t="str">
            <v>خالي الطرف</v>
          </cell>
          <cell r="BN553">
            <v>43500</v>
          </cell>
          <cell r="EQ553">
            <v>0</v>
          </cell>
          <cell r="FG553" t="str">
            <v xml:space="preserve"> مدير الانتاج</v>
          </cell>
          <cell r="FH553" t="str">
            <v>هشام عيسى محمد عبدالكريم</v>
          </cell>
          <cell r="FI553" t="str">
            <v>120-4561857-6</v>
          </cell>
        </row>
        <row r="554">
          <cell r="A554">
            <v>913</v>
          </cell>
          <cell r="B554" t="str">
            <v>مهند احمد مصطفى عبدالحافظ</v>
          </cell>
          <cell r="C554" t="str">
            <v>مهند</v>
          </cell>
          <cell r="D554" t="str">
            <v>احمد</v>
          </cell>
          <cell r="E554" t="str">
            <v>مصطفى</v>
          </cell>
          <cell r="F554" t="str">
            <v>عبدالحفيظ</v>
          </cell>
          <cell r="G554" t="str">
            <v>المصنع</v>
          </cell>
          <cell r="H554" t="str">
            <v>المستودعات</v>
          </cell>
          <cell r="L554" t="str">
            <v>امين مستودع</v>
          </cell>
          <cell r="M554">
            <v>42595</v>
          </cell>
          <cell r="O554" t="e">
            <v>#NUM!</v>
          </cell>
          <cell r="P554" t="e">
            <v>#NUM!</v>
          </cell>
          <cell r="R554" t="e">
            <v>#NUM!</v>
          </cell>
          <cell r="T554" t="str">
            <v>m</v>
          </cell>
          <cell r="Z554">
            <v>29988</v>
          </cell>
          <cell r="AI554" t="str">
            <v>ميلاد</v>
          </cell>
          <cell r="AJ554" t="str">
            <v>257006</v>
          </cell>
          <cell r="AS554">
            <v>43500</v>
          </cell>
          <cell r="AT554">
            <v>36</v>
          </cell>
          <cell r="AU554" t="str">
            <v>جنسيه</v>
          </cell>
          <cell r="AV554" t="str">
            <v>001604035</v>
          </cell>
          <cell r="AW554">
            <v>5</v>
          </cell>
          <cell r="AX554">
            <v>3</v>
          </cell>
          <cell r="AY554">
            <v>0</v>
          </cell>
          <cell r="AZ554">
            <v>4</v>
          </cell>
          <cell r="BA554">
            <v>0</v>
          </cell>
          <cell r="BB554">
            <v>6</v>
          </cell>
          <cell r="BC554">
            <v>1</v>
          </cell>
          <cell r="BD554">
            <v>0</v>
          </cell>
          <cell r="BE554" t="str">
            <v>119-5318351-9</v>
          </cell>
          <cell r="BF554" t="str">
            <v>بنت المنى عوض</v>
          </cell>
          <cell r="BG554" t="str">
            <v>بحرى</v>
          </cell>
          <cell r="BH554" t="str">
            <v>بحرى - شمبات</v>
          </cell>
          <cell r="BI554" t="str">
            <v>0920347686</v>
          </cell>
          <cell r="BK554" t="str">
            <v>0922758091</v>
          </cell>
          <cell r="BL554" t="str">
            <v>خالي الطرف</v>
          </cell>
          <cell r="BN554">
            <v>43500</v>
          </cell>
          <cell r="BS554" t="str">
            <v>الاقتصاد</v>
          </cell>
          <cell r="BT554" t="str">
            <v>بكلاريوس</v>
          </cell>
          <cell r="BU554" t="str">
            <v>جامعة امدرمان الاسلامية</v>
          </cell>
          <cell r="BV554">
            <v>38857</v>
          </cell>
          <cell r="EQ554">
            <v>0</v>
          </cell>
          <cell r="FG554" t="str">
            <v>مدير المستودعات</v>
          </cell>
          <cell r="FH554" t="str">
            <v>على احمد على بابكر</v>
          </cell>
          <cell r="FI554" t="str">
            <v>119-5318351-9</v>
          </cell>
        </row>
        <row r="555">
          <cell r="A555">
            <v>914</v>
          </cell>
          <cell r="B555" t="str">
            <v>حافظ عبدالقادر ماصع عبد الفراج</v>
          </cell>
          <cell r="C555" t="str">
            <v>حافظ</v>
          </cell>
          <cell r="D555" t="str">
            <v>عبدالقادر</v>
          </cell>
          <cell r="E555" t="str">
            <v>ماصع</v>
          </cell>
          <cell r="F555" t="str">
            <v>عبدالفراج</v>
          </cell>
          <cell r="G555" t="str">
            <v>المصنع</v>
          </cell>
          <cell r="H555" t="str">
            <v>الامن و الحركه</v>
          </cell>
          <cell r="K555" t="str">
            <v>فرد امن</v>
          </cell>
          <cell r="L555" t="str">
            <v>فرد امن</v>
          </cell>
          <cell r="M555">
            <v>42600</v>
          </cell>
          <cell r="N555">
            <v>43500</v>
          </cell>
          <cell r="O555">
            <v>2</v>
          </cell>
          <cell r="P555">
            <v>5</v>
          </cell>
          <cell r="R555">
            <v>72.5</v>
          </cell>
          <cell r="T555" t="str">
            <v>فصل</v>
          </cell>
          <cell r="U555">
            <v>43356</v>
          </cell>
          <cell r="V555">
            <v>43356</v>
          </cell>
          <cell r="Z555">
            <v>29081</v>
          </cell>
          <cell r="AG555">
            <v>9</v>
          </cell>
          <cell r="AH555">
            <v>1</v>
          </cell>
          <cell r="AI555" t="str">
            <v>ميلاد</v>
          </cell>
          <cell r="AJ555" t="str">
            <v>49131</v>
          </cell>
          <cell r="AS555">
            <v>43500</v>
          </cell>
          <cell r="AT555">
            <v>39</v>
          </cell>
          <cell r="AU555" t="str">
            <v>بطاقه قوميه</v>
          </cell>
          <cell r="AV555" t="str">
            <v>002798604</v>
          </cell>
          <cell r="AW555">
            <v>4</v>
          </cell>
          <cell r="AX555">
            <v>0</v>
          </cell>
          <cell r="AY555">
            <v>6</v>
          </cell>
          <cell r="AZ555">
            <v>8</v>
          </cell>
          <cell r="BA555">
            <v>9</v>
          </cell>
          <cell r="BB555">
            <v>7</v>
          </cell>
          <cell r="BC555">
            <v>2</v>
          </cell>
          <cell r="BD555">
            <v>0</v>
          </cell>
          <cell r="BE555" t="str">
            <v>114-8831216-3</v>
          </cell>
          <cell r="BF555" t="str">
            <v>فاطمه احمد النور</v>
          </cell>
          <cell r="BG555" t="str">
            <v>الجزيره</v>
          </cell>
          <cell r="BH555" t="str">
            <v>الجزيرة - الباقير</v>
          </cell>
          <cell r="BI555" t="str">
            <v>0912885914</v>
          </cell>
          <cell r="BJ555" t="str">
            <v>خضر قسم السيد</v>
          </cell>
          <cell r="BL555" t="str">
            <v>خالي الطرف</v>
          </cell>
          <cell r="BN555">
            <v>43500</v>
          </cell>
          <cell r="EQ555">
            <v>0</v>
          </cell>
          <cell r="FG555" t="str">
            <v>مدير الامن و الحركه</v>
          </cell>
          <cell r="FH555" t="str">
            <v>فارس حمدان عبدالله فارس</v>
          </cell>
          <cell r="FI555" t="str">
            <v>114-8831216-3</v>
          </cell>
        </row>
        <row r="556">
          <cell r="A556">
            <v>915</v>
          </cell>
          <cell r="B556" t="str">
            <v>مصطفى مبارك بابكر الخضر</v>
          </cell>
          <cell r="C556" t="str">
            <v>مصطفى</v>
          </cell>
          <cell r="D556" t="str">
            <v>مبارك</v>
          </cell>
          <cell r="E556" t="str">
            <v>بابكر</v>
          </cell>
          <cell r="F556" t="str">
            <v>الخضر</v>
          </cell>
          <cell r="G556" t="str">
            <v>المصنع</v>
          </cell>
          <cell r="H556" t="str">
            <v>الامن و الحركه</v>
          </cell>
          <cell r="L556" t="str">
            <v>فرد امن</v>
          </cell>
          <cell r="M556">
            <v>42601</v>
          </cell>
          <cell r="N556">
            <v>42643</v>
          </cell>
          <cell r="O556">
            <v>0</v>
          </cell>
          <cell r="P556">
            <v>1</v>
          </cell>
          <cell r="R556">
            <v>2.5</v>
          </cell>
          <cell r="T556" t="str">
            <v>إستقال</v>
          </cell>
          <cell r="U556">
            <v>42644</v>
          </cell>
          <cell r="V556">
            <v>42643</v>
          </cell>
          <cell r="AG556">
            <v>9</v>
          </cell>
          <cell r="AH556">
            <v>1</v>
          </cell>
          <cell r="AS556">
            <v>43500</v>
          </cell>
          <cell r="AT556">
            <v>119</v>
          </cell>
          <cell r="AU556" t="str">
            <v>بطاقه قوميه</v>
          </cell>
          <cell r="AV556" t="str">
            <v>002768409</v>
          </cell>
          <cell r="AW556">
            <v>9</v>
          </cell>
          <cell r="AX556">
            <v>0</v>
          </cell>
          <cell r="AY556">
            <v>4</v>
          </cell>
          <cell r="AZ556">
            <v>8</v>
          </cell>
          <cell r="BA556">
            <v>6</v>
          </cell>
          <cell r="BB556">
            <v>7</v>
          </cell>
          <cell r="BC556">
            <v>2</v>
          </cell>
          <cell r="BD556">
            <v>0</v>
          </cell>
          <cell r="BE556" t="str">
            <v>119-0135769-6</v>
          </cell>
          <cell r="BF556" t="str">
            <v>ساره النور</v>
          </cell>
          <cell r="BG556" t="str">
            <v>الجزيره</v>
          </cell>
          <cell r="BH556" t="str">
            <v>الجزيره - التى</v>
          </cell>
          <cell r="BI556" t="str">
            <v>0912424543</v>
          </cell>
          <cell r="BJ556" t="str">
            <v>عبدالعزيز النور</v>
          </cell>
          <cell r="BL556" t="str">
            <v>خالي الطرف</v>
          </cell>
          <cell r="BN556">
            <v>43500</v>
          </cell>
          <cell r="EQ556">
            <v>0</v>
          </cell>
          <cell r="FG556" t="str">
            <v>مدير الامن و الحركه</v>
          </cell>
          <cell r="FH556" t="str">
            <v>فارس حمدان عبدالله فارس</v>
          </cell>
          <cell r="FI556" t="str">
            <v>119-0135769-6</v>
          </cell>
        </row>
        <row r="557">
          <cell r="A557">
            <v>916</v>
          </cell>
          <cell r="B557" t="str">
            <v>عبدالله محمد ادم حسب الله</v>
          </cell>
          <cell r="C557" t="str">
            <v>عبدالله</v>
          </cell>
          <cell r="D557" t="str">
            <v>محمد</v>
          </cell>
          <cell r="E557" t="str">
            <v>ادم</v>
          </cell>
          <cell r="F557" t="str">
            <v>حسب الله</v>
          </cell>
          <cell r="G557" t="str">
            <v>المصنع</v>
          </cell>
          <cell r="H557" t="str">
            <v>الخدمات</v>
          </cell>
          <cell r="K557" t="str">
            <v>جناينى</v>
          </cell>
          <cell r="L557" t="str">
            <v>جنائني</v>
          </cell>
          <cell r="M557">
            <v>42633</v>
          </cell>
          <cell r="N557">
            <v>43500</v>
          </cell>
          <cell r="O557">
            <v>2</v>
          </cell>
          <cell r="P557">
            <v>4</v>
          </cell>
          <cell r="R557">
            <v>70</v>
          </cell>
          <cell r="Z557">
            <v>18264</v>
          </cell>
          <cell r="AG557">
            <v>9</v>
          </cell>
          <cell r="AH557">
            <v>1</v>
          </cell>
          <cell r="AI557" t="str">
            <v>تسنين</v>
          </cell>
          <cell r="AJ557" t="str">
            <v>856960</v>
          </cell>
          <cell r="AS557">
            <v>43500</v>
          </cell>
          <cell r="AT557">
            <v>69</v>
          </cell>
          <cell r="AU557" t="str">
            <v>جنسيه</v>
          </cell>
          <cell r="AV557" t="str">
            <v>586676</v>
          </cell>
          <cell r="AW557">
            <v>6</v>
          </cell>
          <cell r="AX557">
            <v>7</v>
          </cell>
          <cell r="AY557">
            <v>6</v>
          </cell>
          <cell r="AZ557">
            <v>6</v>
          </cell>
          <cell r="BA557">
            <v>8</v>
          </cell>
          <cell r="BB557">
            <v>5</v>
          </cell>
          <cell r="BE557" t="str">
            <v>119-0391346-9</v>
          </cell>
          <cell r="BF557" t="str">
            <v>مريم إبراهيم عطرون</v>
          </cell>
          <cell r="BG557" t="str">
            <v>العربى</v>
          </cell>
          <cell r="BH557" t="str">
            <v>الازهري</v>
          </cell>
          <cell r="BI557" t="str">
            <v>0915597254</v>
          </cell>
          <cell r="BK557" t="str">
            <v>0911114985</v>
          </cell>
          <cell r="BL557" t="str">
            <v>كبار سن</v>
          </cell>
          <cell r="BN557">
            <v>43500</v>
          </cell>
          <cell r="BT557" t="str">
            <v>شهاده ثانويه</v>
          </cell>
          <cell r="BV557">
            <v>33560</v>
          </cell>
          <cell r="CQ557" t="str">
            <v>مصلحة الارصاد الجوى</v>
          </cell>
          <cell r="CR557" t="str">
            <v>راصد جوى</v>
          </cell>
          <cell r="CS557">
            <v>26969</v>
          </cell>
          <cell r="CT557">
            <v>30348</v>
          </cell>
          <cell r="CV557" t="str">
            <v>هيئة ترقية السلوك الحضرى</v>
          </cell>
          <cell r="CW557" t="str">
            <v>مشرف عام لعمال الحدائق</v>
          </cell>
          <cell r="DA557" t="str">
            <v>وزارة الشباب والرياضة</v>
          </cell>
          <cell r="DB557" t="str">
            <v>مدير الشؤون الهندسيه والصيانة</v>
          </cell>
          <cell r="DC557">
            <v>34335</v>
          </cell>
          <cell r="DD557">
            <v>40179</v>
          </cell>
          <cell r="EQ557">
            <v>0</v>
          </cell>
          <cell r="FG557" t="str">
            <v>المدير الادارى</v>
          </cell>
          <cell r="FH557" t="str">
            <v>احمد عبدالرحيم ابوبكر محمد</v>
          </cell>
          <cell r="FI557" t="str">
            <v>119-0391346-9</v>
          </cell>
        </row>
        <row r="558">
          <cell r="A558">
            <v>917</v>
          </cell>
          <cell r="B558" t="str">
            <v>ضو البيت حسن حسين حمدان</v>
          </cell>
          <cell r="C558" t="str">
            <v>ضو البيت</v>
          </cell>
          <cell r="D558" t="str">
            <v>حسن</v>
          </cell>
          <cell r="E558" t="str">
            <v>حسين</v>
          </cell>
          <cell r="F558" t="str">
            <v>حمدان</v>
          </cell>
          <cell r="G558" t="str">
            <v>المصنع</v>
          </cell>
          <cell r="H558" t="str">
            <v>الامن و الحركه</v>
          </cell>
          <cell r="I558" t="str">
            <v>الامن</v>
          </cell>
          <cell r="K558" t="str">
            <v>فرد امن</v>
          </cell>
          <cell r="L558" t="str">
            <v>فرد امن</v>
          </cell>
          <cell r="M558">
            <v>42661</v>
          </cell>
          <cell r="N558">
            <v>43500</v>
          </cell>
          <cell r="O558">
            <v>2</v>
          </cell>
          <cell r="P558">
            <v>3</v>
          </cell>
          <cell r="R558">
            <v>67.5</v>
          </cell>
          <cell r="T558" t="str">
            <v>إستقال</v>
          </cell>
          <cell r="U558">
            <v>43121</v>
          </cell>
          <cell r="V558">
            <v>43117</v>
          </cell>
          <cell r="Z558">
            <v>31961</v>
          </cell>
          <cell r="AG558">
            <v>9</v>
          </cell>
          <cell r="AH558">
            <v>1</v>
          </cell>
          <cell r="AI558" t="str">
            <v>ميلاد</v>
          </cell>
          <cell r="AJ558" t="str">
            <v>520254</v>
          </cell>
          <cell r="AS558">
            <v>43500</v>
          </cell>
          <cell r="AT558">
            <v>31</v>
          </cell>
          <cell r="AU558" t="str">
            <v>جنسيه</v>
          </cell>
          <cell r="AV558" t="str">
            <v>0087488</v>
          </cell>
          <cell r="AW558">
            <v>8</v>
          </cell>
          <cell r="AX558">
            <v>8</v>
          </cell>
          <cell r="AY558">
            <v>4</v>
          </cell>
          <cell r="AZ558">
            <v>7</v>
          </cell>
          <cell r="BA558">
            <v>8</v>
          </cell>
          <cell r="BB558">
            <v>0</v>
          </cell>
          <cell r="BC558">
            <v>0</v>
          </cell>
          <cell r="BE558" t="str">
            <v>117-3538521-9</v>
          </cell>
          <cell r="BF558" t="str">
            <v>زهراء محمد الامين</v>
          </cell>
          <cell r="BG558" t="str">
            <v>العربى</v>
          </cell>
          <cell r="BH558" t="str">
            <v>امدرمان - الثورة - ح 6</v>
          </cell>
          <cell r="BI558" t="str">
            <v>0919439074</v>
          </cell>
          <cell r="BJ558" t="str">
            <v>عيسى حسن حسن</v>
          </cell>
          <cell r="BL558" t="str">
            <v>خالي الطرف</v>
          </cell>
          <cell r="BN558">
            <v>43500</v>
          </cell>
          <cell r="CQ558" t="str">
            <v>المصنع الحديث للثلاجات ( ليبهر )</v>
          </cell>
          <cell r="CR558" t="str">
            <v>فنى تبريد</v>
          </cell>
          <cell r="CS558">
            <v>41405</v>
          </cell>
          <cell r="CT558">
            <v>41851</v>
          </cell>
          <cell r="EQ558">
            <v>0</v>
          </cell>
          <cell r="FG558" t="str">
            <v>مدير الامن و الحركه</v>
          </cell>
          <cell r="FH558" t="str">
            <v>فارس حمدان عبدالله فارس</v>
          </cell>
          <cell r="FI558" t="str">
            <v>117-3538521-9</v>
          </cell>
        </row>
        <row r="559">
          <cell r="A559">
            <v>918</v>
          </cell>
          <cell r="B559" t="str">
            <v>خالد الطاهر البشير الصديق</v>
          </cell>
          <cell r="C559" t="str">
            <v>خالد</v>
          </cell>
          <cell r="D559" t="str">
            <v>الطاهر</v>
          </cell>
          <cell r="E559" t="str">
            <v>البشير</v>
          </cell>
          <cell r="F559" t="str">
            <v>الصديق</v>
          </cell>
          <cell r="G559" t="str">
            <v>المصنع</v>
          </cell>
          <cell r="H559" t="str">
            <v>الامن و الحركه</v>
          </cell>
          <cell r="I559" t="str">
            <v>الامن</v>
          </cell>
          <cell r="L559" t="str">
            <v>فرد امن</v>
          </cell>
          <cell r="M559">
            <v>42661</v>
          </cell>
          <cell r="N559">
            <v>42751</v>
          </cell>
          <cell r="O559">
            <v>0</v>
          </cell>
          <cell r="P559">
            <v>2</v>
          </cell>
          <cell r="R559">
            <v>5</v>
          </cell>
          <cell r="T559" t="str">
            <v>فصل</v>
          </cell>
          <cell r="U559">
            <v>42751</v>
          </cell>
          <cell r="V559">
            <v>42751</v>
          </cell>
          <cell r="Z559">
            <v>29221</v>
          </cell>
          <cell r="AG559">
            <v>9</v>
          </cell>
          <cell r="AH559">
            <v>1</v>
          </cell>
          <cell r="AI559" t="str">
            <v>تسنين</v>
          </cell>
          <cell r="AJ559" t="str">
            <v>044633</v>
          </cell>
          <cell r="AS559">
            <v>43500</v>
          </cell>
          <cell r="AT559">
            <v>39</v>
          </cell>
          <cell r="AU559" t="str">
            <v>بطاقه قوميه</v>
          </cell>
          <cell r="AV559" t="str">
            <v>000279839</v>
          </cell>
          <cell r="AW559">
            <v>9</v>
          </cell>
          <cell r="AX559">
            <v>3</v>
          </cell>
          <cell r="AY559">
            <v>8</v>
          </cell>
          <cell r="AZ559">
            <v>9</v>
          </cell>
          <cell r="BA559">
            <v>7</v>
          </cell>
          <cell r="BB559">
            <v>2</v>
          </cell>
          <cell r="BC559">
            <v>0</v>
          </cell>
          <cell r="BD559">
            <v>0</v>
          </cell>
          <cell r="BE559" t="str">
            <v>120-0758078-9</v>
          </cell>
          <cell r="BF559" t="str">
            <v>فاطمه عثمان محمد</v>
          </cell>
          <cell r="BG559" t="str">
            <v>الجزيره</v>
          </cell>
          <cell r="BH559" t="str">
            <v>الجزيره - الكاملين</v>
          </cell>
          <cell r="BI559" t="str">
            <v>0911026335</v>
          </cell>
          <cell r="BJ559" t="str">
            <v>الطاهر البشير</v>
          </cell>
          <cell r="BK559" t="str">
            <v>0964314443</v>
          </cell>
          <cell r="BL559" t="str">
            <v>إستثناء</v>
          </cell>
          <cell r="BN559">
            <v>43500</v>
          </cell>
          <cell r="EQ559">
            <v>0</v>
          </cell>
          <cell r="FG559" t="str">
            <v>مدير الامن و الحركه</v>
          </cell>
          <cell r="FH559" t="str">
            <v>فارس حمدان عبدالله فارس</v>
          </cell>
          <cell r="FI559" t="str">
            <v>120-0758078-9</v>
          </cell>
        </row>
        <row r="560">
          <cell r="A560">
            <v>919</v>
          </cell>
          <cell r="B560" t="str">
            <v>بدر العبيد التوم رجب</v>
          </cell>
          <cell r="C560" t="str">
            <v>بدرالعبيد</v>
          </cell>
          <cell r="D560" t="str">
            <v>التوم</v>
          </cell>
          <cell r="E560" t="str">
            <v>رجب</v>
          </cell>
          <cell r="G560" t="str">
            <v>المصنع</v>
          </cell>
          <cell r="H560" t="str">
            <v>الامن و الحركه</v>
          </cell>
          <cell r="I560" t="str">
            <v>الامن</v>
          </cell>
          <cell r="L560" t="str">
            <v>فرد امن</v>
          </cell>
          <cell r="M560">
            <v>42664</v>
          </cell>
          <cell r="N560">
            <v>42751</v>
          </cell>
          <cell r="O560">
            <v>0</v>
          </cell>
          <cell r="P560">
            <v>2</v>
          </cell>
          <cell r="R560">
            <v>5</v>
          </cell>
          <cell r="T560" t="str">
            <v>فصل</v>
          </cell>
          <cell r="U560">
            <v>42751</v>
          </cell>
          <cell r="V560">
            <v>42751</v>
          </cell>
          <cell r="Z560">
            <v>27760</v>
          </cell>
          <cell r="AG560">
            <v>9</v>
          </cell>
          <cell r="AH560">
            <v>1</v>
          </cell>
          <cell r="AS560">
            <v>43500</v>
          </cell>
          <cell r="AT560">
            <v>43</v>
          </cell>
          <cell r="BE560" t="str">
            <v>115-2817885-7</v>
          </cell>
          <cell r="BF560" t="str">
            <v>ريا احمد الامين</v>
          </cell>
          <cell r="BG560" t="str">
            <v>الجزيره</v>
          </cell>
          <cell r="BH560" t="str">
            <v>الجزيره - الباقير</v>
          </cell>
          <cell r="BI560" t="str">
            <v>0917845453</v>
          </cell>
          <cell r="BL560" t="str">
            <v>خالي الطرف</v>
          </cell>
          <cell r="BN560">
            <v>43500</v>
          </cell>
          <cell r="BS560" t="str">
            <v>الاقتصاد</v>
          </cell>
          <cell r="BT560" t="str">
            <v>شهاده متوسطه</v>
          </cell>
          <cell r="BU560" t="str">
            <v>جامعة النيلين</v>
          </cell>
          <cell r="BV560">
            <v>39749</v>
          </cell>
          <cell r="EQ560">
            <v>0</v>
          </cell>
          <cell r="FG560" t="str">
            <v>مدير الامن و الحركه</v>
          </cell>
          <cell r="FH560" t="str">
            <v>فارس حمدان عبدالله فارس</v>
          </cell>
          <cell r="FI560" t="str">
            <v>115-2817885-7</v>
          </cell>
        </row>
        <row r="561">
          <cell r="A561">
            <v>921</v>
          </cell>
          <cell r="B561" t="str">
            <v>ابوبكر المهل مصطفى عبدالله</v>
          </cell>
          <cell r="C561" t="str">
            <v>ابوبكر</v>
          </cell>
          <cell r="D561" t="str">
            <v>المهل</v>
          </cell>
          <cell r="E561" t="str">
            <v>مصطفى</v>
          </cell>
          <cell r="F561" t="str">
            <v>عبدالله</v>
          </cell>
          <cell r="G561" t="str">
            <v>المصنع</v>
          </cell>
          <cell r="H561" t="str">
            <v>الانتاج</v>
          </cell>
          <cell r="L561" t="str">
            <v>عامل</v>
          </cell>
          <cell r="M561">
            <v>42680</v>
          </cell>
          <cell r="N561">
            <v>43030</v>
          </cell>
          <cell r="O561">
            <v>0</v>
          </cell>
          <cell r="P561">
            <v>11</v>
          </cell>
          <cell r="R561">
            <v>27.5</v>
          </cell>
          <cell r="T561" t="str">
            <v>فصل</v>
          </cell>
          <cell r="U561">
            <v>43030</v>
          </cell>
          <cell r="V561">
            <v>43030</v>
          </cell>
          <cell r="Z561">
            <v>31962</v>
          </cell>
          <cell r="AG561">
            <v>9</v>
          </cell>
          <cell r="AH561">
            <v>1</v>
          </cell>
          <cell r="AS561">
            <v>43500</v>
          </cell>
          <cell r="AT561">
            <v>31</v>
          </cell>
          <cell r="BN561">
            <v>43500</v>
          </cell>
          <cell r="EQ561">
            <v>0</v>
          </cell>
          <cell r="FG561" t="str">
            <v xml:space="preserve"> مدير الانتاج</v>
          </cell>
          <cell r="FH561" t="str">
            <v>هشام عيسى محمد عبدالكريم</v>
          </cell>
          <cell r="FI561">
            <v>0</v>
          </cell>
        </row>
        <row r="562">
          <cell r="A562">
            <v>922</v>
          </cell>
          <cell r="B562" t="str">
            <v>يحى سليمان ابكر ادم</v>
          </cell>
          <cell r="C562" t="str">
            <v>يحى</v>
          </cell>
          <cell r="D562" t="str">
            <v>سليمان</v>
          </cell>
          <cell r="E562" t="str">
            <v>ابكر</v>
          </cell>
          <cell r="F562" t="str">
            <v>ادم</v>
          </cell>
          <cell r="G562" t="str">
            <v>المصنع</v>
          </cell>
          <cell r="H562" t="str">
            <v>الميكانيكا</v>
          </cell>
          <cell r="L562" t="str">
            <v>فنى صيانه</v>
          </cell>
          <cell r="M562">
            <v>42689</v>
          </cell>
          <cell r="N562">
            <v>42920</v>
          </cell>
          <cell r="O562">
            <v>0</v>
          </cell>
          <cell r="P562">
            <v>7</v>
          </cell>
          <cell r="R562">
            <v>17.5</v>
          </cell>
          <cell r="T562" t="str">
            <v>إستقال</v>
          </cell>
          <cell r="U562">
            <v>42921</v>
          </cell>
          <cell r="Z562">
            <v>29587</v>
          </cell>
          <cell r="AG562">
            <v>9</v>
          </cell>
          <cell r="AH562">
            <v>1</v>
          </cell>
          <cell r="AS562">
            <v>43500</v>
          </cell>
          <cell r="AT562">
            <v>38</v>
          </cell>
          <cell r="AU562" t="str">
            <v>بطاقه قوميه</v>
          </cell>
          <cell r="AV562" t="str">
            <v>000705537</v>
          </cell>
          <cell r="AW562">
            <v>7</v>
          </cell>
          <cell r="AX562">
            <v>3</v>
          </cell>
          <cell r="AY562">
            <v>5</v>
          </cell>
          <cell r="AZ562">
            <v>5</v>
          </cell>
          <cell r="BA562">
            <v>0</v>
          </cell>
          <cell r="BB562">
            <v>7</v>
          </cell>
          <cell r="BC562">
            <v>0</v>
          </cell>
          <cell r="BD562">
            <v>0</v>
          </cell>
          <cell r="BE562" t="str">
            <v>119-807550-6</v>
          </cell>
          <cell r="BG562" t="str">
            <v>العربى</v>
          </cell>
          <cell r="BH562" t="str">
            <v>السمير - المحطه</v>
          </cell>
          <cell r="BI562" t="str">
            <v>0911273656</v>
          </cell>
          <cell r="BJ562" t="str">
            <v>هيثم صالح</v>
          </cell>
          <cell r="BL562" t="str">
            <v>خالي الطرف</v>
          </cell>
          <cell r="BN562">
            <v>43500</v>
          </cell>
          <cell r="CQ562" t="str">
            <v>شركة اليرموك للخدمات الصناعية</v>
          </cell>
          <cell r="CR562" t="str">
            <v>فنى حفر مياه جوفية</v>
          </cell>
          <cell r="CS562">
            <v>41122</v>
          </cell>
          <cell r="CT562">
            <v>42460</v>
          </cell>
          <cell r="CV562" t="str">
            <v>جياد - شركة كونسبت للتنمية المحدودة</v>
          </cell>
          <cell r="CW562" t="str">
            <v>فنى حفر</v>
          </cell>
          <cell r="CX562">
            <v>40603</v>
          </cell>
          <cell r="CY562">
            <v>40969</v>
          </cell>
          <cell r="DA562" t="str">
            <v>شركة الغدير للمياه الجوفية المحدودة</v>
          </cell>
          <cell r="DB562" t="str">
            <v>عامل حفر</v>
          </cell>
          <cell r="DC562">
            <v>38103</v>
          </cell>
          <cell r="DD562">
            <v>39947</v>
          </cell>
          <cell r="EQ562">
            <v>0</v>
          </cell>
          <cell r="FG562" t="str">
            <v>مدير الصيانه الميكانيكيه</v>
          </cell>
          <cell r="FH562" t="str">
            <v>محمد احمد محمد سليمان</v>
          </cell>
          <cell r="FI562" t="str">
            <v>119-807550-6</v>
          </cell>
        </row>
        <row r="563">
          <cell r="A563">
            <v>923</v>
          </cell>
          <cell r="B563" t="str">
            <v>بدرالدين عثمان عوض الكريم فضل الله</v>
          </cell>
          <cell r="C563" t="str">
            <v>بدر الدين</v>
          </cell>
          <cell r="D563" t="str">
            <v>عثمان</v>
          </cell>
          <cell r="E563" t="str">
            <v>عوض الكريم</v>
          </cell>
          <cell r="F563" t="str">
            <v>فضل الله</v>
          </cell>
          <cell r="G563" t="str">
            <v>المصنع</v>
          </cell>
          <cell r="H563" t="str">
            <v>الميكانيكا</v>
          </cell>
          <cell r="K563" t="str">
            <v>مهندس صيانة</v>
          </cell>
          <cell r="L563" t="str">
            <v>مهندس صيانه</v>
          </cell>
          <cell r="M563">
            <v>42710</v>
          </cell>
          <cell r="N563">
            <v>43500</v>
          </cell>
          <cell r="O563">
            <v>2</v>
          </cell>
          <cell r="P563">
            <v>1</v>
          </cell>
          <cell r="R563">
            <v>62.5</v>
          </cell>
          <cell r="Z563">
            <v>28491</v>
          </cell>
          <cell r="AG563">
            <v>9</v>
          </cell>
          <cell r="AH563">
            <v>1</v>
          </cell>
          <cell r="AI563" t="str">
            <v>ميلاد</v>
          </cell>
          <cell r="AS563">
            <v>43500</v>
          </cell>
          <cell r="AT563">
            <v>41</v>
          </cell>
          <cell r="AU563" t="str">
            <v>بطاقه شخصيه</v>
          </cell>
          <cell r="AV563" t="str">
            <v>080214135</v>
          </cell>
          <cell r="AW563">
            <v>5</v>
          </cell>
          <cell r="AX563">
            <v>3</v>
          </cell>
          <cell r="AY563">
            <v>1</v>
          </cell>
          <cell r="AZ563">
            <v>4</v>
          </cell>
          <cell r="BA563">
            <v>1</v>
          </cell>
          <cell r="BB563">
            <v>2</v>
          </cell>
          <cell r="BC563">
            <v>0</v>
          </cell>
          <cell r="BD563">
            <v>8</v>
          </cell>
          <cell r="BE563" t="str">
            <v>120-5402490-2</v>
          </cell>
          <cell r="BF563" t="str">
            <v>سعيد الوداعة عثمان</v>
          </cell>
          <cell r="BG563" t="str">
            <v>العربى</v>
          </cell>
          <cell r="BH563" t="str">
            <v>السلمة - البقالة</v>
          </cell>
          <cell r="BI563" t="str">
            <v>0118420880</v>
          </cell>
          <cell r="BJ563" t="str">
            <v>عصام الدين عثمان</v>
          </cell>
          <cell r="BK563" t="str">
            <v>0912554481</v>
          </cell>
          <cell r="BL563" t="str">
            <v>خالي الطرف</v>
          </cell>
          <cell r="BN563">
            <v>43500</v>
          </cell>
          <cell r="BS563" t="str">
            <v xml:space="preserve">هندسة ميكانيكة </v>
          </cell>
          <cell r="BT563" t="str">
            <v>بكلاريوس</v>
          </cell>
          <cell r="BU563" t="str">
            <v xml:space="preserve">جامعة وادى النيل </v>
          </cell>
          <cell r="BV563">
            <v>38442</v>
          </cell>
          <cell r="CQ563" t="str">
            <v>ليدر تكنولوجى للمنتجات الهندسية</v>
          </cell>
          <cell r="CR563" t="str">
            <v>مشرف إنتاج</v>
          </cell>
          <cell r="CS563">
            <v>39505</v>
          </cell>
          <cell r="CT563">
            <v>39707</v>
          </cell>
          <cell r="CV563" t="str">
            <v>ليدر تكنولوجى للمنتجات الهندسية</v>
          </cell>
          <cell r="CW563" t="str">
            <v>مهندس صيانة ميكانيكية</v>
          </cell>
          <cell r="CX563">
            <v>40817</v>
          </cell>
          <cell r="CY563">
            <v>42637</v>
          </cell>
          <cell r="DA563" t="str">
            <v>شركة ابوقرجة الهندسية</v>
          </cell>
          <cell r="DB563" t="str">
            <v>مهندس ميكانيكا سيارات</v>
          </cell>
          <cell r="DC563">
            <v>39692</v>
          </cell>
          <cell r="DD563">
            <v>40090</v>
          </cell>
          <cell r="EQ563">
            <v>30</v>
          </cell>
          <cell r="EW563">
            <v>43075</v>
          </cell>
          <cell r="EX563">
            <v>43439</v>
          </cell>
          <cell r="EY563" t="str">
            <v>مهندس ميكانيكا</v>
          </cell>
          <cell r="FG563" t="str">
            <v>مدير الصيانه الميكانيكيه</v>
          </cell>
          <cell r="FH563" t="str">
            <v>محمد احمد محمد سليمان</v>
          </cell>
          <cell r="FI563" t="str">
            <v>120-5402490-2</v>
          </cell>
          <cell r="HC563" t="str">
            <v>30</v>
          </cell>
        </row>
        <row r="564">
          <cell r="A564">
            <v>924</v>
          </cell>
          <cell r="B564" t="str">
            <v>محمد عبداللطيف فضل المولى الغزالى</v>
          </cell>
          <cell r="C564" t="str">
            <v>محمد</v>
          </cell>
          <cell r="D564" t="str">
            <v>عبداللطيف</v>
          </cell>
          <cell r="E564" t="str">
            <v>فضل المولى</v>
          </cell>
          <cell r="F564" t="str">
            <v>الغزالى</v>
          </cell>
          <cell r="G564" t="str">
            <v>المصنع</v>
          </cell>
          <cell r="H564" t="str">
            <v>الامن و الحركه</v>
          </cell>
          <cell r="K564" t="str">
            <v>فرد امن</v>
          </cell>
          <cell r="L564" t="str">
            <v>فرد امن</v>
          </cell>
          <cell r="M564">
            <v>42710</v>
          </cell>
          <cell r="N564">
            <v>43108</v>
          </cell>
          <cell r="O564">
            <v>1</v>
          </cell>
          <cell r="P564">
            <v>1</v>
          </cell>
          <cell r="R564">
            <v>32.5</v>
          </cell>
          <cell r="T564" t="str">
            <v>فصل</v>
          </cell>
          <cell r="U564">
            <v>43120</v>
          </cell>
          <cell r="Z564">
            <v>30096</v>
          </cell>
          <cell r="AG564">
            <v>9</v>
          </cell>
          <cell r="AH564">
            <v>1</v>
          </cell>
          <cell r="AI564" t="str">
            <v>ميلاد</v>
          </cell>
          <cell r="AJ564" t="str">
            <v>240500</v>
          </cell>
          <cell r="AS564">
            <v>43500</v>
          </cell>
          <cell r="AT564">
            <v>36</v>
          </cell>
          <cell r="AU564" t="str">
            <v>بطاقه قوميه</v>
          </cell>
          <cell r="AV564" t="str">
            <v>002677977</v>
          </cell>
          <cell r="AW564">
            <v>7</v>
          </cell>
          <cell r="AX564">
            <v>7</v>
          </cell>
          <cell r="AY564">
            <v>9</v>
          </cell>
          <cell r="AZ564">
            <v>7</v>
          </cell>
          <cell r="BA564">
            <v>7</v>
          </cell>
          <cell r="BB564">
            <v>6</v>
          </cell>
          <cell r="BC564">
            <v>2</v>
          </cell>
          <cell r="BD564">
            <v>0</v>
          </cell>
          <cell r="BE564" t="str">
            <v>102-0031219-1</v>
          </cell>
          <cell r="BF564" t="str">
            <v>علويه موسى اللين على</v>
          </cell>
          <cell r="BG564" t="str">
            <v>الكلاكله</v>
          </cell>
          <cell r="BH564" t="str">
            <v>جبل اوليا - ام عشر</v>
          </cell>
          <cell r="BI564" t="str">
            <v>0919198874</v>
          </cell>
          <cell r="BJ564" t="str">
            <v>إسماعيل عبداللطيف</v>
          </cell>
          <cell r="BK564" t="str">
            <v>0911116122</v>
          </cell>
          <cell r="BL564" t="str">
            <v>إستثناء</v>
          </cell>
          <cell r="BN564">
            <v>43500</v>
          </cell>
          <cell r="BS564" t="str">
            <v>حاسوب</v>
          </cell>
          <cell r="BT564" t="str">
            <v>دبلوم (معاهد)</v>
          </cell>
          <cell r="BU564" t="str">
            <v>مركو بى سى قيت لعلوم الكمبيوتر والانترنت</v>
          </cell>
          <cell r="EQ564">
            <v>0</v>
          </cell>
          <cell r="FG564" t="str">
            <v>مدير الامن و الحركه</v>
          </cell>
          <cell r="FH564" t="str">
            <v>فارس حمدان عبدالله فارس</v>
          </cell>
          <cell r="FI564" t="str">
            <v>102-0031219-1</v>
          </cell>
        </row>
        <row r="565">
          <cell r="A565">
            <v>925</v>
          </cell>
          <cell r="B565" t="str">
            <v>محمد حسونة البشير الصديق</v>
          </cell>
          <cell r="C565" t="str">
            <v>محمد</v>
          </cell>
          <cell r="D565" t="str">
            <v>حسونه</v>
          </cell>
          <cell r="E565" t="str">
            <v>البشير</v>
          </cell>
          <cell r="F565" t="str">
            <v>الصديق</v>
          </cell>
          <cell r="G565" t="str">
            <v>المصنع</v>
          </cell>
          <cell r="H565" t="str">
            <v>المستودعات</v>
          </cell>
          <cell r="M565">
            <v>42711</v>
          </cell>
          <cell r="N565">
            <v>43500</v>
          </cell>
          <cell r="O565">
            <v>2</v>
          </cell>
          <cell r="P565">
            <v>1</v>
          </cell>
          <cell r="R565">
            <v>62.5</v>
          </cell>
          <cell r="T565" t="str">
            <v>إستقال</v>
          </cell>
          <cell r="U565">
            <v>43071</v>
          </cell>
          <cell r="V565">
            <v>43071</v>
          </cell>
          <cell r="Z565">
            <v>33241</v>
          </cell>
          <cell r="AG565">
            <v>9</v>
          </cell>
          <cell r="AH565">
            <v>1</v>
          </cell>
          <cell r="AI565" t="str">
            <v>ميلاد</v>
          </cell>
          <cell r="AJ565" t="str">
            <v>92090</v>
          </cell>
          <cell r="AS565">
            <v>43500</v>
          </cell>
          <cell r="AT565">
            <v>28</v>
          </cell>
          <cell r="BE565" t="str">
            <v>119-4046536-7</v>
          </cell>
          <cell r="BF565" t="str">
            <v>ستنا فضل الله الصديق</v>
          </cell>
          <cell r="BG565" t="str">
            <v>بحرى</v>
          </cell>
          <cell r="BH565" t="str">
            <v>شرق النيل - عدبابكر</v>
          </cell>
          <cell r="BI565" t="str">
            <v>0906959441</v>
          </cell>
          <cell r="BJ565" t="str">
            <v>حسونه البشير الصديق</v>
          </cell>
          <cell r="BL565" t="str">
            <v>خالي الطرف</v>
          </cell>
          <cell r="BN565">
            <v>43500</v>
          </cell>
          <cell r="BS565" t="str">
            <v>هندسة حاسوب</v>
          </cell>
          <cell r="BT565" t="str">
            <v>دبلوم تقني</v>
          </cell>
          <cell r="BU565" t="str">
            <v>جامعة السودان للعلوم والتكنولوجيا</v>
          </cell>
          <cell r="BV565">
            <v>42278</v>
          </cell>
          <cell r="EQ565">
            <v>0</v>
          </cell>
          <cell r="FG565" t="str">
            <v>مدير المستودعات</v>
          </cell>
          <cell r="FH565" t="str">
            <v>على احمد على بابكر</v>
          </cell>
          <cell r="FI565" t="str">
            <v>119-4046536-7</v>
          </cell>
        </row>
        <row r="566">
          <cell r="A566">
            <v>926</v>
          </cell>
          <cell r="B566" t="str">
            <v>ادريس سعيد كومى مندى</v>
          </cell>
          <cell r="C566" t="str">
            <v>ادريس</v>
          </cell>
          <cell r="D566" t="str">
            <v>سعيد</v>
          </cell>
          <cell r="E566" t="str">
            <v>كومى</v>
          </cell>
          <cell r="F566" t="str">
            <v>مندى</v>
          </cell>
          <cell r="G566" t="str">
            <v>المصنع</v>
          </cell>
          <cell r="H566" t="str">
            <v>الامن و الحركه</v>
          </cell>
          <cell r="L566" t="str">
            <v>فرد امن</v>
          </cell>
          <cell r="M566">
            <v>42718</v>
          </cell>
          <cell r="N566">
            <v>43500</v>
          </cell>
          <cell r="O566">
            <v>2</v>
          </cell>
          <cell r="P566">
            <v>1</v>
          </cell>
          <cell r="R566">
            <v>62.5</v>
          </cell>
          <cell r="T566" t="str">
            <v>فصل</v>
          </cell>
          <cell r="U566">
            <v>42761</v>
          </cell>
          <cell r="V566">
            <v>42761</v>
          </cell>
          <cell r="Z566">
            <v>29952</v>
          </cell>
          <cell r="AG566">
            <v>9</v>
          </cell>
          <cell r="AH566">
            <v>1</v>
          </cell>
          <cell r="AI566" t="str">
            <v>تسنين</v>
          </cell>
          <cell r="AJ566" t="str">
            <v>119846</v>
          </cell>
          <cell r="AS566">
            <v>43500</v>
          </cell>
          <cell r="AT566">
            <v>37</v>
          </cell>
          <cell r="AU566" t="str">
            <v>بطاقه قوميه</v>
          </cell>
          <cell r="AV566" t="str">
            <v>002474257</v>
          </cell>
          <cell r="AW566">
            <v>7</v>
          </cell>
          <cell r="AX566">
            <v>5</v>
          </cell>
          <cell r="AY566">
            <v>2</v>
          </cell>
          <cell r="AZ566">
            <v>4</v>
          </cell>
          <cell r="BA566">
            <v>7</v>
          </cell>
          <cell r="BB566">
            <v>4</v>
          </cell>
          <cell r="BC566">
            <v>2</v>
          </cell>
          <cell r="BD566">
            <v>0</v>
          </cell>
          <cell r="BE566" t="str">
            <v>120-0413042-2</v>
          </cell>
          <cell r="BF566" t="str">
            <v>غزاله كندة</v>
          </cell>
          <cell r="BG566" t="str">
            <v>الكلاكله</v>
          </cell>
          <cell r="BH566" t="str">
            <v>جبل اولياء</v>
          </cell>
          <cell r="BI566" t="str">
            <v>0926832511</v>
          </cell>
          <cell r="BJ566" t="str">
            <v>حسن سعيد كومى</v>
          </cell>
          <cell r="BK566" t="str">
            <v>0112693231</v>
          </cell>
          <cell r="BL566" t="str">
            <v>خالي الطرف</v>
          </cell>
          <cell r="BN566">
            <v>43500</v>
          </cell>
          <cell r="BT566" t="str">
            <v>شهاده ثانويه</v>
          </cell>
          <cell r="BV566">
            <v>36982</v>
          </cell>
          <cell r="CQ566" t="str">
            <v>شركة النيل الازرق للتامين المحدوده</v>
          </cell>
          <cell r="CR566" t="str">
            <v>مدخل بيانات</v>
          </cell>
          <cell r="CS566">
            <v>38045</v>
          </cell>
          <cell r="CT566">
            <v>38777</v>
          </cell>
          <cell r="EQ566">
            <v>0</v>
          </cell>
          <cell r="FG566" t="str">
            <v>مدير الامن و الحركه</v>
          </cell>
          <cell r="FH566" t="str">
            <v>فارس حمدان عبدالله فارس</v>
          </cell>
          <cell r="FI566" t="str">
            <v>120-0413042-2</v>
          </cell>
        </row>
        <row r="567">
          <cell r="A567">
            <v>927</v>
          </cell>
          <cell r="B567" t="str">
            <v>الحاج محمد النور البشير الخليفة</v>
          </cell>
          <cell r="C567" t="str">
            <v>الحاج</v>
          </cell>
          <cell r="D567" t="str">
            <v>محمد</v>
          </cell>
          <cell r="E567" t="str">
            <v>النور</v>
          </cell>
          <cell r="F567" t="str">
            <v>البشير</v>
          </cell>
          <cell r="G567" t="str">
            <v>المصنع</v>
          </cell>
          <cell r="H567" t="str">
            <v>الانتاج</v>
          </cell>
          <cell r="L567" t="str">
            <v>عامل</v>
          </cell>
          <cell r="M567">
            <v>42737</v>
          </cell>
          <cell r="N567">
            <v>43500</v>
          </cell>
          <cell r="O567">
            <v>2</v>
          </cell>
          <cell r="P567">
            <v>1</v>
          </cell>
          <cell r="R567">
            <v>62.5</v>
          </cell>
          <cell r="T567" t="str">
            <v>فصل</v>
          </cell>
          <cell r="U567">
            <v>43011</v>
          </cell>
          <cell r="V567">
            <v>43011</v>
          </cell>
          <cell r="Z567">
            <v>25074</v>
          </cell>
          <cell r="AG567">
            <v>9</v>
          </cell>
          <cell r="AH567">
            <v>1</v>
          </cell>
          <cell r="AI567" t="str">
            <v>ميلاد</v>
          </cell>
          <cell r="AJ567" t="str">
            <v>23039</v>
          </cell>
          <cell r="AS567">
            <v>43500</v>
          </cell>
          <cell r="AT567">
            <v>50</v>
          </cell>
          <cell r="BE567" t="str">
            <v>120-5431975-8</v>
          </cell>
          <cell r="BF567" t="str">
            <v>حليمه عبدالله الرضى</v>
          </cell>
          <cell r="BG567" t="str">
            <v>العربى</v>
          </cell>
          <cell r="BH567" t="str">
            <v>صالحة - جادين - م 5</v>
          </cell>
          <cell r="BI567" t="str">
            <v>0909256446</v>
          </cell>
          <cell r="BJ567" t="str">
            <v>على إبراهيم النعيم</v>
          </cell>
          <cell r="BL567" t="str">
            <v>كبار سن</v>
          </cell>
          <cell r="BN567">
            <v>43500</v>
          </cell>
          <cell r="EQ567">
            <v>0</v>
          </cell>
          <cell r="FG567" t="str">
            <v xml:space="preserve"> مدير الانتاج</v>
          </cell>
          <cell r="FH567" t="str">
            <v>هشام عيسى محمد عبدالكريم</v>
          </cell>
          <cell r="FI567" t="str">
            <v>120-5431975-8</v>
          </cell>
        </row>
        <row r="568">
          <cell r="A568">
            <v>928</v>
          </cell>
          <cell r="B568" t="str">
            <v>النعيم الامين حامد الامين</v>
          </cell>
          <cell r="C568" t="str">
            <v>النعيم</v>
          </cell>
          <cell r="D568" t="str">
            <v>الامينِ</v>
          </cell>
          <cell r="E568" t="str">
            <v>حامد</v>
          </cell>
          <cell r="F568" t="str">
            <v>الامين</v>
          </cell>
          <cell r="G568" t="str">
            <v>المصنع</v>
          </cell>
          <cell r="H568" t="str">
            <v>المستودعات</v>
          </cell>
          <cell r="K568" t="str">
            <v>عامل</v>
          </cell>
          <cell r="L568" t="str">
            <v>عامل</v>
          </cell>
          <cell r="M568">
            <v>42739</v>
          </cell>
          <cell r="N568">
            <v>43500</v>
          </cell>
          <cell r="O568">
            <v>2</v>
          </cell>
          <cell r="P568">
            <v>1</v>
          </cell>
          <cell r="R568">
            <v>62.5</v>
          </cell>
          <cell r="Z568">
            <v>30719</v>
          </cell>
          <cell r="AG568">
            <v>9</v>
          </cell>
          <cell r="AH568">
            <v>1</v>
          </cell>
          <cell r="AI568" t="str">
            <v>ميلاد</v>
          </cell>
          <cell r="AJ568" t="str">
            <v>177084</v>
          </cell>
          <cell r="AS568">
            <v>43500</v>
          </cell>
          <cell r="AT568">
            <v>34</v>
          </cell>
          <cell r="AU568" t="str">
            <v>بطاقه قوميه</v>
          </cell>
          <cell r="AV568" t="str">
            <v>004060064</v>
          </cell>
          <cell r="AW568">
            <v>4</v>
          </cell>
          <cell r="AX568">
            <v>6</v>
          </cell>
          <cell r="AY568">
            <v>0</v>
          </cell>
          <cell r="AZ568">
            <v>0</v>
          </cell>
          <cell r="BA568">
            <v>6</v>
          </cell>
          <cell r="BB568">
            <v>0</v>
          </cell>
          <cell r="BC568">
            <v>4</v>
          </cell>
          <cell r="BD568">
            <v>0</v>
          </cell>
          <cell r="BE568" t="str">
            <v>182-6555704-5</v>
          </cell>
          <cell r="BF568" t="str">
            <v>زينب النعيم</v>
          </cell>
          <cell r="BG568" t="str">
            <v>الكلاكله</v>
          </cell>
          <cell r="BH568" t="str">
            <v>الكلاكله - الشقيلاب - موده</v>
          </cell>
          <cell r="BI568" t="str">
            <v>0916088846</v>
          </cell>
          <cell r="BJ568" t="str">
            <v>محمد الامين حامد</v>
          </cell>
          <cell r="BL568" t="str">
            <v>خالي الطرف</v>
          </cell>
          <cell r="BN568">
            <v>43500</v>
          </cell>
          <cell r="BT568" t="str">
            <v>شهاده ثانويه</v>
          </cell>
          <cell r="BV568">
            <v>40603</v>
          </cell>
          <cell r="EQ568">
            <v>0</v>
          </cell>
          <cell r="FG568" t="str">
            <v>مدير المستودعات</v>
          </cell>
          <cell r="FH568" t="str">
            <v>على احمد على بابكر</v>
          </cell>
          <cell r="FI568" t="str">
            <v>182-6555704-5</v>
          </cell>
        </row>
        <row r="569">
          <cell r="A569">
            <v>929</v>
          </cell>
          <cell r="B569" t="str">
            <v>محمد عوض ابراهيم شرفى</v>
          </cell>
          <cell r="C569" t="str">
            <v>محمد</v>
          </cell>
          <cell r="D569" t="str">
            <v>عوض</v>
          </cell>
          <cell r="E569" t="str">
            <v>ابراهيم</v>
          </cell>
          <cell r="F569" t="str">
            <v>شرفى</v>
          </cell>
          <cell r="G569" t="str">
            <v>المصنع</v>
          </cell>
          <cell r="H569" t="str">
            <v>المستودعات</v>
          </cell>
          <cell r="K569" t="str">
            <v>امين مستودع</v>
          </cell>
          <cell r="L569" t="str">
            <v>امين مستودع</v>
          </cell>
          <cell r="M569">
            <v>42749</v>
          </cell>
          <cell r="N569">
            <v>43500</v>
          </cell>
          <cell r="O569">
            <v>2</v>
          </cell>
          <cell r="P569">
            <v>0</v>
          </cell>
          <cell r="R569">
            <v>60</v>
          </cell>
          <cell r="Z569">
            <v>31195</v>
          </cell>
          <cell r="AG569">
            <v>9</v>
          </cell>
          <cell r="AH569">
            <v>1</v>
          </cell>
          <cell r="AI569" t="str">
            <v>ميلاد بالخارج</v>
          </cell>
          <cell r="AJ569" t="str">
            <v>724</v>
          </cell>
          <cell r="AS569">
            <v>43500</v>
          </cell>
          <cell r="AT569">
            <v>33</v>
          </cell>
          <cell r="AU569" t="str">
            <v>بطاقه قوميه</v>
          </cell>
          <cell r="AV569" t="str">
            <v>000432154</v>
          </cell>
          <cell r="AW569">
            <v>4</v>
          </cell>
          <cell r="AX569">
            <v>5</v>
          </cell>
          <cell r="AY569">
            <v>1</v>
          </cell>
          <cell r="AZ569">
            <v>2</v>
          </cell>
          <cell r="BA569">
            <v>3</v>
          </cell>
          <cell r="BB569">
            <v>4</v>
          </cell>
          <cell r="BC569">
            <v>0</v>
          </cell>
          <cell r="BD569">
            <v>0</v>
          </cell>
          <cell r="BE569" t="str">
            <v>118-2433457-2</v>
          </cell>
          <cell r="BF569" t="str">
            <v>ليلى حسن محمد</v>
          </cell>
          <cell r="BG569" t="str">
            <v>جبره</v>
          </cell>
          <cell r="BH569" t="str">
            <v>الامتداد - الدرجه الثالثه - م 12</v>
          </cell>
          <cell r="BI569" t="str">
            <v>0122101516</v>
          </cell>
          <cell r="BJ569" t="str">
            <v>منتصر عوض إبراهيم</v>
          </cell>
          <cell r="BK569" t="str">
            <v>0922523910</v>
          </cell>
          <cell r="BL569" t="str">
            <v>خالي الطرف</v>
          </cell>
          <cell r="BN569">
            <v>43500</v>
          </cell>
          <cell r="BS569" t="str">
            <v>مياه جوفيه</v>
          </cell>
          <cell r="BT569" t="str">
            <v>بكلاريوس</v>
          </cell>
          <cell r="BU569" t="str">
            <v>جامعة النيلين</v>
          </cell>
          <cell r="BV569">
            <v>40525</v>
          </cell>
          <cell r="EQ569">
            <v>0</v>
          </cell>
          <cell r="FG569" t="str">
            <v>مدير المستودعات</v>
          </cell>
          <cell r="FH569" t="str">
            <v>على احمد على بابكر</v>
          </cell>
          <cell r="FI569" t="str">
            <v>118-2433457-2</v>
          </cell>
        </row>
        <row r="570">
          <cell r="A570">
            <v>930</v>
          </cell>
          <cell r="B570" t="str">
            <v>عبدالرحمن عثمان محمد عثمان</v>
          </cell>
          <cell r="C570" t="str">
            <v>عبدالرحمن</v>
          </cell>
          <cell r="D570" t="str">
            <v>عثمان</v>
          </cell>
          <cell r="E570" t="str">
            <v>محمد</v>
          </cell>
          <cell r="F570" t="str">
            <v>عثمان</v>
          </cell>
          <cell r="G570" t="str">
            <v>المصنع</v>
          </cell>
          <cell r="H570" t="str">
            <v>الامن و الحركه</v>
          </cell>
          <cell r="K570" t="str">
            <v>فرد امن</v>
          </cell>
          <cell r="L570" t="str">
            <v>فرد امن</v>
          </cell>
          <cell r="M570">
            <v>42754</v>
          </cell>
          <cell r="N570">
            <v>42754</v>
          </cell>
          <cell r="O570">
            <v>0</v>
          </cell>
          <cell r="P570">
            <v>0</v>
          </cell>
          <cell r="R570">
            <v>0</v>
          </cell>
          <cell r="T570" t="str">
            <v>لم يداوم</v>
          </cell>
          <cell r="U570">
            <v>42754</v>
          </cell>
          <cell r="V570">
            <v>42754</v>
          </cell>
          <cell r="Z570">
            <v>29630</v>
          </cell>
          <cell r="AG570">
            <v>9</v>
          </cell>
          <cell r="AH570">
            <v>1</v>
          </cell>
          <cell r="AI570" t="str">
            <v>ميلاد</v>
          </cell>
          <cell r="AJ570" t="str">
            <v>601982</v>
          </cell>
          <cell r="AS570">
            <v>43500</v>
          </cell>
          <cell r="AT570">
            <v>37</v>
          </cell>
          <cell r="AU570" t="str">
            <v>بطاقه قوميه</v>
          </cell>
          <cell r="AV570" t="str">
            <v>000991075</v>
          </cell>
          <cell r="AW570">
            <v>5</v>
          </cell>
          <cell r="AX570">
            <v>7</v>
          </cell>
          <cell r="AY570">
            <v>0</v>
          </cell>
          <cell r="AZ570">
            <v>1</v>
          </cell>
          <cell r="BA570">
            <v>9</v>
          </cell>
          <cell r="BB570">
            <v>9</v>
          </cell>
          <cell r="BC570">
            <v>0</v>
          </cell>
          <cell r="BD570">
            <v>0</v>
          </cell>
          <cell r="BE570" t="str">
            <v>178-4163167-3</v>
          </cell>
          <cell r="BF570" t="str">
            <v>زينب يحى</v>
          </cell>
          <cell r="BG570" t="str">
            <v>جبره</v>
          </cell>
          <cell r="BH570" t="str">
            <v>جبره - م 9</v>
          </cell>
          <cell r="BI570" t="str">
            <v>0912838889</v>
          </cell>
          <cell r="BL570" t="str">
            <v>خالي الطرف</v>
          </cell>
          <cell r="BN570">
            <v>43500</v>
          </cell>
          <cell r="BS570" t="str">
            <v>حاسوب</v>
          </cell>
          <cell r="BT570" t="str">
            <v>دبلوم (معاهد)</v>
          </cell>
          <cell r="BU570" t="str">
            <v>مركز نيوفشن للتدريب</v>
          </cell>
          <cell r="BV570">
            <v>41404</v>
          </cell>
          <cell r="BW570" t="str">
            <v>اساسيات العمل المكتبى والحاسب الالى</v>
          </cell>
          <cell r="BX570" t="str">
            <v>شهاده دورة تدريب</v>
          </cell>
          <cell r="BY570" t="str">
            <v>المركز القومى للتدريب والنظم الادارية</v>
          </cell>
          <cell r="BZ570">
            <v>41623</v>
          </cell>
          <cell r="EQ570">
            <v>0</v>
          </cell>
          <cell r="FG570" t="str">
            <v>مدير الامن و الحركه</v>
          </cell>
          <cell r="FH570" t="str">
            <v>فارس حمدان عبدالله فارس</v>
          </cell>
          <cell r="FI570" t="str">
            <v>178-4163167-3</v>
          </cell>
        </row>
        <row r="571">
          <cell r="A571">
            <v>931</v>
          </cell>
          <cell r="B571" t="str">
            <v>ادم حموده حماد محمد</v>
          </cell>
          <cell r="C571" t="str">
            <v>ادم</v>
          </cell>
          <cell r="D571" t="str">
            <v>حموده</v>
          </cell>
          <cell r="E571" t="str">
            <v>حماد</v>
          </cell>
          <cell r="F571" t="str">
            <v>محمد</v>
          </cell>
          <cell r="G571" t="str">
            <v>المصنع</v>
          </cell>
          <cell r="H571" t="str">
            <v>الامن و الحركه</v>
          </cell>
          <cell r="K571" t="str">
            <v>فرد امن</v>
          </cell>
          <cell r="L571" t="str">
            <v>فرد امن</v>
          </cell>
          <cell r="M571">
            <v>42753</v>
          </cell>
          <cell r="N571">
            <v>43500</v>
          </cell>
          <cell r="O571">
            <v>2</v>
          </cell>
          <cell r="P571">
            <v>0</v>
          </cell>
          <cell r="R571">
            <v>60</v>
          </cell>
          <cell r="T571" t="str">
            <v>m</v>
          </cell>
          <cell r="AG571">
            <v>9</v>
          </cell>
          <cell r="AH571">
            <v>1</v>
          </cell>
          <cell r="AS571">
            <v>43500</v>
          </cell>
          <cell r="AT571">
            <v>119</v>
          </cell>
          <cell r="BN571">
            <v>43500</v>
          </cell>
          <cell r="EQ571">
            <v>0</v>
          </cell>
          <cell r="FG571" t="str">
            <v>مدير الامن و الحركه</v>
          </cell>
          <cell r="FH571" t="str">
            <v>فارس حمدان عبدالله فارس</v>
          </cell>
          <cell r="FI571">
            <v>0</v>
          </cell>
        </row>
        <row r="572">
          <cell r="A572">
            <v>932</v>
          </cell>
          <cell r="B572" t="str">
            <v>عبدالعزيز محمد عبدالله محمد</v>
          </cell>
          <cell r="C572" t="str">
            <v>عبدالعزيز</v>
          </cell>
          <cell r="D572" t="str">
            <v>محمد</v>
          </cell>
          <cell r="E572" t="str">
            <v>عبدالله</v>
          </cell>
          <cell r="F572" t="str">
            <v>محمد</v>
          </cell>
          <cell r="G572" t="str">
            <v>المصنع</v>
          </cell>
          <cell r="H572" t="str">
            <v>الانتاج</v>
          </cell>
          <cell r="L572" t="str">
            <v>سائق اليات</v>
          </cell>
          <cell r="M572">
            <v>42767</v>
          </cell>
          <cell r="N572">
            <v>42986</v>
          </cell>
          <cell r="O572">
            <v>0</v>
          </cell>
          <cell r="P572">
            <v>7</v>
          </cell>
          <cell r="R572">
            <v>17.5</v>
          </cell>
          <cell r="T572" t="str">
            <v>إستقال</v>
          </cell>
          <cell r="U572">
            <v>42987</v>
          </cell>
          <cell r="V572">
            <v>42986</v>
          </cell>
          <cell r="Z572">
            <v>30682</v>
          </cell>
          <cell r="AG572">
            <v>9</v>
          </cell>
          <cell r="AH572">
            <v>1</v>
          </cell>
          <cell r="AI572" t="str">
            <v>تسنين</v>
          </cell>
          <cell r="AJ572" t="str">
            <v>3436742</v>
          </cell>
          <cell r="AS572">
            <v>43500</v>
          </cell>
          <cell r="AT572">
            <v>35</v>
          </cell>
          <cell r="AU572" t="str">
            <v>جواز سفر</v>
          </cell>
          <cell r="AV572" t="str">
            <v>p01513698</v>
          </cell>
          <cell r="AW572">
            <v>8</v>
          </cell>
          <cell r="AX572">
            <v>9</v>
          </cell>
          <cell r="AY572">
            <v>6</v>
          </cell>
          <cell r="AZ572">
            <v>3</v>
          </cell>
          <cell r="BA572">
            <v>1</v>
          </cell>
          <cell r="BB572">
            <v>5</v>
          </cell>
          <cell r="BC572">
            <v>1</v>
          </cell>
          <cell r="BD572">
            <v>1</v>
          </cell>
          <cell r="BE572" t="str">
            <v>119-4392076-2</v>
          </cell>
          <cell r="BF572" t="str">
            <v>اميره عبدالمطلب مصطفى</v>
          </cell>
          <cell r="BG572" t="str">
            <v>الجزيره</v>
          </cell>
          <cell r="BH572" t="str">
            <v>الجزيره - التكينه</v>
          </cell>
          <cell r="BI572" t="str">
            <v>0993253643</v>
          </cell>
          <cell r="BL572" t="str">
            <v>خاضع للخدمه</v>
          </cell>
          <cell r="BN572">
            <v>43500</v>
          </cell>
          <cell r="CQ572" t="str">
            <v>شركة ابوظبى لصناعة الاسمده</v>
          </cell>
          <cell r="CS572">
            <v>39616</v>
          </cell>
          <cell r="CT572">
            <v>40711</v>
          </cell>
          <cell r="CV572" t="str">
            <v>شركة المصنع السودانى الماليزى</v>
          </cell>
          <cell r="CW572" t="str">
            <v>سائق رافعة شوكيه</v>
          </cell>
          <cell r="CX572">
            <v>41395</v>
          </cell>
          <cell r="CY572">
            <v>42643</v>
          </cell>
          <cell r="EQ572">
            <v>0</v>
          </cell>
          <cell r="FG572" t="str">
            <v xml:space="preserve"> مدير الانتاج</v>
          </cell>
          <cell r="FH572" t="str">
            <v>هشام عيسى محمد عبدالكريم</v>
          </cell>
          <cell r="FI572" t="str">
            <v>119-4392076-2</v>
          </cell>
        </row>
        <row r="573">
          <cell r="A573">
            <v>933</v>
          </cell>
          <cell r="B573" t="str">
            <v>عبدالرحمن يحى إبراهيم يحى</v>
          </cell>
          <cell r="C573" t="str">
            <v>عبدالرحمن</v>
          </cell>
          <cell r="D573" t="str">
            <v>يحى</v>
          </cell>
          <cell r="E573" t="str">
            <v>ابراهيم</v>
          </cell>
          <cell r="F573" t="str">
            <v>يحى</v>
          </cell>
          <cell r="G573" t="str">
            <v>المصنع</v>
          </cell>
          <cell r="H573" t="str">
            <v>المستودعات</v>
          </cell>
          <cell r="L573" t="str">
            <v>امين مستودع ا س</v>
          </cell>
          <cell r="M573">
            <v>42767</v>
          </cell>
          <cell r="N573">
            <v>42852</v>
          </cell>
          <cell r="O573">
            <v>0</v>
          </cell>
          <cell r="P573">
            <v>2</v>
          </cell>
          <cell r="R573">
            <v>5</v>
          </cell>
          <cell r="T573" t="str">
            <v>فصل</v>
          </cell>
          <cell r="U573">
            <v>42854</v>
          </cell>
          <cell r="Z573">
            <v>26665</v>
          </cell>
          <cell r="AG573">
            <v>9</v>
          </cell>
          <cell r="AH573">
            <v>1</v>
          </cell>
          <cell r="AI573" t="str">
            <v>تسنين</v>
          </cell>
          <cell r="AJ573" t="str">
            <v>220372</v>
          </cell>
          <cell r="AS573">
            <v>43500</v>
          </cell>
          <cell r="AT573">
            <v>46</v>
          </cell>
          <cell r="AU573" t="str">
            <v>جنسيه</v>
          </cell>
          <cell r="AV573" t="str">
            <v>0025709</v>
          </cell>
          <cell r="AW573">
            <v>9</v>
          </cell>
          <cell r="AX573">
            <v>0</v>
          </cell>
          <cell r="AY573">
            <v>7</v>
          </cell>
          <cell r="AZ573">
            <v>5</v>
          </cell>
          <cell r="BA573">
            <v>2</v>
          </cell>
          <cell r="BB573">
            <v>0</v>
          </cell>
          <cell r="BC573">
            <v>0</v>
          </cell>
          <cell r="BE573" t="str">
            <v>197-1188474-9</v>
          </cell>
          <cell r="BF573" t="str">
            <v>وادى الايمان عبدالله</v>
          </cell>
          <cell r="BG573" t="str">
            <v>العربى</v>
          </cell>
          <cell r="BH573" t="str">
            <v>سوبا - الحله</v>
          </cell>
          <cell r="BI573" t="str">
            <v>0915555431</v>
          </cell>
          <cell r="BJ573" t="str">
            <v>محمد حامد محمد</v>
          </cell>
          <cell r="BL573" t="str">
            <v>خالي الطرف</v>
          </cell>
          <cell r="BN573">
            <v>43500</v>
          </cell>
          <cell r="BS573" t="str">
            <v>العلاقات العامة</v>
          </cell>
          <cell r="BT573" t="str">
            <v>بكلاريوس</v>
          </cell>
          <cell r="BU573" t="str">
            <v>جامعة امدرمان الاسلامية</v>
          </cell>
          <cell r="BV573">
            <v>36800</v>
          </cell>
          <cell r="CQ573" t="str">
            <v>شركة المصنع السودانى الماليزى</v>
          </cell>
          <cell r="CR573" t="str">
            <v>موظف مستودعات</v>
          </cell>
          <cell r="CS573">
            <v>42616</v>
          </cell>
          <cell r="CT573">
            <v>42765</v>
          </cell>
          <cell r="EQ573">
            <v>0</v>
          </cell>
          <cell r="FG573" t="str">
            <v>مدير المستودعات</v>
          </cell>
          <cell r="FH573" t="str">
            <v>على احمد على بابكر</v>
          </cell>
          <cell r="FI573" t="str">
            <v>197-1188474-9</v>
          </cell>
        </row>
        <row r="574">
          <cell r="A574">
            <v>934</v>
          </cell>
          <cell r="B574" t="str">
            <v>نادر كافى دلدوم تيه</v>
          </cell>
          <cell r="C574" t="str">
            <v>نادر</v>
          </cell>
          <cell r="D574" t="str">
            <v>كافى</v>
          </cell>
          <cell r="E574" t="str">
            <v>دلدوم</v>
          </cell>
          <cell r="F574" t="str">
            <v>تيه</v>
          </cell>
          <cell r="G574" t="str">
            <v>المصنع</v>
          </cell>
          <cell r="H574" t="str">
            <v>الامن و الحركه</v>
          </cell>
          <cell r="K574" t="str">
            <v>فرد امن</v>
          </cell>
          <cell r="L574" t="str">
            <v>فرد امن</v>
          </cell>
          <cell r="M574">
            <v>42768</v>
          </cell>
          <cell r="N574">
            <v>43500</v>
          </cell>
          <cell r="O574">
            <v>2</v>
          </cell>
          <cell r="P574">
            <v>0</v>
          </cell>
          <cell r="R574">
            <v>60</v>
          </cell>
          <cell r="T574" t="str">
            <v>فصل</v>
          </cell>
          <cell r="U574">
            <v>43356</v>
          </cell>
          <cell r="V574">
            <v>43356</v>
          </cell>
          <cell r="Z574">
            <v>27760</v>
          </cell>
          <cell r="AG574">
            <v>9</v>
          </cell>
          <cell r="AH574">
            <v>1</v>
          </cell>
          <cell r="AI574" t="str">
            <v>تسنين</v>
          </cell>
          <cell r="AJ574" t="str">
            <v>43297</v>
          </cell>
          <cell r="AS574">
            <v>43500</v>
          </cell>
          <cell r="AT574">
            <v>43</v>
          </cell>
          <cell r="AU574" t="str">
            <v>بطاقه قوميه</v>
          </cell>
          <cell r="AV574" t="str">
            <v>003304745</v>
          </cell>
          <cell r="AW574">
            <v>5</v>
          </cell>
          <cell r="AX574">
            <v>4</v>
          </cell>
          <cell r="AY574">
            <v>7</v>
          </cell>
          <cell r="AZ574">
            <v>4</v>
          </cell>
          <cell r="BA574">
            <v>0</v>
          </cell>
          <cell r="BB574">
            <v>3</v>
          </cell>
          <cell r="BC574">
            <v>3</v>
          </cell>
          <cell r="BD574">
            <v>0</v>
          </cell>
          <cell r="BE574" t="str">
            <v>120-8020709-1</v>
          </cell>
          <cell r="BF574" t="str">
            <v>قسمه محمود</v>
          </cell>
          <cell r="BG574" t="str">
            <v>الجزيره</v>
          </cell>
          <cell r="BH574" t="str">
            <v>الجزيره - الباقير - البانتيو</v>
          </cell>
          <cell r="BI574" t="str">
            <v>0915678003</v>
          </cell>
          <cell r="BJ574" t="str">
            <v>خضر - سائق الترحيل</v>
          </cell>
          <cell r="BL574" t="str">
            <v>خالي الطرف</v>
          </cell>
          <cell r="BN574">
            <v>43500</v>
          </cell>
          <cell r="BS574" t="str">
            <v>العلاقات العامة والاعلام</v>
          </cell>
          <cell r="BT574" t="str">
            <v>دبلوم وسيط</v>
          </cell>
          <cell r="BU574" t="str">
            <v>جامعة السودان للعلوم والتكنولوجيا</v>
          </cell>
          <cell r="BV574">
            <v>37530</v>
          </cell>
          <cell r="CQ574" t="str">
            <v>الشركة الافرقية للبوهيات</v>
          </cell>
          <cell r="CR574" t="str">
            <v>الامن الصناعى</v>
          </cell>
          <cell r="CS574">
            <v>41253</v>
          </cell>
          <cell r="CT574">
            <v>42729</v>
          </cell>
          <cell r="EQ574">
            <v>0</v>
          </cell>
          <cell r="FG574" t="str">
            <v>مدير الامن و الحركه</v>
          </cell>
          <cell r="FH574" t="str">
            <v>فارس حمدان عبدالله فارس</v>
          </cell>
          <cell r="FI574" t="str">
            <v>120-8020709-1</v>
          </cell>
        </row>
        <row r="575">
          <cell r="A575">
            <v>935</v>
          </cell>
          <cell r="B575" t="str">
            <v>الضو عبدالرحيم سعد حمدنا الله</v>
          </cell>
          <cell r="C575" t="str">
            <v>الضو</v>
          </cell>
          <cell r="D575" t="str">
            <v>عبدالرحيم</v>
          </cell>
          <cell r="E575" t="str">
            <v>سعد</v>
          </cell>
          <cell r="F575" t="str">
            <v>حمدنا الله</v>
          </cell>
          <cell r="G575" t="str">
            <v>المصنع</v>
          </cell>
          <cell r="H575" t="str">
            <v>الانتاج</v>
          </cell>
          <cell r="K575" t="str">
            <v>عامل</v>
          </cell>
          <cell r="L575" t="str">
            <v>عامل</v>
          </cell>
          <cell r="M575">
            <v>42767</v>
          </cell>
          <cell r="N575">
            <v>42852</v>
          </cell>
          <cell r="O575">
            <v>0</v>
          </cell>
          <cell r="P575">
            <v>2</v>
          </cell>
          <cell r="R575">
            <v>5</v>
          </cell>
          <cell r="T575" t="str">
            <v>فصل</v>
          </cell>
          <cell r="U575">
            <v>42844</v>
          </cell>
          <cell r="V575">
            <v>42844</v>
          </cell>
          <cell r="Z575">
            <v>32102</v>
          </cell>
          <cell r="AG575">
            <v>9</v>
          </cell>
          <cell r="AH575">
            <v>1</v>
          </cell>
          <cell r="AI575" t="str">
            <v>ميلاد</v>
          </cell>
          <cell r="AJ575" t="str">
            <v>496644</v>
          </cell>
          <cell r="AS575">
            <v>43500</v>
          </cell>
          <cell r="AT575">
            <v>31</v>
          </cell>
          <cell r="AU575" t="str">
            <v>جنسيه</v>
          </cell>
          <cell r="AV575" t="str">
            <v>194625</v>
          </cell>
          <cell r="AW575">
            <v>5</v>
          </cell>
          <cell r="AX575">
            <v>2</v>
          </cell>
          <cell r="AY575">
            <v>6</v>
          </cell>
          <cell r="AZ575">
            <v>4</v>
          </cell>
          <cell r="BA575">
            <v>9</v>
          </cell>
          <cell r="BB575">
            <v>1</v>
          </cell>
          <cell r="BE575" t="str">
            <v>119-3485946-2</v>
          </cell>
          <cell r="BF575" t="str">
            <v>حنان عثمان عمر</v>
          </cell>
          <cell r="BG575" t="str">
            <v>الجزيره</v>
          </cell>
          <cell r="BH575" t="str">
            <v>الجزيره - النوبه</v>
          </cell>
          <cell r="BI575" t="str">
            <v>0992762006</v>
          </cell>
          <cell r="BJ575" t="str">
            <v>سعد عبدالرحيم</v>
          </cell>
          <cell r="BK575" t="str">
            <v>0918162722</v>
          </cell>
          <cell r="BL575" t="str">
            <v>خالي الطرف</v>
          </cell>
          <cell r="BN575">
            <v>43500</v>
          </cell>
          <cell r="EQ575">
            <v>0</v>
          </cell>
          <cell r="FG575" t="str">
            <v xml:space="preserve"> مدير الانتاج</v>
          </cell>
          <cell r="FH575" t="str">
            <v>هشام عيسى محمد عبدالكريم</v>
          </cell>
          <cell r="FI575" t="str">
            <v>119-3485946-2</v>
          </cell>
        </row>
        <row r="576">
          <cell r="A576">
            <v>936</v>
          </cell>
          <cell r="B576" t="str">
            <v>همام التجانى محمد على</v>
          </cell>
          <cell r="C576" t="str">
            <v>همام</v>
          </cell>
          <cell r="D576" t="str">
            <v>التجانى</v>
          </cell>
          <cell r="E576" t="str">
            <v>محمد</v>
          </cell>
          <cell r="F576" t="str">
            <v>على</v>
          </cell>
          <cell r="G576" t="str">
            <v>المصنع</v>
          </cell>
          <cell r="H576" t="str">
            <v>الانتاج</v>
          </cell>
          <cell r="K576" t="str">
            <v>عامل</v>
          </cell>
          <cell r="L576" t="str">
            <v>عامل</v>
          </cell>
          <cell r="M576">
            <v>42767</v>
          </cell>
          <cell r="N576">
            <v>42802</v>
          </cell>
          <cell r="O576">
            <v>0</v>
          </cell>
          <cell r="P576">
            <v>1</v>
          </cell>
          <cell r="R576">
            <v>2.5</v>
          </cell>
          <cell r="T576" t="str">
            <v>إستقال</v>
          </cell>
          <cell r="U576">
            <v>42802</v>
          </cell>
          <cell r="V576">
            <v>42802</v>
          </cell>
          <cell r="Z576">
            <v>33448</v>
          </cell>
          <cell r="AG576">
            <v>9</v>
          </cell>
          <cell r="AH576">
            <v>1</v>
          </cell>
          <cell r="AI576" t="str">
            <v>ميلاد</v>
          </cell>
          <cell r="AJ576" t="str">
            <v>130724</v>
          </cell>
          <cell r="AS576">
            <v>43500</v>
          </cell>
          <cell r="AT576">
            <v>27</v>
          </cell>
          <cell r="AU576" t="str">
            <v>بطاقه قوميه</v>
          </cell>
          <cell r="AV576" t="str">
            <v>002631672</v>
          </cell>
          <cell r="AW576">
            <v>2</v>
          </cell>
          <cell r="AX576">
            <v>7</v>
          </cell>
          <cell r="AY576">
            <v>6</v>
          </cell>
          <cell r="AZ576">
            <v>1</v>
          </cell>
          <cell r="BA576">
            <v>3</v>
          </cell>
          <cell r="BB576">
            <v>6</v>
          </cell>
          <cell r="BC576">
            <v>2</v>
          </cell>
          <cell r="BD576">
            <v>0</v>
          </cell>
          <cell r="BE576" t="str">
            <v>190-1738116-9</v>
          </cell>
          <cell r="BF576" t="str">
            <v>اسماء محمد عبدالرحمن</v>
          </cell>
          <cell r="BG576" t="str">
            <v>الجزيره</v>
          </cell>
          <cell r="BH576" t="str">
            <v>الجزيره - النوبه</v>
          </cell>
          <cell r="BI576" t="str">
            <v>0928898045</v>
          </cell>
          <cell r="BJ576" t="str">
            <v>هانى جلال</v>
          </cell>
          <cell r="BK576" t="str">
            <v>0929575961</v>
          </cell>
          <cell r="BL576" t="str">
            <v>خالي الطرف</v>
          </cell>
          <cell r="BN576">
            <v>43500</v>
          </cell>
          <cell r="BS576" t="str">
            <v>تسويق</v>
          </cell>
          <cell r="BT576" t="str">
            <v>دبلوم تقني</v>
          </cell>
          <cell r="BU576" t="str">
            <v>جامعة السودان للعلوم والتكنولوجيا</v>
          </cell>
          <cell r="BV576">
            <v>41900</v>
          </cell>
          <cell r="BW576" t="str">
            <v>حاسوب</v>
          </cell>
          <cell r="BX576" t="str">
            <v>شهاده دورة تدريب</v>
          </cell>
          <cell r="BY576" t="str">
            <v>كلية النوبة التقانية</v>
          </cell>
          <cell r="BZ576">
            <v>42500</v>
          </cell>
          <cell r="EQ576">
            <v>0</v>
          </cell>
          <cell r="FG576" t="str">
            <v xml:space="preserve"> مدير الانتاج</v>
          </cell>
          <cell r="FH576" t="str">
            <v>هشام عيسى محمد عبدالكريم</v>
          </cell>
          <cell r="FI576" t="str">
            <v>190-1738116-9</v>
          </cell>
        </row>
        <row r="577">
          <cell r="A577">
            <v>937</v>
          </cell>
          <cell r="B577" t="str">
            <v>إبراهيم حامد إبراهيم حامد</v>
          </cell>
          <cell r="C577" t="str">
            <v>ابراهيم</v>
          </cell>
          <cell r="D577" t="str">
            <v>حامد</v>
          </cell>
          <cell r="E577" t="str">
            <v>ابراهيم</v>
          </cell>
          <cell r="F577" t="str">
            <v>حامد</v>
          </cell>
          <cell r="G577" t="str">
            <v>المصنع</v>
          </cell>
          <cell r="H577" t="str">
            <v>الانتاج</v>
          </cell>
          <cell r="K577" t="str">
            <v>عامل</v>
          </cell>
          <cell r="L577" t="str">
            <v>عامل</v>
          </cell>
          <cell r="M577">
            <v>42772</v>
          </cell>
          <cell r="N577">
            <v>43500</v>
          </cell>
          <cell r="O577">
            <v>1</v>
          </cell>
          <cell r="P577">
            <v>11</v>
          </cell>
          <cell r="R577">
            <v>57.5</v>
          </cell>
          <cell r="T577" t="str">
            <v>إستقال</v>
          </cell>
          <cell r="U577">
            <v>42908</v>
          </cell>
          <cell r="V577">
            <v>42908</v>
          </cell>
          <cell r="Z577">
            <v>31702</v>
          </cell>
          <cell r="AG577">
            <v>9</v>
          </cell>
          <cell r="AH577">
            <v>1</v>
          </cell>
          <cell r="AI577" t="str">
            <v>ميلاد</v>
          </cell>
          <cell r="AJ577" t="str">
            <v>82173</v>
          </cell>
          <cell r="AS577">
            <v>43500</v>
          </cell>
          <cell r="AT577">
            <v>32</v>
          </cell>
          <cell r="AU577" t="str">
            <v>جنسيه</v>
          </cell>
          <cell r="AV577" t="str">
            <v>0554477</v>
          </cell>
          <cell r="AW577">
            <v>7</v>
          </cell>
          <cell r="AX577">
            <v>7</v>
          </cell>
          <cell r="AY577">
            <v>4</v>
          </cell>
          <cell r="AZ577">
            <v>4</v>
          </cell>
          <cell r="BA577">
            <v>5</v>
          </cell>
          <cell r="BB577">
            <v>5</v>
          </cell>
          <cell r="BC577">
            <v>0</v>
          </cell>
          <cell r="BE577" t="str">
            <v>185-8143237-7</v>
          </cell>
          <cell r="BF577" t="str">
            <v>هنيه عبدون محمد</v>
          </cell>
          <cell r="BG577" t="str">
            <v>العربى</v>
          </cell>
          <cell r="BH577" t="str">
            <v>الشجره - الرى المصرى</v>
          </cell>
          <cell r="BI577" t="str">
            <v>0125263512</v>
          </cell>
          <cell r="BJ577" t="str">
            <v>محمد عبدون</v>
          </cell>
          <cell r="BL577" t="str">
            <v>إستثناء</v>
          </cell>
          <cell r="BN577">
            <v>43500</v>
          </cell>
          <cell r="BS577" t="str">
            <v>ميكانيكا سيارات</v>
          </cell>
          <cell r="BT577" t="str">
            <v>دبلوم (معاهد)</v>
          </cell>
          <cell r="BU577" t="str">
            <v>مركز جبريل للخدمات</v>
          </cell>
          <cell r="BV577">
            <v>38351</v>
          </cell>
          <cell r="EQ577">
            <v>0</v>
          </cell>
          <cell r="FG577" t="str">
            <v xml:space="preserve"> مدير الانتاج</v>
          </cell>
          <cell r="FH577" t="str">
            <v>هشام عيسى محمد عبدالكريم</v>
          </cell>
          <cell r="FI577" t="str">
            <v>185-8143237-7</v>
          </cell>
        </row>
        <row r="578">
          <cell r="A578">
            <v>938</v>
          </cell>
          <cell r="B578" t="str">
            <v>حيدر عالم محمود صالح</v>
          </cell>
          <cell r="C578" t="str">
            <v>حيدر</v>
          </cell>
          <cell r="D578" t="str">
            <v>علم</v>
          </cell>
          <cell r="E578" t="str">
            <v>محمد</v>
          </cell>
          <cell r="F578" t="str">
            <v>صالح</v>
          </cell>
          <cell r="G578" t="str">
            <v>المصنع</v>
          </cell>
          <cell r="H578" t="str">
            <v>الانتاج</v>
          </cell>
          <cell r="K578" t="str">
            <v>عامل</v>
          </cell>
          <cell r="L578" t="str">
            <v>عامل</v>
          </cell>
          <cell r="M578">
            <v>42778</v>
          </cell>
          <cell r="N578">
            <v>43500</v>
          </cell>
          <cell r="O578">
            <v>1</v>
          </cell>
          <cell r="P578">
            <v>11</v>
          </cell>
          <cell r="R578">
            <v>57.5</v>
          </cell>
          <cell r="Z578">
            <v>23373</v>
          </cell>
          <cell r="AG578">
            <v>9</v>
          </cell>
          <cell r="AH578">
            <v>1</v>
          </cell>
          <cell r="AI578" t="str">
            <v>ميلاد</v>
          </cell>
          <cell r="AJ578" t="str">
            <v>281592</v>
          </cell>
          <cell r="AS578">
            <v>43500</v>
          </cell>
          <cell r="AT578">
            <v>55</v>
          </cell>
          <cell r="AU578" t="str">
            <v>جنسيه</v>
          </cell>
          <cell r="AV578" t="str">
            <v>81650</v>
          </cell>
          <cell r="AW578">
            <v>0</v>
          </cell>
          <cell r="AX578">
            <v>5</v>
          </cell>
          <cell r="AY578">
            <v>6</v>
          </cell>
          <cell r="AZ578">
            <v>1</v>
          </cell>
          <cell r="BA578">
            <v>8</v>
          </cell>
          <cell r="BE578" t="str">
            <v>118-6971212-4</v>
          </cell>
          <cell r="BF578" t="str">
            <v>امنه عبدالله عبد المجيد</v>
          </cell>
          <cell r="BG578" t="str">
            <v>بحرى</v>
          </cell>
          <cell r="BH578" t="str">
            <v>بحرى - الازيرقاب</v>
          </cell>
          <cell r="BI578" t="str">
            <v>0125524874</v>
          </cell>
          <cell r="BL578" t="str">
            <v>كبار سن</v>
          </cell>
          <cell r="BN578">
            <v>43500</v>
          </cell>
          <cell r="CQ578" t="str">
            <v>شركة المصنع السودانى الماليزى</v>
          </cell>
          <cell r="CR578" t="str">
            <v>عامل</v>
          </cell>
          <cell r="CS578">
            <v>40264</v>
          </cell>
          <cell r="CT578">
            <v>42765</v>
          </cell>
          <cell r="EQ578">
            <v>0</v>
          </cell>
          <cell r="FG578" t="str">
            <v xml:space="preserve"> مدير الانتاج</v>
          </cell>
          <cell r="FH578" t="str">
            <v>هشام عيسى محمد عبدالكريم</v>
          </cell>
          <cell r="FI578" t="str">
            <v>118-6971212-4</v>
          </cell>
        </row>
        <row r="579">
          <cell r="A579">
            <v>939</v>
          </cell>
          <cell r="B579" t="str">
            <v>يوسف شرف الدين احمد محمد</v>
          </cell>
          <cell r="C579" t="str">
            <v>يوسف</v>
          </cell>
          <cell r="D579" t="str">
            <v>شرف الدين</v>
          </cell>
          <cell r="E579" t="str">
            <v>احمد</v>
          </cell>
          <cell r="F579" t="str">
            <v>محمد</v>
          </cell>
          <cell r="G579" t="str">
            <v>المصنع</v>
          </cell>
          <cell r="H579" t="str">
            <v>الانتاج</v>
          </cell>
          <cell r="I579" t="str">
            <v>المواسير</v>
          </cell>
          <cell r="K579" t="str">
            <v>عامل</v>
          </cell>
          <cell r="L579" t="str">
            <v>مشغل كرين</v>
          </cell>
          <cell r="M579">
            <v>42777</v>
          </cell>
          <cell r="N579">
            <v>43500</v>
          </cell>
          <cell r="O579">
            <v>1</v>
          </cell>
          <cell r="P579">
            <v>11</v>
          </cell>
          <cell r="R579">
            <v>57.5</v>
          </cell>
          <cell r="Z579">
            <v>32143</v>
          </cell>
          <cell r="AG579">
            <v>9</v>
          </cell>
          <cell r="AH579">
            <v>1</v>
          </cell>
          <cell r="AI579" t="str">
            <v>تسنين</v>
          </cell>
          <cell r="AJ579" t="str">
            <v>818302</v>
          </cell>
          <cell r="AS579">
            <v>43500</v>
          </cell>
          <cell r="AT579">
            <v>31</v>
          </cell>
          <cell r="AU579" t="str">
            <v>بطاقه قوميه</v>
          </cell>
          <cell r="AV579" t="str">
            <v>002946614</v>
          </cell>
          <cell r="AW579">
            <v>4</v>
          </cell>
          <cell r="AX579">
            <v>1</v>
          </cell>
          <cell r="AY579">
            <v>6</v>
          </cell>
          <cell r="AZ579">
            <v>6</v>
          </cell>
          <cell r="BA579">
            <v>4</v>
          </cell>
          <cell r="BB579">
            <v>9</v>
          </cell>
          <cell r="BC579">
            <v>2</v>
          </cell>
          <cell r="BD579">
            <v>0</v>
          </cell>
          <cell r="BE579" t="str">
            <v>115-2267207-3</v>
          </cell>
          <cell r="BF579" t="str">
            <v>فتحيه البدري على</v>
          </cell>
          <cell r="BG579" t="str">
            <v>الجزيره</v>
          </cell>
          <cell r="BH579" t="str">
            <v xml:space="preserve">امبده - ح 6 - شمال </v>
          </cell>
          <cell r="BI579" t="str">
            <v>0920256823</v>
          </cell>
          <cell r="BJ579" t="str">
            <v>شاذلى احمد محمد</v>
          </cell>
          <cell r="BL579" t="str">
            <v>خالي الطرف</v>
          </cell>
          <cell r="BN579">
            <v>43500</v>
          </cell>
          <cell r="BS579" t="str">
            <v>تاريخ وحضاره</v>
          </cell>
          <cell r="BT579" t="str">
            <v>بكلاريوس</v>
          </cell>
          <cell r="BU579" t="str">
            <v>جامعة القران الكريم والعلوم الاسلامية</v>
          </cell>
          <cell r="BV579">
            <v>42005</v>
          </cell>
          <cell r="CQ579" t="str">
            <v>شركة اواب للخدمات الامنية</v>
          </cell>
          <cell r="CR579" t="str">
            <v>فرد امن</v>
          </cell>
          <cell r="CS579">
            <v>41707</v>
          </cell>
          <cell r="CT579">
            <v>41841</v>
          </cell>
          <cell r="EQ579">
            <v>0</v>
          </cell>
          <cell r="FG579" t="str">
            <v xml:space="preserve"> مدير الانتاج</v>
          </cell>
          <cell r="FH579" t="str">
            <v>هشام عيسى محمد عبدالكريم</v>
          </cell>
          <cell r="FI579" t="str">
            <v>115-2267207-3</v>
          </cell>
        </row>
        <row r="580">
          <cell r="A580">
            <v>940</v>
          </cell>
          <cell r="B580" t="str">
            <v>اسامه الهادى احمد عمر</v>
          </cell>
          <cell r="C580" t="str">
            <v>اسامه</v>
          </cell>
          <cell r="D580" t="str">
            <v>الهادى</v>
          </cell>
          <cell r="E580" t="str">
            <v>احمد</v>
          </cell>
          <cell r="F580" t="str">
            <v>عمر</v>
          </cell>
          <cell r="G580" t="str">
            <v>المصنع</v>
          </cell>
          <cell r="H580" t="str">
            <v>الانتاج</v>
          </cell>
          <cell r="L580" t="str">
            <v>تقنى انتاج</v>
          </cell>
          <cell r="M580">
            <v>42786</v>
          </cell>
          <cell r="N580">
            <v>43500</v>
          </cell>
          <cell r="O580">
            <v>1</v>
          </cell>
          <cell r="P580">
            <v>11</v>
          </cell>
          <cell r="R580">
            <v>57.5</v>
          </cell>
          <cell r="T580" t="str">
            <v>إستقال</v>
          </cell>
          <cell r="U580">
            <v>42864</v>
          </cell>
          <cell r="V580">
            <v>42864</v>
          </cell>
          <cell r="Z580">
            <v>32877</v>
          </cell>
          <cell r="AG580">
            <v>9</v>
          </cell>
          <cell r="AH580">
            <v>1</v>
          </cell>
          <cell r="AI580" t="str">
            <v>ميلاد</v>
          </cell>
          <cell r="AJ580" t="str">
            <v>932897</v>
          </cell>
          <cell r="AS580">
            <v>43500</v>
          </cell>
          <cell r="AT580">
            <v>29</v>
          </cell>
          <cell r="AU580" t="str">
            <v>بطاقه قوميه</v>
          </cell>
          <cell r="AV580" t="str">
            <v>000090601</v>
          </cell>
          <cell r="AW580">
            <v>1</v>
          </cell>
          <cell r="AX580">
            <v>0</v>
          </cell>
          <cell r="AY580">
            <v>6</v>
          </cell>
          <cell r="AZ580">
            <v>0</v>
          </cell>
          <cell r="BA580">
            <v>9</v>
          </cell>
          <cell r="BB580">
            <v>0</v>
          </cell>
          <cell r="BC580">
            <v>0</v>
          </cell>
          <cell r="BD580">
            <v>0</v>
          </cell>
          <cell r="BE580" t="str">
            <v>112-6850639-5</v>
          </cell>
          <cell r="BF580" t="str">
            <v>سكر ابراهيم</v>
          </cell>
          <cell r="BG580" t="str">
            <v>جبره</v>
          </cell>
          <cell r="BH580" t="str">
            <v>الصحافه شرق</v>
          </cell>
          <cell r="BI580" t="str">
            <v>0924719955</v>
          </cell>
          <cell r="BJ580" t="str">
            <v>محمد الهادى احمد</v>
          </cell>
          <cell r="BK580" t="str">
            <v>0916797711</v>
          </cell>
          <cell r="BL580" t="str">
            <v>خالي الطرف</v>
          </cell>
          <cell r="BN580">
            <v>43500</v>
          </cell>
          <cell r="BS580" t="str">
            <v>هندسة ميكانيكية ( إنتاج )</v>
          </cell>
          <cell r="BT580" t="str">
            <v>دبلوم تقني</v>
          </cell>
          <cell r="BU580" t="str">
            <v>جامعة الامام المهدى</v>
          </cell>
          <cell r="BV580">
            <v>41940</v>
          </cell>
          <cell r="CQ580" t="str">
            <v>شركة مصنع تاجوج للصابون</v>
          </cell>
          <cell r="CR580" t="str">
            <v>تقنى ميكانيكا</v>
          </cell>
          <cell r="CS580">
            <v>42371</v>
          </cell>
          <cell r="CT580">
            <v>42377</v>
          </cell>
          <cell r="EQ580">
            <v>0</v>
          </cell>
          <cell r="FG580" t="str">
            <v xml:space="preserve"> مدير الانتاج</v>
          </cell>
          <cell r="FH580" t="str">
            <v>هشام عيسى محمد عبدالكريم</v>
          </cell>
          <cell r="FI580" t="str">
            <v>112-6850639-5</v>
          </cell>
        </row>
        <row r="581">
          <cell r="A581">
            <v>941</v>
          </cell>
          <cell r="B581" t="str">
            <v>محمد احمد عبدالرحمن عبدالمحمود</v>
          </cell>
          <cell r="C581" t="str">
            <v>محمد</v>
          </cell>
          <cell r="D581" t="str">
            <v>احمد</v>
          </cell>
          <cell r="E581" t="str">
            <v>عبدالرحمن</v>
          </cell>
          <cell r="F581" t="str">
            <v>عبدالمحمود</v>
          </cell>
          <cell r="G581" t="str">
            <v>المصنع</v>
          </cell>
          <cell r="H581" t="str">
            <v>الانتاج</v>
          </cell>
          <cell r="I581" t="str">
            <v>التشريح</v>
          </cell>
          <cell r="K581" t="str">
            <v>مشغل انتاج</v>
          </cell>
          <cell r="L581" t="str">
            <v>مساعد مشغل</v>
          </cell>
          <cell r="M581">
            <v>42786</v>
          </cell>
          <cell r="N581">
            <v>43500</v>
          </cell>
          <cell r="O581">
            <v>1</v>
          </cell>
          <cell r="P581">
            <v>11</v>
          </cell>
          <cell r="R581">
            <v>57.5</v>
          </cell>
          <cell r="Z581">
            <v>27395</v>
          </cell>
          <cell r="AG581">
            <v>9</v>
          </cell>
          <cell r="AH581">
            <v>1</v>
          </cell>
          <cell r="AI581" t="str">
            <v>تسنين</v>
          </cell>
          <cell r="AJ581" t="str">
            <v>3205337</v>
          </cell>
          <cell r="AS581">
            <v>43500</v>
          </cell>
          <cell r="AT581">
            <v>44</v>
          </cell>
          <cell r="AU581" t="str">
            <v>بطاقه قوميه</v>
          </cell>
          <cell r="AV581" t="str">
            <v>003367998</v>
          </cell>
          <cell r="AW581">
            <v>8</v>
          </cell>
          <cell r="AX581">
            <v>9</v>
          </cell>
          <cell r="AY581">
            <v>9</v>
          </cell>
          <cell r="AZ581">
            <v>7</v>
          </cell>
          <cell r="BA581">
            <v>6</v>
          </cell>
          <cell r="BB581">
            <v>3</v>
          </cell>
          <cell r="BC581">
            <v>3</v>
          </cell>
          <cell r="BD581">
            <v>0</v>
          </cell>
          <cell r="BE581" t="str">
            <v>114-3751154-9</v>
          </cell>
          <cell r="BF581" t="str">
            <v>امنه عبدالماجد</v>
          </cell>
          <cell r="BG581" t="str">
            <v>بحرى</v>
          </cell>
          <cell r="BH581" t="str">
            <v>بحرى - الحاج يوسف - عيدبابكر</v>
          </cell>
          <cell r="BI581" t="str">
            <v>0915605738</v>
          </cell>
          <cell r="BJ581" t="str">
            <v>محمد بابكر</v>
          </cell>
          <cell r="BL581" t="str">
            <v>خالي الطرف</v>
          </cell>
          <cell r="BN581">
            <v>43500</v>
          </cell>
          <cell r="CQ581" t="str">
            <v>الشركة الثلاثية المتحدة للاستثمار المحدودة</v>
          </cell>
          <cell r="CR581" t="str">
            <v>مشغل ماكينه</v>
          </cell>
          <cell r="CS581">
            <v>38846</v>
          </cell>
          <cell r="CT581">
            <v>42189</v>
          </cell>
          <cell r="CV581" t="str">
            <v>شركة المصنع السودانى الماليزى</v>
          </cell>
          <cell r="CW581" t="str">
            <v>مشغل ماكينة</v>
          </cell>
          <cell r="CX581">
            <v>42217</v>
          </cell>
          <cell r="CY581">
            <v>42765</v>
          </cell>
          <cell r="EQ581">
            <v>0</v>
          </cell>
          <cell r="FG581" t="str">
            <v xml:space="preserve"> مدير الانتاج</v>
          </cell>
          <cell r="FH581" t="str">
            <v>هشام عيسى محمد عبدالكريم</v>
          </cell>
          <cell r="FI581" t="str">
            <v>114-3751154-9</v>
          </cell>
        </row>
        <row r="582">
          <cell r="A582">
            <v>942</v>
          </cell>
          <cell r="B582" t="str">
            <v>مهند موسى احمد النعيم</v>
          </cell>
          <cell r="C582" t="str">
            <v>مهند</v>
          </cell>
          <cell r="D582" t="str">
            <v>موسى</v>
          </cell>
          <cell r="E582" t="str">
            <v>احمد</v>
          </cell>
          <cell r="F582" t="str">
            <v>النعيم</v>
          </cell>
          <cell r="G582" t="str">
            <v>المصنع</v>
          </cell>
          <cell r="H582" t="str">
            <v>المستودعات</v>
          </cell>
          <cell r="K582" t="str">
            <v>عامل</v>
          </cell>
          <cell r="L582" t="str">
            <v>امين مستودع</v>
          </cell>
          <cell r="M582">
            <v>42786</v>
          </cell>
          <cell r="N582">
            <v>43500</v>
          </cell>
          <cell r="O582">
            <v>1</v>
          </cell>
          <cell r="P582">
            <v>11</v>
          </cell>
          <cell r="R582">
            <v>57.5</v>
          </cell>
          <cell r="Z582">
            <v>32764</v>
          </cell>
          <cell r="AG582">
            <v>9</v>
          </cell>
          <cell r="AH582">
            <v>1</v>
          </cell>
          <cell r="AI582" t="str">
            <v>ميلاد</v>
          </cell>
          <cell r="AJ582" t="str">
            <v>869752</v>
          </cell>
          <cell r="AS582">
            <v>43500</v>
          </cell>
          <cell r="AT582">
            <v>29</v>
          </cell>
          <cell r="AU582" t="str">
            <v>جنسيه</v>
          </cell>
          <cell r="AV582" t="str">
            <v>125272</v>
          </cell>
          <cell r="AW582">
            <v>2</v>
          </cell>
          <cell r="AX582">
            <v>7</v>
          </cell>
          <cell r="AY582">
            <v>2</v>
          </cell>
          <cell r="AZ582">
            <v>5</v>
          </cell>
          <cell r="BA582">
            <v>2</v>
          </cell>
          <cell r="BB582">
            <v>1</v>
          </cell>
          <cell r="BE582" t="str">
            <v>120-9993019-1</v>
          </cell>
          <cell r="BF582" t="str">
            <v>بهاء الحاج النعيم</v>
          </cell>
          <cell r="BG582" t="str">
            <v>الكلاكله</v>
          </cell>
          <cell r="BH582" t="str">
            <v>الشقيلاب - موده</v>
          </cell>
          <cell r="BI582" t="str">
            <v>0913836009</v>
          </cell>
          <cell r="BJ582" t="str">
            <v>على إبراهيم النعيم</v>
          </cell>
          <cell r="BL582" t="str">
            <v>خالي الطرف</v>
          </cell>
          <cell r="BN582">
            <v>43500</v>
          </cell>
          <cell r="BS582" t="str">
            <v>محاسبة</v>
          </cell>
          <cell r="BT582" t="str">
            <v>بكلاريوس</v>
          </cell>
          <cell r="BU582" t="str">
            <v>كلية الخرطوم التقنية</v>
          </cell>
          <cell r="BV582">
            <v>42156</v>
          </cell>
          <cell r="BW582" t="str">
            <v>تطبيقات كمبيوتر</v>
          </cell>
          <cell r="BX582" t="str">
            <v>دبلوم (معاهد)</v>
          </cell>
          <cell r="BY582" t="str">
            <v>اكاديمية الدانقا لعلوم الكمبيوتر واللغات</v>
          </cell>
          <cell r="BZ582">
            <v>42634</v>
          </cell>
          <cell r="CQ582" t="str">
            <v>شركة ذات العماد للصناعه المحدوده</v>
          </cell>
          <cell r="CR582" t="str">
            <v>متدرب</v>
          </cell>
          <cell r="CS582">
            <v>41958</v>
          </cell>
          <cell r="CT582">
            <v>41988</v>
          </cell>
          <cell r="EQ582">
            <v>0</v>
          </cell>
          <cell r="FG582" t="str">
            <v>مدير المستودعات</v>
          </cell>
          <cell r="FH582" t="str">
            <v>على احمد على بابكر</v>
          </cell>
          <cell r="FI582" t="str">
            <v>120-9993019-1</v>
          </cell>
        </row>
        <row r="583">
          <cell r="A583">
            <v>943</v>
          </cell>
          <cell r="B583" t="str">
            <v>عادل ضوالبيت ادم ضوالبيت</v>
          </cell>
          <cell r="C583" t="str">
            <v>عادل</v>
          </cell>
          <cell r="D583" t="str">
            <v>ضوالبيت</v>
          </cell>
          <cell r="E583" t="str">
            <v>ادم</v>
          </cell>
          <cell r="F583" t="str">
            <v>ضوالبيت</v>
          </cell>
          <cell r="G583" t="str">
            <v>المصنع</v>
          </cell>
          <cell r="H583" t="str">
            <v>الانتاج</v>
          </cell>
          <cell r="I583" t="str">
            <v>المواسير</v>
          </cell>
          <cell r="K583" t="str">
            <v>مشغل انتاج</v>
          </cell>
          <cell r="L583" t="str">
            <v>مشغل</v>
          </cell>
          <cell r="M583">
            <v>42802</v>
          </cell>
          <cell r="N583">
            <v>43500</v>
          </cell>
          <cell r="O583">
            <v>1</v>
          </cell>
          <cell r="P583">
            <v>10</v>
          </cell>
          <cell r="R583">
            <v>55</v>
          </cell>
          <cell r="Z583">
            <v>23377</v>
          </cell>
          <cell r="AG583">
            <v>9</v>
          </cell>
          <cell r="AH583">
            <v>1</v>
          </cell>
          <cell r="AI583" t="str">
            <v>تسنين</v>
          </cell>
          <cell r="AJ583" t="str">
            <v>40448</v>
          </cell>
          <cell r="AS583">
            <v>43500</v>
          </cell>
          <cell r="AT583">
            <v>55</v>
          </cell>
          <cell r="AU583" t="str">
            <v>بطاقه قوميه</v>
          </cell>
          <cell r="AV583" t="str">
            <v>000577113</v>
          </cell>
          <cell r="AW583">
            <v>3</v>
          </cell>
          <cell r="AX583">
            <v>1</v>
          </cell>
          <cell r="AY583">
            <v>1</v>
          </cell>
          <cell r="AZ583">
            <v>7</v>
          </cell>
          <cell r="BA583">
            <v>7</v>
          </cell>
          <cell r="BB583">
            <v>5</v>
          </cell>
          <cell r="BC583">
            <v>0</v>
          </cell>
          <cell r="BD583">
            <v>0</v>
          </cell>
          <cell r="BE583" t="str">
            <v>118-5583206-4</v>
          </cell>
          <cell r="BF583" t="str">
            <v>زينب محمد عجبنا</v>
          </cell>
          <cell r="BG583" t="str">
            <v>العربى</v>
          </cell>
          <cell r="BH583" t="str">
            <v>سوبا - اللعوته - منزل رقم 64</v>
          </cell>
          <cell r="BI583" t="str">
            <v>0917674253</v>
          </cell>
          <cell r="BJ583" t="str">
            <v>التجانى العجب بخيت</v>
          </cell>
          <cell r="BL583" t="str">
            <v>خالي الطرف</v>
          </cell>
          <cell r="BN583">
            <v>43500</v>
          </cell>
          <cell r="CQ583" t="str">
            <v>شركة المصنع السودانى الماليزى</v>
          </cell>
          <cell r="CR583" t="str">
            <v>مشغل ماكينه</v>
          </cell>
          <cell r="CS583">
            <v>39589</v>
          </cell>
          <cell r="CT583">
            <v>42765</v>
          </cell>
          <cell r="EQ583">
            <v>0</v>
          </cell>
          <cell r="FG583" t="str">
            <v xml:space="preserve"> مدير الانتاج</v>
          </cell>
          <cell r="FH583" t="str">
            <v>هشام عيسى محمد عبدالكريم</v>
          </cell>
          <cell r="FI583" t="str">
            <v>118-5583206-4</v>
          </cell>
        </row>
        <row r="584">
          <cell r="A584">
            <v>944</v>
          </cell>
          <cell r="B584" t="str">
            <v>احمد حامد الحاج امين</v>
          </cell>
          <cell r="C584" t="str">
            <v>احمد</v>
          </cell>
          <cell r="D584" t="str">
            <v>حامد</v>
          </cell>
          <cell r="E584" t="str">
            <v>الحاج</v>
          </cell>
          <cell r="F584" t="str">
            <v>امين</v>
          </cell>
          <cell r="G584" t="str">
            <v>المصنع</v>
          </cell>
          <cell r="H584" t="str">
            <v>الانتاج</v>
          </cell>
          <cell r="K584" t="str">
            <v>عامل</v>
          </cell>
          <cell r="L584" t="str">
            <v>عامل</v>
          </cell>
          <cell r="M584">
            <v>42805</v>
          </cell>
          <cell r="N584">
            <v>43039</v>
          </cell>
          <cell r="O584">
            <v>0</v>
          </cell>
          <cell r="P584">
            <v>7</v>
          </cell>
          <cell r="R584">
            <v>17.5</v>
          </cell>
          <cell r="T584" t="str">
            <v>إستقال</v>
          </cell>
          <cell r="U584">
            <v>43043</v>
          </cell>
          <cell r="V584">
            <v>43039</v>
          </cell>
          <cell r="Z584">
            <v>31194</v>
          </cell>
          <cell r="AG584">
            <v>9</v>
          </cell>
          <cell r="AH584">
            <v>1</v>
          </cell>
          <cell r="AI584" t="str">
            <v>ميلاد</v>
          </cell>
          <cell r="AJ584" t="str">
            <v>910653</v>
          </cell>
          <cell r="AS584">
            <v>43500</v>
          </cell>
          <cell r="AT584">
            <v>33</v>
          </cell>
          <cell r="AU584" t="str">
            <v>بطاقه قوميه</v>
          </cell>
          <cell r="AV584" t="str">
            <v>003276816</v>
          </cell>
          <cell r="AW584">
            <v>6</v>
          </cell>
          <cell r="AX584">
            <v>1</v>
          </cell>
          <cell r="AY584">
            <v>8</v>
          </cell>
          <cell r="AZ584">
            <v>6</v>
          </cell>
          <cell r="BA584">
            <v>7</v>
          </cell>
          <cell r="BB584">
            <v>2</v>
          </cell>
          <cell r="BC584">
            <v>3</v>
          </cell>
          <cell r="BD584">
            <v>0</v>
          </cell>
          <cell r="BE584" t="str">
            <v>114-1638712-9</v>
          </cell>
          <cell r="BF584" t="str">
            <v>زهراء احمد عليو</v>
          </cell>
          <cell r="BG584" t="str">
            <v>العربى</v>
          </cell>
          <cell r="BH584" t="str">
            <v>سوبا - الاراضى - المدينه الخيريه</v>
          </cell>
          <cell r="BI584" t="str">
            <v>0123857146</v>
          </cell>
          <cell r="BJ584" t="str">
            <v>يعقوب حامد</v>
          </cell>
          <cell r="BK584" t="str">
            <v>092418500</v>
          </cell>
          <cell r="BL584" t="str">
            <v>خالي الطرف</v>
          </cell>
          <cell r="BN584">
            <v>43500</v>
          </cell>
          <cell r="BT584" t="str">
            <v>شهاده ثانويه</v>
          </cell>
          <cell r="BV584">
            <v>38777</v>
          </cell>
          <cell r="CQ584" t="str">
            <v>شركة المصنع السودانى الماليزى</v>
          </cell>
          <cell r="CR584" t="str">
            <v>عامل</v>
          </cell>
          <cell r="CS584">
            <v>42479</v>
          </cell>
          <cell r="CT584">
            <v>42765</v>
          </cell>
          <cell r="EQ584">
            <v>0</v>
          </cell>
          <cell r="FG584" t="str">
            <v xml:space="preserve"> مدير الانتاج</v>
          </cell>
          <cell r="FH584" t="str">
            <v>هشام عيسى محمد عبدالكريم</v>
          </cell>
          <cell r="FI584" t="str">
            <v>114-1638712-9</v>
          </cell>
        </row>
        <row r="585">
          <cell r="A585">
            <v>945</v>
          </cell>
          <cell r="B585" t="str">
            <v>هشام صالح رمضان جمعه</v>
          </cell>
          <cell r="C585" t="str">
            <v>هشام</v>
          </cell>
          <cell r="D585" t="str">
            <v>صالح</v>
          </cell>
          <cell r="E585" t="str">
            <v>رمضان</v>
          </cell>
          <cell r="F585" t="str">
            <v>جمعه</v>
          </cell>
          <cell r="G585" t="str">
            <v>المصنع</v>
          </cell>
          <cell r="H585" t="str">
            <v>الامن و الحركه</v>
          </cell>
          <cell r="K585" t="str">
            <v>فرد امن</v>
          </cell>
          <cell r="L585" t="str">
            <v>فرد امن</v>
          </cell>
          <cell r="M585">
            <v>42803</v>
          </cell>
          <cell r="N585">
            <v>43500</v>
          </cell>
          <cell r="O585">
            <v>1</v>
          </cell>
          <cell r="P585">
            <v>10</v>
          </cell>
          <cell r="R585">
            <v>55</v>
          </cell>
          <cell r="T585" t="str">
            <v>فصل</v>
          </cell>
          <cell r="U585">
            <v>43097</v>
          </cell>
          <cell r="Z585">
            <v>30332</v>
          </cell>
          <cell r="AG585">
            <v>9</v>
          </cell>
          <cell r="AH585">
            <v>1</v>
          </cell>
          <cell r="AI585" t="str">
            <v>ميلاد</v>
          </cell>
          <cell r="AJ585" t="str">
            <v>409897</v>
          </cell>
          <cell r="AS585">
            <v>43500</v>
          </cell>
          <cell r="AT585">
            <v>36</v>
          </cell>
          <cell r="AU585" t="str">
            <v>بطاقه قوميه</v>
          </cell>
          <cell r="AV585" t="str">
            <v>002673887</v>
          </cell>
          <cell r="AW585">
            <v>7</v>
          </cell>
          <cell r="AX585">
            <v>8</v>
          </cell>
          <cell r="AY585">
            <v>8</v>
          </cell>
          <cell r="AZ585">
            <v>3</v>
          </cell>
          <cell r="BA585">
            <v>7</v>
          </cell>
          <cell r="BB585">
            <v>6</v>
          </cell>
          <cell r="BC585">
            <v>2</v>
          </cell>
          <cell r="BD585">
            <v>0</v>
          </cell>
          <cell r="BE585" t="str">
            <v>114-4115816-9</v>
          </cell>
          <cell r="BF585" t="str">
            <v>رقيه خضر كمبال</v>
          </cell>
          <cell r="BG585" t="str">
            <v>الكلاكله</v>
          </cell>
          <cell r="BH585" t="str">
            <v>الكلاكله - الدخينات - القادسيبة- م 5 - محطه 4</v>
          </cell>
          <cell r="BI585" t="str">
            <v>0912583663</v>
          </cell>
          <cell r="BJ585" t="str">
            <v>محمد عبداللطيف الغزالى</v>
          </cell>
          <cell r="BL585" t="str">
            <v>خالي الطرف</v>
          </cell>
          <cell r="BN585">
            <v>43500</v>
          </cell>
          <cell r="BS585" t="str">
            <v>علوم تجاريه</v>
          </cell>
          <cell r="BT585" t="str">
            <v>دبلوم (معاهد)</v>
          </cell>
          <cell r="BU585" t="str">
            <v>معهد بحرى</v>
          </cell>
          <cell r="BV585">
            <v>36586</v>
          </cell>
          <cell r="CQ585" t="str">
            <v>الشرطة الامنية</v>
          </cell>
          <cell r="CR585" t="str">
            <v>عريف</v>
          </cell>
          <cell r="CS585">
            <v>37913</v>
          </cell>
          <cell r="CT585">
            <v>42479</v>
          </cell>
          <cell r="CV585" t="str">
            <v>جامعة بحرى</v>
          </cell>
          <cell r="CW585" t="str">
            <v>حرس جامعى</v>
          </cell>
          <cell r="CX585">
            <v>40452</v>
          </cell>
          <cell r="CY585">
            <v>40756</v>
          </cell>
          <cell r="EQ585">
            <v>0</v>
          </cell>
          <cell r="FG585" t="str">
            <v>مدير الامن و الحركه</v>
          </cell>
          <cell r="FH585" t="str">
            <v>فارس حمدان عبدالله فارس</v>
          </cell>
          <cell r="FI585" t="str">
            <v>114-4115816-9</v>
          </cell>
        </row>
        <row r="586">
          <cell r="A586">
            <v>946</v>
          </cell>
          <cell r="B586" t="str">
            <v>عادل عبد الوهاب نوار يسن</v>
          </cell>
          <cell r="C586" t="str">
            <v>عادل</v>
          </cell>
          <cell r="D586" t="str">
            <v>عبدالوهاب</v>
          </cell>
          <cell r="E586" t="str">
            <v>نوار</v>
          </cell>
          <cell r="F586" t="str">
            <v>يسن</v>
          </cell>
          <cell r="G586" t="str">
            <v>المصنع</v>
          </cell>
          <cell r="H586" t="str">
            <v>الانتاج</v>
          </cell>
          <cell r="I586" t="str">
            <v>المواسير</v>
          </cell>
          <cell r="K586" t="str">
            <v>عامل</v>
          </cell>
          <cell r="L586" t="str">
            <v>عامل</v>
          </cell>
          <cell r="M586">
            <v>42926</v>
          </cell>
          <cell r="N586">
            <v>43500</v>
          </cell>
          <cell r="O586">
            <v>1</v>
          </cell>
          <cell r="P586">
            <v>6</v>
          </cell>
          <cell r="R586">
            <v>45</v>
          </cell>
          <cell r="X586">
            <v>42806</v>
          </cell>
          <cell r="Z586">
            <v>31330</v>
          </cell>
          <cell r="AG586">
            <v>9</v>
          </cell>
          <cell r="AH586">
            <v>1</v>
          </cell>
          <cell r="AI586" t="str">
            <v>ميلاد</v>
          </cell>
          <cell r="AJ586" t="str">
            <v>172962</v>
          </cell>
          <cell r="AS586">
            <v>43500</v>
          </cell>
          <cell r="AT586">
            <v>33</v>
          </cell>
          <cell r="BE586" t="str">
            <v>115-0234407-6</v>
          </cell>
          <cell r="BF586" t="str">
            <v>فاطمه ايدام</v>
          </cell>
          <cell r="BG586" t="str">
            <v>العربى</v>
          </cell>
          <cell r="BH586" t="str">
            <v>امبده - ح 41</v>
          </cell>
          <cell r="BI586" t="str">
            <v>0915518669</v>
          </cell>
          <cell r="BJ586" t="str">
            <v>عيسى نوار</v>
          </cell>
          <cell r="BK586" t="str">
            <v>0999000780</v>
          </cell>
          <cell r="BL586" t="str">
            <v>خالي الطرف</v>
          </cell>
          <cell r="BN586">
            <v>43500</v>
          </cell>
          <cell r="EQ586">
            <v>0</v>
          </cell>
          <cell r="EW586">
            <v>42926</v>
          </cell>
          <cell r="EX586">
            <v>43290</v>
          </cell>
          <cell r="EY586" t="str">
            <v>عامل</v>
          </cell>
          <cell r="FB586">
            <v>42806</v>
          </cell>
          <cell r="FG586" t="str">
            <v xml:space="preserve"> مدير الانتاج</v>
          </cell>
          <cell r="FH586" t="str">
            <v>هشام عيسى محمد عبدالكريم</v>
          </cell>
          <cell r="FI586" t="str">
            <v>115-0234407-6</v>
          </cell>
        </row>
        <row r="587">
          <cell r="A587">
            <v>947</v>
          </cell>
          <cell r="B587" t="str">
            <v>اياد بشير بابكر إبراهيم</v>
          </cell>
          <cell r="C587" t="str">
            <v>اياد</v>
          </cell>
          <cell r="D587" t="str">
            <v>بشير</v>
          </cell>
          <cell r="E587" t="str">
            <v>بابكر</v>
          </cell>
          <cell r="F587" t="str">
            <v>ابراهيم</v>
          </cell>
          <cell r="G587" t="str">
            <v>المصنع</v>
          </cell>
          <cell r="H587" t="str">
            <v>الاليات</v>
          </cell>
          <cell r="K587" t="str">
            <v>تقنى ميكانيكا</v>
          </cell>
          <cell r="L587" t="str">
            <v>تقنى ميكانيكا اليات</v>
          </cell>
          <cell r="M587">
            <v>42812</v>
          </cell>
          <cell r="N587">
            <v>43500</v>
          </cell>
          <cell r="O587">
            <v>1</v>
          </cell>
          <cell r="P587">
            <v>10</v>
          </cell>
          <cell r="R587">
            <v>55</v>
          </cell>
          <cell r="Z587">
            <v>33273</v>
          </cell>
          <cell r="AG587">
            <v>9</v>
          </cell>
          <cell r="AH587">
            <v>1</v>
          </cell>
          <cell r="AI587" t="str">
            <v>ميلاد</v>
          </cell>
          <cell r="AJ587" t="str">
            <v>397345</v>
          </cell>
          <cell r="AS587">
            <v>43500</v>
          </cell>
          <cell r="AT587">
            <v>28</v>
          </cell>
          <cell r="AU587" t="str">
            <v>جنسيه</v>
          </cell>
          <cell r="AV587" t="str">
            <v>446249</v>
          </cell>
          <cell r="AW587">
            <v>9</v>
          </cell>
          <cell r="AX587">
            <v>4</v>
          </cell>
          <cell r="AY587">
            <v>2</v>
          </cell>
          <cell r="AZ587">
            <v>6</v>
          </cell>
          <cell r="BA587">
            <v>4</v>
          </cell>
          <cell r="BB587">
            <v>4</v>
          </cell>
          <cell r="BE587" t="str">
            <v>119-8502650-2</v>
          </cell>
          <cell r="BF587" t="str">
            <v xml:space="preserve">ناديه بابكر </v>
          </cell>
          <cell r="BG587" t="str">
            <v>الجزيره</v>
          </cell>
          <cell r="BH587" t="str">
            <v>الجزيره - المسعوديه</v>
          </cell>
          <cell r="BI587" t="str">
            <v>0911807171</v>
          </cell>
          <cell r="BJ587" t="str">
            <v>خالد بابكر</v>
          </cell>
          <cell r="BL587" t="str">
            <v>خالي الطرف</v>
          </cell>
          <cell r="BN587">
            <v>43500</v>
          </cell>
          <cell r="BS587" t="str">
            <v>Automobile Engineering</v>
          </cell>
          <cell r="BT587" t="str">
            <v>دبلوم تقني</v>
          </cell>
          <cell r="BU587" t="str">
            <v>جامعة امدرمان الاسلامية</v>
          </cell>
          <cell r="BV587">
            <v>41553</v>
          </cell>
          <cell r="CQ587" t="str">
            <v>شركة اطلس للسيارات المحدوده</v>
          </cell>
          <cell r="CR587" t="str">
            <v>متدرب</v>
          </cell>
          <cell r="CS587">
            <v>41659</v>
          </cell>
          <cell r="CT587">
            <v>41746</v>
          </cell>
          <cell r="EQ587">
            <v>0</v>
          </cell>
          <cell r="FG587" t="str">
            <v>مسئول قسم الاليات</v>
          </cell>
          <cell r="FH587" t="str">
            <v>جمال حامد عبد الكريم العبيد</v>
          </cell>
          <cell r="FI587" t="str">
            <v>119-8502650-2</v>
          </cell>
        </row>
        <row r="588">
          <cell r="A588">
            <v>948</v>
          </cell>
          <cell r="B588" t="str">
            <v>فتح الرحمن عبدالله محمد على</v>
          </cell>
          <cell r="C588" t="str">
            <v>فتح الرحمن</v>
          </cell>
          <cell r="D588" t="str">
            <v>عبدالله</v>
          </cell>
          <cell r="E588" t="str">
            <v>محمد</v>
          </cell>
          <cell r="F588" t="str">
            <v>على</v>
          </cell>
          <cell r="G588" t="str">
            <v>المصنع</v>
          </cell>
          <cell r="H588" t="str">
            <v>المستودعات</v>
          </cell>
          <cell r="K588" t="str">
            <v>عامل</v>
          </cell>
          <cell r="L588" t="str">
            <v>امين ميزان</v>
          </cell>
          <cell r="M588">
            <v>42812</v>
          </cell>
          <cell r="N588">
            <v>43500</v>
          </cell>
          <cell r="O588">
            <v>1</v>
          </cell>
          <cell r="P588">
            <v>10</v>
          </cell>
          <cell r="R588">
            <v>55</v>
          </cell>
          <cell r="Z588">
            <v>26299</v>
          </cell>
          <cell r="AG588">
            <v>9</v>
          </cell>
          <cell r="AH588">
            <v>1</v>
          </cell>
          <cell r="AS588">
            <v>43500</v>
          </cell>
          <cell r="AT588">
            <v>47</v>
          </cell>
          <cell r="AU588" t="str">
            <v>جنسيه</v>
          </cell>
          <cell r="AV588" t="str">
            <v>302182</v>
          </cell>
          <cell r="AW588">
            <v>2</v>
          </cell>
          <cell r="AX588">
            <v>8</v>
          </cell>
          <cell r="AY588">
            <v>1</v>
          </cell>
          <cell r="AZ588">
            <v>2</v>
          </cell>
          <cell r="BA588">
            <v>0</v>
          </cell>
          <cell r="BB588">
            <v>3</v>
          </cell>
          <cell r="BE588" t="str">
            <v>119-7665226-2</v>
          </cell>
          <cell r="BF588" t="str">
            <v>فاطمه محمد خيرى</v>
          </cell>
          <cell r="BG588" t="str">
            <v>الكلاكله</v>
          </cell>
          <cell r="BH588" t="str">
            <v>الكلاكلة - اللفه م 4</v>
          </cell>
          <cell r="BI588" t="str">
            <v>0912120982</v>
          </cell>
          <cell r="BJ588" t="str">
            <v xml:space="preserve">عبدالرحمن ادم </v>
          </cell>
          <cell r="BL588" t="str">
            <v>خالي الطرف</v>
          </cell>
          <cell r="BN588">
            <v>43500</v>
          </cell>
          <cell r="BS588" t="str">
            <v>استراتيجيات التخطيط الادارى</v>
          </cell>
          <cell r="BT588" t="str">
            <v>شهاده دورة تدريب</v>
          </cell>
          <cell r="BU588" t="str">
            <v>اكاديمية السودان للعلوم الاداريه</v>
          </cell>
          <cell r="BV588">
            <v>39933</v>
          </cell>
          <cell r="BW588" t="str">
            <v>الاساليب المتقدمة فى إدارة المكاتب</v>
          </cell>
          <cell r="BX588" t="str">
            <v>شهاده كورس</v>
          </cell>
          <cell r="BY588" t="str">
            <v>sudanese german</v>
          </cell>
          <cell r="BZ588">
            <v>37178</v>
          </cell>
          <cell r="CA588" t="str">
            <v>حاسوب</v>
          </cell>
          <cell r="CB588" t="str">
            <v>دبلوم (معاهد)</v>
          </cell>
          <cell r="CC588" t="str">
            <v>ama computer center</v>
          </cell>
          <cell r="CD588">
            <v>35521</v>
          </cell>
          <cell r="CQ588" t="str">
            <v>شركة دانفوديو التجارية</v>
          </cell>
          <cell r="CS588">
            <v>37622</v>
          </cell>
          <cell r="CT588">
            <v>40524</v>
          </cell>
          <cell r="CV588" t="str">
            <v>شركة اضفا العالمية</v>
          </cell>
          <cell r="CW588" t="str">
            <v>مدير مبيعات</v>
          </cell>
          <cell r="CX588">
            <v>41640</v>
          </cell>
          <cell r="CY588">
            <v>42507</v>
          </cell>
          <cell r="DA588" t="str">
            <v>مؤسسه دانفوديو الخيريه</v>
          </cell>
          <cell r="DB588" t="str">
            <v>سكرتير مستشار</v>
          </cell>
          <cell r="DC588">
            <v>35490</v>
          </cell>
          <cell r="DD588">
            <v>36392</v>
          </cell>
          <cell r="EQ588">
            <v>0</v>
          </cell>
          <cell r="FG588" t="str">
            <v>مدير المستودعات</v>
          </cell>
          <cell r="FH588" t="str">
            <v>على احمد على بابكر</v>
          </cell>
          <cell r="FI588" t="str">
            <v>119-7665226-2</v>
          </cell>
        </row>
        <row r="589">
          <cell r="A589">
            <v>949</v>
          </cell>
          <cell r="B589" t="str">
            <v>عبدالمطلب طه احمد الدالى</v>
          </cell>
          <cell r="C589" t="str">
            <v>عبدالمطلب</v>
          </cell>
          <cell r="D589" t="str">
            <v>طه</v>
          </cell>
          <cell r="E589" t="str">
            <v>احمد</v>
          </cell>
          <cell r="F589" t="str">
            <v>الدالى</v>
          </cell>
          <cell r="G589" t="str">
            <v>المصنع</v>
          </cell>
          <cell r="H589" t="str">
            <v>الكهرباء</v>
          </cell>
          <cell r="K589" t="str">
            <v>فنى لف موتورات</v>
          </cell>
          <cell r="L589" t="str">
            <v>فنى لف موتورات</v>
          </cell>
          <cell r="M589">
            <v>42812</v>
          </cell>
          <cell r="N589">
            <v>43500</v>
          </cell>
          <cell r="O589">
            <v>1</v>
          </cell>
          <cell r="P589">
            <v>10</v>
          </cell>
          <cell r="R589">
            <v>55</v>
          </cell>
          <cell r="Z589">
            <v>21551</v>
          </cell>
          <cell r="AG589">
            <v>9</v>
          </cell>
          <cell r="AH589">
            <v>1</v>
          </cell>
          <cell r="AI589" t="str">
            <v>تسنين</v>
          </cell>
          <cell r="AJ589" t="str">
            <v>2884794</v>
          </cell>
          <cell r="AS589">
            <v>43500</v>
          </cell>
          <cell r="AT589">
            <v>60</v>
          </cell>
          <cell r="AU589" t="str">
            <v>جنسيه</v>
          </cell>
          <cell r="AV589" t="str">
            <v>452485</v>
          </cell>
          <cell r="AW589">
            <v>5</v>
          </cell>
          <cell r="AX589">
            <v>8</v>
          </cell>
          <cell r="AY589">
            <v>4</v>
          </cell>
          <cell r="AZ589">
            <v>2</v>
          </cell>
          <cell r="BA589">
            <v>5</v>
          </cell>
          <cell r="BB589">
            <v>4</v>
          </cell>
          <cell r="BE589" t="str">
            <v>190-6403447-2</v>
          </cell>
          <cell r="BF589" t="str">
            <v>عمائم عوض السيد</v>
          </cell>
          <cell r="BG589" t="str">
            <v>الجزيره</v>
          </cell>
          <cell r="BH589" t="str">
            <v>الجزيره - التكينه</v>
          </cell>
          <cell r="BI589" t="str">
            <v>0920158903</v>
          </cell>
          <cell r="BL589" t="str">
            <v>كبار سن</v>
          </cell>
          <cell r="BN589">
            <v>43500</v>
          </cell>
          <cell r="CQ589" t="str">
            <v>شركة مصطفى الشيخ التجارية المحدوده</v>
          </cell>
          <cell r="CR589" t="str">
            <v>فنى لف موتورات</v>
          </cell>
          <cell r="CS589">
            <v>36678</v>
          </cell>
          <cell r="CT589">
            <v>39166</v>
          </cell>
          <cell r="EQ589">
            <v>0</v>
          </cell>
          <cell r="FG589" t="str">
            <v>مدير الصيانه الكهربائيه</v>
          </cell>
          <cell r="FH589" t="str">
            <v>ماهر ضيف الله سليمان جابر</v>
          </cell>
          <cell r="FI589" t="str">
            <v>190-6403447-2</v>
          </cell>
        </row>
        <row r="590">
          <cell r="A590">
            <v>950</v>
          </cell>
          <cell r="B590" t="str">
            <v>عزيزه ابكر يوسف شعيب</v>
          </cell>
          <cell r="C590" t="str">
            <v>عزيزه</v>
          </cell>
          <cell r="D590" t="str">
            <v>ابكر</v>
          </cell>
          <cell r="E590" t="str">
            <v>يوسف</v>
          </cell>
          <cell r="F590" t="str">
            <v>شعيب</v>
          </cell>
          <cell r="G590" t="str">
            <v>المصنع</v>
          </cell>
          <cell r="H590" t="str">
            <v>الوحده العلاجيه</v>
          </cell>
          <cell r="K590" t="str">
            <v>فنى معمل</v>
          </cell>
          <cell r="L590" t="str">
            <v>فنى معمل</v>
          </cell>
          <cell r="M590">
            <v>42815</v>
          </cell>
          <cell r="N590">
            <v>43500</v>
          </cell>
          <cell r="O590">
            <v>1</v>
          </cell>
          <cell r="P590">
            <v>10</v>
          </cell>
          <cell r="R590">
            <v>55</v>
          </cell>
          <cell r="Z590">
            <v>31899</v>
          </cell>
          <cell r="AG590">
            <v>9</v>
          </cell>
          <cell r="AH590">
            <v>1</v>
          </cell>
          <cell r="AI590" t="str">
            <v>ميلاد</v>
          </cell>
          <cell r="AJ590" t="str">
            <v>407012</v>
          </cell>
          <cell r="AS590">
            <v>43500</v>
          </cell>
          <cell r="AT590">
            <v>31</v>
          </cell>
          <cell r="AU590" t="str">
            <v>بطاقه قوميه</v>
          </cell>
          <cell r="AV590" t="str">
            <v>002122993</v>
          </cell>
          <cell r="AW590">
            <v>3</v>
          </cell>
          <cell r="AX590">
            <v>9</v>
          </cell>
          <cell r="AY590">
            <v>9</v>
          </cell>
          <cell r="AZ590">
            <v>2</v>
          </cell>
          <cell r="BA590">
            <v>2</v>
          </cell>
          <cell r="BB590">
            <v>1</v>
          </cell>
          <cell r="BC590">
            <v>2</v>
          </cell>
          <cell r="BD590">
            <v>0</v>
          </cell>
          <cell r="BE590" t="str">
            <v>198-8923075-4</v>
          </cell>
          <cell r="BF590" t="str">
            <v>زينب محمد عثمان</v>
          </cell>
          <cell r="BG590" t="str">
            <v>جبره</v>
          </cell>
          <cell r="BH590" t="str">
            <v>الازهرى</v>
          </cell>
          <cell r="BI590" t="str">
            <v>0919005293</v>
          </cell>
          <cell r="BJ590" t="str">
            <v>موسى شعيب</v>
          </cell>
          <cell r="BK590" t="str">
            <v>0919005293</v>
          </cell>
          <cell r="BL590" t="str">
            <v>خالي الطرف</v>
          </cell>
          <cell r="BN590">
            <v>43500</v>
          </cell>
          <cell r="BS590" t="str">
            <v>مختبرات طبيه</v>
          </cell>
          <cell r="BT590" t="str">
            <v>دبلوم تقني</v>
          </cell>
          <cell r="BU590" t="str">
            <v>اكاديمية العلوم الصحية</v>
          </cell>
          <cell r="BV590">
            <v>41095</v>
          </cell>
          <cell r="BW590" t="str">
            <v>الصيدلة الوظيفية</v>
          </cell>
          <cell r="BX590" t="str">
            <v>شهاده دورة تدريب</v>
          </cell>
          <cell r="BY590" t="str">
            <v>مركز بافادنى للتدريب</v>
          </cell>
          <cell r="BZ590">
            <v>41753</v>
          </cell>
          <cell r="CA590" t="str">
            <v>التمريض المنزلى</v>
          </cell>
          <cell r="CB590" t="str">
            <v>شهاده دورة تدريب</v>
          </cell>
          <cell r="CC590" t="str">
            <v>جمعية الهلال الاحمر السودانية</v>
          </cell>
          <cell r="CD590">
            <v>41343</v>
          </cell>
          <cell r="CE590" t="str">
            <v>حاسوب</v>
          </cell>
          <cell r="CF590" t="str">
            <v>دبلوم (معاهد)</v>
          </cell>
          <cell r="CG590" t="str">
            <v>شركة اباكس الهندسية العالمية المحدوده</v>
          </cell>
          <cell r="CH590">
            <v>41030</v>
          </cell>
          <cell r="EQ590">
            <v>0</v>
          </cell>
          <cell r="FG590" t="str">
            <v>المدير الادارى</v>
          </cell>
          <cell r="FH590" t="str">
            <v>احمد عبدالرحيم ابوبكر محمد</v>
          </cell>
          <cell r="FI590" t="str">
            <v>198-8923075-4</v>
          </cell>
        </row>
        <row r="591">
          <cell r="A591">
            <v>951</v>
          </cell>
          <cell r="B591" t="str">
            <v>عابدين الامين موسى الامين</v>
          </cell>
          <cell r="C591" t="str">
            <v>عابدين</v>
          </cell>
          <cell r="D591" t="str">
            <v>الامينِ</v>
          </cell>
          <cell r="E591" t="str">
            <v>موسى</v>
          </cell>
          <cell r="F591" t="str">
            <v>الامين</v>
          </cell>
          <cell r="G591" t="str">
            <v>المصنع</v>
          </cell>
          <cell r="H591" t="str">
            <v>الجوده</v>
          </cell>
          <cell r="K591" t="str">
            <v>تقنى انتاج</v>
          </cell>
          <cell r="L591" t="str">
            <v>تقنى انتاج جوده</v>
          </cell>
          <cell r="M591">
            <v>42815</v>
          </cell>
          <cell r="N591">
            <v>43500</v>
          </cell>
          <cell r="O591">
            <v>1</v>
          </cell>
          <cell r="P591">
            <v>10</v>
          </cell>
          <cell r="R591">
            <v>55</v>
          </cell>
          <cell r="Z591">
            <v>34025</v>
          </cell>
          <cell r="AG591">
            <v>9</v>
          </cell>
          <cell r="AH591">
            <v>1</v>
          </cell>
          <cell r="AI591" t="str">
            <v>ميلاد</v>
          </cell>
          <cell r="AJ591" t="str">
            <v>119529</v>
          </cell>
          <cell r="AS591">
            <v>43500</v>
          </cell>
          <cell r="AT591">
            <v>25</v>
          </cell>
          <cell r="BE591" t="str">
            <v>182-8627776-3</v>
          </cell>
          <cell r="BF591" t="str">
            <v>بخيته عبدالله</v>
          </cell>
          <cell r="BG591" t="str">
            <v>الكلاكله</v>
          </cell>
          <cell r="BH591" t="str">
            <v>الكلاكله</v>
          </cell>
          <cell r="BI591" t="str">
            <v>0919440193</v>
          </cell>
          <cell r="BK591" t="str">
            <v>0915337253</v>
          </cell>
          <cell r="BL591" t="str">
            <v>خالي الطرف</v>
          </cell>
          <cell r="BN591">
            <v>43500</v>
          </cell>
          <cell r="BS591" t="str">
            <v>Production Engineering</v>
          </cell>
          <cell r="BT591" t="str">
            <v>دبلوم تقني</v>
          </cell>
          <cell r="BU591" t="str">
            <v>جامعة امدرمان الاسلامية</v>
          </cell>
          <cell r="BV591">
            <v>41813</v>
          </cell>
          <cell r="CQ591" t="str">
            <v>شركة النيل للاسمنت</v>
          </cell>
          <cell r="CR591" t="str">
            <v>قسم الصيانه</v>
          </cell>
          <cell r="CS591">
            <v>41821</v>
          </cell>
          <cell r="CT591">
            <v>42594</v>
          </cell>
          <cell r="EQ591">
            <v>0</v>
          </cell>
          <cell r="FG591" t="str">
            <v>مسئول قسم الجوده</v>
          </cell>
          <cell r="FH591" t="str">
            <v>المبارك محمد ابراهيم</v>
          </cell>
          <cell r="FI591" t="str">
            <v>182-8627776-3</v>
          </cell>
        </row>
        <row r="592">
          <cell r="A592">
            <v>952</v>
          </cell>
          <cell r="B592" t="str">
            <v>ادم محمد احمد ادم</v>
          </cell>
          <cell r="C592" t="str">
            <v>ادم</v>
          </cell>
          <cell r="D592" t="str">
            <v>محمد</v>
          </cell>
          <cell r="E592" t="str">
            <v>احمد</v>
          </cell>
          <cell r="F592" t="str">
            <v>ادم</v>
          </cell>
          <cell r="G592" t="str">
            <v>المصنع</v>
          </cell>
          <cell r="H592" t="str">
            <v>الانتاج</v>
          </cell>
          <cell r="K592" t="str">
            <v>عامل</v>
          </cell>
          <cell r="L592" t="str">
            <v>عامل</v>
          </cell>
          <cell r="M592">
            <v>42826</v>
          </cell>
          <cell r="N592">
            <v>43500</v>
          </cell>
          <cell r="O592">
            <v>1</v>
          </cell>
          <cell r="P592">
            <v>10</v>
          </cell>
          <cell r="R592">
            <v>55</v>
          </cell>
          <cell r="Z592">
            <v>24099</v>
          </cell>
          <cell r="AI592" t="str">
            <v>ميلاد</v>
          </cell>
          <cell r="AJ592">
            <v>921334</v>
          </cell>
          <cell r="AS592">
            <v>43500</v>
          </cell>
          <cell r="AT592">
            <v>53</v>
          </cell>
          <cell r="AU592" t="str">
            <v>جنسيه</v>
          </cell>
          <cell r="AV592" t="str">
            <v>423433</v>
          </cell>
          <cell r="AW592">
            <v>3</v>
          </cell>
          <cell r="AX592">
            <v>3</v>
          </cell>
          <cell r="AY592">
            <v>4</v>
          </cell>
          <cell r="AZ592">
            <v>3</v>
          </cell>
          <cell r="BA592">
            <v>2</v>
          </cell>
          <cell r="BB592">
            <v>4</v>
          </cell>
          <cell r="BE592" t="str">
            <v>242-6713491-1</v>
          </cell>
          <cell r="BF592" t="str">
            <v>عائشه محمد ابكر</v>
          </cell>
          <cell r="BG592" t="str">
            <v>العربى</v>
          </cell>
          <cell r="BH592" t="str">
            <v>الانقاز - م 2</v>
          </cell>
          <cell r="BI592" t="str">
            <v>0994913898</v>
          </cell>
          <cell r="BJ592" t="str">
            <v>حسن محمد احمد</v>
          </cell>
          <cell r="BK592" t="str">
            <v>0912583362</v>
          </cell>
          <cell r="BL592" t="str">
            <v>خالي الطرف</v>
          </cell>
          <cell r="BN592">
            <v>43500</v>
          </cell>
          <cell r="EQ592">
            <v>0</v>
          </cell>
          <cell r="FG592" t="str">
            <v xml:space="preserve"> مدير الانتاج</v>
          </cell>
          <cell r="FH592" t="str">
            <v>هشام عيسى محمد عبدالكريم</v>
          </cell>
          <cell r="FI592" t="str">
            <v>242-6713491-1</v>
          </cell>
        </row>
        <row r="593">
          <cell r="A593">
            <v>953</v>
          </cell>
          <cell r="B593" t="str">
            <v>على إدريس عبدالله دلدوم</v>
          </cell>
          <cell r="C593" t="str">
            <v>على</v>
          </cell>
          <cell r="D593" t="str">
            <v>ادريس</v>
          </cell>
          <cell r="E593" t="str">
            <v>عبدالله</v>
          </cell>
          <cell r="F593" t="str">
            <v>دلدوم</v>
          </cell>
          <cell r="G593" t="str">
            <v>المصنع</v>
          </cell>
          <cell r="H593" t="str">
            <v>الانتاج</v>
          </cell>
          <cell r="L593" t="str">
            <v>عامل</v>
          </cell>
          <cell r="M593">
            <v>42826</v>
          </cell>
          <cell r="N593">
            <v>43500</v>
          </cell>
          <cell r="O593">
            <v>1</v>
          </cell>
          <cell r="P593">
            <v>10</v>
          </cell>
          <cell r="R593">
            <v>55</v>
          </cell>
          <cell r="T593" t="str">
            <v>m</v>
          </cell>
          <cell r="Z593">
            <v>28126</v>
          </cell>
          <cell r="AI593" t="str">
            <v>تسنين</v>
          </cell>
          <cell r="AJ593">
            <v>509</v>
          </cell>
          <cell r="AS593">
            <v>43500</v>
          </cell>
          <cell r="AT593">
            <v>42</v>
          </cell>
          <cell r="AU593" t="str">
            <v>بطاقه قوميه</v>
          </cell>
          <cell r="AV593" t="str">
            <v>004404065</v>
          </cell>
          <cell r="AW593">
            <v>5</v>
          </cell>
          <cell r="AX593">
            <v>6</v>
          </cell>
          <cell r="AY593">
            <v>0</v>
          </cell>
          <cell r="AZ593">
            <v>4</v>
          </cell>
          <cell r="BA593">
            <v>0</v>
          </cell>
          <cell r="BB593">
            <v>4</v>
          </cell>
          <cell r="BC593">
            <v>4</v>
          </cell>
          <cell r="BD593">
            <v>0</v>
          </cell>
          <cell r="BE593" t="str">
            <v>120-9543377-0</v>
          </cell>
          <cell r="BF593" t="str">
            <v>فاطمه يوسف احمد</v>
          </cell>
          <cell r="BH593" t="str">
            <v>حى النصر - دار النعيم - م 5</v>
          </cell>
          <cell r="BI593" t="str">
            <v>0911243714</v>
          </cell>
          <cell r="BJ593" t="str">
            <v>محمد عبدالله</v>
          </cell>
          <cell r="BK593" t="str">
            <v>0911370163</v>
          </cell>
          <cell r="BL593" t="str">
            <v>خالي الطرف</v>
          </cell>
          <cell r="BN593">
            <v>43500</v>
          </cell>
          <cell r="EQ593">
            <v>0</v>
          </cell>
          <cell r="FG593" t="str">
            <v xml:space="preserve"> مدير الانتاج</v>
          </cell>
          <cell r="FH593" t="str">
            <v>هشام عيسى محمد عبدالكريم</v>
          </cell>
          <cell r="FI593" t="str">
            <v>120-9543377-0</v>
          </cell>
        </row>
        <row r="594">
          <cell r="A594">
            <v>954</v>
          </cell>
          <cell r="B594" t="str">
            <v>مجتبي محمد بحر الدين محمد</v>
          </cell>
          <cell r="G594" t="str">
            <v>المصنع</v>
          </cell>
          <cell r="H594" t="str">
            <v>الانتاج</v>
          </cell>
          <cell r="L594" t="str">
            <v>عامل</v>
          </cell>
          <cell r="M594">
            <v>42826</v>
          </cell>
          <cell r="N594">
            <v>42883</v>
          </cell>
          <cell r="O594">
            <v>0</v>
          </cell>
          <cell r="P594">
            <v>1</v>
          </cell>
          <cell r="R594">
            <v>2.5</v>
          </cell>
          <cell r="T594" t="str">
            <v>إستقال</v>
          </cell>
          <cell r="U594">
            <v>42883</v>
          </cell>
          <cell r="V594">
            <v>42883</v>
          </cell>
          <cell r="AS594">
            <v>43500</v>
          </cell>
          <cell r="AT594">
            <v>119</v>
          </cell>
          <cell r="BN594">
            <v>43500</v>
          </cell>
          <cell r="EQ594">
            <v>0</v>
          </cell>
          <cell r="FG594" t="str">
            <v xml:space="preserve"> مدير الانتاج</v>
          </cell>
          <cell r="FH594" t="str">
            <v>هشام عيسى محمد عبدالكريم</v>
          </cell>
          <cell r="FI594">
            <v>0</v>
          </cell>
        </row>
        <row r="595">
          <cell r="A595">
            <v>955</v>
          </cell>
          <cell r="B595" t="str">
            <v>معتز حسين محمد الحاج</v>
          </cell>
          <cell r="C595" t="str">
            <v>معتز</v>
          </cell>
          <cell r="D595" t="str">
            <v>حسين</v>
          </cell>
          <cell r="E595" t="str">
            <v>محمد</v>
          </cell>
          <cell r="F595" t="str">
            <v>الحاج</v>
          </cell>
          <cell r="G595" t="str">
            <v>المصنع</v>
          </cell>
          <cell r="H595" t="str">
            <v>الانتاج</v>
          </cell>
          <cell r="M595">
            <v>42827</v>
          </cell>
          <cell r="N595">
            <v>43500</v>
          </cell>
          <cell r="O595">
            <v>1</v>
          </cell>
          <cell r="P595">
            <v>10</v>
          </cell>
          <cell r="R595">
            <v>55</v>
          </cell>
          <cell r="T595" t="str">
            <v>إستقال</v>
          </cell>
          <cell r="U595">
            <v>43071</v>
          </cell>
          <cell r="V595">
            <v>43071</v>
          </cell>
          <cell r="AS595">
            <v>43500</v>
          </cell>
          <cell r="AT595">
            <v>119</v>
          </cell>
          <cell r="BN595">
            <v>43500</v>
          </cell>
          <cell r="EQ595">
            <v>0</v>
          </cell>
          <cell r="FG595" t="str">
            <v xml:space="preserve"> مدير الانتاج</v>
          </cell>
          <cell r="FH595" t="str">
            <v>هشام عيسى محمد عبدالكريم</v>
          </cell>
          <cell r="FI595">
            <v>0</v>
          </cell>
        </row>
        <row r="596">
          <cell r="A596">
            <v>956</v>
          </cell>
          <cell r="B596" t="str">
            <v xml:space="preserve">سوسن الشيخ سيد احمد </v>
          </cell>
          <cell r="C596" t="str">
            <v>سوسن</v>
          </cell>
          <cell r="D596" t="str">
            <v>الشيخ</v>
          </cell>
          <cell r="E596" t="str">
            <v>سيد</v>
          </cell>
          <cell r="F596" t="str">
            <v>احمد</v>
          </cell>
          <cell r="G596" t="str">
            <v>المصنع</v>
          </cell>
          <cell r="H596" t="str">
            <v>الخدمات</v>
          </cell>
          <cell r="K596" t="str">
            <v>عامل</v>
          </cell>
          <cell r="L596" t="str">
            <v>عامل</v>
          </cell>
          <cell r="M596">
            <v>42826</v>
          </cell>
          <cell r="N596">
            <v>43500</v>
          </cell>
          <cell r="O596">
            <v>1</v>
          </cell>
          <cell r="P596">
            <v>10</v>
          </cell>
          <cell r="R596">
            <v>55</v>
          </cell>
          <cell r="Z596">
            <v>26665</v>
          </cell>
          <cell r="AI596" t="str">
            <v>تسنين</v>
          </cell>
          <cell r="AJ596" t="str">
            <v>1556997</v>
          </cell>
          <cell r="AS596">
            <v>43500</v>
          </cell>
          <cell r="AT596">
            <v>46</v>
          </cell>
          <cell r="AU596" t="str">
            <v>جنسيه</v>
          </cell>
          <cell r="AV596" t="str">
            <v>102167</v>
          </cell>
          <cell r="AW596">
            <v>7</v>
          </cell>
          <cell r="AX596">
            <v>6</v>
          </cell>
          <cell r="AY596">
            <v>1</v>
          </cell>
          <cell r="AZ596">
            <v>2</v>
          </cell>
          <cell r="BA596">
            <v>0</v>
          </cell>
          <cell r="BB596">
            <v>1</v>
          </cell>
          <cell r="BE596" t="str">
            <v>114-6840949-8</v>
          </cell>
          <cell r="BF596" t="str">
            <v>زينب ابراهيم محجوب</v>
          </cell>
          <cell r="BG596" t="str">
            <v>العربى</v>
          </cell>
          <cell r="BH596" t="str">
            <v>سوبا - الحله</v>
          </cell>
          <cell r="BI596" t="str">
            <v>0915711319</v>
          </cell>
          <cell r="BJ596" t="str">
            <v>النور خميس سعيد</v>
          </cell>
          <cell r="BN596">
            <v>43500</v>
          </cell>
          <cell r="EQ596">
            <v>0</v>
          </cell>
          <cell r="FG596" t="str">
            <v>المدير الادارى</v>
          </cell>
          <cell r="FH596" t="str">
            <v>احمد عبدالرحيم ابوبكر محمد</v>
          </cell>
          <cell r="FI596" t="str">
            <v>114-6840949-8</v>
          </cell>
        </row>
        <row r="597">
          <cell r="A597">
            <v>957</v>
          </cell>
          <cell r="B597" t="str">
            <v>سلمان عثمان عوض الكريم فضل الله</v>
          </cell>
          <cell r="C597" t="str">
            <v>سلمان</v>
          </cell>
          <cell r="D597" t="str">
            <v>عثمان</v>
          </cell>
          <cell r="E597" t="str">
            <v>عوض الكريم</v>
          </cell>
          <cell r="F597" t="str">
            <v>فضل الله</v>
          </cell>
          <cell r="G597" t="str">
            <v>المصنع</v>
          </cell>
          <cell r="H597" t="str">
            <v>الميكانيكا</v>
          </cell>
          <cell r="K597" t="str">
            <v>خراط</v>
          </cell>
          <cell r="L597" t="str">
            <v>خراط</v>
          </cell>
          <cell r="M597">
            <v>42829</v>
          </cell>
          <cell r="N597">
            <v>43500</v>
          </cell>
          <cell r="O597">
            <v>1</v>
          </cell>
          <cell r="P597">
            <v>10</v>
          </cell>
          <cell r="R597">
            <v>55</v>
          </cell>
          <cell r="T597" t="str">
            <v>إستقال</v>
          </cell>
          <cell r="U597">
            <v>43344</v>
          </cell>
          <cell r="Z597">
            <v>26299</v>
          </cell>
          <cell r="AI597" t="str">
            <v>تسنين</v>
          </cell>
          <cell r="AJ597" t="str">
            <v>2097726</v>
          </cell>
          <cell r="AS597">
            <v>43500</v>
          </cell>
          <cell r="AT597">
            <v>47</v>
          </cell>
          <cell r="AU597" t="str">
            <v>بطاقه قوميه</v>
          </cell>
          <cell r="AV597" t="str">
            <v>000242126</v>
          </cell>
          <cell r="AW597">
            <v>6</v>
          </cell>
          <cell r="AX597">
            <v>2</v>
          </cell>
          <cell r="AY597">
            <v>1</v>
          </cell>
          <cell r="AZ597">
            <v>2</v>
          </cell>
          <cell r="BA597">
            <v>4</v>
          </cell>
          <cell r="BB597">
            <v>2</v>
          </cell>
          <cell r="BC597">
            <v>0</v>
          </cell>
          <cell r="BD597">
            <v>0</v>
          </cell>
          <cell r="BE597" t="str">
            <v>119-9303931-3</v>
          </cell>
          <cell r="BF597" t="str">
            <v>سعاد الوداعه عثمان</v>
          </cell>
          <cell r="BG597" t="str">
            <v>العربى</v>
          </cell>
          <cell r="BH597" t="str">
            <v>الخرطوم - سوبا</v>
          </cell>
          <cell r="BI597" t="str">
            <v>0912945816</v>
          </cell>
          <cell r="BJ597" t="str">
            <v>بدر الدين عثمان</v>
          </cell>
          <cell r="BL597" t="str">
            <v>خالي الطرف</v>
          </cell>
          <cell r="BN597">
            <v>43500</v>
          </cell>
          <cell r="BS597" t="str">
            <v>خراطة - برادة</v>
          </cell>
          <cell r="BT597" t="str">
            <v>تدريب مهني</v>
          </cell>
          <cell r="BU597" t="str">
            <v>المجلس القومى للتدريب المهنى</v>
          </cell>
          <cell r="BV597">
            <v>33079</v>
          </cell>
          <cell r="CQ597" t="str">
            <v>ريبا للنقل البرى</v>
          </cell>
          <cell r="CR597" t="str">
            <v>خراط</v>
          </cell>
          <cell r="CS597">
            <v>38596</v>
          </cell>
          <cell r="CT597">
            <v>41102</v>
          </cell>
          <cell r="CV597" t="str">
            <v>النورس للنقل</v>
          </cell>
          <cell r="CW597" t="str">
            <v>خراط</v>
          </cell>
          <cell r="CX597">
            <v>36862</v>
          </cell>
          <cell r="CY597">
            <v>38595</v>
          </cell>
          <cell r="EQ597">
            <v>0</v>
          </cell>
          <cell r="FG597" t="str">
            <v>مدير الصيانه الميكانيكيه</v>
          </cell>
          <cell r="FH597" t="str">
            <v>محمد احمد محمد سليمان</v>
          </cell>
          <cell r="FI597" t="str">
            <v>119-9303931-3</v>
          </cell>
        </row>
        <row r="598">
          <cell r="A598">
            <v>958</v>
          </cell>
          <cell r="B598" t="str">
            <v>عزالدين عبدالعزيز فضال بخيت</v>
          </cell>
          <cell r="C598" t="str">
            <v>عزالدين</v>
          </cell>
          <cell r="D598" t="str">
            <v>عبدالعزيز</v>
          </cell>
          <cell r="E598" t="str">
            <v>فضال</v>
          </cell>
          <cell r="F598" t="str">
            <v>بخيت</v>
          </cell>
          <cell r="G598" t="str">
            <v>المصنع</v>
          </cell>
          <cell r="H598" t="str">
            <v>الانتاج</v>
          </cell>
          <cell r="K598" t="str">
            <v>عامل</v>
          </cell>
          <cell r="L598" t="str">
            <v>عامل</v>
          </cell>
          <cell r="M598">
            <v>42833</v>
          </cell>
          <cell r="N598">
            <v>43500</v>
          </cell>
          <cell r="O598">
            <v>1</v>
          </cell>
          <cell r="P598">
            <v>9</v>
          </cell>
          <cell r="R598">
            <v>52.5</v>
          </cell>
          <cell r="T598" t="str">
            <v>m</v>
          </cell>
          <cell r="AS598">
            <v>43500</v>
          </cell>
          <cell r="AT598">
            <v>119</v>
          </cell>
          <cell r="BN598">
            <v>43500</v>
          </cell>
          <cell r="EQ598">
            <v>0</v>
          </cell>
          <cell r="FG598" t="str">
            <v xml:space="preserve"> مدير الانتاج</v>
          </cell>
          <cell r="FH598" t="str">
            <v>هشام عيسى محمد عبدالكريم</v>
          </cell>
          <cell r="FI598">
            <v>0</v>
          </cell>
        </row>
        <row r="599">
          <cell r="A599">
            <v>959</v>
          </cell>
          <cell r="B599" t="str">
            <v>محمد جلال الدين فضل الله فرج الله</v>
          </cell>
          <cell r="C599" t="str">
            <v>محمد</v>
          </cell>
          <cell r="D599" t="str">
            <v>جلال الدين</v>
          </cell>
          <cell r="E599" t="str">
            <v>فضل الله</v>
          </cell>
          <cell r="F599" t="str">
            <v>فرج الله</v>
          </cell>
          <cell r="G599" t="str">
            <v>المصنع</v>
          </cell>
          <cell r="H599" t="str">
            <v>الانتاج</v>
          </cell>
          <cell r="K599" t="str">
            <v>عامل</v>
          </cell>
          <cell r="L599" t="str">
            <v>عامل</v>
          </cell>
          <cell r="M599">
            <v>42842</v>
          </cell>
          <cell r="N599">
            <v>43500</v>
          </cell>
          <cell r="O599">
            <v>1</v>
          </cell>
          <cell r="P599">
            <v>9</v>
          </cell>
          <cell r="R599">
            <v>52.5</v>
          </cell>
          <cell r="Z599">
            <v>34117</v>
          </cell>
          <cell r="AI599" t="str">
            <v>ميلاد</v>
          </cell>
          <cell r="AJ599">
            <v>715974</v>
          </cell>
          <cell r="AS599">
            <v>43500</v>
          </cell>
          <cell r="AT599">
            <v>25</v>
          </cell>
          <cell r="AU599" t="str">
            <v>بطاقه قوميه</v>
          </cell>
          <cell r="AV599" t="str">
            <v>000576565</v>
          </cell>
          <cell r="AW599">
            <v>5</v>
          </cell>
          <cell r="AX599">
            <v>6</v>
          </cell>
          <cell r="AY599">
            <v>5</v>
          </cell>
          <cell r="AZ599">
            <v>6</v>
          </cell>
          <cell r="BA599">
            <v>7</v>
          </cell>
          <cell r="BB599">
            <v>5</v>
          </cell>
          <cell r="BC599">
            <v>0</v>
          </cell>
          <cell r="BD599">
            <v>0</v>
          </cell>
          <cell r="BE599" t="str">
            <v>120-9345551-2</v>
          </cell>
          <cell r="BF599" t="str">
            <v>ربيعه زايد جباره</v>
          </cell>
          <cell r="BG599" t="str">
            <v>الجزيره</v>
          </cell>
          <cell r="BH599" t="str">
            <v>الجزيرة - النوبة</v>
          </cell>
          <cell r="BI599" t="str">
            <v>0998862644</v>
          </cell>
          <cell r="BJ599" t="str">
            <v>ميسره زائد جبارة الله</v>
          </cell>
          <cell r="BK599" t="str">
            <v>0915466667</v>
          </cell>
          <cell r="BL599" t="str">
            <v>خالي الطرف</v>
          </cell>
          <cell r="BN599">
            <v>43500</v>
          </cell>
          <cell r="BS599" t="str">
            <v>التامين</v>
          </cell>
          <cell r="BT599" t="str">
            <v>دبلوم تقني</v>
          </cell>
          <cell r="BU599" t="str">
            <v>جامعة السودان للعلوم والتكنولوجيا</v>
          </cell>
          <cell r="BV599">
            <v>41900</v>
          </cell>
          <cell r="EQ599">
            <v>0</v>
          </cell>
          <cell r="FG599" t="str">
            <v xml:space="preserve"> مدير الانتاج</v>
          </cell>
          <cell r="FH599" t="str">
            <v>هشام عيسى محمد عبدالكريم</v>
          </cell>
          <cell r="FI599" t="str">
            <v>120-9345551-2</v>
          </cell>
        </row>
        <row r="600">
          <cell r="A600">
            <v>960</v>
          </cell>
          <cell r="B600" t="str">
            <v>عبدالعزيز عجيب بابكر عجيب</v>
          </cell>
          <cell r="C600" t="str">
            <v>عبدالعزيز</v>
          </cell>
          <cell r="D600" t="str">
            <v>عجيب</v>
          </cell>
          <cell r="E600" t="str">
            <v>بابكر</v>
          </cell>
          <cell r="F600" t="str">
            <v>عجيب</v>
          </cell>
          <cell r="G600" t="str">
            <v>المصنع</v>
          </cell>
          <cell r="H600" t="str">
            <v>الانتاج</v>
          </cell>
          <cell r="K600" t="str">
            <v>عامل</v>
          </cell>
          <cell r="L600" t="str">
            <v>عامل</v>
          </cell>
          <cell r="M600">
            <v>42842</v>
          </cell>
          <cell r="N600">
            <v>43500</v>
          </cell>
          <cell r="O600">
            <v>1</v>
          </cell>
          <cell r="P600">
            <v>9</v>
          </cell>
          <cell r="R600">
            <v>52.5</v>
          </cell>
          <cell r="T600" t="str">
            <v>m</v>
          </cell>
          <cell r="Z600">
            <v>20821</v>
          </cell>
          <cell r="AS600">
            <v>43500</v>
          </cell>
          <cell r="AT600">
            <v>62</v>
          </cell>
          <cell r="AU600" t="str">
            <v>بطاقه قوميه</v>
          </cell>
          <cell r="AV600" t="str">
            <v>003272180</v>
          </cell>
          <cell r="AW600">
            <v>0</v>
          </cell>
          <cell r="AX600">
            <v>8</v>
          </cell>
          <cell r="AY600">
            <v>1</v>
          </cell>
          <cell r="AZ600">
            <v>2</v>
          </cell>
          <cell r="BA600">
            <v>7</v>
          </cell>
          <cell r="BB600">
            <v>2</v>
          </cell>
          <cell r="BC600">
            <v>3</v>
          </cell>
          <cell r="BD600">
            <v>0</v>
          </cell>
          <cell r="BE600" t="str">
            <v>119-5480394-5</v>
          </cell>
          <cell r="BG600" t="str">
            <v>بحرى</v>
          </cell>
          <cell r="BH600" t="str">
            <v>بحرى - شمبات</v>
          </cell>
          <cell r="BI600" t="str">
            <v>0915714001</v>
          </cell>
          <cell r="BJ600" t="str">
            <v>صلاح الدين بشير</v>
          </cell>
          <cell r="BL600" t="str">
            <v>إستثناء</v>
          </cell>
          <cell r="BN600">
            <v>43500</v>
          </cell>
          <cell r="EQ600">
            <v>0</v>
          </cell>
          <cell r="FG600" t="str">
            <v xml:space="preserve"> مدير الانتاج</v>
          </cell>
          <cell r="FH600" t="str">
            <v>هشام عيسى محمد عبدالكريم</v>
          </cell>
          <cell r="FI600" t="str">
            <v>119-5480394-5</v>
          </cell>
        </row>
        <row r="601">
          <cell r="A601">
            <v>961</v>
          </cell>
          <cell r="B601" t="str">
            <v>مصطفى حسين عثمان سربل</v>
          </cell>
          <cell r="C601" t="str">
            <v>مصطفى</v>
          </cell>
          <cell r="D601" t="str">
            <v>حسين</v>
          </cell>
          <cell r="E601" t="str">
            <v>عثمان</v>
          </cell>
          <cell r="F601" t="str">
            <v>سربل</v>
          </cell>
          <cell r="G601" t="str">
            <v>المصنع</v>
          </cell>
          <cell r="H601" t="str">
            <v>الجوده</v>
          </cell>
          <cell r="K601" t="str">
            <v>تقنى ميكانيكا</v>
          </cell>
          <cell r="L601" t="str">
            <v>مراقب انتاج</v>
          </cell>
          <cell r="M601">
            <v>42856</v>
          </cell>
          <cell r="N601">
            <v>43500</v>
          </cell>
          <cell r="O601">
            <v>1</v>
          </cell>
          <cell r="P601">
            <v>9</v>
          </cell>
          <cell r="R601">
            <v>52.5</v>
          </cell>
          <cell r="Z601">
            <v>33331</v>
          </cell>
          <cell r="AG601">
            <v>9</v>
          </cell>
          <cell r="AH601">
            <v>1</v>
          </cell>
          <cell r="AI601" t="str">
            <v>ميلاد</v>
          </cell>
          <cell r="AS601">
            <v>43500</v>
          </cell>
          <cell r="AT601">
            <v>27</v>
          </cell>
          <cell r="AU601" t="str">
            <v>بطاقه قوميه</v>
          </cell>
          <cell r="AV601" t="str">
            <v>003325727</v>
          </cell>
          <cell r="AW601">
            <v>7</v>
          </cell>
          <cell r="AX601">
            <v>2</v>
          </cell>
          <cell r="AY601">
            <v>7</v>
          </cell>
          <cell r="AZ601">
            <v>5</v>
          </cell>
          <cell r="BA601">
            <v>2</v>
          </cell>
          <cell r="BB601">
            <v>3</v>
          </cell>
          <cell r="BC601">
            <v>3</v>
          </cell>
          <cell r="BD601">
            <v>0</v>
          </cell>
          <cell r="BE601" t="str">
            <v>183-1084109-4</v>
          </cell>
          <cell r="BF601" t="str">
            <v>فوزيه سربل خليل</v>
          </cell>
          <cell r="BG601" t="str">
            <v>العربى</v>
          </cell>
          <cell r="BH601" t="str">
            <v>العمارات - ش 29</v>
          </cell>
          <cell r="BI601" t="str">
            <v>0912405951</v>
          </cell>
          <cell r="BJ601" t="str">
            <v>عبد المنعم حسين</v>
          </cell>
          <cell r="BK601" t="str">
            <v>0912363451</v>
          </cell>
          <cell r="BL601" t="str">
            <v>خالي الطرف</v>
          </cell>
          <cell r="BN601">
            <v>43500</v>
          </cell>
          <cell r="BS601" t="str">
            <v xml:space="preserve">هندسة ميكانيكة </v>
          </cell>
          <cell r="BT601" t="str">
            <v>دبلوم تقني</v>
          </cell>
          <cell r="BU601" t="str">
            <v>جامعة البحر الاحمر</v>
          </cell>
          <cell r="BV601">
            <v>42298</v>
          </cell>
          <cell r="CQ601" t="str">
            <v>شركة سويتش للتجارة</v>
          </cell>
          <cell r="CR601" t="str">
            <v>متدرب</v>
          </cell>
          <cell r="CS601">
            <v>41791</v>
          </cell>
          <cell r="CT601">
            <v>42036</v>
          </cell>
          <cell r="CV601" t="str">
            <v>شركة داركا للتجارة والخدمات</v>
          </cell>
          <cell r="CW601" t="str">
            <v>متدرب</v>
          </cell>
          <cell r="CX601">
            <v>42370</v>
          </cell>
          <cell r="CY601">
            <v>42735</v>
          </cell>
          <cell r="DA601" t="str">
            <v>اعمال اوسيام لصيانة وتاهيل السيارات</v>
          </cell>
          <cell r="DB601" t="str">
            <v>متدرب</v>
          </cell>
          <cell r="DC601">
            <v>42143</v>
          </cell>
          <cell r="DD601">
            <v>42173</v>
          </cell>
          <cell r="EQ601">
            <v>0</v>
          </cell>
          <cell r="FG601" t="str">
            <v>مسئول قسم الجوده</v>
          </cell>
          <cell r="FH601" t="str">
            <v>المبارك محمد ابراهيم</v>
          </cell>
          <cell r="FI601" t="str">
            <v>183-1084109-4</v>
          </cell>
        </row>
        <row r="602">
          <cell r="A602">
            <v>962</v>
          </cell>
          <cell r="B602" t="str">
            <v>التجانى سعد التجانى كورى</v>
          </cell>
          <cell r="C602" t="str">
            <v>التجانى</v>
          </cell>
          <cell r="D602" t="str">
            <v>سعد</v>
          </cell>
          <cell r="E602" t="str">
            <v>التجانى</v>
          </cell>
          <cell r="F602" t="str">
            <v>كورى</v>
          </cell>
          <cell r="G602" t="str">
            <v>المصنع</v>
          </cell>
          <cell r="H602" t="str">
            <v>الانتاج</v>
          </cell>
          <cell r="K602" t="str">
            <v>عامل</v>
          </cell>
          <cell r="L602" t="str">
            <v>عامل</v>
          </cell>
          <cell r="M602">
            <v>42856</v>
          </cell>
          <cell r="N602">
            <v>43500</v>
          </cell>
          <cell r="O602">
            <v>1</v>
          </cell>
          <cell r="P602">
            <v>9</v>
          </cell>
          <cell r="R602">
            <v>52.5</v>
          </cell>
          <cell r="Z602">
            <v>25204</v>
          </cell>
          <cell r="AI602" t="str">
            <v>تسنين</v>
          </cell>
          <cell r="AJ602" t="str">
            <v>118980</v>
          </cell>
          <cell r="AS602">
            <v>43500</v>
          </cell>
          <cell r="AT602">
            <v>50</v>
          </cell>
          <cell r="AU602" t="str">
            <v>جنسيه</v>
          </cell>
          <cell r="AV602" t="str">
            <v>0960228</v>
          </cell>
          <cell r="AW602">
            <v>8</v>
          </cell>
          <cell r="AX602">
            <v>2</v>
          </cell>
          <cell r="AY602">
            <v>2</v>
          </cell>
          <cell r="AZ602">
            <v>0</v>
          </cell>
          <cell r="BA602">
            <v>6</v>
          </cell>
          <cell r="BB602">
            <v>9</v>
          </cell>
          <cell r="BC602">
            <v>0</v>
          </cell>
          <cell r="BE602" t="str">
            <v>182-3494425-1</v>
          </cell>
          <cell r="BF602" t="str">
            <v>زهراء ابراهيم كوكو</v>
          </cell>
          <cell r="BG602" t="str">
            <v>العربى</v>
          </cell>
          <cell r="BN602">
            <v>43500</v>
          </cell>
          <cell r="EQ602">
            <v>0</v>
          </cell>
          <cell r="FG602" t="str">
            <v xml:space="preserve"> مدير الانتاج</v>
          </cell>
          <cell r="FH602" t="str">
            <v>هشام عيسى محمد عبدالكريم</v>
          </cell>
          <cell r="FI602" t="str">
            <v>182-3494425-1</v>
          </cell>
        </row>
        <row r="603">
          <cell r="A603">
            <v>963</v>
          </cell>
          <cell r="B603" t="str">
            <v>بكرى إسماعيل رحال كوكو</v>
          </cell>
          <cell r="C603" t="str">
            <v>بكرى</v>
          </cell>
          <cell r="D603" t="str">
            <v>اسماعيل</v>
          </cell>
          <cell r="E603" t="str">
            <v>رحال</v>
          </cell>
          <cell r="F603" t="str">
            <v>كوكو</v>
          </cell>
          <cell r="G603" t="str">
            <v>المصنع</v>
          </cell>
          <cell r="H603" t="str">
            <v>الانتاج</v>
          </cell>
          <cell r="K603" t="str">
            <v>عامل</v>
          </cell>
          <cell r="L603" t="str">
            <v>عامل</v>
          </cell>
          <cell r="M603">
            <v>42856</v>
          </cell>
          <cell r="N603">
            <v>43500</v>
          </cell>
          <cell r="O603">
            <v>1</v>
          </cell>
          <cell r="P603">
            <v>9</v>
          </cell>
          <cell r="R603">
            <v>52.5</v>
          </cell>
          <cell r="Z603">
            <v>27030</v>
          </cell>
          <cell r="AI603" t="str">
            <v>تسنين</v>
          </cell>
          <cell r="AJ603" t="str">
            <v>141476</v>
          </cell>
          <cell r="AS603">
            <v>43500</v>
          </cell>
          <cell r="AT603">
            <v>45</v>
          </cell>
          <cell r="AU603" t="str">
            <v>جنسيه</v>
          </cell>
          <cell r="AV603" t="str">
            <v>0134732</v>
          </cell>
          <cell r="AW603">
            <v>2</v>
          </cell>
          <cell r="AX603">
            <v>3</v>
          </cell>
          <cell r="AY603">
            <v>7</v>
          </cell>
          <cell r="AZ603">
            <v>4</v>
          </cell>
          <cell r="BA603">
            <v>3</v>
          </cell>
          <cell r="BB603">
            <v>1</v>
          </cell>
          <cell r="BC603">
            <v>0</v>
          </cell>
          <cell r="BE603" t="str">
            <v>182-4761678-9</v>
          </cell>
          <cell r="BF603" t="str">
            <v>حمره موسى ككى</v>
          </cell>
          <cell r="BG603" t="str">
            <v>العربى</v>
          </cell>
          <cell r="BH603" t="str">
            <v>امدرمان - امبده - حمد النيل</v>
          </cell>
          <cell r="BI603" t="str">
            <v>0910756261</v>
          </cell>
          <cell r="BJ603" t="str">
            <v>مقبول حماد</v>
          </cell>
          <cell r="BK603" t="str">
            <v>0910062528</v>
          </cell>
          <cell r="BL603" t="str">
            <v>إستثناء</v>
          </cell>
          <cell r="BN603">
            <v>43500</v>
          </cell>
          <cell r="EQ603">
            <v>0</v>
          </cell>
          <cell r="FG603" t="str">
            <v xml:space="preserve"> مدير الانتاج</v>
          </cell>
          <cell r="FH603" t="str">
            <v>هشام عيسى محمد عبدالكريم</v>
          </cell>
          <cell r="FI603" t="str">
            <v>182-4761678-9</v>
          </cell>
        </row>
        <row r="604">
          <cell r="A604">
            <v>964</v>
          </cell>
          <cell r="B604" t="str">
            <v>عبد الحكيم مهدى على التجانى</v>
          </cell>
          <cell r="C604" t="str">
            <v>عبدالحكيم</v>
          </cell>
          <cell r="D604" t="str">
            <v>مهدى</v>
          </cell>
          <cell r="E604" t="str">
            <v>على</v>
          </cell>
          <cell r="F604" t="str">
            <v>التجانى</v>
          </cell>
          <cell r="G604" t="str">
            <v>المصنع</v>
          </cell>
          <cell r="H604" t="str">
            <v>الانتاج</v>
          </cell>
          <cell r="L604" t="str">
            <v>عامل</v>
          </cell>
          <cell r="M604">
            <v>42856</v>
          </cell>
          <cell r="N604">
            <v>43500</v>
          </cell>
          <cell r="O604">
            <v>1</v>
          </cell>
          <cell r="P604">
            <v>9</v>
          </cell>
          <cell r="R604">
            <v>52.5</v>
          </cell>
          <cell r="T604" t="str">
            <v>m</v>
          </cell>
          <cell r="AS604">
            <v>43500</v>
          </cell>
          <cell r="AT604">
            <v>119</v>
          </cell>
          <cell r="BN604">
            <v>43500</v>
          </cell>
          <cell r="EQ604">
            <v>0</v>
          </cell>
          <cell r="FG604" t="str">
            <v xml:space="preserve"> مدير الانتاج</v>
          </cell>
          <cell r="FH604" t="str">
            <v>هشام عيسى محمد عبدالكريم</v>
          </cell>
          <cell r="FI604">
            <v>0</v>
          </cell>
        </row>
        <row r="605">
          <cell r="A605">
            <v>965</v>
          </cell>
          <cell r="B605" t="str">
            <v>محمد المرتضى الجوده مرجب احمد</v>
          </cell>
          <cell r="C605" t="str">
            <v>محمد المرتضى</v>
          </cell>
          <cell r="D605" t="str">
            <v>الجوده</v>
          </cell>
          <cell r="E605" t="str">
            <v>مرجب</v>
          </cell>
          <cell r="F605" t="str">
            <v>احمد</v>
          </cell>
          <cell r="G605" t="str">
            <v>المصنع</v>
          </cell>
          <cell r="H605" t="str">
            <v>الالكترونيات</v>
          </cell>
          <cell r="K605" t="str">
            <v>مهندس الكترونيات</v>
          </cell>
          <cell r="L605" t="str">
            <v>مهندس الكترونيات</v>
          </cell>
          <cell r="M605">
            <v>42856</v>
          </cell>
          <cell r="N605">
            <v>43500</v>
          </cell>
          <cell r="O605">
            <v>1</v>
          </cell>
          <cell r="P605">
            <v>9</v>
          </cell>
          <cell r="R605">
            <v>52.5</v>
          </cell>
          <cell r="Z605">
            <v>34245</v>
          </cell>
          <cell r="AI605" t="str">
            <v>ميلاد</v>
          </cell>
          <cell r="AJ605" t="str">
            <v>764632</v>
          </cell>
          <cell r="AS605">
            <v>43500</v>
          </cell>
          <cell r="AT605">
            <v>25</v>
          </cell>
          <cell r="AU605" t="str">
            <v>جنسيه</v>
          </cell>
          <cell r="AV605" t="str">
            <v>0075507</v>
          </cell>
          <cell r="AW605">
            <v>7</v>
          </cell>
          <cell r="AX605">
            <v>0</v>
          </cell>
          <cell r="AY605">
            <v>5</v>
          </cell>
          <cell r="AZ605">
            <v>5</v>
          </cell>
          <cell r="BA605">
            <v>7</v>
          </cell>
          <cell r="BB605">
            <v>0</v>
          </cell>
          <cell r="BC605">
            <v>0</v>
          </cell>
          <cell r="BE605" t="str">
            <v>119-0288889-9</v>
          </cell>
          <cell r="BF605" t="str">
            <v>حنان احمد السر محمد</v>
          </cell>
          <cell r="BG605" t="str">
            <v>الكلاكله</v>
          </cell>
          <cell r="BH605" t="str">
            <v>الكلاكله - الوحده - م 5</v>
          </cell>
          <cell r="BI605" t="str">
            <v>0968282668</v>
          </cell>
          <cell r="BJ605" t="str">
            <v>الجوده مرجب احمد</v>
          </cell>
          <cell r="BK605" t="str">
            <v>0912944813</v>
          </cell>
          <cell r="BL605" t="str">
            <v>خالي الطرف</v>
          </cell>
          <cell r="BN605">
            <v>43500</v>
          </cell>
          <cell r="BS605" t="str">
            <v>هندسة الكترونيات ( تحكم )</v>
          </cell>
          <cell r="BT605" t="str">
            <v>بكلاريوس الشرف</v>
          </cell>
          <cell r="BU605" t="str">
            <v>جامعة النيلين</v>
          </cell>
          <cell r="BV605">
            <v>42290</v>
          </cell>
          <cell r="BW605" t="str">
            <v>Autocad</v>
          </cell>
          <cell r="BX605" t="str">
            <v>شهاده دورة تدريب</v>
          </cell>
          <cell r="BY605" t="str">
            <v>الصندوق القومى لتشغيل الخريجين - مركز التدريب</v>
          </cell>
          <cell r="BZ605">
            <v>42704</v>
          </cell>
          <cell r="CA605" t="str">
            <v>PLC</v>
          </cell>
          <cell r="CB605" t="str">
            <v>دبلوم (معاهد)</v>
          </cell>
          <cell r="CC605" t="str">
            <v>عبدالبارى لهندسة التحكم</v>
          </cell>
          <cell r="CD605">
            <v>42434</v>
          </cell>
          <cell r="CQ605" t="str">
            <v>الشركة السودانية للتوليد الحرارى</v>
          </cell>
          <cell r="CR605" t="str">
            <v>متدرب</v>
          </cell>
          <cell r="CS605">
            <v>42596</v>
          </cell>
          <cell r="CT605">
            <v>42610</v>
          </cell>
          <cell r="CV605" t="str">
            <v>مركز الملاحة الجوية</v>
          </cell>
          <cell r="CW605" t="str">
            <v>متدرب</v>
          </cell>
          <cell r="CX605">
            <v>41518</v>
          </cell>
          <cell r="CY605">
            <v>41547</v>
          </cell>
          <cell r="EQ605">
            <v>0</v>
          </cell>
          <cell r="FG605" t="str">
            <v>مدير الصيانه الالكترونيه</v>
          </cell>
          <cell r="FH605" t="str">
            <v>الشاذلى احمد  محمد على</v>
          </cell>
          <cell r="FI605" t="str">
            <v>119-0288889-9</v>
          </cell>
        </row>
        <row r="606">
          <cell r="A606">
            <v>966</v>
          </cell>
          <cell r="B606" t="str">
            <v>حيدر هاشم ميرغنى احمد</v>
          </cell>
          <cell r="C606" t="str">
            <v>حيدر</v>
          </cell>
          <cell r="D606" t="str">
            <v>هاشم</v>
          </cell>
          <cell r="E606" t="str">
            <v>ميرغنى</v>
          </cell>
          <cell r="F606" t="str">
            <v>احمد</v>
          </cell>
          <cell r="G606" t="str">
            <v>المصنع</v>
          </cell>
          <cell r="H606" t="str">
            <v>المستودعات</v>
          </cell>
          <cell r="K606" t="str">
            <v>امين مستودع</v>
          </cell>
          <cell r="L606" t="str">
            <v>امين مستودع</v>
          </cell>
          <cell r="M606">
            <v>42863</v>
          </cell>
          <cell r="N606">
            <v>43500</v>
          </cell>
          <cell r="O606">
            <v>1</v>
          </cell>
          <cell r="P606">
            <v>8</v>
          </cell>
          <cell r="R606">
            <v>50</v>
          </cell>
          <cell r="Z606">
            <v>23012</v>
          </cell>
          <cell r="AS606">
            <v>43500</v>
          </cell>
          <cell r="AT606">
            <v>56</v>
          </cell>
          <cell r="BE606" t="str">
            <v>119-9195883-9</v>
          </cell>
          <cell r="BF606" t="str">
            <v>حسنيه مصطفى محجوب</v>
          </cell>
          <cell r="BG606" t="str">
            <v>جبره</v>
          </cell>
          <cell r="BI606" t="str">
            <v>0964376490</v>
          </cell>
          <cell r="BL606" t="str">
            <v>كبار سن</v>
          </cell>
          <cell r="BN606">
            <v>43500</v>
          </cell>
          <cell r="EQ606">
            <v>0</v>
          </cell>
          <cell r="FG606" t="str">
            <v>مدير المستودعات</v>
          </cell>
          <cell r="FH606" t="str">
            <v>على احمد على بابكر</v>
          </cell>
          <cell r="FI606" t="str">
            <v>119-9195883-9</v>
          </cell>
        </row>
        <row r="607">
          <cell r="A607">
            <v>967</v>
          </cell>
          <cell r="B607" t="str">
            <v>المغيره عبدالله بحيرى عدنى</v>
          </cell>
          <cell r="G607" t="str">
            <v>المصنع</v>
          </cell>
          <cell r="H607" t="str">
            <v>الميكانيكا</v>
          </cell>
          <cell r="L607" t="str">
            <v>خراط</v>
          </cell>
          <cell r="M607">
            <v>42857</v>
          </cell>
          <cell r="N607">
            <v>43006</v>
          </cell>
          <cell r="O607">
            <v>0</v>
          </cell>
          <cell r="P607">
            <v>4</v>
          </cell>
          <cell r="R607">
            <v>10</v>
          </cell>
          <cell r="T607" t="str">
            <v>إستقال</v>
          </cell>
          <cell r="AS607">
            <v>43500</v>
          </cell>
          <cell r="AT607">
            <v>119</v>
          </cell>
          <cell r="BN607">
            <v>43500</v>
          </cell>
          <cell r="CQ607" t="str">
            <v>جامعة التحدى - ليبيا</v>
          </cell>
          <cell r="CS607">
            <v>32102</v>
          </cell>
          <cell r="CT607">
            <v>37093</v>
          </cell>
          <cell r="EQ607">
            <v>0</v>
          </cell>
          <cell r="FG607" t="str">
            <v>مدير الصيانه الميكانيكيه</v>
          </cell>
          <cell r="FH607" t="str">
            <v>محمد احمد محمد سليمان</v>
          </cell>
          <cell r="FI607">
            <v>0</v>
          </cell>
        </row>
        <row r="608">
          <cell r="A608">
            <v>968</v>
          </cell>
          <cell r="B608" t="str">
            <v>النعيم حامد موسى محمد</v>
          </cell>
          <cell r="C608" t="str">
            <v>النعيم</v>
          </cell>
          <cell r="D608" t="str">
            <v>حامد</v>
          </cell>
          <cell r="E608" t="str">
            <v>موسى</v>
          </cell>
          <cell r="F608" t="str">
            <v>محمد</v>
          </cell>
          <cell r="G608" t="str">
            <v>المصنع</v>
          </cell>
          <cell r="H608" t="str">
            <v>الانتاج</v>
          </cell>
          <cell r="K608" t="str">
            <v>عامل</v>
          </cell>
          <cell r="L608" t="str">
            <v>عامل</v>
          </cell>
          <cell r="M608">
            <v>43143</v>
          </cell>
          <cell r="N608">
            <v>43500</v>
          </cell>
          <cell r="O608">
            <v>0</v>
          </cell>
          <cell r="P608">
            <v>11</v>
          </cell>
          <cell r="R608">
            <v>27.5</v>
          </cell>
          <cell r="T608" t="str">
            <v>إستقال</v>
          </cell>
          <cell r="U608">
            <v>43048</v>
          </cell>
          <cell r="X608">
            <v>42859</v>
          </cell>
          <cell r="Z608">
            <v>27030</v>
          </cell>
          <cell r="AI608" t="str">
            <v>تسنين</v>
          </cell>
          <cell r="AJ608" t="str">
            <v>0111248</v>
          </cell>
          <cell r="AS608">
            <v>43500</v>
          </cell>
          <cell r="AT608">
            <v>45</v>
          </cell>
          <cell r="AU608" t="str">
            <v>بطاقه قوميه</v>
          </cell>
          <cell r="AV608" t="str">
            <v>003295073</v>
          </cell>
          <cell r="AW608">
            <v>3</v>
          </cell>
          <cell r="AX608">
            <v>7</v>
          </cell>
          <cell r="AY608">
            <v>0</v>
          </cell>
          <cell r="AZ608">
            <v>5</v>
          </cell>
          <cell r="BA608">
            <v>9</v>
          </cell>
          <cell r="BB608">
            <v>2</v>
          </cell>
          <cell r="BC608">
            <v>3</v>
          </cell>
          <cell r="BD608">
            <v>0</v>
          </cell>
          <cell r="BE608" t="str">
            <v>203-6320822-1</v>
          </cell>
          <cell r="BF608" t="str">
            <v>اليقين عبدالرحيم</v>
          </cell>
          <cell r="BG608" t="str">
            <v>الجزيره</v>
          </cell>
          <cell r="BH608" t="str">
            <v>الجزيرة - المسعودية</v>
          </cell>
          <cell r="BI608" t="str">
            <v>0914716014</v>
          </cell>
          <cell r="BJ608" t="str">
            <v>على احمد موسى</v>
          </cell>
          <cell r="BL608" t="str">
            <v>خالي الطرف</v>
          </cell>
          <cell r="BN608">
            <v>43500</v>
          </cell>
          <cell r="EQ608">
            <v>0</v>
          </cell>
          <cell r="ES608">
            <v>42859</v>
          </cell>
          <cell r="ET608">
            <v>43223</v>
          </cell>
          <cell r="EU608" t="str">
            <v>عامل</v>
          </cell>
          <cell r="FA608" t="str">
            <v>إستقاله</v>
          </cell>
          <cell r="FB608">
            <v>42859</v>
          </cell>
          <cell r="FD608" t="str">
            <v>إستقاله</v>
          </cell>
          <cell r="FE608">
            <v>42859</v>
          </cell>
          <cell r="FG608" t="str">
            <v xml:space="preserve"> مدير الانتاج</v>
          </cell>
          <cell r="FH608" t="str">
            <v>هشام عيسى محمد عبدالكريم</v>
          </cell>
          <cell r="FI608" t="str">
            <v>203-6320822-1</v>
          </cell>
        </row>
        <row r="609">
          <cell r="A609">
            <v>969</v>
          </cell>
          <cell r="B609" t="str">
            <v>خالد احمد النعيم الحاج</v>
          </cell>
          <cell r="C609" t="str">
            <v>خالد</v>
          </cell>
          <cell r="D609" t="str">
            <v>احمد</v>
          </cell>
          <cell r="E609" t="str">
            <v>النعيم</v>
          </cell>
          <cell r="F609" t="str">
            <v>الحاج</v>
          </cell>
          <cell r="G609" t="str">
            <v>المصنع</v>
          </cell>
          <cell r="H609" t="str">
            <v>الانتاج</v>
          </cell>
          <cell r="L609" t="str">
            <v>عامل</v>
          </cell>
          <cell r="M609">
            <v>42866</v>
          </cell>
          <cell r="N609">
            <v>43500</v>
          </cell>
          <cell r="O609">
            <v>1</v>
          </cell>
          <cell r="P609">
            <v>8</v>
          </cell>
          <cell r="R609">
            <v>50</v>
          </cell>
          <cell r="T609" t="str">
            <v>m</v>
          </cell>
          <cell r="AS609">
            <v>43500</v>
          </cell>
          <cell r="AT609">
            <v>119</v>
          </cell>
          <cell r="BN609">
            <v>43500</v>
          </cell>
          <cell r="EQ609">
            <v>0</v>
          </cell>
          <cell r="FG609" t="str">
            <v xml:space="preserve"> مدير الانتاج</v>
          </cell>
          <cell r="FH609" t="str">
            <v>هشام عيسى محمد عبدالكريم</v>
          </cell>
          <cell r="FI609">
            <v>0</v>
          </cell>
        </row>
        <row r="610">
          <cell r="A610">
            <v>970</v>
          </cell>
          <cell r="B610" t="str">
            <v>إدريس إسماعيل إدريس حمدنا الله</v>
          </cell>
          <cell r="C610" t="str">
            <v>ادريس</v>
          </cell>
          <cell r="D610" t="str">
            <v>اسماعيل</v>
          </cell>
          <cell r="E610" t="str">
            <v>ادريس</v>
          </cell>
          <cell r="F610" t="str">
            <v>حمدنا الله</v>
          </cell>
          <cell r="G610" t="str">
            <v>المصنع</v>
          </cell>
          <cell r="H610" t="str">
            <v>الانتاج</v>
          </cell>
          <cell r="I610" t="str">
            <v>الزاويه</v>
          </cell>
          <cell r="K610" t="str">
            <v>عامل</v>
          </cell>
          <cell r="L610" t="str">
            <v>عامل</v>
          </cell>
          <cell r="M610">
            <v>42872</v>
          </cell>
          <cell r="N610">
            <v>43500</v>
          </cell>
          <cell r="O610">
            <v>1</v>
          </cell>
          <cell r="P610">
            <v>8</v>
          </cell>
          <cell r="R610">
            <v>50</v>
          </cell>
          <cell r="Z610">
            <v>31375</v>
          </cell>
          <cell r="AI610" t="str">
            <v>ميلاد</v>
          </cell>
          <cell r="AJ610" t="str">
            <v>993391</v>
          </cell>
          <cell r="AS610">
            <v>43500</v>
          </cell>
          <cell r="AT610">
            <v>33</v>
          </cell>
          <cell r="AU610" t="str">
            <v>بطاقه قوميه</v>
          </cell>
          <cell r="AV610" t="str">
            <v>004409401</v>
          </cell>
          <cell r="AW610">
            <v>1</v>
          </cell>
          <cell r="AX610">
            <v>0</v>
          </cell>
          <cell r="AY610">
            <v>4</v>
          </cell>
          <cell r="AZ610">
            <v>9</v>
          </cell>
          <cell r="BA610">
            <v>0</v>
          </cell>
          <cell r="BB610">
            <v>4</v>
          </cell>
          <cell r="BC610">
            <v>4</v>
          </cell>
          <cell r="BD610">
            <v>0</v>
          </cell>
          <cell r="BE610" t="str">
            <v>190-9341817-3</v>
          </cell>
          <cell r="BF610" t="str">
            <v>نايله عبد الحميد</v>
          </cell>
          <cell r="BG610" t="str">
            <v>الجزيره</v>
          </cell>
          <cell r="BH610" t="str">
            <v>الجزيرة - المسعودية</v>
          </cell>
          <cell r="BI610" t="str">
            <v>0920924893</v>
          </cell>
          <cell r="BJ610" t="str">
            <v>عوض عبدالعزيز</v>
          </cell>
          <cell r="BL610" t="str">
            <v>إستثناء</v>
          </cell>
          <cell r="BN610">
            <v>43500</v>
          </cell>
          <cell r="CQ610" t="str">
            <v>الصيانة والاصلاح ورشة كوستى</v>
          </cell>
          <cell r="CR610" t="str">
            <v>الخراطه</v>
          </cell>
          <cell r="CS610">
            <v>37987</v>
          </cell>
          <cell r="CT610">
            <v>38718</v>
          </cell>
          <cell r="EQ610">
            <v>0</v>
          </cell>
          <cell r="FG610" t="str">
            <v xml:space="preserve"> مدير الانتاج</v>
          </cell>
          <cell r="FH610" t="str">
            <v>هشام عيسى محمد عبدالكريم</v>
          </cell>
          <cell r="FI610" t="str">
            <v>190-9341817-3</v>
          </cell>
        </row>
        <row r="611">
          <cell r="A611">
            <v>971</v>
          </cell>
          <cell r="B611" t="str">
            <v>صلاح ابو زيد بخيت خير السيد</v>
          </cell>
          <cell r="C611" t="str">
            <v>صلاح</v>
          </cell>
          <cell r="D611" t="str">
            <v>ابوزيد</v>
          </cell>
          <cell r="E611" t="str">
            <v>بخيت</v>
          </cell>
          <cell r="F611" t="str">
            <v>خير السيد</v>
          </cell>
          <cell r="G611" t="str">
            <v>المصنع</v>
          </cell>
          <cell r="H611" t="str">
            <v>الخدمات</v>
          </cell>
          <cell r="K611" t="str">
            <v>عامل</v>
          </cell>
          <cell r="L611" t="str">
            <v>عامل</v>
          </cell>
          <cell r="M611">
            <v>42875</v>
          </cell>
          <cell r="N611">
            <v>43500</v>
          </cell>
          <cell r="O611">
            <v>1</v>
          </cell>
          <cell r="P611">
            <v>8</v>
          </cell>
          <cell r="R611">
            <v>50</v>
          </cell>
          <cell r="Z611">
            <v>18264</v>
          </cell>
          <cell r="AI611" t="str">
            <v>تسنين</v>
          </cell>
          <cell r="AJ611" t="str">
            <v>94(278)9</v>
          </cell>
          <cell r="AS611">
            <v>43500</v>
          </cell>
          <cell r="AT611">
            <v>69</v>
          </cell>
          <cell r="AU611" t="str">
            <v>جنسيه</v>
          </cell>
          <cell r="AV611" t="str">
            <v>646027</v>
          </cell>
          <cell r="AW611">
            <v>7</v>
          </cell>
          <cell r="AX611">
            <v>2</v>
          </cell>
          <cell r="AY611">
            <v>0</v>
          </cell>
          <cell r="AZ611">
            <v>6</v>
          </cell>
          <cell r="BA611">
            <v>4</v>
          </cell>
          <cell r="BB611">
            <v>6</v>
          </cell>
          <cell r="BE611" t="str">
            <v>112-3897415-8</v>
          </cell>
          <cell r="BF611" t="str">
            <v>حرم سعيد بلال</v>
          </cell>
          <cell r="BG611" t="str">
            <v>بحرى</v>
          </cell>
          <cell r="BH611" t="str">
            <v>الحاج يوسف الشقلة - م 5</v>
          </cell>
          <cell r="BI611" t="str">
            <v>0924225995</v>
          </cell>
          <cell r="BJ611" t="str">
            <v>عثمان سليمان محمد</v>
          </cell>
          <cell r="BL611" t="str">
            <v>كبار سن</v>
          </cell>
          <cell r="BN611">
            <v>43500</v>
          </cell>
          <cell r="EQ611">
            <v>0</v>
          </cell>
          <cell r="ES611">
            <v>42875</v>
          </cell>
          <cell r="ET611">
            <v>43239</v>
          </cell>
          <cell r="EU611" t="str">
            <v>عامل</v>
          </cell>
          <cell r="FG611" t="str">
            <v>المدير الادارى</v>
          </cell>
          <cell r="FH611" t="str">
            <v>احمد عبدالرحيم ابوبكر محمد</v>
          </cell>
          <cell r="FI611" t="str">
            <v>112-3897415-8</v>
          </cell>
        </row>
        <row r="612">
          <cell r="A612">
            <v>972</v>
          </cell>
          <cell r="B612" t="str">
            <v>محمد احمد مهدى حولى</v>
          </cell>
          <cell r="C612" t="str">
            <v>محمد</v>
          </cell>
          <cell r="D612" t="str">
            <v>احمد</v>
          </cell>
          <cell r="E612" t="str">
            <v>مهدى</v>
          </cell>
          <cell r="F612" t="str">
            <v>حولى</v>
          </cell>
          <cell r="G612" t="str">
            <v>المصنع</v>
          </cell>
          <cell r="H612" t="str">
            <v>الانتاج</v>
          </cell>
          <cell r="K612" t="str">
            <v>عامل</v>
          </cell>
          <cell r="L612" t="str">
            <v>عامل</v>
          </cell>
          <cell r="M612">
            <v>42887</v>
          </cell>
          <cell r="N612">
            <v>43500</v>
          </cell>
          <cell r="O612">
            <v>1</v>
          </cell>
          <cell r="P612">
            <v>8</v>
          </cell>
          <cell r="R612">
            <v>50</v>
          </cell>
          <cell r="Z612">
            <v>30317</v>
          </cell>
          <cell r="AI612" t="str">
            <v>تسنين</v>
          </cell>
          <cell r="AJ612" t="str">
            <v>0045372</v>
          </cell>
          <cell r="AS612">
            <v>43500</v>
          </cell>
          <cell r="AT612">
            <v>36</v>
          </cell>
          <cell r="AU612" t="str">
            <v>بطاقه قوميه</v>
          </cell>
          <cell r="AV612" t="str">
            <v>001346145</v>
          </cell>
          <cell r="AW612">
            <v>5</v>
          </cell>
          <cell r="AX612">
            <v>4</v>
          </cell>
          <cell r="AY612">
            <v>1</v>
          </cell>
          <cell r="AZ612">
            <v>6</v>
          </cell>
          <cell r="BA612">
            <v>4</v>
          </cell>
          <cell r="BB612">
            <v>3</v>
          </cell>
          <cell r="BC612">
            <v>1</v>
          </cell>
          <cell r="BD612">
            <v>0</v>
          </cell>
          <cell r="BE612" t="str">
            <v>115-8994607-4</v>
          </cell>
          <cell r="BF612" t="str">
            <v>حليمه محمد عجبنا</v>
          </cell>
          <cell r="BG612" t="str">
            <v>الجزيره</v>
          </cell>
          <cell r="BH612" t="str">
            <v>الجزيرة - المسعودية</v>
          </cell>
          <cell r="BI612" t="str">
            <v>0900777500</v>
          </cell>
          <cell r="BJ612" t="str">
            <v>الضو احمد مهدى</v>
          </cell>
          <cell r="BK612" t="str">
            <v>0128626597</v>
          </cell>
          <cell r="BL612" t="str">
            <v>خالي الطرف</v>
          </cell>
          <cell r="BN612">
            <v>43500</v>
          </cell>
          <cell r="EQ612">
            <v>0</v>
          </cell>
          <cell r="FG612" t="str">
            <v xml:space="preserve"> مدير الانتاج</v>
          </cell>
          <cell r="FH612" t="str">
            <v>هشام عيسى محمد عبدالكريم</v>
          </cell>
          <cell r="FI612" t="str">
            <v>115-8994607-4</v>
          </cell>
        </row>
        <row r="613">
          <cell r="A613">
            <v>973</v>
          </cell>
          <cell r="B613" t="str">
            <v>محمد عثمان محمد موسى</v>
          </cell>
          <cell r="C613" t="str">
            <v>محمد</v>
          </cell>
          <cell r="D613" t="str">
            <v>عثمان</v>
          </cell>
          <cell r="E613" t="str">
            <v>محمد</v>
          </cell>
          <cell r="F613" t="str">
            <v>موسى</v>
          </cell>
          <cell r="G613" t="str">
            <v>المصنع</v>
          </cell>
          <cell r="H613" t="str">
            <v>الميكانيكا</v>
          </cell>
          <cell r="K613" t="str">
            <v>فنى ميكانيكا</v>
          </cell>
          <cell r="L613" t="str">
            <v>فنى ميكانيكا</v>
          </cell>
          <cell r="M613">
            <v>42887</v>
          </cell>
          <cell r="N613">
            <v>43500</v>
          </cell>
          <cell r="O613">
            <v>1</v>
          </cell>
          <cell r="P613">
            <v>8</v>
          </cell>
          <cell r="R613">
            <v>50</v>
          </cell>
          <cell r="Z613">
            <v>31787</v>
          </cell>
          <cell r="AI613" t="str">
            <v>ميلاد</v>
          </cell>
          <cell r="AJ613" t="str">
            <v>422323</v>
          </cell>
          <cell r="AS613">
            <v>43500</v>
          </cell>
          <cell r="AT613">
            <v>32</v>
          </cell>
          <cell r="AU613" t="str">
            <v>بطاقه قوميه</v>
          </cell>
          <cell r="AV613" t="str">
            <v>001430988</v>
          </cell>
          <cell r="AW613">
            <v>8</v>
          </cell>
          <cell r="AX613">
            <v>8</v>
          </cell>
          <cell r="AY613">
            <v>9</v>
          </cell>
          <cell r="AZ613">
            <v>0</v>
          </cell>
          <cell r="BA613">
            <v>3</v>
          </cell>
          <cell r="BB613">
            <v>4</v>
          </cell>
          <cell r="BC613">
            <v>1</v>
          </cell>
          <cell r="BD613">
            <v>0</v>
          </cell>
          <cell r="BE613" t="str">
            <v>120-1401605-3</v>
          </cell>
          <cell r="BF613" t="str">
            <v>عائشه عبدالله عبدالكريم</v>
          </cell>
          <cell r="BG613" t="str">
            <v>العربى</v>
          </cell>
          <cell r="BH613" t="str">
            <v>الانقاذ - م 1</v>
          </cell>
          <cell r="BI613" t="str">
            <v>0916247988</v>
          </cell>
          <cell r="BJ613" t="str">
            <v>عبدالله عبدالكريم</v>
          </cell>
          <cell r="BK613" t="str">
            <v>0913700414</v>
          </cell>
          <cell r="BL613" t="str">
            <v>خالي الطرف</v>
          </cell>
          <cell r="BN613">
            <v>43500</v>
          </cell>
          <cell r="BS613" t="str">
            <v>ميكانيكا سيارات</v>
          </cell>
          <cell r="BT613" t="str">
            <v>تدريب مهني</v>
          </cell>
          <cell r="BU613" t="str">
            <v xml:space="preserve">مركز مار يوسف للتدريب المهنى </v>
          </cell>
          <cell r="BV613">
            <v>40724</v>
          </cell>
          <cell r="CQ613" t="str">
            <v>شركة ذات العماد للصناعه المحدوده</v>
          </cell>
          <cell r="CR613" t="str">
            <v>متدرب</v>
          </cell>
          <cell r="CS613">
            <v>41913</v>
          </cell>
          <cell r="CT613">
            <v>42001</v>
          </cell>
          <cell r="EQ613">
            <v>0</v>
          </cell>
          <cell r="ES613">
            <v>42887</v>
          </cell>
          <cell r="ET613">
            <v>43251</v>
          </cell>
          <cell r="EU613" t="str">
            <v>فنى ميكانيكا</v>
          </cell>
          <cell r="FG613" t="str">
            <v>مدير الصيانه الميكانيكيه</v>
          </cell>
          <cell r="FH613" t="str">
            <v>محمد احمد محمد سليمان</v>
          </cell>
          <cell r="FI613" t="str">
            <v>120-1401605-3</v>
          </cell>
        </row>
        <row r="614">
          <cell r="A614">
            <v>974</v>
          </cell>
          <cell r="B614" t="str">
            <v>معز حيدر سالم عطا المولى</v>
          </cell>
          <cell r="C614" t="str">
            <v>معز</v>
          </cell>
          <cell r="D614" t="str">
            <v>حيدر</v>
          </cell>
          <cell r="E614" t="str">
            <v>سالم</v>
          </cell>
          <cell r="F614" t="str">
            <v>عطا المولى</v>
          </cell>
          <cell r="G614" t="str">
            <v>المصنع</v>
          </cell>
          <cell r="H614" t="str">
            <v>الانتاج</v>
          </cell>
          <cell r="L614" t="str">
            <v>عامل</v>
          </cell>
          <cell r="M614">
            <v>42889</v>
          </cell>
          <cell r="N614">
            <v>42977</v>
          </cell>
          <cell r="O614">
            <v>0</v>
          </cell>
          <cell r="P614">
            <v>2</v>
          </cell>
          <cell r="R614">
            <v>5</v>
          </cell>
          <cell r="T614" t="str">
            <v>m</v>
          </cell>
          <cell r="AS614">
            <v>43500</v>
          </cell>
          <cell r="AT614">
            <v>119</v>
          </cell>
          <cell r="BN614">
            <v>43500</v>
          </cell>
          <cell r="EQ614">
            <v>0</v>
          </cell>
          <cell r="FG614" t="str">
            <v xml:space="preserve"> مدير الانتاج</v>
          </cell>
          <cell r="FH614" t="str">
            <v>هشام عيسى محمد عبدالكريم</v>
          </cell>
          <cell r="FI614">
            <v>0</v>
          </cell>
        </row>
        <row r="615">
          <cell r="A615">
            <v>975</v>
          </cell>
          <cell r="B615" t="str">
            <v>محمد ادم جابر احمد</v>
          </cell>
          <cell r="C615" t="str">
            <v>محمد</v>
          </cell>
          <cell r="D615" t="str">
            <v>ادم</v>
          </cell>
          <cell r="E615" t="str">
            <v>جابر</v>
          </cell>
          <cell r="F615" t="str">
            <v>احمد</v>
          </cell>
          <cell r="G615" t="str">
            <v>المصنع</v>
          </cell>
          <cell r="H615" t="str">
            <v>الانتاج</v>
          </cell>
          <cell r="L615" t="str">
            <v>عامل</v>
          </cell>
          <cell r="M615">
            <v>42889</v>
          </cell>
          <cell r="N615">
            <v>43500</v>
          </cell>
          <cell r="O615">
            <v>1</v>
          </cell>
          <cell r="P615">
            <v>8</v>
          </cell>
          <cell r="R615">
            <v>50</v>
          </cell>
          <cell r="T615" t="str">
            <v>m</v>
          </cell>
          <cell r="AS615">
            <v>43500</v>
          </cell>
          <cell r="AT615">
            <v>119</v>
          </cell>
          <cell r="BN615">
            <v>43500</v>
          </cell>
          <cell r="EQ615">
            <v>0</v>
          </cell>
          <cell r="FG615" t="str">
            <v xml:space="preserve"> مدير الانتاج</v>
          </cell>
          <cell r="FH615" t="str">
            <v>هشام عيسى محمد عبدالكريم</v>
          </cell>
          <cell r="FI615">
            <v>0</v>
          </cell>
        </row>
        <row r="616">
          <cell r="A616">
            <v>976</v>
          </cell>
          <cell r="B616" t="str">
            <v>يحى محمد على محمد شريف</v>
          </cell>
          <cell r="C616" t="str">
            <v>يحى</v>
          </cell>
          <cell r="D616" t="str">
            <v>محمد</v>
          </cell>
          <cell r="E616" t="str">
            <v>على</v>
          </cell>
          <cell r="F616" t="str">
            <v>محمد</v>
          </cell>
          <cell r="G616" t="str">
            <v>المصنع</v>
          </cell>
          <cell r="H616" t="str">
            <v>الانتاج</v>
          </cell>
          <cell r="K616" t="str">
            <v>عامل</v>
          </cell>
          <cell r="L616" t="str">
            <v>عامل</v>
          </cell>
          <cell r="M616">
            <v>42920</v>
          </cell>
          <cell r="N616">
            <v>43500</v>
          </cell>
          <cell r="O616">
            <v>1</v>
          </cell>
          <cell r="P616">
            <v>7</v>
          </cell>
          <cell r="R616">
            <v>47.5</v>
          </cell>
          <cell r="Z616">
            <v>23012</v>
          </cell>
          <cell r="AS616">
            <v>43500</v>
          </cell>
          <cell r="AT616">
            <v>56</v>
          </cell>
          <cell r="AU616" t="str">
            <v>جنسيه</v>
          </cell>
          <cell r="AV616" t="str">
            <v>020209</v>
          </cell>
          <cell r="AW616">
            <v>9</v>
          </cell>
          <cell r="AX616">
            <v>0</v>
          </cell>
          <cell r="AY616">
            <v>2</v>
          </cell>
          <cell r="AZ616">
            <v>0</v>
          </cell>
          <cell r="BA616">
            <v>2</v>
          </cell>
          <cell r="BB616">
            <v>0</v>
          </cell>
          <cell r="BE616" t="str">
            <v>120-9325193-9</v>
          </cell>
          <cell r="BF616" t="str">
            <v>عائشه ادم على</v>
          </cell>
          <cell r="BG616" t="str">
            <v>العربى</v>
          </cell>
          <cell r="BH616" t="str">
            <v>سوبا - الحله</v>
          </cell>
          <cell r="BI616" t="str">
            <v>0903141992</v>
          </cell>
          <cell r="BJ616" t="str">
            <v>عبود ابكر نصر الدين</v>
          </cell>
          <cell r="BL616" t="str">
            <v>كبار سن</v>
          </cell>
          <cell r="BN616">
            <v>43500</v>
          </cell>
          <cell r="EQ616">
            <v>0</v>
          </cell>
          <cell r="ES616">
            <v>42920</v>
          </cell>
          <cell r="ET616">
            <v>43284</v>
          </cell>
          <cell r="EU616" t="str">
            <v>عامل</v>
          </cell>
          <cell r="FG616" t="str">
            <v xml:space="preserve"> مدير الانتاج</v>
          </cell>
          <cell r="FH616" t="str">
            <v>هشام عيسى محمد عبدالكريم</v>
          </cell>
          <cell r="FI616" t="str">
            <v>120-9325193-9</v>
          </cell>
        </row>
        <row r="617">
          <cell r="A617">
            <v>977</v>
          </cell>
          <cell r="B617" t="str">
            <v>حسين موسى منا محمد</v>
          </cell>
          <cell r="C617" t="str">
            <v>حسين</v>
          </cell>
          <cell r="D617" t="str">
            <v>موسى</v>
          </cell>
          <cell r="E617" t="str">
            <v>منا</v>
          </cell>
          <cell r="F617" t="str">
            <v>محمد</v>
          </cell>
          <cell r="G617" t="str">
            <v>المصنع</v>
          </cell>
          <cell r="H617" t="str">
            <v>الانتاج</v>
          </cell>
          <cell r="K617" t="str">
            <v>عامل</v>
          </cell>
          <cell r="L617" t="str">
            <v>عامل</v>
          </cell>
          <cell r="M617">
            <v>42891</v>
          </cell>
          <cell r="N617">
            <v>43028</v>
          </cell>
          <cell r="O617">
            <v>0</v>
          </cell>
          <cell r="P617">
            <v>4</v>
          </cell>
          <cell r="R617">
            <v>10</v>
          </cell>
          <cell r="T617" t="str">
            <v>إستقال</v>
          </cell>
          <cell r="Z617">
            <v>23377</v>
          </cell>
          <cell r="AI617" t="str">
            <v>تسنين</v>
          </cell>
          <cell r="AJ617" t="str">
            <v>34955</v>
          </cell>
          <cell r="AS617">
            <v>43500</v>
          </cell>
          <cell r="AT617">
            <v>55</v>
          </cell>
          <cell r="AU617" t="str">
            <v>بطاقه قوميه</v>
          </cell>
          <cell r="AV617" t="str">
            <v>004334758</v>
          </cell>
          <cell r="AW617">
            <v>8</v>
          </cell>
          <cell r="AX617">
            <v>5</v>
          </cell>
          <cell r="AY617">
            <v>7</v>
          </cell>
          <cell r="AZ617">
            <v>4</v>
          </cell>
          <cell r="BA617">
            <v>3</v>
          </cell>
          <cell r="BB617">
            <v>3</v>
          </cell>
          <cell r="BC617">
            <v>4</v>
          </cell>
          <cell r="BD617">
            <v>0</v>
          </cell>
          <cell r="BE617" t="str">
            <v>178-5082748-9</v>
          </cell>
          <cell r="BF617" t="str">
            <v>قسم المولى عبدالرحمن</v>
          </cell>
          <cell r="BG617" t="str">
            <v>العربى</v>
          </cell>
          <cell r="BH617" t="str">
            <v>سوبا - الحلة</v>
          </cell>
          <cell r="BI617" t="str">
            <v>0911071667</v>
          </cell>
          <cell r="BJ617" t="str">
            <v>منا موسى</v>
          </cell>
          <cell r="BK617" t="str">
            <v>0917010741</v>
          </cell>
          <cell r="BL617" t="str">
            <v>كبار سن</v>
          </cell>
          <cell r="BN617">
            <v>43500</v>
          </cell>
          <cell r="EQ617">
            <v>0</v>
          </cell>
          <cell r="FG617" t="str">
            <v xml:space="preserve"> مدير الانتاج</v>
          </cell>
          <cell r="FH617" t="str">
            <v>هشام عيسى محمد عبدالكريم</v>
          </cell>
          <cell r="FI617" t="str">
            <v>178-5082748-9</v>
          </cell>
        </row>
        <row r="618">
          <cell r="A618">
            <v>978</v>
          </cell>
          <cell r="B618" t="str">
            <v>مسلم بشير عبدالقادر إبراهيم</v>
          </cell>
          <cell r="C618" t="str">
            <v>مسلم</v>
          </cell>
          <cell r="D618" t="str">
            <v>بشير</v>
          </cell>
          <cell r="E618" t="str">
            <v>عبدالقادر</v>
          </cell>
          <cell r="F618" t="str">
            <v>ابراهيم</v>
          </cell>
          <cell r="G618" t="str">
            <v>المصنع</v>
          </cell>
          <cell r="H618" t="str">
            <v>الجوده</v>
          </cell>
          <cell r="K618" t="str">
            <v>عامل</v>
          </cell>
          <cell r="L618" t="str">
            <v>مراقب انتاج</v>
          </cell>
          <cell r="M618">
            <v>42928</v>
          </cell>
          <cell r="N618">
            <v>43500</v>
          </cell>
          <cell r="O618">
            <v>1</v>
          </cell>
          <cell r="P618">
            <v>6</v>
          </cell>
          <cell r="R618">
            <v>45</v>
          </cell>
          <cell r="Z618">
            <v>30682</v>
          </cell>
          <cell r="AI618" t="str">
            <v>ميلاد</v>
          </cell>
          <cell r="AJ618" t="str">
            <v>0240923</v>
          </cell>
          <cell r="AS618">
            <v>43500</v>
          </cell>
          <cell r="AT618">
            <v>35</v>
          </cell>
          <cell r="AU618" t="str">
            <v>بطاقه قوميه</v>
          </cell>
          <cell r="AV618" t="str">
            <v>001174667</v>
          </cell>
          <cell r="AW618">
            <v>7</v>
          </cell>
          <cell r="AX618">
            <v>6</v>
          </cell>
          <cell r="AY618">
            <v>6</v>
          </cell>
          <cell r="AZ618">
            <v>4</v>
          </cell>
          <cell r="BA618">
            <v>7</v>
          </cell>
          <cell r="BB618">
            <v>1</v>
          </cell>
          <cell r="BC618">
            <v>1</v>
          </cell>
          <cell r="BD618">
            <v>0</v>
          </cell>
          <cell r="BE618" t="str">
            <v>192-1905404-3</v>
          </cell>
          <cell r="BF618" t="str">
            <v>حواء ابكر عمر</v>
          </cell>
          <cell r="BG618" t="str">
            <v>العربى</v>
          </cell>
          <cell r="BH618" t="str">
            <v>سوبا - الحلة - م 8</v>
          </cell>
          <cell r="BI618" t="str">
            <v>0911312961</v>
          </cell>
          <cell r="BJ618" t="str">
            <v>النزير بشير عبدالقادر</v>
          </cell>
          <cell r="BK618" t="str">
            <v>0914200016</v>
          </cell>
          <cell r="BL618" t="str">
            <v>إستثناء</v>
          </cell>
          <cell r="BN618">
            <v>43500</v>
          </cell>
          <cell r="CQ618" t="str">
            <v>شركة المصنع السودانى الماليزى</v>
          </cell>
          <cell r="CR618" t="str">
            <v>عامل جوده</v>
          </cell>
          <cell r="CS618">
            <v>42382</v>
          </cell>
          <cell r="CT618">
            <v>42766</v>
          </cell>
          <cell r="EQ618">
            <v>0</v>
          </cell>
          <cell r="ES618">
            <v>42928</v>
          </cell>
          <cell r="ET618">
            <v>43292</v>
          </cell>
          <cell r="EU618" t="str">
            <v>عامل</v>
          </cell>
          <cell r="FG618" t="str">
            <v>مسئول قسم الجوده</v>
          </cell>
          <cell r="FH618" t="str">
            <v>المبارك محمد ابراهيم</v>
          </cell>
          <cell r="FI618" t="str">
            <v>192-1905404-3</v>
          </cell>
        </row>
        <row r="619">
          <cell r="A619">
            <v>979</v>
          </cell>
          <cell r="B619" t="str">
            <v xml:space="preserve">محمد احمد الحاج عثمان </v>
          </cell>
          <cell r="C619" t="str">
            <v>محمد</v>
          </cell>
          <cell r="D619" t="str">
            <v>احمد</v>
          </cell>
          <cell r="E619" t="str">
            <v>الحاج</v>
          </cell>
          <cell r="F619" t="str">
            <v>عثمان</v>
          </cell>
          <cell r="G619" t="str">
            <v>المصنع</v>
          </cell>
          <cell r="H619" t="str">
            <v>المستودعات</v>
          </cell>
          <cell r="K619" t="str">
            <v>عامل</v>
          </cell>
          <cell r="L619" t="str">
            <v>امين مستودع</v>
          </cell>
          <cell r="M619">
            <v>42929</v>
          </cell>
          <cell r="N619">
            <v>43500</v>
          </cell>
          <cell r="O619">
            <v>1</v>
          </cell>
          <cell r="P619">
            <v>6</v>
          </cell>
          <cell r="R619">
            <v>45</v>
          </cell>
          <cell r="Z619">
            <v>34872</v>
          </cell>
          <cell r="AI619" t="str">
            <v>ميلاد</v>
          </cell>
          <cell r="AJ619" t="str">
            <v>509301</v>
          </cell>
          <cell r="AS619">
            <v>43500</v>
          </cell>
          <cell r="AT619">
            <v>23</v>
          </cell>
          <cell r="AU619" t="str">
            <v>جنسيه</v>
          </cell>
          <cell r="AV619" t="str">
            <v>0475948</v>
          </cell>
          <cell r="AW619">
            <v>8</v>
          </cell>
          <cell r="AX619">
            <v>4</v>
          </cell>
          <cell r="AY619">
            <v>9</v>
          </cell>
          <cell r="AZ619">
            <v>5</v>
          </cell>
          <cell r="BA619">
            <v>7</v>
          </cell>
          <cell r="BB619">
            <v>4</v>
          </cell>
          <cell r="BC619">
            <v>0</v>
          </cell>
          <cell r="BE619" t="str">
            <v>122-8816654-0</v>
          </cell>
          <cell r="BF619" t="str">
            <v>زينب البشير العبيد</v>
          </cell>
          <cell r="BG619" t="str">
            <v>الجزيره</v>
          </cell>
          <cell r="BH619" t="str">
            <v>الجزيرة - النوبة</v>
          </cell>
          <cell r="BI619" t="str">
            <v>0920955575</v>
          </cell>
          <cell r="BJ619" t="str">
            <v>احمد الحاج عثمان</v>
          </cell>
          <cell r="BK619" t="str">
            <v>0122223690</v>
          </cell>
          <cell r="BL619" t="str">
            <v>خاضع للخدمه</v>
          </cell>
          <cell r="BN619">
            <v>43500</v>
          </cell>
          <cell r="BS619" t="str">
            <v>الإحصاء والاقتصاد القياسي</v>
          </cell>
          <cell r="BT619" t="str">
            <v>بكلاريوس</v>
          </cell>
          <cell r="BU619" t="str">
            <v>جامعة امدرمان الإسلامية</v>
          </cell>
          <cell r="BV619">
            <v>42933</v>
          </cell>
          <cell r="EQ619">
            <v>0</v>
          </cell>
          <cell r="FG619" t="str">
            <v>مدير المستودعات</v>
          </cell>
          <cell r="FH619" t="str">
            <v>على احمد على بابكر</v>
          </cell>
          <cell r="FI619" t="str">
            <v>122-8816654-0</v>
          </cell>
        </row>
        <row r="620">
          <cell r="A620">
            <v>980</v>
          </cell>
          <cell r="B620" t="str">
            <v>بلال عبد الرحمن كودى الازيرق</v>
          </cell>
          <cell r="C620" t="str">
            <v>بلال</v>
          </cell>
          <cell r="D620" t="str">
            <v>عبدالرحمن</v>
          </cell>
          <cell r="E620" t="str">
            <v>كودى</v>
          </cell>
          <cell r="F620" t="str">
            <v>الازيرق</v>
          </cell>
          <cell r="G620" t="str">
            <v>المصنع</v>
          </cell>
          <cell r="H620" t="str">
            <v>الانتاج</v>
          </cell>
          <cell r="L620" t="str">
            <v>عامل</v>
          </cell>
          <cell r="M620">
            <v>42932</v>
          </cell>
          <cell r="N620">
            <v>43500</v>
          </cell>
          <cell r="O620">
            <v>1</v>
          </cell>
          <cell r="P620">
            <v>6</v>
          </cell>
          <cell r="R620">
            <v>45</v>
          </cell>
          <cell r="Z620">
            <v>26299</v>
          </cell>
          <cell r="AI620" t="str">
            <v>تسنين</v>
          </cell>
          <cell r="AJ620" t="str">
            <v>114085</v>
          </cell>
          <cell r="AS620">
            <v>43500</v>
          </cell>
          <cell r="AT620">
            <v>47</v>
          </cell>
          <cell r="AU620" t="str">
            <v>بطاقه قوميه</v>
          </cell>
          <cell r="AV620" t="str">
            <v>004146683</v>
          </cell>
          <cell r="AW620">
            <v>3</v>
          </cell>
          <cell r="AX620">
            <v>8</v>
          </cell>
          <cell r="AY620">
            <v>6</v>
          </cell>
          <cell r="AZ620">
            <v>6</v>
          </cell>
          <cell r="BA620">
            <v>4</v>
          </cell>
          <cell r="BB620">
            <v>1</v>
          </cell>
          <cell r="BC620">
            <v>4</v>
          </cell>
          <cell r="BD620">
            <v>0</v>
          </cell>
          <cell r="BE620" t="str">
            <v>115-2771779-6</v>
          </cell>
          <cell r="BF620" t="str">
            <v>حسنه كورى توتو</v>
          </cell>
          <cell r="BG620" t="str">
            <v>العربى</v>
          </cell>
          <cell r="BH620" t="str">
            <v>امدرمان - امبده - ح 26</v>
          </cell>
          <cell r="BI620" t="str">
            <v>0996678236</v>
          </cell>
          <cell r="BJ620" t="str">
            <v>عبدالله زايد</v>
          </cell>
          <cell r="BK620" t="str">
            <v>0924224690</v>
          </cell>
          <cell r="BL620" t="str">
            <v>إستثناء</v>
          </cell>
          <cell r="BN620">
            <v>43500</v>
          </cell>
          <cell r="EQ620">
            <v>0</v>
          </cell>
          <cell r="FG620" t="str">
            <v xml:space="preserve"> مدير الانتاج</v>
          </cell>
          <cell r="FH620" t="str">
            <v>هشام عيسى محمد عبدالكريم</v>
          </cell>
          <cell r="FI620" t="str">
            <v>115-2771779-6</v>
          </cell>
        </row>
        <row r="621">
          <cell r="A621">
            <v>981</v>
          </cell>
          <cell r="B621" t="str">
            <v>يوسف زكى الصديق محمد</v>
          </cell>
          <cell r="C621" t="str">
            <v>يوسف</v>
          </cell>
          <cell r="D621" t="str">
            <v>زكى</v>
          </cell>
          <cell r="E621" t="str">
            <v>الصديق</v>
          </cell>
          <cell r="F621" t="str">
            <v>محمد</v>
          </cell>
          <cell r="G621" t="str">
            <v>المصنع</v>
          </cell>
          <cell r="H621" t="str">
            <v>الالكترونيات</v>
          </cell>
          <cell r="K621" t="str">
            <v>تقنى الكترونيات</v>
          </cell>
          <cell r="L621" t="str">
            <v>تقنى الكترونيات</v>
          </cell>
          <cell r="M621">
            <v>42921</v>
          </cell>
          <cell r="N621">
            <v>43500</v>
          </cell>
          <cell r="O621">
            <v>1</v>
          </cell>
          <cell r="P621">
            <v>6</v>
          </cell>
          <cell r="R621">
            <v>45</v>
          </cell>
          <cell r="Z621">
            <v>34798</v>
          </cell>
          <cell r="AI621" t="str">
            <v>ميلاد</v>
          </cell>
          <cell r="AJ621" t="str">
            <v>44432</v>
          </cell>
          <cell r="AS621">
            <v>43500</v>
          </cell>
          <cell r="AT621">
            <v>23</v>
          </cell>
          <cell r="BE621" t="str">
            <v>178-0149749-5</v>
          </cell>
          <cell r="BF621" t="str">
            <v>احسان ابشر محمد</v>
          </cell>
          <cell r="BG621" t="str">
            <v>الجزيره</v>
          </cell>
          <cell r="BH621" t="str">
            <v>الجزيرة - كمر الجعليين</v>
          </cell>
          <cell r="BI621" t="str">
            <v>0968381431</v>
          </cell>
          <cell r="BJ621" t="str">
            <v>زكى الصديق محمد</v>
          </cell>
          <cell r="BL621" t="str">
            <v>خالي الطرف</v>
          </cell>
          <cell r="BN621">
            <v>43500</v>
          </cell>
          <cell r="BS621" t="str">
            <v>نظم التحكم الالكترونى</v>
          </cell>
          <cell r="BT621" t="str">
            <v>دبلوم تقني</v>
          </cell>
          <cell r="BU621" t="str">
            <v>جامعة الجزيرة</v>
          </cell>
          <cell r="BV621">
            <v>42358</v>
          </cell>
          <cell r="CQ621" t="str">
            <v>شركة ذات العماد للصناعه المحدوده</v>
          </cell>
          <cell r="CR621" t="str">
            <v>متدرب</v>
          </cell>
          <cell r="CS621">
            <v>41821</v>
          </cell>
          <cell r="CT621">
            <v>41848</v>
          </cell>
          <cell r="EQ621">
            <v>0</v>
          </cell>
          <cell r="FG621" t="str">
            <v>مدير الصيانه الالكترونيه</v>
          </cell>
          <cell r="FH621" t="str">
            <v>الشاذلى احمد  محمد على</v>
          </cell>
          <cell r="FI621" t="str">
            <v>178-0149749-5</v>
          </cell>
        </row>
        <row r="622">
          <cell r="A622">
            <v>982</v>
          </cell>
          <cell r="B622" t="str">
            <v>عابدين إبراهيم كوكو انقوتة</v>
          </cell>
          <cell r="C622" t="str">
            <v>عابدين</v>
          </cell>
          <cell r="D622" t="str">
            <v>ابراهيم</v>
          </cell>
          <cell r="E622" t="str">
            <v>كوكو</v>
          </cell>
          <cell r="F622" t="str">
            <v>انقوته</v>
          </cell>
          <cell r="G622" t="str">
            <v>المصنع</v>
          </cell>
          <cell r="H622" t="str">
            <v>الانتاج</v>
          </cell>
          <cell r="L622" t="str">
            <v>عامل</v>
          </cell>
          <cell r="M622">
            <v>42948</v>
          </cell>
          <cell r="N622">
            <v>43500</v>
          </cell>
          <cell r="O622">
            <v>1</v>
          </cell>
          <cell r="P622">
            <v>6</v>
          </cell>
          <cell r="R622">
            <v>45</v>
          </cell>
          <cell r="T622" t="str">
            <v>إستقال</v>
          </cell>
          <cell r="U622">
            <v>43046</v>
          </cell>
          <cell r="AS622">
            <v>43500</v>
          </cell>
          <cell r="AT622">
            <v>119</v>
          </cell>
          <cell r="BN622">
            <v>43500</v>
          </cell>
          <cell r="EQ622">
            <v>0</v>
          </cell>
          <cell r="FG622" t="str">
            <v xml:space="preserve"> مدير الانتاج</v>
          </cell>
          <cell r="FH622" t="str">
            <v>هشام عيسى محمد عبدالكريم</v>
          </cell>
          <cell r="FI622">
            <v>0</v>
          </cell>
        </row>
        <row r="623">
          <cell r="A623">
            <v>983</v>
          </cell>
          <cell r="B623" t="str">
            <v>محمد ابوبكر الامين ارباب</v>
          </cell>
          <cell r="C623" t="str">
            <v>محمد</v>
          </cell>
          <cell r="D623" t="str">
            <v>ابوبكر</v>
          </cell>
          <cell r="E623" t="str">
            <v>الامين</v>
          </cell>
          <cell r="F623" t="str">
            <v>ارباب</v>
          </cell>
          <cell r="G623" t="str">
            <v>المصنع</v>
          </cell>
          <cell r="H623" t="str">
            <v>الكهرباء</v>
          </cell>
          <cell r="K623" t="str">
            <v>مهندس كهرباء</v>
          </cell>
          <cell r="L623" t="str">
            <v>مهندس كهرباء</v>
          </cell>
          <cell r="M623">
            <v>42948</v>
          </cell>
          <cell r="N623">
            <v>43500</v>
          </cell>
          <cell r="O623">
            <v>1</v>
          </cell>
          <cell r="P623">
            <v>6</v>
          </cell>
          <cell r="R623">
            <v>45</v>
          </cell>
          <cell r="T623" t="str">
            <v>إستقال</v>
          </cell>
          <cell r="U623">
            <v>43220</v>
          </cell>
          <cell r="V623">
            <v>43220</v>
          </cell>
          <cell r="Z623">
            <v>33254</v>
          </cell>
          <cell r="AI623" t="str">
            <v>ميلاد</v>
          </cell>
          <cell r="AJ623" t="str">
            <v>130304</v>
          </cell>
          <cell r="AS623">
            <v>43500</v>
          </cell>
          <cell r="AT623">
            <v>28</v>
          </cell>
          <cell r="AU623" t="str">
            <v>جنسيه</v>
          </cell>
          <cell r="AV623" t="str">
            <v>0759822</v>
          </cell>
          <cell r="AW623">
            <v>2</v>
          </cell>
          <cell r="AX623">
            <v>2</v>
          </cell>
          <cell r="AY623">
            <v>8</v>
          </cell>
          <cell r="AZ623">
            <v>9</v>
          </cell>
          <cell r="BA623">
            <v>5</v>
          </cell>
          <cell r="BB623">
            <v>7</v>
          </cell>
          <cell r="BC623">
            <v>0</v>
          </cell>
          <cell r="BE623" t="str">
            <v>115-2675171-9</v>
          </cell>
          <cell r="BF623" t="str">
            <v>امانى احمد على</v>
          </cell>
          <cell r="BG623" t="str">
            <v>بحرى</v>
          </cell>
          <cell r="BH623" t="str">
            <v>امتداد ناصر - م 6 - منزل 421</v>
          </cell>
          <cell r="BI623" t="str">
            <v>0907666678</v>
          </cell>
          <cell r="BJ623" t="str">
            <v>ابوبكر الامين ارباب</v>
          </cell>
          <cell r="BK623" t="str">
            <v>0912372298</v>
          </cell>
          <cell r="BL623" t="str">
            <v>خالي الطرف</v>
          </cell>
          <cell r="BN623">
            <v>43500</v>
          </cell>
          <cell r="BS623" t="str">
            <v>هندسة كهربائية</v>
          </cell>
          <cell r="BT623" t="str">
            <v>بكلاريوس الشرف</v>
          </cell>
          <cell r="BU623" t="str">
            <v>اكاديمية العلوم الهندسية</v>
          </cell>
          <cell r="BV623">
            <v>42036</v>
          </cell>
          <cell r="BW623" t="str">
            <v>Simatic Manager Application S7-400 and S7-300</v>
          </cell>
          <cell r="BX623" t="str">
            <v>دبلوم (معاهد)</v>
          </cell>
          <cell r="BY623" t="str">
            <v>Sudapet Company Limited</v>
          </cell>
          <cell r="BZ623">
            <v>42243</v>
          </cell>
          <cell r="CA623" t="str">
            <v>Institution Of Occupational Safety and Health</v>
          </cell>
          <cell r="CB623" t="str">
            <v>دبلوم (معاهد)</v>
          </cell>
          <cell r="CC623" t="str">
            <v>RRC International</v>
          </cell>
          <cell r="CD623">
            <v>42263</v>
          </cell>
          <cell r="CQ623" t="str">
            <v>Oil Energy</v>
          </cell>
          <cell r="CR623" t="str">
            <v>متدرب</v>
          </cell>
          <cell r="CS623">
            <v>42617</v>
          </cell>
          <cell r="CT623">
            <v>42677</v>
          </cell>
          <cell r="EQ623">
            <v>0</v>
          </cell>
          <cell r="FG623" t="str">
            <v>مدير الصيانه الكهربائيه</v>
          </cell>
          <cell r="FH623" t="str">
            <v>ماهر ضيف الله سليمان جابر</v>
          </cell>
          <cell r="FI623" t="str">
            <v>115-2675171-9</v>
          </cell>
        </row>
        <row r="624">
          <cell r="A624">
            <v>984</v>
          </cell>
          <cell r="B624" t="str">
            <v>موسى صالح موسى زائد</v>
          </cell>
          <cell r="C624" t="str">
            <v>موسى</v>
          </cell>
          <cell r="D624" t="str">
            <v>صالح</v>
          </cell>
          <cell r="E624" t="str">
            <v>موسى</v>
          </cell>
          <cell r="F624" t="str">
            <v>زائد</v>
          </cell>
          <cell r="G624" t="str">
            <v>المصنع</v>
          </cell>
          <cell r="H624" t="str">
            <v>الانتاج</v>
          </cell>
          <cell r="I624" t="str">
            <v>الاليات</v>
          </cell>
          <cell r="L624" t="str">
            <v>سائق اليات</v>
          </cell>
          <cell r="M624">
            <v>42954</v>
          </cell>
          <cell r="N624">
            <v>43500</v>
          </cell>
          <cell r="O624">
            <v>1</v>
          </cell>
          <cell r="P624">
            <v>5</v>
          </cell>
          <cell r="R624">
            <v>42.5</v>
          </cell>
          <cell r="Z624">
            <v>23377</v>
          </cell>
          <cell r="AS624">
            <v>43500</v>
          </cell>
          <cell r="AT624">
            <v>55</v>
          </cell>
          <cell r="BE624" t="str">
            <v>291-3673067-9</v>
          </cell>
          <cell r="BF624" t="str">
            <v>حرم محمد حماد</v>
          </cell>
          <cell r="BG624" t="str">
            <v>العربى</v>
          </cell>
          <cell r="BH624" t="str">
            <v>صالحة - شرق الريفى الجنوبى</v>
          </cell>
          <cell r="BI624" t="str">
            <v>0928733296</v>
          </cell>
          <cell r="BJ624" t="str">
            <v>محمد صالح موسى</v>
          </cell>
          <cell r="BN624">
            <v>43500</v>
          </cell>
          <cell r="CQ624" t="str">
            <v>شركة المصنع السودانى الماليزى</v>
          </cell>
          <cell r="CR624" t="str">
            <v>سائق رافعه شوكية</v>
          </cell>
          <cell r="CS624">
            <v>36281</v>
          </cell>
          <cell r="CT624">
            <v>38906</v>
          </cell>
          <cell r="EQ624">
            <v>0</v>
          </cell>
          <cell r="FG624" t="str">
            <v xml:space="preserve"> مدير الانتاج</v>
          </cell>
          <cell r="FH624" t="str">
            <v>هشام عيسى محمد عبدالكريم</v>
          </cell>
          <cell r="FI624" t="str">
            <v>291-3673067-9</v>
          </cell>
        </row>
        <row r="625">
          <cell r="A625">
            <v>985</v>
          </cell>
          <cell r="B625" t="str">
            <v>محمدالسيد عيسى محمد عيسى</v>
          </cell>
          <cell r="C625" t="str">
            <v>محمد السيد</v>
          </cell>
          <cell r="D625" t="str">
            <v>عيسى</v>
          </cell>
          <cell r="E625" t="str">
            <v>محمد</v>
          </cell>
          <cell r="F625" t="str">
            <v>عيسى</v>
          </cell>
          <cell r="G625" t="str">
            <v>المصنع</v>
          </cell>
          <cell r="H625" t="str">
            <v>الانتاج</v>
          </cell>
          <cell r="K625" t="str">
            <v>عامل</v>
          </cell>
          <cell r="L625" t="str">
            <v>عامل</v>
          </cell>
          <cell r="M625">
            <v>42959</v>
          </cell>
          <cell r="N625">
            <v>43500</v>
          </cell>
          <cell r="O625">
            <v>1</v>
          </cell>
          <cell r="P625">
            <v>5</v>
          </cell>
          <cell r="R625">
            <v>42.5</v>
          </cell>
          <cell r="Z625">
            <v>32926</v>
          </cell>
          <cell r="AS625">
            <v>43500</v>
          </cell>
          <cell r="AT625">
            <v>28</v>
          </cell>
          <cell r="AU625" t="str">
            <v>بطاقه قوميه</v>
          </cell>
          <cell r="AV625" t="str">
            <v>003313098</v>
          </cell>
          <cell r="AW625">
            <v>8</v>
          </cell>
          <cell r="AX625">
            <v>9</v>
          </cell>
          <cell r="AY625">
            <v>0</v>
          </cell>
          <cell r="AZ625">
            <v>3</v>
          </cell>
          <cell r="BA625">
            <v>1</v>
          </cell>
          <cell r="BB625">
            <v>3</v>
          </cell>
          <cell r="BC625">
            <v>3</v>
          </cell>
          <cell r="BD625">
            <v>0</v>
          </cell>
          <cell r="BE625" t="str">
            <v>119-1250292-3</v>
          </cell>
          <cell r="BF625" t="str">
            <v>امنه حسن البشارى</v>
          </cell>
          <cell r="BG625" t="str">
            <v>بحرى</v>
          </cell>
          <cell r="BH625" t="str">
            <v>بحرى - السامراب</v>
          </cell>
          <cell r="BI625" t="str">
            <v>0913201597</v>
          </cell>
          <cell r="BJ625" t="str">
            <v>عيسى محمد عيسى</v>
          </cell>
          <cell r="BL625" t="str">
            <v>خالي الطرف</v>
          </cell>
          <cell r="BN625">
            <v>43500</v>
          </cell>
          <cell r="BS625" t="str">
            <v>هندسة مدنية ( تشييد )</v>
          </cell>
          <cell r="BT625" t="str">
            <v>دبلوم تقني</v>
          </cell>
          <cell r="BU625" t="str">
            <v>جامعة السودان للعلوم والتكنولوجيا</v>
          </cell>
          <cell r="BV625">
            <v>40836</v>
          </cell>
          <cell r="EQ625">
            <v>0</v>
          </cell>
          <cell r="FG625" t="str">
            <v xml:space="preserve"> مدير الانتاج</v>
          </cell>
          <cell r="FH625" t="str">
            <v>هشام عيسى محمد عبدالكريم</v>
          </cell>
          <cell r="FI625" t="str">
            <v>119-1250292-3</v>
          </cell>
        </row>
        <row r="626">
          <cell r="A626">
            <v>986</v>
          </cell>
          <cell r="B626" t="str">
            <v>طارق سيد محمد احمد</v>
          </cell>
          <cell r="C626" t="str">
            <v>طارق</v>
          </cell>
          <cell r="D626" t="str">
            <v>سيد</v>
          </cell>
          <cell r="E626" t="str">
            <v>محمد</v>
          </cell>
          <cell r="F626" t="str">
            <v>احمد</v>
          </cell>
          <cell r="G626" t="str">
            <v>المصنع</v>
          </cell>
          <cell r="H626" t="str">
            <v>الخدمات</v>
          </cell>
          <cell r="K626" t="str">
            <v>عامل</v>
          </cell>
          <cell r="L626" t="str">
            <v>عامل</v>
          </cell>
          <cell r="M626">
            <v>42959</v>
          </cell>
          <cell r="N626">
            <v>43500</v>
          </cell>
          <cell r="O626">
            <v>1</v>
          </cell>
          <cell r="P626">
            <v>5</v>
          </cell>
          <cell r="R626">
            <v>42.5</v>
          </cell>
          <cell r="Z626">
            <v>21916</v>
          </cell>
          <cell r="AI626" t="str">
            <v>تسنين</v>
          </cell>
          <cell r="AJ626" t="str">
            <v>505677</v>
          </cell>
          <cell r="AS626">
            <v>43500</v>
          </cell>
          <cell r="AT626">
            <v>59</v>
          </cell>
          <cell r="AU626" t="str">
            <v>بطاقه قوميه</v>
          </cell>
          <cell r="AV626" t="str">
            <v>001274554</v>
          </cell>
          <cell r="AW626">
            <v>4</v>
          </cell>
          <cell r="AX626">
            <v>5</v>
          </cell>
          <cell r="AY626">
            <v>5</v>
          </cell>
          <cell r="AZ626">
            <v>4</v>
          </cell>
          <cell r="BA626">
            <v>7</v>
          </cell>
          <cell r="BB626">
            <v>2</v>
          </cell>
          <cell r="BC626">
            <v>1</v>
          </cell>
          <cell r="BD626">
            <v>0</v>
          </cell>
          <cell r="BE626" t="str">
            <v>112-7107421-5</v>
          </cell>
          <cell r="BF626" t="str">
            <v>ليلى ابراهيم احمد</v>
          </cell>
          <cell r="BG626" t="str">
            <v>جبره</v>
          </cell>
          <cell r="BH626" t="str">
            <v>الصحافه ظلط - م 27</v>
          </cell>
          <cell r="BI626" t="str">
            <v>0114617535</v>
          </cell>
          <cell r="BJ626" t="str">
            <v>عبدالسلام سيد محمد</v>
          </cell>
          <cell r="BK626" t="str">
            <v>0111050199</v>
          </cell>
          <cell r="BL626" t="str">
            <v>كبار سن</v>
          </cell>
          <cell r="BN626">
            <v>43500</v>
          </cell>
          <cell r="EQ626">
            <v>0</v>
          </cell>
          <cell r="FG626" t="str">
            <v>المدير الادارى</v>
          </cell>
          <cell r="FH626" t="str">
            <v>احمد عبدالرحيم ابوبكر محمد</v>
          </cell>
          <cell r="FI626" t="str">
            <v>112-7107421-5</v>
          </cell>
        </row>
        <row r="627">
          <cell r="A627">
            <v>987</v>
          </cell>
          <cell r="B627" t="str">
            <v>على عبدالجليل عبدالرحمن محمد</v>
          </cell>
          <cell r="C627" t="str">
            <v>على</v>
          </cell>
          <cell r="D627" t="str">
            <v>عبدالجليل</v>
          </cell>
          <cell r="E627" t="str">
            <v>عبدالرحمن</v>
          </cell>
          <cell r="F627" t="str">
            <v>محمد</v>
          </cell>
          <cell r="G627" t="str">
            <v>المصنع</v>
          </cell>
          <cell r="H627" t="str">
            <v>الخدمات</v>
          </cell>
          <cell r="K627" t="str">
            <v>سباك</v>
          </cell>
          <cell r="L627" t="str">
            <v>سباك</v>
          </cell>
          <cell r="M627">
            <v>42990</v>
          </cell>
          <cell r="N627">
            <v>43500</v>
          </cell>
          <cell r="O627">
            <v>1</v>
          </cell>
          <cell r="P627">
            <v>4</v>
          </cell>
          <cell r="R627">
            <v>40</v>
          </cell>
          <cell r="T627" t="str">
            <v>إستقال</v>
          </cell>
          <cell r="U627">
            <v>43278</v>
          </cell>
          <cell r="V627">
            <v>43278</v>
          </cell>
          <cell r="Z627">
            <v>20455</v>
          </cell>
          <cell r="AI627" t="str">
            <v>تسنين</v>
          </cell>
          <cell r="AJ627" t="str">
            <v>0284942</v>
          </cell>
          <cell r="AS627">
            <v>43500</v>
          </cell>
          <cell r="AT627">
            <v>63</v>
          </cell>
          <cell r="AU627" t="str">
            <v>بطاقه قوميه</v>
          </cell>
          <cell r="AV627" t="str">
            <v>002663275</v>
          </cell>
          <cell r="AW627">
            <v>5</v>
          </cell>
          <cell r="AX627">
            <v>7</v>
          </cell>
          <cell r="AY627">
            <v>2</v>
          </cell>
          <cell r="AZ627">
            <v>3</v>
          </cell>
          <cell r="BA627">
            <v>6</v>
          </cell>
          <cell r="BB627">
            <v>6</v>
          </cell>
          <cell r="BC627">
            <v>2</v>
          </cell>
          <cell r="BD627">
            <v>0</v>
          </cell>
          <cell r="BE627" t="str">
            <v>117-0216532-7</v>
          </cell>
          <cell r="BF627" t="str">
            <v>زكيه حسن عبدالله</v>
          </cell>
          <cell r="BG627" t="str">
            <v>العربى</v>
          </cell>
          <cell r="BH627" t="str">
            <v>سوبا - غرب - م 8</v>
          </cell>
          <cell r="BI627" t="str">
            <v>0122330583</v>
          </cell>
          <cell r="BJ627" t="str">
            <v>راشد عبدالله احمد</v>
          </cell>
          <cell r="BK627" t="str">
            <v>0912374722</v>
          </cell>
          <cell r="BL627" t="str">
            <v>كبار سن</v>
          </cell>
          <cell r="BN627">
            <v>43500</v>
          </cell>
          <cell r="BS627" t="str">
            <v>براد مواسير وتركيبات صحية</v>
          </cell>
          <cell r="BT627" t="str">
            <v>تدريب مهني</v>
          </cell>
          <cell r="BV627">
            <v>31444</v>
          </cell>
          <cell r="CQ627" t="str">
            <v>مصنع تولا للزيوت والصابون - الباقير</v>
          </cell>
          <cell r="CR627" t="str">
            <v>سباك</v>
          </cell>
          <cell r="CS627">
            <v>35916</v>
          </cell>
          <cell r="CT627">
            <v>39408</v>
          </cell>
          <cell r="EQ627">
            <v>0</v>
          </cell>
          <cell r="FG627" t="str">
            <v>المدير الادارى</v>
          </cell>
          <cell r="FH627" t="str">
            <v>احمد عبدالرحيم ابوبكر محمد</v>
          </cell>
          <cell r="FI627" t="str">
            <v>117-0216532-7</v>
          </cell>
        </row>
        <row r="628">
          <cell r="A628">
            <v>988</v>
          </cell>
          <cell r="B628" t="str">
            <v>عبدالمنعم ادم محمد احمد</v>
          </cell>
          <cell r="C628" t="str">
            <v>عبدالمنعم</v>
          </cell>
          <cell r="D628" t="str">
            <v>ادم</v>
          </cell>
          <cell r="E628" t="str">
            <v>محمد</v>
          </cell>
          <cell r="F628" t="str">
            <v>احمد</v>
          </cell>
          <cell r="G628" t="str">
            <v>المصنع</v>
          </cell>
          <cell r="H628" t="str">
            <v>الانتاج</v>
          </cell>
          <cell r="K628" t="str">
            <v>عامل</v>
          </cell>
          <cell r="L628" t="str">
            <v>عامل</v>
          </cell>
          <cell r="M628">
            <v>42996</v>
          </cell>
          <cell r="N628">
            <v>43500</v>
          </cell>
          <cell r="O628">
            <v>1</v>
          </cell>
          <cell r="P628">
            <v>4</v>
          </cell>
          <cell r="R628">
            <v>40</v>
          </cell>
          <cell r="T628" t="str">
            <v>إستقال</v>
          </cell>
          <cell r="U628">
            <v>43100</v>
          </cell>
          <cell r="V628">
            <v>43100</v>
          </cell>
          <cell r="Z628">
            <v>33938</v>
          </cell>
          <cell r="AI628" t="str">
            <v>ميلاد</v>
          </cell>
          <cell r="AJ628" t="str">
            <v>172995</v>
          </cell>
          <cell r="AS628">
            <v>43500</v>
          </cell>
          <cell r="AT628">
            <v>26</v>
          </cell>
          <cell r="AU628" t="str">
            <v>بطاقه قوميه</v>
          </cell>
          <cell r="AV628" t="str">
            <v>002053269</v>
          </cell>
          <cell r="AW628">
            <v>9</v>
          </cell>
          <cell r="AX628">
            <v>6</v>
          </cell>
          <cell r="AY628">
            <v>2</v>
          </cell>
          <cell r="AZ628">
            <v>3</v>
          </cell>
          <cell r="BA628">
            <v>5</v>
          </cell>
          <cell r="BB628">
            <v>0</v>
          </cell>
          <cell r="BC628">
            <v>2</v>
          </cell>
          <cell r="BD628">
            <v>0</v>
          </cell>
          <cell r="BE628" t="str">
            <v>182-5216684-7</v>
          </cell>
          <cell r="BF628" t="str">
            <v>زينب احمد عبدالله</v>
          </cell>
          <cell r="BG628" t="str">
            <v>العربى</v>
          </cell>
          <cell r="BH628" t="str">
            <v>امدرمان - امبده - ح الاولى</v>
          </cell>
          <cell r="BI628" t="str">
            <v>0917959049</v>
          </cell>
          <cell r="BJ628" t="str">
            <v>شمس المعارف يحى</v>
          </cell>
          <cell r="BK628" t="str">
            <v>0123322627</v>
          </cell>
          <cell r="BL628" t="str">
            <v>خالي الطرف</v>
          </cell>
          <cell r="BN628">
            <v>43500</v>
          </cell>
          <cell r="BS628" t="str">
            <v>تقانة المعلومات</v>
          </cell>
          <cell r="BT628" t="str">
            <v>بكلاريوس</v>
          </cell>
          <cell r="BU628" t="str">
            <v>كلية النيل الابيض للعلوم والتكنولوجيا</v>
          </cell>
          <cell r="BV628">
            <v>41854</v>
          </cell>
          <cell r="EQ628">
            <v>0</v>
          </cell>
          <cell r="FG628" t="str">
            <v xml:space="preserve"> مدير الانتاج</v>
          </cell>
          <cell r="FH628" t="str">
            <v>هشام عيسى محمد عبدالكريم</v>
          </cell>
          <cell r="FI628" t="str">
            <v>182-5216684-7</v>
          </cell>
        </row>
        <row r="629">
          <cell r="A629">
            <v>989</v>
          </cell>
          <cell r="B629" t="str">
            <v>Mohammad Obaidul Hogue Syed Alam</v>
          </cell>
          <cell r="C629" t="str">
            <v>Mohammad</v>
          </cell>
          <cell r="D629" t="str">
            <v>Obaidul</v>
          </cell>
          <cell r="E629" t="str">
            <v>Hogue</v>
          </cell>
          <cell r="F629" t="str">
            <v>Syed</v>
          </cell>
          <cell r="G629" t="str">
            <v>المصنع</v>
          </cell>
          <cell r="H629" t="str">
            <v>الميكانيكا</v>
          </cell>
          <cell r="M629">
            <v>43039</v>
          </cell>
          <cell r="O629" t="e">
            <v>#NUM!</v>
          </cell>
          <cell r="P629" t="e">
            <v>#NUM!</v>
          </cell>
          <cell r="R629" t="e">
            <v>#NUM!</v>
          </cell>
          <cell r="AS629">
            <v>43500</v>
          </cell>
          <cell r="AT629">
            <v>119</v>
          </cell>
          <cell r="BN629">
            <v>43500</v>
          </cell>
          <cell r="EQ629">
            <v>0</v>
          </cell>
          <cell r="FG629" t="str">
            <v>مدير الصيانه الميكانيكيه</v>
          </cell>
          <cell r="FH629" t="str">
            <v>محمد احمد محمد سليمان</v>
          </cell>
          <cell r="FI629">
            <v>0</v>
          </cell>
        </row>
        <row r="630">
          <cell r="A630">
            <v>990</v>
          </cell>
          <cell r="B630" t="str">
            <v>مجاهد حسن على عبدالرحمن</v>
          </cell>
          <cell r="C630" t="str">
            <v>مجاهد</v>
          </cell>
          <cell r="D630" t="str">
            <v>حسن</v>
          </cell>
          <cell r="E630" t="str">
            <v>على</v>
          </cell>
          <cell r="F630" t="str">
            <v>عبدالرحمن</v>
          </cell>
          <cell r="G630" t="str">
            <v>المصنع</v>
          </cell>
          <cell r="H630" t="str">
            <v>الانتاج</v>
          </cell>
          <cell r="K630" t="str">
            <v>عامل</v>
          </cell>
          <cell r="L630" t="str">
            <v>عامل</v>
          </cell>
          <cell r="M630">
            <v>43058</v>
          </cell>
          <cell r="N630">
            <v>43500</v>
          </cell>
          <cell r="O630">
            <v>1</v>
          </cell>
          <cell r="P630">
            <v>2</v>
          </cell>
          <cell r="R630">
            <v>35</v>
          </cell>
          <cell r="Z630">
            <v>30682</v>
          </cell>
          <cell r="AI630" t="str">
            <v>تسنين</v>
          </cell>
          <cell r="AS630">
            <v>43500</v>
          </cell>
          <cell r="AT630">
            <v>35</v>
          </cell>
          <cell r="AU630" t="str">
            <v>جنسيه</v>
          </cell>
          <cell r="AV630" t="str">
            <v>0734035</v>
          </cell>
          <cell r="AW630">
            <v>5</v>
          </cell>
          <cell r="AX630">
            <v>3</v>
          </cell>
          <cell r="AY630">
            <v>0</v>
          </cell>
          <cell r="AZ630">
            <v>4</v>
          </cell>
          <cell r="BA630">
            <v>3</v>
          </cell>
          <cell r="BB630">
            <v>7</v>
          </cell>
          <cell r="BC630">
            <v>0</v>
          </cell>
          <cell r="BE630" t="str">
            <v>114-9875610-6</v>
          </cell>
          <cell r="BF630" t="str">
            <v>مها حسن اسحق</v>
          </cell>
          <cell r="BG630" t="str">
            <v>الكلاكله</v>
          </cell>
          <cell r="BH630" t="str">
            <v xml:space="preserve">الكلاكله - الدخينات </v>
          </cell>
          <cell r="BI630" t="str">
            <v>0912930857</v>
          </cell>
          <cell r="BJ630" t="str">
            <v>هشام صالح رمضان</v>
          </cell>
          <cell r="BK630" t="str">
            <v>0912583663</v>
          </cell>
          <cell r="BL630" t="str">
            <v>خالي الطرف</v>
          </cell>
          <cell r="BN630">
            <v>43500</v>
          </cell>
          <cell r="BT630" t="str">
            <v>شهاده ثانويه</v>
          </cell>
          <cell r="BV630">
            <v>37773</v>
          </cell>
          <cell r="BW630" t="str">
            <v>تطبيقات الحاسوب</v>
          </cell>
          <cell r="BX630" t="str">
            <v>دبلوم (معاهد)</v>
          </cell>
          <cell r="BY630" t="str">
            <v>Harmony Center</v>
          </cell>
          <cell r="BZ630">
            <v>42522</v>
          </cell>
          <cell r="CQ630" t="str">
            <v>الشركة السودانية للتوليد المائى المحدودة</v>
          </cell>
          <cell r="CR630" t="str">
            <v>فرد امن</v>
          </cell>
          <cell r="CS630">
            <v>42024</v>
          </cell>
          <cell r="CT630">
            <v>42754</v>
          </cell>
          <cell r="EQ630">
            <v>0</v>
          </cell>
          <cell r="FG630" t="str">
            <v xml:space="preserve"> مدير الانتاج</v>
          </cell>
          <cell r="FH630" t="str">
            <v>هشام عيسى محمد عبدالكريم</v>
          </cell>
          <cell r="FI630" t="str">
            <v>114-9875610-6</v>
          </cell>
        </row>
        <row r="631">
          <cell r="A631">
            <v>991</v>
          </cell>
          <cell r="B631" t="str">
            <v>احمد بشير ابكر عيسى</v>
          </cell>
          <cell r="C631" t="str">
            <v>احمد</v>
          </cell>
          <cell r="D631" t="str">
            <v>بشير</v>
          </cell>
          <cell r="E631" t="str">
            <v>ابكر</v>
          </cell>
          <cell r="F631" t="str">
            <v>عيسى</v>
          </cell>
          <cell r="G631" t="str">
            <v>المصنع</v>
          </cell>
          <cell r="H631" t="str">
            <v>الانتاج</v>
          </cell>
          <cell r="K631" t="str">
            <v>عامل</v>
          </cell>
          <cell r="L631" t="str">
            <v>عامل</v>
          </cell>
          <cell r="M631">
            <v>43070</v>
          </cell>
          <cell r="N631">
            <v>43500</v>
          </cell>
          <cell r="O631">
            <v>1</v>
          </cell>
          <cell r="P631">
            <v>2</v>
          </cell>
          <cell r="R631">
            <v>35</v>
          </cell>
          <cell r="Z631">
            <v>31413</v>
          </cell>
          <cell r="AI631" t="str">
            <v>ميلاد</v>
          </cell>
          <cell r="AJ631" t="str">
            <v>86855</v>
          </cell>
          <cell r="AS631">
            <v>43500</v>
          </cell>
          <cell r="AT631">
            <v>33</v>
          </cell>
          <cell r="AU631" t="str">
            <v>بطاقه قوميه</v>
          </cell>
          <cell r="AV631" t="str">
            <v>000837263</v>
          </cell>
          <cell r="AW631">
            <v>3</v>
          </cell>
          <cell r="AX631">
            <v>6</v>
          </cell>
          <cell r="AY631">
            <v>2</v>
          </cell>
          <cell r="AZ631">
            <v>7</v>
          </cell>
          <cell r="BA631">
            <v>3</v>
          </cell>
          <cell r="BB631">
            <v>8</v>
          </cell>
          <cell r="BC631">
            <v>0</v>
          </cell>
          <cell r="BD631">
            <v>0</v>
          </cell>
          <cell r="BE631" t="str">
            <v>190-3735898-6</v>
          </cell>
          <cell r="BF631" t="str">
            <v>نفيسه عثمان محمد</v>
          </cell>
          <cell r="BG631" t="str">
            <v>الجزيره</v>
          </cell>
          <cell r="BH631" t="str">
            <v>الجزيرة - حى الرياض</v>
          </cell>
          <cell r="BI631" t="str">
            <v>0925217696</v>
          </cell>
          <cell r="BJ631" t="str">
            <v>ادريس اسماعيل</v>
          </cell>
          <cell r="BK631" t="str">
            <v>0993089678</v>
          </cell>
          <cell r="BL631" t="str">
            <v>إستثناء</v>
          </cell>
          <cell r="BN631">
            <v>43500</v>
          </cell>
          <cell r="BT631" t="str">
            <v>شهاده ثانويه</v>
          </cell>
          <cell r="BV631">
            <v>38412</v>
          </cell>
          <cell r="EQ631">
            <v>0</v>
          </cell>
          <cell r="FG631" t="str">
            <v xml:space="preserve"> مدير الانتاج</v>
          </cell>
          <cell r="FH631" t="str">
            <v>هشام عيسى محمد عبدالكريم</v>
          </cell>
          <cell r="FI631" t="str">
            <v>190-3735898-6</v>
          </cell>
        </row>
        <row r="632">
          <cell r="A632">
            <v>992</v>
          </cell>
          <cell r="B632" t="str">
            <v>محمد ادم اسماعيل ادم</v>
          </cell>
          <cell r="C632" t="str">
            <v>محمد</v>
          </cell>
          <cell r="D632" t="str">
            <v>ادم</v>
          </cell>
          <cell r="E632" t="str">
            <v>اسماعيل</v>
          </cell>
          <cell r="F632" t="str">
            <v>ادم</v>
          </cell>
          <cell r="G632" t="str">
            <v>المصنع</v>
          </cell>
          <cell r="H632" t="str">
            <v>الخدمات</v>
          </cell>
          <cell r="K632" t="str">
            <v>عامل</v>
          </cell>
          <cell r="L632" t="str">
            <v>سباك</v>
          </cell>
          <cell r="M632">
            <v>43075</v>
          </cell>
          <cell r="N632">
            <v>43500</v>
          </cell>
          <cell r="O632">
            <v>1</v>
          </cell>
          <cell r="P632">
            <v>1</v>
          </cell>
          <cell r="R632">
            <v>32.5</v>
          </cell>
          <cell r="Z632">
            <v>21186</v>
          </cell>
          <cell r="AI632" t="str">
            <v>تسنين</v>
          </cell>
          <cell r="AJ632" t="str">
            <v>2000144</v>
          </cell>
          <cell r="AS632">
            <v>43500</v>
          </cell>
          <cell r="AT632">
            <v>61</v>
          </cell>
          <cell r="AU632" t="str">
            <v>جنسيه</v>
          </cell>
          <cell r="AV632" t="str">
            <v>021237</v>
          </cell>
          <cell r="AW632">
            <v>7</v>
          </cell>
          <cell r="AX632">
            <v>3</v>
          </cell>
          <cell r="AY632">
            <v>2</v>
          </cell>
          <cell r="AZ632">
            <v>1</v>
          </cell>
          <cell r="BA632">
            <v>2</v>
          </cell>
          <cell r="BB632">
            <v>0</v>
          </cell>
          <cell r="BE632" t="str">
            <v>120-5728062-8</v>
          </cell>
          <cell r="BF632" t="str">
            <v>مريم محمود فضل</v>
          </cell>
          <cell r="BH632" t="str">
            <v>مزرعة انور</v>
          </cell>
          <cell r="BI632" t="str">
            <v>0915665117</v>
          </cell>
          <cell r="BJ632" t="str">
            <v>انور محمد حامد</v>
          </cell>
          <cell r="BK632" t="str">
            <v>0912351287</v>
          </cell>
          <cell r="BL632" t="str">
            <v>كبار سن</v>
          </cell>
          <cell r="BN632">
            <v>43500</v>
          </cell>
          <cell r="EQ632">
            <v>0</v>
          </cell>
          <cell r="FG632" t="str">
            <v>المدير الادارى</v>
          </cell>
          <cell r="FH632" t="str">
            <v>احمد عبدالرحيم ابوبكر محمد</v>
          </cell>
          <cell r="FI632" t="str">
            <v>120-5728062-8</v>
          </cell>
        </row>
        <row r="633">
          <cell r="A633">
            <v>993</v>
          </cell>
          <cell r="B633" t="str">
            <v>الصادق اسحق عثمان حماد</v>
          </cell>
          <cell r="C633" t="str">
            <v>الصادق</v>
          </cell>
          <cell r="D633" t="str">
            <v>اسحق</v>
          </cell>
          <cell r="E633" t="str">
            <v>عثمان</v>
          </cell>
          <cell r="F633" t="str">
            <v>حماد</v>
          </cell>
          <cell r="G633" t="str">
            <v>المصنع</v>
          </cell>
          <cell r="H633" t="str">
            <v>الانتاج</v>
          </cell>
          <cell r="K633" t="str">
            <v>عامل</v>
          </cell>
          <cell r="L633" t="str">
            <v>عامل</v>
          </cell>
          <cell r="M633">
            <v>43104</v>
          </cell>
          <cell r="N633">
            <v>43500</v>
          </cell>
          <cell r="O633">
            <v>1</v>
          </cell>
          <cell r="P633">
            <v>1</v>
          </cell>
          <cell r="R633">
            <v>32.5</v>
          </cell>
          <cell r="Z633">
            <v>25204</v>
          </cell>
          <cell r="AS633">
            <v>43500</v>
          </cell>
          <cell r="AT633">
            <v>50</v>
          </cell>
          <cell r="AU633" t="str">
            <v>بطاقه قوميه</v>
          </cell>
          <cell r="AV633" t="str">
            <v>001509144</v>
          </cell>
          <cell r="AW633">
            <v>4</v>
          </cell>
          <cell r="AX633">
            <v>4</v>
          </cell>
          <cell r="AY633">
            <v>1</v>
          </cell>
          <cell r="AZ633">
            <v>9</v>
          </cell>
          <cell r="BA633">
            <v>0</v>
          </cell>
          <cell r="BB633">
            <v>5</v>
          </cell>
          <cell r="BC633">
            <v>1</v>
          </cell>
          <cell r="BD633">
            <v>0</v>
          </cell>
          <cell r="BE633" t="str">
            <v>201-0758371-9</v>
          </cell>
          <cell r="BF633" t="str">
            <v>عائشة سعد حماد</v>
          </cell>
          <cell r="BG633" t="str">
            <v>الكلاكله</v>
          </cell>
          <cell r="BH633" t="str">
            <v>جبل اولياء - قوز الشيخ حامد</v>
          </cell>
          <cell r="BI633" t="str">
            <v>0918050274</v>
          </cell>
          <cell r="BJ633" t="str">
            <v>ياسر عثمان اسحق</v>
          </cell>
          <cell r="BK633" t="str">
            <v>0911155534</v>
          </cell>
          <cell r="BL633" t="str">
            <v>كبار سن</v>
          </cell>
          <cell r="BN633">
            <v>43500</v>
          </cell>
          <cell r="EQ633">
            <v>0</v>
          </cell>
          <cell r="FG633" t="str">
            <v xml:space="preserve"> مدير الانتاج</v>
          </cell>
          <cell r="FH633" t="str">
            <v>هشام عيسى محمد عبدالكريم</v>
          </cell>
          <cell r="FI633" t="str">
            <v>201-0758371-9</v>
          </cell>
        </row>
        <row r="634">
          <cell r="A634">
            <v>994</v>
          </cell>
          <cell r="B634" t="str">
            <v>حاتم عبدون عبدالرحيم محمد</v>
          </cell>
          <cell r="C634" t="str">
            <v>حاتم</v>
          </cell>
          <cell r="D634" t="str">
            <v>عبدون</v>
          </cell>
          <cell r="E634" t="str">
            <v>عبدالرحيم</v>
          </cell>
          <cell r="F634" t="str">
            <v>محمد</v>
          </cell>
          <cell r="G634" t="str">
            <v>المصنع</v>
          </cell>
          <cell r="H634" t="str">
            <v>المستودعات</v>
          </cell>
          <cell r="K634" t="str">
            <v>عامل</v>
          </cell>
          <cell r="L634" t="str">
            <v>عامل</v>
          </cell>
          <cell r="M634">
            <v>43108</v>
          </cell>
          <cell r="N634">
            <v>43500</v>
          </cell>
          <cell r="O634">
            <v>1</v>
          </cell>
          <cell r="P634">
            <v>0</v>
          </cell>
          <cell r="R634">
            <v>30</v>
          </cell>
          <cell r="Z634">
            <v>33459</v>
          </cell>
          <cell r="AI634" t="str">
            <v>ميلاد</v>
          </cell>
          <cell r="AJ634" t="str">
            <v>281954</v>
          </cell>
          <cell r="AS634">
            <v>43500</v>
          </cell>
          <cell r="AT634">
            <v>27</v>
          </cell>
          <cell r="AU634" t="str">
            <v>بطاقه قوميه</v>
          </cell>
          <cell r="AV634" t="str">
            <v>002584156</v>
          </cell>
          <cell r="AW634">
            <v>6</v>
          </cell>
          <cell r="AX634">
            <v>5</v>
          </cell>
          <cell r="AY634">
            <v>1</v>
          </cell>
          <cell r="AZ634">
            <v>4</v>
          </cell>
          <cell r="BA634">
            <v>8</v>
          </cell>
          <cell r="BB634">
            <v>5</v>
          </cell>
          <cell r="BC634">
            <v>2</v>
          </cell>
          <cell r="BD634">
            <v>0</v>
          </cell>
          <cell r="BE634" t="str">
            <v>114-1732239-6</v>
          </cell>
          <cell r="BF634" t="str">
            <v>تومه على محمد</v>
          </cell>
          <cell r="BG634" t="str">
            <v>الكلاكله</v>
          </cell>
          <cell r="BH634" t="str">
            <v>الكلاكلة - القبه</v>
          </cell>
          <cell r="BI634" t="str">
            <v>0128222833</v>
          </cell>
          <cell r="BJ634" t="str">
            <v xml:space="preserve">فتح الرحمن </v>
          </cell>
          <cell r="BK634" t="str">
            <v>0122035029</v>
          </cell>
          <cell r="BL634" t="str">
            <v>خالي الطرف</v>
          </cell>
          <cell r="BN634">
            <v>43500</v>
          </cell>
          <cell r="BS634" t="str">
            <v>علوم الاتصال ( العلاقات العامه )</v>
          </cell>
          <cell r="BT634" t="str">
            <v>دبلوم تقني</v>
          </cell>
          <cell r="BU634" t="str">
            <v>جامعة السودان للعلوم والتكنولوجيا</v>
          </cell>
          <cell r="BV634">
            <v>42278</v>
          </cell>
          <cell r="CQ634" t="str">
            <v>الحسام للفندقة والسياحة</v>
          </cell>
          <cell r="CR634" t="str">
            <v>الشؤون الادارية</v>
          </cell>
          <cell r="CS634">
            <v>42156</v>
          </cell>
          <cell r="CT634">
            <v>42887</v>
          </cell>
          <cell r="EQ634">
            <v>0</v>
          </cell>
          <cell r="FG634" t="str">
            <v>مدير المستودعات</v>
          </cell>
          <cell r="FH634" t="str">
            <v>على احمد على بابكر</v>
          </cell>
          <cell r="FI634" t="str">
            <v>114-1732239-6</v>
          </cell>
        </row>
        <row r="635">
          <cell r="A635">
            <v>995</v>
          </cell>
          <cell r="B635" t="str">
            <v>حسن حماد بابكر يوسف</v>
          </cell>
          <cell r="C635" t="str">
            <v>حسن</v>
          </cell>
          <cell r="D635" t="str">
            <v>حماد</v>
          </cell>
          <cell r="E635" t="str">
            <v>بابكر</v>
          </cell>
          <cell r="F635" t="str">
            <v>يوسف</v>
          </cell>
          <cell r="G635" t="str">
            <v>المصنع</v>
          </cell>
          <cell r="H635" t="str">
            <v>الانتاج</v>
          </cell>
          <cell r="K635" t="str">
            <v>عامل</v>
          </cell>
          <cell r="L635" t="str">
            <v>عامل</v>
          </cell>
          <cell r="M635">
            <v>43108</v>
          </cell>
          <cell r="N635">
            <v>43500</v>
          </cell>
          <cell r="O635">
            <v>1</v>
          </cell>
          <cell r="P635">
            <v>0</v>
          </cell>
          <cell r="R635">
            <v>30</v>
          </cell>
          <cell r="T635" t="str">
            <v>m</v>
          </cell>
          <cell r="Z635">
            <v>33970</v>
          </cell>
          <cell r="AI635" t="str">
            <v>تسنين</v>
          </cell>
          <cell r="AJ635" t="str">
            <v>1059652</v>
          </cell>
          <cell r="AS635">
            <v>43500</v>
          </cell>
          <cell r="AT635">
            <v>26</v>
          </cell>
          <cell r="AU635" t="str">
            <v>جنسيه</v>
          </cell>
          <cell r="AV635" t="str">
            <v>0360741</v>
          </cell>
          <cell r="AW635">
            <v>1</v>
          </cell>
          <cell r="AX635">
            <v>4</v>
          </cell>
          <cell r="AY635">
            <v>7</v>
          </cell>
          <cell r="AZ635">
            <v>0</v>
          </cell>
          <cell r="BA635">
            <v>6</v>
          </cell>
          <cell r="BB635">
            <v>3</v>
          </cell>
          <cell r="BC635">
            <v>0</v>
          </cell>
          <cell r="BE635" t="str">
            <v>178-3054142-3</v>
          </cell>
          <cell r="BF635" t="str">
            <v>غنيتى فضل المولى</v>
          </cell>
          <cell r="BG635" t="str">
            <v>العربى</v>
          </cell>
          <cell r="BH635" t="str">
            <v>مجمع تارا السكنى</v>
          </cell>
          <cell r="BI635" t="str">
            <v>0964474289</v>
          </cell>
          <cell r="BJ635" t="str">
            <v>بابكر حماد بابكر</v>
          </cell>
          <cell r="BK635" t="str">
            <v>0911151296</v>
          </cell>
          <cell r="BL635" t="str">
            <v>خالي الطرف</v>
          </cell>
          <cell r="BN635">
            <v>43500</v>
          </cell>
          <cell r="BS635" t="str">
            <v>القانون</v>
          </cell>
          <cell r="BT635" t="str">
            <v>بكلاريوس</v>
          </cell>
          <cell r="BU635" t="str">
            <v>جامعة افريقيا العالمية</v>
          </cell>
          <cell r="BV635">
            <v>42259</v>
          </cell>
          <cell r="EQ635">
            <v>0</v>
          </cell>
          <cell r="FG635" t="str">
            <v xml:space="preserve"> مدير الانتاج</v>
          </cell>
          <cell r="FH635" t="str">
            <v>هشام عيسى محمد عبدالكريم</v>
          </cell>
          <cell r="FI635" t="str">
            <v>178-3054142-3</v>
          </cell>
        </row>
        <row r="636">
          <cell r="A636">
            <v>996</v>
          </cell>
          <cell r="B636" t="str">
            <v>حمزه دحيش حمزه احمد</v>
          </cell>
          <cell r="C636" t="str">
            <v>حمزه</v>
          </cell>
          <cell r="D636" t="str">
            <v>دحيش</v>
          </cell>
          <cell r="E636" t="str">
            <v>حمزه</v>
          </cell>
          <cell r="F636" t="str">
            <v>احمد</v>
          </cell>
          <cell r="G636" t="str">
            <v>المصنع</v>
          </cell>
          <cell r="H636" t="str">
            <v>الانتاج</v>
          </cell>
          <cell r="K636" t="str">
            <v>فرد امن</v>
          </cell>
          <cell r="L636" t="str">
            <v>عامل</v>
          </cell>
          <cell r="M636">
            <v>43116</v>
          </cell>
          <cell r="N636">
            <v>43500</v>
          </cell>
          <cell r="O636">
            <v>1</v>
          </cell>
          <cell r="P636">
            <v>0</v>
          </cell>
          <cell r="R636">
            <v>30</v>
          </cell>
          <cell r="Z636">
            <v>24108</v>
          </cell>
          <cell r="AI636" t="str">
            <v>تسنين</v>
          </cell>
          <cell r="AJ636" t="str">
            <v>570861</v>
          </cell>
          <cell r="AS636">
            <v>43500</v>
          </cell>
          <cell r="AT636">
            <v>53</v>
          </cell>
          <cell r="AU636" t="str">
            <v>بطاقه قوميه</v>
          </cell>
          <cell r="AV636" t="str">
            <v>000567651</v>
          </cell>
          <cell r="AW636">
            <v>1</v>
          </cell>
          <cell r="AX636">
            <v>5</v>
          </cell>
          <cell r="AY636">
            <v>6</v>
          </cell>
          <cell r="AZ636">
            <v>7</v>
          </cell>
          <cell r="BA636">
            <v>6</v>
          </cell>
          <cell r="BB636">
            <v>5</v>
          </cell>
          <cell r="BC636">
            <v>0</v>
          </cell>
          <cell r="BD636">
            <v>0</v>
          </cell>
          <cell r="BE636" t="str">
            <v>118-8922286-2</v>
          </cell>
          <cell r="BF636" t="str">
            <v>امنه سعيد حامد</v>
          </cell>
          <cell r="BG636" t="str">
            <v>العربى</v>
          </cell>
          <cell r="BH636" t="str">
            <v>السلمة - المدينة الخيرية - م 1</v>
          </cell>
          <cell r="BI636" t="str">
            <v>0922653795</v>
          </cell>
          <cell r="BJ636" t="str">
            <v>سعيد حمزه احمد</v>
          </cell>
          <cell r="BK636" t="str">
            <v>0925117981</v>
          </cell>
          <cell r="BL636" t="str">
            <v>إستثناء</v>
          </cell>
          <cell r="BN636">
            <v>43500</v>
          </cell>
          <cell r="CQ636" t="str">
            <v>شركة الراقي للمقاولات والخدمات الانشائية</v>
          </cell>
          <cell r="CR636" t="str">
            <v>امن وخدمات - امين مخازن</v>
          </cell>
          <cell r="CS636">
            <v>37465</v>
          </cell>
          <cell r="CT636">
            <v>42735</v>
          </cell>
          <cell r="EQ636">
            <v>0</v>
          </cell>
          <cell r="FG636" t="str">
            <v xml:space="preserve"> مدير الانتاج</v>
          </cell>
          <cell r="FH636" t="str">
            <v>هشام عيسى محمد عبدالكريم</v>
          </cell>
          <cell r="FI636" t="str">
            <v>118-8922286-2</v>
          </cell>
        </row>
        <row r="637">
          <cell r="A637">
            <v>997</v>
          </cell>
          <cell r="B637" t="str">
            <v>محمد عيسى محمد قرين</v>
          </cell>
          <cell r="C637" t="str">
            <v>محمد</v>
          </cell>
          <cell r="D637" t="str">
            <v>عيسى</v>
          </cell>
          <cell r="E637" t="str">
            <v>محمد</v>
          </cell>
          <cell r="F637" t="str">
            <v>قرين</v>
          </cell>
          <cell r="G637" t="str">
            <v>المصنع</v>
          </cell>
          <cell r="H637" t="str">
            <v>الانتاج</v>
          </cell>
          <cell r="K637" t="str">
            <v>فرد امن</v>
          </cell>
          <cell r="L637" t="str">
            <v>عامل</v>
          </cell>
          <cell r="M637">
            <v>43116</v>
          </cell>
          <cell r="N637">
            <v>43500</v>
          </cell>
          <cell r="O637">
            <v>1</v>
          </cell>
          <cell r="P637">
            <v>0</v>
          </cell>
          <cell r="R637">
            <v>30</v>
          </cell>
          <cell r="Z637">
            <v>27760</v>
          </cell>
          <cell r="AI637" t="str">
            <v>تسنين</v>
          </cell>
          <cell r="AJ637" t="str">
            <v>0134214</v>
          </cell>
          <cell r="AS637">
            <v>43500</v>
          </cell>
          <cell r="AT637">
            <v>43</v>
          </cell>
          <cell r="AU637" t="str">
            <v>بطاقه قوميه</v>
          </cell>
          <cell r="AV637" t="str">
            <v>001038982</v>
          </cell>
          <cell r="AW637">
            <v>2</v>
          </cell>
          <cell r="AX637">
            <v>8</v>
          </cell>
          <cell r="AY637">
            <v>9</v>
          </cell>
          <cell r="AZ637">
            <v>8</v>
          </cell>
          <cell r="BA637">
            <v>3</v>
          </cell>
          <cell r="BB637">
            <v>0</v>
          </cell>
          <cell r="BC637">
            <v>1</v>
          </cell>
          <cell r="BD637">
            <v>0</v>
          </cell>
          <cell r="BE637" t="str">
            <v>115-0529422-4</v>
          </cell>
          <cell r="BF637" t="str">
            <v>حلينة ادريس غزالدين</v>
          </cell>
          <cell r="BG637" t="str">
            <v>العربى</v>
          </cell>
          <cell r="BH637" t="str">
            <v>امدرمان - دار السلام - م 27</v>
          </cell>
          <cell r="BI637" t="str">
            <v>0913419941</v>
          </cell>
          <cell r="BJ637" t="str">
            <v>محمد ادم ابراهيم</v>
          </cell>
          <cell r="BK637" t="str">
            <v>0918204719</v>
          </cell>
          <cell r="BL637" t="str">
            <v>خالي الطرف</v>
          </cell>
          <cell r="BN637">
            <v>43500</v>
          </cell>
          <cell r="BS637" t="str">
            <v>دراسات اسلامية</v>
          </cell>
          <cell r="BT637" t="str">
            <v>دبلوم وسيط</v>
          </cell>
          <cell r="BU637" t="str">
            <v>جامعة امدرمان الاسلامية</v>
          </cell>
          <cell r="BV637">
            <v>37530</v>
          </cell>
          <cell r="EQ637">
            <v>0</v>
          </cell>
          <cell r="FG637" t="str">
            <v xml:space="preserve"> مدير الانتاج</v>
          </cell>
          <cell r="FH637" t="str">
            <v>هشام عيسى محمد عبدالكريم</v>
          </cell>
          <cell r="FI637" t="str">
            <v>115-0529422-4</v>
          </cell>
        </row>
        <row r="638">
          <cell r="A638">
            <v>998</v>
          </cell>
          <cell r="B638" t="str">
            <v>عيسى جيلانى محمد وزيرى</v>
          </cell>
          <cell r="C638" t="str">
            <v>عيسى</v>
          </cell>
          <cell r="D638" t="str">
            <v>جيلانى</v>
          </cell>
          <cell r="E638" t="str">
            <v>محمد</v>
          </cell>
          <cell r="F638" t="str">
            <v>وزيرى</v>
          </cell>
          <cell r="G638" t="str">
            <v>المصنع</v>
          </cell>
          <cell r="H638" t="str">
            <v>الامن و الحركه</v>
          </cell>
          <cell r="K638" t="str">
            <v>فرد امن</v>
          </cell>
          <cell r="L638" t="str">
            <v>فرد امن</v>
          </cell>
          <cell r="M638">
            <v>43115</v>
          </cell>
          <cell r="N638">
            <v>43500</v>
          </cell>
          <cell r="O638">
            <v>1</v>
          </cell>
          <cell r="P638">
            <v>0</v>
          </cell>
          <cell r="R638">
            <v>30</v>
          </cell>
          <cell r="T638" t="str">
            <v>m</v>
          </cell>
          <cell r="Z638">
            <v>28549</v>
          </cell>
          <cell r="AI638" t="str">
            <v>ميلاد</v>
          </cell>
          <cell r="AJ638" t="str">
            <v>226022</v>
          </cell>
          <cell r="AS638">
            <v>43500</v>
          </cell>
          <cell r="AT638">
            <v>40</v>
          </cell>
          <cell r="AU638" t="str">
            <v>بطاقه قوميه</v>
          </cell>
          <cell r="AV638" t="str">
            <v>004393276</v>
          </cell>
          <cell r="AW638">
            <v>6</v>
          </cell>
          <cell r="AX638">
            <v>7</v>
          </cell>
          <cell r="AY638">
            <v>2</v>
          </cell>
          <cell r="AZ638">
            <v>3</v>
          </cell>
          <cell r="BA638">
            <v>9</v>
          </cell>
          <cell r="BB638">
            <v>3</v>
          </cell>
          <cell r="BC638">
            <v>4</v>
          </cell>
          <cell r="BD638">
            <v>0</v>
          </cell>
          <cell r="BE638" t="str">
            <v>115-2042820-3</v>
          </cell>
          <cell r="BF638" t="str">
            <v>زينب عثمان محمد</v>
          </cell>
          <cell r="BG638" t="str">
            <v>الجزيره</v>
          </cell>
          <cell r="BH638" t="str">
            <v>الجزيرة - الباقير</v>
          </cell>
          <cell r="BI638" t="str">
            <v>0910793973</v>
          </cell>
          <cell r="BJ638" t="str">
            <v>عبد القيوم عيسى</v>
          </cell>
          <cell r="BK638" t="str">
            <v>0912876804</v>
          </cell>
          <cell r="BL638" t="str">
            <v>خالي الطرف</v>
          </cell>
          <cell r="BN638">
            <v>43500</v>
          </cell>
          <cell r="EQ638">
            <v>0</v>
          </cell>
          <cell r="FG638" t="str">
            <v>مدير الامن و الحركه</v>
          </cell>
          <cell r="FH638" t="str">
            <v>فارس حمدان عبدالله فارس</v>
          </cell>
          <cell r="FI638" t="str">
            <v>115-2042820-3</v>
          </cell>
        </row>
        <row r="639">
          <cell r="A639">
            <v>999</v>
          </cell>
          <cell r="B639" t="str">
            <v>المعتصم الياس حسين فضل</v>
          </cell>
          <cell r="C639" t="str">
            <v>المعتصم</v>
          </cell>
          <cell r="D639" t="str">
            <v>الياس</v>
          </cell>
          <cell r="E639" t="str">
            <v>حسين</v>
          </cell>
          <cell r="F639" t="str">
            <v>فضل</v>
          </cell>
          <cell r="G639" t="str">
            <v>المصنع</v>
          </cell>
          <cell r="H639" t="str">
            <v>الانتاج</v>
          </cell>
          <cell r="K639" t="str">
            <v>عامل</v>
          </cell>
          <cell r="L639" t="str">
            <v>عامل</v>
          </cell>
          <cell r="M639">
            <v>43134</v>
          </cell>
          <cell r="N639">
            <v>43500</v>
          </cell>
          <cell r="O639">
            <v>1</v>
          </cell>
          <cell r="P639">
            <v>0</v>
          </cell>
          <cell r="R639">
            <v>30</v>
          </cell>
          <cell r="Z639">
            <v>32570</v>
          </cell>
          <cell r="AI639" t="str">
            <v>ميلاد</v>
          </cell>
          <cell r="AJ639" t="str">
            <v>920211</v>
          </cell>
          <cell r="AS639">
            <v>43500</v>
          </cell>
          <cell r="AT639">
            <v>29</v>
          </cell>
          <cell r="AU639" t="str">
            <v>بطاقه قوميه</v>
          </cell>
          <cell r="AV639" t="str">
            <v>000871041</v>
          </cell>
          <cell r="AW639">
            <v>1</v>
          </cell>
          <cell r="AX639">
            <v>4</v>
          </cell>
          <cell r="AY639">
            <v>0</v>
          </cell>
          <cell r="AZ639">
            <v>1</v>
          </cell>
          <cell r="BA639">
            <v>7</v>
          </cell>
          <cell r="BB639">
            <v>8</v>
          </cell>
          <cell r="BC639">
            <v>0</v>
          </cell>
          <cell r="BD639">
            <v>0</v>
          </cell>
          <cell r="BE639" t="str">
            <v>221-7042553-3</v>
          </cell>
          <cell r="BF639" t="str">
            <v>رقيه طمبل فضل</v>
          </cell>
          <cell r="BG639" t="str">
            <v>جبره</v>
          </cell>
          <cell r="BH639" t="str">
            <v>جبره</v>
          </cell>
          <cell r="BI639" t="str">
            <v>0919627286</v>
          </cell>
          <cell r="BJ639" t="str">
            <v>محمد الياس</v>
          </cell>
          <cell r="BL639" t="str">
            <v>خالي الطرف</v>
          </cell>
          <cell r="BN639">
            <v>43500</v>
          </cell>
          <cell r="EQ639">
            <v>0</v>
          </cell>
          <cell r="FG639" t="str">
            <v xml:space="preserve"> مدير الانتاج</v>
          </cell>
          <cell r="FH639" t="str">
            <v>هشام عيسى محمد عبدالكريم</v>
          </cell>
          <cell r="FI639" t="str">
            <v>221-7042553-3</v>
          </cell>
        </row>
        <row r="640">
          <cell r="A640">
            <v>1000</v>
          </cell>
          <cell r="B640" t="str">
            <v>عادل عبدالفتاح ابراهيم</v>
          </cell>
          <cell r="G640" t="str">
            <v>أجانب</v>
          </cell>
          <cell r="H640" t="str">
            <v>الاداره</v>
          </cell>
          <cell r="I640" t="str">
            <v>الاداره</v>
          </cell>
          <cell r="K640" t="str">
            <v>مدير الحاسوب</v>
          </cell>
          <cell r="L640" t="str">
            <v>المدير العام</v>
          </cell>
          <cell r="N640">
            <v>43500</v>
          </cell>
          <cell r="O640">
            <v>119</v>
          </cell>
          <cell r="P640">
            <v>1</v>
          </cell>
          <cell r="R640">
            <v>3572.5</v>
          </cell>
          <cell r="T640" t="str">
            <v>m</v>
          </cell>
          <cell r="AG640">
            <v>9</v>
          </cell>
          <cell r="AH640">
            <v>1</v>
          </cell>
          <cell r="AS640">
            <v>43500</v>
          </cell>
          <cell r="AT640">
            <v>119</v>
          </cell>
          <cell r="BN640">
            <v>43500</v>
          </cell>
          <cell r="EQ640">
            <v>0</v>
          </cell>
          <cell r="FG640" t="str">
            <v>المدير الادارى</v>
          </cell>
          <cell r="FH640" t="str">
            <v>احمد عبدالرحيم ابوبكر محمد</v>
          </cell>
          <cell r="FI640">
            <v>0</v>
          </cell>
        </row>
        <row r="641">
          <cell r="A641">
            <v>1001</v>
          </cell>
          <cell r="B641" t="str">
            <v>معتز عمر مصطفى حماد</v>
          </cell>
          <cell r="C641" t="str">
            <v>معتز</v>
          </cell>
          <cell r="D641" t="str">
            <v>عمر</v>
          </cell>
          <cell r="E641" t="str">
            <v>مصطفى</v>
          </cell>
          <cell r="F641" t="str">
            <v>حماد</v>
          </cell>
          <cell r="G641" t="str">
            <v>الرئاسه</v>
          </cell>
          <cell r="H641" t="str">
            <v>الكمبيوتر</v>
          </cell>
          <cell r="K641" t="str">
            <v>مهندس كمبيوتر</v>
          </cell>
          <cell r="L641" t="str">
            <v>مدير قسم الكمبيوتر</v>
          </cell>
          <cell r="M641">
            <v>39083</v>
          </cell>
          <cell r="N641">
            <v>43500</v>
          </cell>
          <cell r="O641">
            <v>12</v>
          </cell>
          <cell r="P641">
            <v>1</v>
          </cell>
          <cell r="Q641">
            <v>10</v>
          </cell>
          <cell r="R641">
            <v>352.5</v>
          </cell>
          <cell r="Z641">
            <v>27288</v>
          </cell>
          <cell r="AG641">
            <v>9</v>
          </cell>
          <cell r="AH641">
            <v>1</v>
          </cell>
          <cell r="AI641" t="str">
            <v>ميلاد</v>
          </cell>
          <cell r="AJ641" t="str">
            <v>0052382</v>
          </cell>
          <cell r="AS641">
            <v>43500</v>
          </cell>
          <cell r="AT641">
            <v>44</v>
          </cell>
          <cell r="BE641" t="str">
            <v>101-0078539-9</v>
          </cell>
          <cell r="BF641" t="str">
            <v>بتول خليفه رجب على</v>
          </cell>
          <cell r="BG641" t="str">
            <v>خاص</v>
          </cell>
          <cell r="BN641">
            <v>43500</v>
          </cell>
          <cell r="EF641">
            <v>22</v>
          </cell>
          <cell r="EH641">
            <v>30</v>
          </cell>
          <cell r="EK641">
            <v>30</v>
          </cell>
          <cell r="EM641">
            <v>30</v>
          </cell>
          <cell r="EO641">
            <v>30</v>
          </cell>
          <cell r="EQ641">
            <v>142</v>
          </cell>
          <cell r="ER641">
            <v>163</v>
          </cell>
          <cell r="ES641">
            <v>39083</v>
          </cell>
          <cell r="ET641">
            <v>39447</v>
          </cell>
          <cell r="EU641" t="str">
            <v>مهندس كمبيوتر</v>
          </cell>
          <cell r="FG641" t="str">
            <v>مدير قسم الكمبيوتر</v>
          </cell>
          <cell r="FH641" t="str">
            <v>معتز عمر مصطفى</v>
          </cell>
          <cell r="FI641" t="str">
            <v>101-0078539-9</v>
          </cell>
        </row>
        <row r="642">
          <cell r="A642">
            <v>1002</v>
          </cell>
          <cell r="B642" t="str">
            <v>عبدالله حسن سعيد عبدالكريم</v>
          </cell>
          <cell r="C642" t="str">
            <v>عبدالله</v>
          </cell>
          <cell r="D642" t="str">
            <v>حسن</v>
          </cell>
          <cell r="E642" t="str">
            <v>سعيد</v>
          </cell>
          <cell r="F642" t="str">
            <v>عبدالكريم</v>
          </cell>
          <cell r="G642" t="str">
            <v>الرئاسه</v>
          </cell>
          <cell r="H642" t="str">
            <v>الماليه</v>
          </cell>
          <cell r="K642" t="str">
            <v>محاسب</v>
          </cell>
          <cell r="L642" t="str">
            <v>رئيس حسابات</v>
          </cell>
          <cell r="M642">
            <v>39142</v>
          </cell>
          <cell r="N642">
            <v>43500</v>
          </cell>
          <cell r="O642">
            <v>11</v>
          </cell>
          <cell r="P642">
            <v>11</v>
          </cell>
          <cell r="Q642">
            <v>10</v>
          </cell>
          <cell r="R642">
            <v>347.5</v>
          </cell>
          <cell r="Z642">
            <v>27760</v>
          </cell>
          <cell r="AG642">
            <v>9</v>
          </cell>
          <cell r="AH642">
            <v>1</v>
          </cell>
          <cell r="AI642" t="str">
            <v>تسنين</v>
          </cell>
          <cell r="AJ642" t="str">
            <v>084717</v>
          </cell>
          <cell r="AS642">
            <v>43500</v>
          </cell>
          <cell r="AT642">
            <v>43</v>
          </cell>
          <cell r="AU642" t="str">
            <v>بطاقه شخصيه</v>
          </cell>
          <cell r="AV642" t="str">
            <v>KA001122675</v>
          </cell>
          <cell r="AW642">
            <v>5</v>
          </cell>
          <cell r="AX642">
            <v>7</v>
          </cell>
          <cell r="AY642">
            <v>6</v>
          </cell>
          <cell r="AZ642">
            <v>2</v>
          </cell>
          <cell r="BA642">
            <v>2</v>
          </cell>
          <cell r="BB642">
            <v>1</v>
          </cell>
          <cell r="BC642">
            <v>1</v>
          </cell>
          <cell r="BD642">
            <v>0</v>
          </cell>
          <cell r="BF642" t="str">
            <v>زينب عبدالرحمن محمد</v>
          </cell>
          <cell r="BG642" t="str">
            <v>خاص</v>
          </cell>
          <cell r="BH642" t="str">
            <v>الكلاكلة - القبة</v>
          </cell>
          <cell r="BN642">
            <v>43500</v>
          </cell>
          <cell r="BS642" t="str">
            <v>الاقتصاد</v>
          </cell>
          <cell r="BT642" t="str">
            <v>بكلاريوس الشرف</v>
          </cell>
          <cell r="BU642" t="str">
            <v>جامعة النيلين</v>
          </cell>
          <cell r="BV642">
            <v>38248</v>
          </cell>
          <cell r="BW642" t="str">
            <v>محاسبه الكترونية</v>
          </cell>
          <cell r="BX642" t="str">
            <v>دبلوم (معاهد)</v>
          </cell>
          <cell r="BY642" t="str">
            <v>دريمز تور كمبيوتر</v>
          </cell>
          <cell r="BZ642">
            <v>38617</v>
          </cell>
          <cell r="CA642" t="str">
            <v>حاسوب</v>
          </cell>
          <cell r="CB642" t="str">
            <v>دبلوم (معاهد)</v>
          </cell>
          <cell r="CC642" t="str">
            <v>International Internet Club</v>
          </cell>
          <cell r="CD642">
            <v>38414</v>
          </cell>
          <cell r="CQ642" t="str">
            <v>قندق السفير</v>
          </cell>
          <cell r="CR642" t="str">
            <v>موظف حسابات</v>
          </cell>
          <cell r="CS642">
            <v>37257</v>
          </cell>
          <cell r="CT642">
            <v>38506</v>
          </cell>
          <cell r="EK642">
            <v>60</v>
          </cell>
          <cell r="EQ642">
            <v>60</v>
          </cell>
          <cell r="ER642">
            <v>185</v>
          </cell>
          <cell r="ES642">
            <v>39142</v>
          </cell>
          <cell r="ET642">
            <v>39506</v>
          </cell>
          <cell r="EU642" t="str">
            <v>محاسب</v>
          </cell>
          <cell r="FG642" t="str">
            <v>المدير المالي</v>
          </cell>
          <cell r="FH642" t="str">
            <v>بالانابه</v>
          </cell>
          <cell r="FI642">
            <v>0</v>
          </cell>
        </row>
        <row r="643">
          <cell r="A643">
            <v>1003</v>
          </cell>
          <cell r="B643" t="str">
            <v>بلال عثمان بلال صالح</v>
          </cell>
          <cell r="C643" t="str">
            <v>بلال</v>
          </cell>
          <cell r="D643" t="str">
            <v>عثمان</v>
          </cell>
          <cell r="E643" t="str">
            <v>بلال</v>
          </cell>
          <cell r="F643" t="str">
            <v>صالح</v>
          </cell>
          <cell r="G643" t="str">
            <v>الرئاسه</v>
          </cell>
          <cell r="H643" t="str">
            <v>الماليه</v>
          </cell>
          <cell r="K643" t="str">
            <v>صراف</v>
          </cell>
          <cell r="L643" t="str">
            <v>محاسب</v>
          </cell>
          <cell r="M643">
            <v>39142</v>
          </cell>
          <cell r="N643">
            <v>43500</v>
          </cell>
          <cell r="O643">
            <v>11</v>
          </cell>
          <cell r="P643">
            <v>11</v>
          </cell>
          <cell r="Q643">
            <v>10</v>
          </cell>
          <cell r="R643">
            <v>347.5</v>
          </cell>
          <cell r="Z643">
            <v>22282</v>
          </cell>
          <cell r="AG643">
            <v>9</v>
          </cell>
          <cell r="AH643">
            <v>1</v>
          </cell>
          <cell r="AI643" t="str">
            <v>تسنين</v>
          </cell>
          <cell r="AJ643" t="str">
            <v>967384</v>
          </cell>
          <cell r="AS643">
            <v>43500</v>
          </cell>
          <cell r="AT643">
            <v>58</v>
          </cell>
          <cell r="AU643" t="str">
            <v>بطاقه قوميه</v>
          </cell>
          <cell r="AV643" t="str">
            <v>004273532</v>
          </cell>
          <cell r="AW643">
            <v>2</v>
          </cell>
          <cell r="AX643">
            <v>3</v>
          </cell>
          <cell r="AY643">
            <v>5</v>
          </cell>
          <cell r="AZ643">
            <v>3</v>
          </cell>
          <cell r="BA643">
            <v>7</v>
          </cell>
          <cell r="BB643">
            <v>2</v>
          </cell>
          <cell r="BC643">
            <v>4</v>
          </cell>
          <cell r="BD643">
            <v>0</v>
          </cell>
          <cell r="BE643" t="str">
            <v>120-6019621-3</v>
          </cell>
          <cell r="BF643" t="str">
            <v>امنه عبدالرازق</v>
          </cell>
          <cell r="BH643" t="str">
            <v>الصحافه وسط - م 34 - منزل 32</v>
          </cell>
          <cell r="BL643" t="str">
            <v>خالي الطرف</v>
          </cell>
          <cell r="BN643">
            <v>43500</v>
          </cell>
          <cell r="EH643">
            <v>30</v>
          </cell>
          <cell r="EI643">
            <v>55</v>
          </cell>
          <cell r="EJ643">
            <v>30</v>
          </cell>
          <cell r="EL643">
            <v>30</v>
          </cell>
          <cell r="EM643">
            <v>30</v>
          </cell>
          <cell r="EO643">
            <v>30</v>
          </cell>
          <cell r="EQ643">
            <v>265</v>
          </cell>
          <cell r="ER643">
            <v>6</v>
          </cell>
          <cell r="ES643">
            <v>39142</v>
          </cell>
          <cell r="ET643">
            <v>39506</v>
          </cell>
          <cell r="EU643" t="str">
            <v>صراف</v>
          </cell>
          <cell r="FG643" t="str">
            <v>المدير المالي</v>
          </cell>
          <cell r="FH643" t="str">
            <v>بالانابه</v>
          </cell>
          <cell r="FI643" t="str">
            <v>120-6019621-3</v>
          </cell>
          <cell r="HC643" t="str">
            <v>60</v>
          </cell>
        </row>
        <row r="644">
          <cell r="A644">
            <v>1004</v>
          </cell>
          <cell r="B644" t="str">
            <v>مجدى شمس الدين محمد بابكر</v>
          </cell>
          <cell r="C644" t="str">
            <v>مجدى</v>
          </cell>
          <cell r="D644" t="str">
            <v>شمس الدين</v>
          </cell>
          <cell r="E644" t="str">
            <v>محمد</v>
          </cell>
          <cell r="F644" t="str">
            <v>بابكر</v>
          </cell>
          <cell r="G644" t="str">
            <v>الرئاسه</v>
          </cell>
          <cell r="H644" t="str">
            <v>المبيعات</v>
          </cell>
          <cell r="L644" t="str">
            <v>مبيعات</v>
          </cell>
          <cell r="M644">
            <v>39142</v>
          </cell>
          <cell r="N644">
            <v>43500</v>
          </cell>
          <cell r="O644">
            <v>11</v>
          </cell>
          <cell r="P644">
            <v>11</v>
          </cell>
          <cell r="Q644">
            <v>10</v>
          </cell>
          <cell r="R644">
            <v>347.5</v>
          </cell>
          <cell r="T644" t="str">
            <v>توفي</v>
          </cell>
          <cell r="Z644">
            <v>21535</v>
          </cell>
          <cell r="AG644">
            <v>9</v>
          </cell>
          <cell r="AH644">
            <v>1</v>
          </cell>
          <cell r="AI644" t="str">
            <v>ميلاد</v>
          </cell>
          <cell r="AJ644" t="str">
            <v>196309</v>
          </cell>
          <cell r="AS644">
            <v>43500</v>
          </cell>
          <cell r="AT644">
            <v>60</v>
          </cell>
          <cell r="BE644" t="str">
            <v>120-9914853-4</v>
          </cell>
          <cell r="BF644" t="str">
            <v>مريم على طه</v>
          </cell>
          <cell r="BG644" t="str">
            <v>خاص</v>
          </cell>
          <cell r="BN644">
            <v>43500</v>
          </cell>
          <cell r="EG644">
            <v>30</v>
          </cell>
          <cell r="EH644">
            <v>30</v>
          </cell>
          <cell r="EI644">
            <v>30</v>
          </cell>
          <cell r="EK644">
            <v>30</v>
          </cell>
          <cell r="EQ644">
            <v>150</v>
          </cell>
          <cell r="ER644">
            <v>82</v>
          </cell>
          <cell r="ES644">
            <v>39142</v>
          </cell>
          <cell r="ET644">
            <v>39506</v>
          </cell>
          <cell r="EU644" t="str">
            <v>موظف مبيعات</v>
          </cell>
          <cell r="FG644" t="str">
            <v>المدير العام</v>
          </cell>
          <cell r="FH644" t="str">
            <v>بالانابه</v>
          </cell>
          <cell r="FI644" t="str">
            <v>120-9914853-4</v>
          </cell>
          <cell r="HC644" t="str">
            <v>30</v>
          </cell>
        </row>
        <row r="645">
          <cell r="A645">
            <v>1005</v>
          </cell>
          <cell r="B645" t="str">
            <v>سيف الدين محمد حسين احمد</v>
          </cell>
          <cell r="C645" t="str">
            <v>سيف الدين</v>
          </cell>
          <cell r="D645" t="str">
            <v>محمد</v>
          </cell>
          <cell r="E645" t="str">
            <v>حسين</v>
          </cell>
          <cell r="F645" t="str">
            <v>احمد</v>
          </cell>
          <cell r="G645" t="str">
            <v>الرئاسه</v>
          </cell>
          <cell r="H645" t="str">
            <v>الموارد البشريه</v>
          </cell>
          <cell r="I645" t="str">
            <v>موظف</v>
          </cell>
          <cell r="K645" t="str">
            <v>موظف شئون افراد</v>
          </cell>
          <cell r="L645" t="str">
            <v>موظف موارد بشريه</v>
          </cell>
          <cell r="M645">
            <v>39052</v>
          </cell>
          <cell r="N645">
            <v>43500</v>
          </cell>
          <cell r="O645">
            <v>12</v>
          </cell>
          <cell r="P645">
            <v>2</v>
          </cell>
          <cell r="Q645">
            <v>10</v>
          </cell>
          <cell r="R645">
            <v>355</v>
          </cell>
          <cell r="Z645">
            <v>20875</v>
          </cell>
          <cell r="AG645">
            <v>9</v>
          </cell>
          <cell r="AH645">
            <v>1</v>
          </cell>
          <cell r="AI645" t="str">
            <v>ميلاد</v>
          </cell>
          <cell r="AJ645" t="str">
            <v>10018</v>
          </cell>
          <cell r="AS645">
            <v>43500</v>
          </cell>
          <cell r="AT645">
            <v>61</v>
          </cell>
          <cell r="AU645" t="str">
            <v>جنسيه</v>
          </cell>
          <cell r="AV645" t="str">
            <v>158673</v>
          </cell>
          <cell r="AW645">
            <v>3</v>
          </cell>
          <cell r="AX645">
            <v>7</v>
          </cell>
          <cell r="AY645">
            <v>6</v>
          </cell>
          <cell r="AZ645">
            <v>8</v>
          </cell>
          <cell r="BA645">
            <v>5</v>
          </cell>
          <cell r="BB645">
            <v>1</v>
          </cell>
          <cell r="BF645" t="str">
            <v>حليمه خميس</v>
          </cell>
          <cell r="BI645" t="str">
            <v>0915052436</v>
          </cell>
          <cell r="BN645">
            <v>43500</v>
          </cell>
          <cell r="BT645" t="str">
            <v>شهاده ثانويه</v>
          </cell>
          <cell r="BV645">
            <v>29281</v>
          </cell>
          <cell r="BW645" t="str">
            <v>مخازن</v>
          </cell>
          <cell r="BX645" t="str">
            <v>شهاده دورة تدريب</v>
          </cell>
          <cell r="BY645" t="str">
            <v>معهد تدريب ضباط الامداد</v>
          </cell>
          <cell r="BZ645">
            <v>33100</v>
          </cell>
          <cell r="CQ645" t="str">
            <v>الهيئة القومية للغابات</v>
          </cell>
          <cell r="CR645" t="str">
            <v>مخازن - كاتب</v>
          </cell>
          <cell r="CS645">
            <v>28672</v>
          </cell>
          <cell r="CT645">
            <v>37226</v>
          </cell>
          <cell r="EJ645">
            <v>30</v>
          </cell>
          <cell r="EK645">
            <v>30</v>
          </cell>
          <cell r="EL645">
            <v>30</v>
          </cell>
          <cell r="EM645">
            <v>30</v>
          </cell>
          <cell r="EO645">
            <v>30</v>
          </cell>
          <cell r="EQ645">
            <v>180</v>
          </cell>
          <cell r="ER645">
            <v>20</v>
          </cell>
          <cell r="FG645" t="str">
            <v>نائب مدير الموارد المكلف</v>
          </cell>
          <cell r="FH645" t="str">
            <v>محمد على عبدالرحيم ابوبكر</v>
          </cell>
          <cell r="FI645">
            <v>0</v>
          </cell>
          <cell r="HC645" t="str">
            <v>30</v>
          </cell>
        </row>
        <row r="646">
          <cell r="A646">
            <v>1006</v>
          </cell>
          <cell r="B646" t="str">
            <v>المعز احمد سعيد احمد</v>
          </cell>
          <cell r="C646" t="str">
            <v>المعز</v>
          </cell>
          <cell r="D646" t="str">
            <v>احمد</v>
          </cell>
          <cell r="E646" t="str">
            <v>سعيد</v>
          </cell>
          <cell r="F646" t="str">
            <v>احمد</v>
          </cell>
          <cell r="G646" t="str">
            <v>الرئاسه</v>
          </cell>
          <cell r="H646" t="str">
            <v>العلاقات العامه</v>
          </cell>
          <cell r="L646" t="str">
            <v>مستشار</v>
          </cell>
          <cell r="M646">
            <v>39995</v>
          </cell>
          <cell r="N646">
            <v>43500</v>
          </cell>
          <cell r="O646">
            <v>9</v>
          </cell>
          <cell r="P646">
            <v>7</v>
          </cell>
          <cell r="R646">
            <v>287.5</v>
          </cell>
          <cell r="AG646">
            <v>9</v>
          </cell>
          <cell r="AH646">
            <v>1</v>
          </cell>
          <cell r="AS646">
            <v>43500</v>
          </cell>
          <cell r="AT646">
            <v>119</v>
          </cell>
          <cell r="BG646" t="str">
            <v>خاص</v>
          </cell>
          <cell r="BN646">
            <v>43500</v>
          </cell>
          <cell r="EJ646">
            <v>60</v>
          </cell>
          <cell r="EK646">
            <v>30</v>
          </cell>
          <cell r="EM646">
            <v>30</v>
          </cell>
          <cell r="EQ646">
            <v>120</v>
          </cell>
          <cell r="FG646" t="str">
            <v>المدير العام</v>
          </cell>
          <cell r="FH646" t="str">
            <v>بالانابه</v>
          </cell>
          <cell r="FI646">
            <v>0</v>
          </cell>
        </row>
        <row r="647">
          <cell r="A647">
            <v>1007</v>
          </cell>
          <cell r="B647" t="str">
            <v>بله حامد ابراهيم</v>
          </cell>
          <cell r="C647" t="str">
            <v>بله</v>
          </cell>
          <cell r="D647" t="str">
            <v>حامد</v>
          </cell>
          <cell r="E647" t="str">
            <v>ابراهيم</v>
          </cell>
          <cell r="G647" t="str">
            <v>الرئاسه</v>
          </cell>
          <cell r="H647" t="str">
            <v>العلاقات العامه</v>
          </cell>
          <cell r="L647" t="str">
            <v>مخلص</v>
          </cell>
          <cell r="M647">
            <v>39142</v>
          </cell>
          <cell r="N647">
            <v>43500</v>
          </cell>
          <cell r="O647">
            <v>11</v>
          </cell>
          <cell r="P647">
            <v>11</v>
          </cell>
          <cell r="Q647">
            <v>10</v>
          </cell>
          <cell r="R647">
            <v>347.5</v>
          </cell>
          <cell r="Z647">
            <v>22282</v>
          </cell>
          <cell r="AG647">
            <v>9</v>
          </cell>
          <cell r="AH647">
            <v>1</v>
          </cell>
          <cell r="AS647">
            <v>43500</v>
          </cell>
          <cell r="AT647">
            <v>58</v>
          </cell>
          <cell r="BN647">
            <v>43500</v>
          </cell>
          <cell r="EI647">
            <v>30</v>
          </cell>
          <cell r="EJ647">
            <v>60</v>
          </cell>
          <cell r="EL647">
            <v>30</v>
          </cell>
          <cell r="EM647">
            <v>30</v>
          </cell>
          <cell r="EN647">
            <v>60</v>
          </cell>
          <cell r="EP647">
            <v>30</v>
          </cell>
          <cell r="EQ647">
            <v>270</v>
          </cell>
          <cell r="ER647">
            <v>37</v>
          </cell>
          <cell r="FG647" t="str">
            <v>المدير العام</v>
          </cell>
          <cell r="FH647" t="str">
            <v>بالانابه</v>
          </cell>
          <cell r="FI647">
            <v>0</v>
          </cell>
          <cell r="HC647" t="str">
            <v>30</v>
          </cell>
        </row>
        <row r="648">
          <cell r="A648">
            <v>1008</v>
          </cell>
          <cell r="B648" t="str">
            <v>فايز عوض ابراهيم محمد</v>
          </cell>
          <cell r="C648" t="str">
            <v>فائز</v>
          </cell>
          <cell r="D648" t="str">
            <v>عوض</v>
          </cell>
          <cell r="E648" t="str">
            <v>ابراهيم</v>
          </cell>
          <cell r="F648" t="str">
            <v>محمد</v>
          </cell>
          <cell r="G648" t="str">
            <v>الرئاسه</v>
          </cell>
          <cell r="H648" t="str">
            <v>العلاقات العامه</v>
          </cell>
          <cell r="K648" t="str">
            <v>علاقات عامة</v>
          </cell>
          <cell r="L648" t="str">
            <v>علاقات عامه</v>
          </cell>
          <cell r="M648">
            <v>39142</v>
          </cell>
          <cell r="N648">
            <v>43500</v>
          </cell>
          <cell r="O648">
            <v>11</v>
          </cell>
          <cell r="P648">
            <v>11</v>
          </cell>
          <cell r="Q648">
            <v>10</v>
          </cell>
          <cell r="R648">
            <v>347.5</v>
          </cell>
          <cell r="AG648">
            <v>9</v>
          </cell>
          <cell r="AH648">
            <v>1</v>
          </cell>
          <cell r="AS648">
            <v>43500</v>
          </cell>
          <cell r="AT648">
            <v>119</v>
          </cell>
          <cell r="BG648" t="str">
            <v>خاص</v>
          </cell>
          <cell r="BN648">
            <v>43500</v>
          </cell>
          <cell r="EH648">
            <v>30</v>
          </cell>
          <cell r="EI648">
            <v>30</v>
          </cell>
          <cell r="EJ648">
            <v>30</v>
          </cell>
          <cell r="EK648">
            <v>60</v>
          </cell>
          <cell r="EM648">
            <v>60</v>
          </cell>
          <cell r="EO648">
            <v>30</v>
          </cell>
          <cell r="EP648">
            <v>30</v>
          </cell>
          <cell r="EQ648">
            <v>300</v>
          </cell>
          <cell r="ER648">
            <v>11</v>
          </cell>
          <cell r="ES648">
            <v>39142</v>
          </cell>
          <cell r="ET648">
            <v>39506</v>
          </cell>
          <cell r="EU648" t="str">
            <v>علاقات عامة</v>
          </cell>
          <cell r="FG648" t="str">
            <v>المدير العام</v>
          </cell>
          <cell r="FH648" t="str">
            <v>بالانابه</v>
          </cell>
          <cell r="FI648">
            <v>0</v>
          </cell>
          <cell r="HC648" t="str">
            <v>30</v>
          </cell>
        </row>
        <row r="649">
          <cell r="A649">
            <v>1009</v>
          </cell>
          <cell r="B649" t="str">
            <v>عثمان سراج عوض على</v>
          </cell>
          <cell r="C649" t="str">
            <v>عثمان</v>
          </cell>
          <cell r="D649" t="str">
            <v>سراج</v>
          </cell>
          <cell r="E649" t="str">
            <v>عوض</v>
          </cell>
          <cell r="F649" t="str">
            <v>على</v>
          </cell>
          <cell r="G649" t="str">
            <v>الرئاسه</v>
          </cell>
          <cell r="H649" t="str">
            <v>التحصيل</v>
          </cell>
          <cell r="K649" t="str">
            <v>متحصل</v>
          </cell>
          <cell r="M649">
            <v>39142</v>
          </cell>
          <cell r="N649">
            <v>43500</v>
          </cell>
          <cell r="O649">
            <v>11</v>
          </cell>
          <cell r="P649">
            <v>11</v>
          </cell>
          <cell r="Q649">
            <v>10</v>
          </cell>
          <cell r="R649">
            <v>347.5</v>
          </cell>
          <cell r="AG649">
            <v>9</v>
          </cell>
          <cell r="AH649">
            <v>1</v>
          </cell>
          <cell r="AS649">
            <v>43500</v>
          </cell>
          <cell r="AT649">
            <v>119</v>
          </cell>
          <cell r="BG649" t="str">
            <v>خاص</v>
          </cell>
          <cell r="BI649" t="str">
            <v>0912356486</v>
          </cell>
          <cell r="BN649">
            <v>43500</v>
          </cell>
          <cell r="EH649">
            <v>30</v>
          </cell>
          <cell r="EI649">
            <v>30</v>
          </cell>
          <cell r="EJ649">
            <v>30</v>
          </cell>
          <cell r="EK649">
            <v>60</v>
          </cell>
          <cell r="EL649">
            <v>30</v>
          </cell>
          <cell r="EM649">
            <v>30</v>
          </cell>
          <cell r="EN649">
            <v>15</v>
          </cell>
          <cell r="EP649">
            <v>30</v>
          </cell>
          <cell r="EQ649">
            <v>285</v>
          </cell>
          <cell r="ER649">
            <v>36</v>
          </cell>
          <cell r="ES649">
            <v>39142</v>
          </cell>
          <cell r="ET649">
            <v>39506</v>
          </cell>
          <cell r="EU649" t="str">
            <v>متحصل</v>
          </cell>
          <cell r="FG649" t="e">
            <v>#N/A</v>
          </cell>
          <cell r="FH649" t="e">
            <v>#N/A</v>
          </cell>
          <cell r="FI649">
            <v>0</v>
          </cell>
          <cell r="HC649" t="str">
            <v>30</v>
          </cell>
        </row>
        <row r="650">
          <cell r="A650">
            <v>1010</v>
          </cell>
          <cell r="B650" t="str">
            <v>ميرغنى طه سوركتى شكرليه</v>
          </cell>
          <cell r="C650" t="str">
            <v>ميرغنى</v>
          </cell>
          <cell r="D650" t="str">
            <v>طه</v>
          </cell>
          <cell r="E650" t="str">
            <v>سوركتى</v>
          </cell>
          <cell r="F650" t="str">
            <v>شكرليه</v>
          </cell>
          <cell r="G650" t="str">
            <v>الرئاسه</v>
          </cell>
          <cell r="H650" t="str">
            <v>الخدمات</v>
          </cell>
          <cell r="K650" t="str">
            <v>عامل</v>
          </cell>
          <cell r="L650" t="str">
            <v>عامل</v>
          </cell>
          <cell r="M650">
            <v>39995</v>
          </cell>
          <cell r="N650">
            <v>43500</v>
          </cell>
          <cell r="O650">
            <v>9</v>
          </cell>
          <cell r="P650">
            <v>7</v>
          </cell>
          <cell r="R650">
            <v>287.5</v>
          </cell>
          <cell r="Z650">
            <v>27395</v>
          </cell>
          <cell r="AG650">
            <v>9</v>
          </cell>
          <cell r="AH650">
            <v>1</v>
          </cell>
          <cell r="AI650" t="str">
            <v>تسنين</v>
          </cell>
          <cell r="AJ650" t="str">
            <v>499290</v>
          </cell>
          <cell r="AS650">
            <v>43500</v>
          </cell>
          <cell r="AT650">
            <v>44</v>
          </cell>
          <cell r="AU650" t="str">
            <v>بطاقه قوميه</v>
          </cell>
          <cell r="AV650" t="str">
            <v>002565255</v>
          </cell>
          <cell r="AW650">
            <v>5</v>
          </cell>
          <cell r="AX650">
            <v>5</v>
          </cell>
          <cell r="AY650">
            <v>2</v>
          </cell>
          <cell r="AZ650">
            <v>5</v>
          </cell>
          <cell r="BA650">
            <v>6</v>
          </cell>
          <cell r="BB650">
            <v>5</v>
          </cell>
          <cell r="BC650">
            <v>2</v>
          </cell>
          <cell r="BD650">
            <v>0</v>
          </cell>
          <cell r="BE650" t="str">
            <v>119-8562029-2</v>
          </cell>
          <cell r="BF650" t="str">
            <v>مناره عمر شكر الله</v>
          </cell>
          <cell r="BH650" t="str">
            <v>امبده - دار الارقم</v>
          </cell>
          <cell r="BI650" t="str">
            <v>0915136301</v>
          </cell>
          <cell r="BN650">
            <v>43500</v>
          </cell>
          <cell r="EI650">
            <v>30</v>
          </cell>
          <cell r="EJ650">
            <v>30</v>
          </cell>
          <cell r="EK650">
            <v>30</v>
          </cell>
          <cell r="EL650">
            <v>25</v>
          </cell>
          <cell r="EM650">
            <v>30</v>
          </cell>
          <cell r="EN650">
            <v>30</v>
          </cell>
          <cell r="EP650">
            <v>30</v>
          </cell>
          <cell r="EQ650">
            <v>235</v>
          </cell>
          <cell r="ER650">
            <v>10</v>
          </cell>
          <cell r="FG650" t="str">
            <v>المدير الادارى</v>
          </cell>
          <cell r="FH650" t="str">
            <v>احمد عبدالرحيم ابوبكر محمد</v>
          </cell>
          <cell r="FI650" t="str">
            <v>119-8562029-2</v>
          </cell>
          <cell r="HC650" t="str">
            <v>30</v>
          </cell>
        </row>
        <row r="651">
          <cell r="A651">
            <v>1011</v>
          </cell>
          <cell r="B651" t="str">
            <v>محمد مهدى ابو محمد</v>
          </cell>
          <cell r="C651" t="str">
            <v>محمد</v>
          </cell>
          <cell r="D651" t="str">
            <v>مهدى</v>
          </cell>
          <cell r="E651" t="str">
            <v>ابو</v>
          </cell>
          <cell r="F651" t="str">
            <v>محمد</v>
          </cell>
          <cell r="G651" t="str">
            <v>الرئاسه</v>
          </cell>
          <cell r="H651" t="str">
            <v>الخدمات</v>
          </cell>
          <cell r="L651" t="str">
            <v>عامل</v>
          </cell>
          <cell r="M651">
            <v>39264</v>
          </cell>
          <cell r="N651">
            <v>43500</v>
          </cell>
          <cell r="O651">
            <v>11</v>
          </cell>
          <cell r="P651">
            <v>7</v>
          </cell>
          <cell r="Q651">
            <v>10</v>
          </cell>
          <cell r="R651">
            <v>337.5</v>
          </cell>
          <cell r="Z651">
            <v>23743</v>
          </cell>
          <cell r="AG651">
            <v>9</v>
          </cell>
          <cell r="AH651">
            <v>1</v>
          </cell>
          <cell r="AI651" t="str">
            <v>تسنين</v>
          </cell>
          <cell r="AJ651" t="str">
            <v>934123</v>
          </cell>
          <cell r="AS651">
            <v>43500</v>
          </cell>
          <cell r="AT651">
            <v>54</v>
          </cell>
          <cell r="AU651" t="str">
            <v>جنسيه</v>
          </cell>
          <cell r="AV651" t="str">
            <v>422550</v>
          </cell>
          <cell r="BN651">
            <v>43500</v>
          </cell>
          <cell r="CQ651" t="str">
            <v>المصنع السودانى الماليزى</v>
          </cell>
          <cell r="CR651" t="str">
            <v>عامل</v>
          </cell>
          <cell r="CS651">
            <v>36800</v>
          </cell>
          <cell r="CT651">
            <v>39258</v>
          </cell>
          <cell r="EH651">
            <v>60</v>
          </cell>
          <cell r="EI651">
            <v>30</v>
          </cell>
          <cell r="EK651">
            <v>30</v>
          </cell>
          <cell r="EL651">
            <v>30</v>
          </cell>
          <cell r="EM651">
            <v>30</v>
          </cell>
          <cell r="EN651">
            <v>30</v>
          </cell>
          <cell r="EO651">
            <v>30</v>
          </cell>
          <cell r="EP651">
            <v>30</v>
          </cell>
          <cell r="EQ651">
            <v>300</v>
          </cell>
          <cell r="ER651">
            <v>17</v>
          </cell>
          <cell r="FG651" t="str">
            <v>المدير الادارى</v>
          </cell>
          <cell r="FH651" t="str">
            <v>احمد عبدالرحيم ابوبكر محمد</v>
          </cell>
          <cell r="FI651">
            <v>0</v>
          </cell>
          <cell r="HC651" t="str">
            <v>30</v>
          </cell>
        </row>
        <row r="652">
          <cell r="A652">
            <v>1012</v>
          </cell>
          <cell r="B652" t="str">
            <v>مايكل يوهانس</v>
          </cell>
          <cell r="C652" t="str">
            <v>مايكل</v>
          </cell>
          <cell r="D652" t="str">
            <v>يوهانس</v>
          </cell>
          <cell r="G652" t="str">
            <v>الرئاسه</v>
          </cell>
          <cell r="H652" t="str">
            <v>الخدمات</v>
          </cell>
          <cell r="K652" t="str">
            <v>عامل</v>
          </cell>
          <cell r="L652" t="str">
            <v>عامل</v>
          </cell>
          <cell r="M652">
            <v>39142</v>
          </cell>
          <cell r="N652">
            <v>43500</v>
          </cell>
          <cell r="O652">
            <v>11</v>
          </cell>
          <cell r="P652">
            <v>11</v>
          </cell>
          <cell r="Q652">
            <v>10</v>
          </cell>
          <cell r="R652">
            <v>347.5</v>
          </cell>
          <cell r="Z652">
            <v>24108</v>
          </cell>
          <cell r="AG652">
            <v>9</v>
          </cell>
          <cell r="AH652">
            <v>1</v>
          </cell>
          <cell r="AI652" t="str">
            <v>تسنين</v>
          </cell>
          <cell r="AJ652" t="str">
            <v>10780</v>
          </cell>
          <cell r="AS652">
            <v>43500</v>
          </cell>
          <cell r="AT652">
            <v>53</v>
          </cell>
          <cell r="BN652">
            <v>43500</v>
          </cell>
          <cell r="EI652">
            <v>60</v>
          </cell>
          <cell r="EK652">
            <v>30</v>
          </cell>
          <cell r="EL652">
            <v>30</v>
          </cell>
          <cell r="EM652">
            <v>30</v>
          </cell>
          <cell r="EN652">
            <v>60</v>
          </cell>
          <cell r="EO652">
            <v>30</v>
          </cell>
          <cell r="EQ652">
            <v>270</v>
          </cell>
          <cell r="ER652">
            <v>9</v>
          </cell>
          <cell r="ES652">
            <v>39142</v>
          </cell>
          <cell r="ET652">
            <v>39506</v>
          </cell>
          <cell r="EU652" t="str">
            <v>عامل</v>
          </cell>
          <cell r="FG652" t="str">
            <v>المدير الادارى</v>
          </cell>
          <cell r="FH652" t="str">
            <v>احمد عبدالرحيم ابوبكر محمد</v>
          </cell>
          <cell r="FI652">
            <v>0</v>
          </cell>
          <cell r="HC652" t="str">
            <v>30</v>
          </cell>
        </row>
        <row r="653">
          <cell r="A653">
            <v>1013</v>
          </cell>
          <cell r="B653" t="str">
            <v>عمر العوض حسن الامام</v>
          </cell>
          <cell r="C653" t="str">
            <v>عمر</v>
          </cell>
          <cell r="D653" t="str">
            <v>العوض</v>
          </cell>
          <cell r="E653" t="str">
            <v>حسن</v>
          </cell>
          <cell r="F653" t="str">
            <v>الامام</v>
          </cell>
          <cell r="G653" t="str">
            <v>الرئاسه</v>
          </cell>
          <cell r="H653" t="str">
            <v>الماليه</v>
          </cell>
          <cell r="L653" t="str">
            <v>محاسب</v>
          </cell>
          <cell r="M653">
            <v>41365</v>
          </cell>
          <cell r="N653">
            <v>43500</v>
          </cell>
          <cell r="O653">
            <v>5</v>
          </cell>
          <cell r="P653">
            <v>10</v>
          </cell>
          <cell r="R653">
            <v>175</v>
          </cell>
          <cell r="Z653">
            <v>22647</v>
          </cell>
          <cell r="AG653">
            <v>9</v>
          </cell>
          <cell r="AH653">
            <v>1</v>
          </cell>
          <cell r="AI653" t="str">
            <v>تسنين</v>
          </cell>
          <cell r="AJ653" t="str">
            <v>596922</v>
          </cell>
          <cell r="AS653">
            <v>43500</v>
          </cell>
          <cell r="AT653">
            <v>57</v>
          </cell>
          <cell r="AU653" t="str">
            <v>بطاقه قوميه</v>
          </cell>
          <cell r="AV653" t="str">
            <v>002578042</v>
          </cell>
          <cell r="AW653">
            <v>2</v>
          </cell>
          <cell r="AX653">
            <v>4</v>
          </cell>
          <cell r="AY653">
            <v>0</v>
          </cell>
          <cell r="AZ653">
            <v>8</v>
          </cell>
          <cell r="BA653">
            <v>7</v>
          </cell>
          <cell r="BB653">
            <v>5</v>
          </cell>
          <cell r="BC653">
            <v>2</v>
          </cell>
          <cell r="BD653">
            <v>0</v>
          </cell>
          <cell r="BE653" t="str">
            <v>112-0619042-4</v>
          </cell>
          <cell r="BL653" t="str">
            <v>كبار سن</v>
          </cell>
          <cell r="BN653">
            <v>43500</v>
          </cell>
          <cell r="BS653" t="str">
            <v>محاسبة</v>
          </cell>
          <cell r="BT653" t="str">
            <v>بكلاريوس</v>
          </cell>
          <cell r="BU653" t="str">
            <v>جامعة القاهرة - فرع الخرطوم</v>
          </cell>
          <cell r="BV653">
            <v>32051</v>
          </cell>
          <cell r="BW653" t="str">
            <v>تسويق مصرفى</v>
          </cell>
          <cell r="BX653" t="str">
            <v>شهاده دورة تدريب</v>
          </cell>
          <cell r="BY653" t="str">
            <v>المعهد العالى للدراسات المصرفية</v>
          </cell>
          <cell r="BZ653">
            <v>36412</v>
          </cell>
          <cell r="EM653">
            <v>30</v>
          </cell>
          <cell r="EN653">
            <v>30</v>
          </cell>
          <cell r="EO653">
            <v>30</v>
          </cell>
          <cell r="EP653">
            <v>30</v>
          </cell>
          <cell r="EQ653">
            <v>120</v>
          </cell>
          <cell r="ER653">
            <v>8</v>
          </cell>
          <cell r="FG653" t="str">
            <v>المدير المالي</v>
          </cell>
          <cell r="FH653" t="str">
            <v>بالانابه</v>
          </cell>
          <cell r="FI653" t="str">
            <v>112-0619042-4</v>
          </cell>
        </row>
        <row r="654">
          <cell r="A654">
            <v>1014</v>
          </cell>
          <cell r="B654" t="str">
            <v>عمر احمد محمد عمر</v>
          </cell>
          <cell r="C654" t="str">
            <v>عمر</v>
          </cell>
          <cell r="D654" t="str">
            <v>احمد</v>
          </cell>
          <cell r="E654" t="str">
            <v>محمد</v>
          </cell>
          <cell r="F654" t="str">
            <v>عمر</v>
          </cell>
          <cell r="G654" t="str">
            <v>الرئاسه</v>
          </cell>
          <cell r="H654" t="str">
            <v>الاداره</v>
          </cell>
          <cell r="K654" t="str">
            <v>امين مستودع</v>
          </cell>
          <cell r="L654" t="str">
            <v>محاسب</v>
          </cell>
          <cell r="M654">
            <v>41262</v>
          </cell>
          <cell r="N654">
            <v>43500</v>
          </cell>
          <cell r="O654">
            <v>6</v>
          </cell>
          <cell r="P654">
            <v>1</v>
          </cell>
          <cell r="R654">
            <v>182.5</v>
          </cell>
          <cell r="Z654">
            <v>22632</v>
          </cell>
          <cell r="AG654">
            <v>9</v>
          </cell>
          <cell r="AH654">
            <v>1</v>
          </cell>
          <cell r="AI654" t="str">
            <v>ميلاد</v>
          </cell>
          <cell r="AJ654" t="str">
            <v>291209</v>
          </cell>
          <cell r="AS654">
            <v>43500</v>
          </cell>
          <cell r="AT654">
            <v>57</v>
          </cell>
          <cell r="AU654" t="str">
            <v>جنسيه</v>
          </cell>
          <cell r="AV654" t="str">
            <v>889558</v>
          </cell>
          <cell r="AW654">
            <v>8</v>
          </cell>
          <cell r="AX654">
            <v>5</v>
          </cell>
          <cell r="AY654">
            <v>5</v>
          </cell>
          <cell r="AZ654">
            <v>9</v>
          </cell>
          <cell r="BA654">
            <v>8</v>
          </cell>
          <cell r="BB654">
            <v>8</v>
          </cell>
          <cell r="BE654" t="str">
            <v>114-2988328-9</v>
          </cell>
          <cell r="BF654" t="str">
            <v>زينب عبدالحليم</v>
          </cell>
          <cell r="BH654" t="str">
            <v>الصحافه شرق - م 38 - منزل 84</v>
          </cell>
          <cell r="BI654" t="str">
            <v>0912468158</v>
          </cell>
          <cell r="BJ654" t="str">
            <v>محمد الماحى اسماعيل</v>
          </cell>
          <cell r="BL654" t="str">
            <v>خالي الطرف</v>
          </cell>
          <cell r="BN654">
            <v>43500</v>
          </cell>
          <cell r="EL654">
            <v>30</v>
          </cell>
          <cell r="EN654">
            <v>30</v>
          </cell>
          <cell r="EO654">
            <v>30</v>
          </cell>
          <cell r="EP654">
            <v>30</v>
          </cell>
          <cell r="EQ654">
            <v>150</v>
          </cell>
          <cell r="ER654">
            <v>10</v>
          </cell>
          <cell r="FG654" t="str">
            <v>المدير الادارى</v>
          </cell>
          <cell r="FH654" t="str">
            <v>احمد عبدالرحيم ابوبكر محمد</v>
          </cell>
          <cell r="FI654" t="str">
            <v>114-2988328-9</v>
          </cell>
          <cell r="HC654">
            <v>30</v>
          </cell>
        </row>
        <row r="655">
          <cell r="A655">
            <v>1015</v>
          </cell>
          <cell r="B655" t="str">
            <v>متولى عبدالرحيم متولى يحى</v>
          </cell>
          <cell r="C655" t="str">
            <v>متولى</v>
          </cell>
          <cell r="D655" t="str">
            <v>عبد الرحيم</v>
          </cell>
          <cell r="E655" t="str">
            <v>متولى</v>
          </cell>
          <cell r="F655" t="str">
            <v>يحى</v>
          </cell>
          <cell r="G655" t="str">
            <v>الرئاسه</v>
          </cell>
          <cell r="H655" t="str">
            <v>العلاقات العامه</v>
          </cell>
          <cell r="L655" t="str">
            <v>علاقات عامه</v>
          </cell>
          <cell r="M655">
            <v>41395</v>
          </cell>
          <cell r="N655">
            <v>43500</v>
          </cell>
          <cell r="O655">
            <v>5</v>
          </cell>
          <cell r="P655">
            <v>9</v>
          </cell>
          <cell r="R655">
            <v>172.5</v>
          </cell>
          <cell r="Z655">
            <v>29102</v>
          </cell>
          <cell r="AG655">
            <v>9</v>
          </cell>
          <cell r="AH655">
            <v>1</v>
          </cell>
          <cell r="AS655">
            <v>43500</v>
          </cell>
          <cell r="AT655">
            <v>39</v>
          </cell>
          <cell r="AU655" t="str">
            <v>جواز سفر</v>
          </cell>
          <cell r="AV655" t="str">
            <v>01029433</v>
          </cell>
          <cell r="AW655">
            <v>3</v>
          </cell>
          <cell r="AX655">
            <v>3</v>
          </cell>
          <cell r="AY655">
            <v>4</v>
          </cell>
          <cell r="AZ655">
            <v>9</v>
          </cell>
          <cell r="BA655">
            <v>2</v>
          </cell>
          <cell r="BB655">
            <v>0</v>
          </cell>
          <cell r="BC655">
            <v>1</v>
          </cell>
          <cell r="BD655">
            <v>0</v>
          </cell>
          <cell r="BE655" t="str">
            <v>101-0056299-1</v>
          </cell>
          <cell r="BN655">
            <v>43500</v>
          </cell>
          <cell r="EN655">
            <v>30</v>
          </cell>
          <cell r="EO655">
            <v>22</v>
          </cell>
          <cell r="EQ655">
            <v>52</v>
          </cell>
          <cell r="ER655">
            <v>51</v>
          </cell>
          <cell r="FG655" t="str">
            <v>المدير العام</v>
          </cell>
          <cell r="FH655" t="str">
            <v>بالانابه</v>
          </cell>
          <cell r="FI655" t="str">
            <v>101-0056299-1</v>
          </cell>
        </row>
        <row r="656">
          <cell r="A656">
            <v>1016</v>
          </cell>
          <cell r="B656" t="str">
            <v>احمد عبدالعزيز مصطفى احمد</v>
          </cell>
          <cell r="C656" t="str">
            <v>احمد</v>
          </cell>
          <cell r="D656" t="str">
            <v>عبدالعزيز</v>
          </cell>
          <cell r="E656" t="str">
            <v>مصطفى</v>
          </cell>
          <cell r="F656" t="str">
            <v>احمد</v>
          </cell>
          <cell r="G656" t="str">
            <v>الرئاسه</v>
          </cell>
          <cell r="H656" t="str">
            <v>العلاقات العامه</v>
          </cell>
          <cell r="K656" t="str">
            <v>الشئون الادارية</v>
          </cell>
          <cell r="M656">
            <v>41883</v>
          </cell>
          <cell r="N656">
            <v>43500</v>
          </cell>
          <cell r="O656">
            <v>4</v>
          </cell>
          <cell r="P656">
            <v>5</v>
          </cell>
          <cell r="R656">
            <v>132.5</v>
          </cell>
          <cell r="Z656">
            <v>28053</v>
          </cell>
          <cell r="AG656">
            <v>9</v>
          </cell>
          <cell r="AH656">
            <v>1</v>
          </cell>
          <cell r="AI656" t="str">
            <v>ميلاد</v>
          </cell>
          <cell r="AJ656" t="str">
            <v>489327</v>
          </cell>
          <cell r="AS656">
            <v>43500</v>
          </cell>
          <cell r="AT656">
            <v>42</v>
          </cell>
          <cell r="AU656" t="str">
            <v>بطاقه قوميه</v>
          </cell>
          <cell r="AV656" t="str">
            <v>000839474</v>
          </cell>
          <cell r="AW656">
            <v>4</v>
          </cell>
          <cell r="AX656">
            <v>7</v>
          </cell>
          <cell r="AY656">
            <v>4</v>
          </cell>
          <cell r="AZ656">
            <v>9</v>
          </cell>
          <cell r="BA656">
            <v>3</v>
          </cell>
          <cell r="BB656">
            <v>8</v>
          </cell>
          <cell r="BC656">
            <v>0</v>
          </cell>
          <cell r="BD656">
            <v>0</v>
          </cell>
          <cell r="BE656" t="str">
            <v>119-9316099-6</v>
          </cell>
          <cell r="BF656" t="str">
            <v>ساميه عبدالرحيم عيسى</v>
          </cell>
          <cell r="BH656" t="str">
            <v>حلة كوكو</v>
          </cell>
          <cell r="BI656" t="str">
            <v>0918335254</v>
          </cell>
          <cell r="BL656" t="str">
            <v>خاضع للخدمه</v>
          </cell>
          <cell r="BN656">
            <v>43500</v>
          </cell>
          <cell r="EN656">
            <v>30</v>
          </cell>
          <cell r="EO656">
            <v>30</v>
          </cell>
          <cell r="EQ656">
            <v>60</v>
          </cell>
          <cell r="ER656">
            <v>9</v>
          </cell>
          <cell r="FG656" t="str">
            <v>المدير العام</v>
          </cell>
          <cell r="FH656" t="str">
            <v>بالانابه</v>
          </cell>
          <cell r="FI656" t="str">
            <v>119-9316099-6</v>
          </cell>
        </row>
        <row r="657">
          <cell r="A657">
            <v>1017</v>
          </cell>
          <cell r="B657" t="str">
            <v>ميناس عبدالوهاب الامين حسن</v>
          </cell>
          <cell r="C657" t="str">
            <v>ميناس</v>
          </cell>
          <cell r="D657" t="str">
            <v>عبدالوهاب</v>
          </cell>
          <cell r="E657" t="str">
            <v>الامين</v>
          </cell>
          <cell r="F657" t="str">
            <v>حسن</v>
          </cell>
          <cell r="G657" t="str">
            <v>الرئاسه</v>
          </cell>
          <cell r="H657" t="str">
            <v>الماليه</v>
          </cell>
          <cell r="K657" t="str">
            <v>محاسب</v>
          </cell>
          <cell r="L657" t="str">
            <v>محاسب</v>
          </cell>
          <cell r="M657">
            <v>42176</v>
          </cell>
          <cell r="N657">
            <v>43500</v>
          </cell>
          <cell r="O657">
            <v>3</v>
          </cell>
          <cell r="P657">
            <v>7</v>
          </cell>
          <cell r="R657">
            <v>107.5</v>
          </cell>
          <cell r="Z657">
            <v>31857</v>
          </cell>
          <cell r="AG657">
            <v>9</v>
          </cell>
          <cell r="AH657">
            <v>1</v>
          </cell>
          <cell r="AI657" t="str">
            <v>ميلاد</v>
          </cell>
          <cell r="AJ657" t="str">
            <v>495051</v>
          </cell>
          <cell r="AS657">
            <v>43500</v>
          </cell>
          <cell r="AT657">
            <v>31</v>
          </cell>
          <cell r="AU657" t="str">
            <v>بطاقه قوميه</v>
          </cell>
          <cell r="AV657" t="str">
            <v>000973255</v>
          </cell>
          <cell r="AW657">
            <v>5</v>
          </cell>
          <cell r="AX657">
            <v>5</v>
          </cell>
          <cell r="AY657">
            <v>2</v>
          </cell>
          <cell r="AZ657">
            <v>3</v>
          </cell>
          <cell r="BA657">
            <v>7</v>
          </cell>
          <cell r="BB657">
            <v>9</v>
          </cell>
          <cell r="BC657">
            <v>0</v>
          </cell>
          <cell r="BD657">
            <v>0</v>
          </cell>
          <cell r="BE657" t="str">
            <v>120-0336275-1</v>
          </cell>
          <cell r="BF657" t="str">
            <v>بدريه حسن صالح</v>
          </cell>
          <cell r="BH657" t="str">
            <v>امبده - الحارة 5 - منزل 566</v>
          </cell>
          <cell r="BI657" t="str">
            <v>0118288906</v>
          </cell>
          <cell r="BL657" t="str">
            <v>خالي الطرف</v>
          </cell>
          <cell r="BN657">
            <v>43500</v>
          </cell>
          <cell r="BS657" t="str">
            <v>بنوك ومصارف</v>
          </cell>
          <cell r="BT657" t="str">
            <v>بكلاريوس</v>
          </cell>
          <cell r="BU657" t="str">
            <v>كلية النصر التقنية</v>
          </cell>
          <cell r="BV657">
            <v>40240</v>
          </cell>
          <cell r="CQ657" t="str">
            <v>شركة البدرى للطلمبات الغاطسة والمولدات المحدودة</v>
          </cell>
          <cell r="CR657" t="str">
            <v>الحسابات</v>
          </cell>
          <cell r="CS657">
            <v>40909</v>
          </cell>
          <cell r="CT657">
            <v>41518</v>
          </cell>
          <cell r="CV657" t="str">
            <v>شركة برايم للانشطة المتعددة المحدودة</v>
          </cell>
          <cell r="CW657" t="str">
            <v>محاسب</v>
          </cell>
          <cell r="CX657">
            <v>41609</v>
          </cell>
          <cell r="CY657">
            <v>41759</v>
          </cell>
          <cell r="DA657" t="str">
            <v>هيئة الجوازات والسجل المدنى</v>
          </cell>
          <cell r="DB657" t="str">
            <v>مدخلة بيانات</v>
          </cell>
          <cell r="DC657">
            <v>40408</v>
          </cell>
          <cell r="DD657">
            <v>40773</v>
          </cell>
          <cell r="DF657" t="str">
            <v>بنك الخرطوم</v>
          </cell>
          <cell r="DG657" t="str">
            <v>متدرب</v>
          </cell>
          <cell r="DH657">
            <v>39733</v>
          </cell>
          <cell r="DI657">
            <v>39764</v>
          </cell>
          <cell r="EQ657">
            <v>30</v>
          </cell>
          <cell r="ER657">
            <v>4</v>
          </cell>
          <cell r="FG657" t="str">
            <v>المدير المالي</v>
          </cell>
          <cell r="FH657" t="str">
            <v>بالانابه</v>
          </cell>
          <cell r="FI657" t="str">
            <v>120-0336275-1</v>
          </cell>
          <cell r="HC657" t="str">
            <v>30</v>
          </cell>
        </row>
        <row r="658">
          <cell r="A658">
            <v>1018</v>
          </cell>
          <cell r="B658" t="str">
            <v>عفاف الطاهر قرشي حسن</v>
          </cell>
          <cell r="C658" t="str">
            <v>عفاف</v>
          </cell>
          <cell r="D658" t="str">
            <v>الطاهر</v>
          </cell>
          <cell r="E658" t="str">
            <v>قرشي</v>
          </cell>
          <cell r="F658" t="str">
            <v>حسن</v>
          </cell>
          <cell r="G658" t="str">
            <v>الرئاسه</v>
          </cell>
          <cell r="H658" t="str">
            <v>الماليه</v>
          </cell>
          <cell r="K658" t="str">
            <v>محاسب</v>
          </cell>
          <cell r="L658" t="str">
            <v>محاسب</v>
          </cell>
          <cell r="M658">
            <v>42403</v>
          </cell>
          <cell r="N658">
            <v>43500</v>
          </cell>
          <cell r="O658">
            <v>3</v>
          </cell>
          <cell r="P658">
            <v>0</v>
          </cell>
          <cell r="R658">
            <v>90</v>
          </cell>
          <cell r="Z658">
            <v>26868</v>
          </cell>
          <cell r="AG658">
            <v>9</v>
          </cell>
          <cell r="AH658">
            <v>1</v>
          </cell>
          <cell r="AS658">
            <v>43500</v>
          </cell>
          <cell r="AT658">
            <v>45</v>
          </cell>
          <cell r="AU658" t="str">
            <v>بطاقه قوميه</v>
          </cell>
          <cell r="AV658" t="str">
            <v>000345689</v>
          </cell>
          <cell r="AW658">
            <v>9</v>
          </cell>
          <cell r="AX658">
            <v>8</v>
          </cell>
          <cell r="AY658">
            <v>6</v>
          </cell>
          <cell r="AZ658">
            <v>5</v>
          </cell>
          <cell r="BA658">
            <v>4</v>
          </cell>
          <cell r="BB658">
            <v>3</v>
          </cell>
          <cell r="BC658">
            <v>0</v>
          </cell>
          <cell r="BD658">
            <v>0</v>
          </cell>
          <cell r="BE658" t="str">
            <v>117-9063366-4</v>
          </cell>
          <cell r="BF658" t="str">
            <v>النعمه محمد عمر</v>
          </cell>
          <cell r="BH658" t="str">
            <v>امدرمان - الثوره - ح 18</v>
          </cell>
          <cell r="BI658" t="str">
            <v>0915101248</v>
          </cell>
          <cell r="BL658" t="str">
            <v>خاضع للخدمه</v>
          </cell>
          <cell r="BN658">
            <v>43500</v>
          </cell>
          <cell r="BS658" t="str">
            <v>إدارة الاعمال</v>
          </cell>
          <cell r="BT658" t="str">
            <v>ماجستير</v>
          </cell>
          <cell r="BU658" t="str">
            <v>جامعة السودان للعلوم والتكنولوجيا</v>
          </cell>
          <cell r="BV658">
            <v>40983</v>
          </cell>
          <cell r="BW658" t="str">
            <v>محاسبة</v>
          </cell>
          <cell r="BX658" t="str">
            <v>بكلاريوس</v>
          </cell>
          <cell r="BY658" t="str">
            <v>جامعة السودان للعلوم والتكنولوجيا</v>
          </cell>
          <cell r="BZ658">
            <v>38992</v>
          </cell>
          <cell r="CA658" t="str">
            <v>حاسوب</v>
          </cell>
          <cell r="CB658" t="str">
            <v>دبلوم (معاهد)</v>
          </cell>
          <cell r="CC658" t="str">
            <v>International Internet Club</v>
          </cell>
          <cell r="CD658">
            <v>39149</v>
          </cell>
          <cell r="CE658" t="str">
            <v>محاسبة التكاليف</v>
          </cell>
          <cell r="CF658" t="str">
            <v>شهاده دورة تدريب</v>
          </cell>
          <cell r="CG658" t="str">
            <v>مركز تطوير الادارة</v>
          </cell>
          <cell r="CH658">
            <v>35767</v>
          </cell>
          <cell r="CQ658" t="str">
            <v>شركة شريان الشمال للطرق والسدود المحدودة</v>
          </cell>
          <cell r="CR658" t="str">
            <v>محاسبة</v>
          </cell>
          <cell r="CS658">
            <v>37692</v>
          </cell>
          <cell r="CT658">
            <v>39873</v>
          </cell>
          <cell r="CV658" t="str">
            <v>شركة مسبك الخرطوم المركزى</v>
          </cell>
          <cell r="CW658" t="str">
            <v>محاسب تكاليف</v>
          </cell>
          <cell r="CX658">
            <v>34700</v>
          </cell>
          <cell r="EQ658">
            <v>0</v>
          </cell>
          <cell r="FG658" t="str">
            <v>المدير المالي</v>
          </cell>
          <cell r="FH658" t="str">
            <v>بالانابه</v>
          </cell>
          <cell r="FI658" t="str">
            <v>117-9063366-4</v>
          </cell>
        </row>
        <row r="659">
          <cell r="A659">
            <v>1019</v>
          </cell>
          <cell r="B659" t="str">
            <v>سلمى عباس عبدالله تيه</v>
          </cell>
          <cell r="C659" t="str">
            <v>سلمى</v>
          </cell>
          <cell r="D659" t="str">
            <v>عباس</v>
          </cell>
          <cell r="E659" t="str">
            <v>عبدالله</v>
          </cell>
          <cell r="F659" t="str">
            <v>تيه</v>
          </cell>
          <cell r="G659" t="str">
            <v>الرئاسه</v>
          </cell>
          <cell r="H659" t="str">
            <v>الخدمات</v>
          </cell>
          <cell r="K659" t="str">
            <v>عامل</v>
          </cell>
          <cell r="L659" t="str">
            <v>عامل</v>
          </cell>
          <cell r="M659">
            <v>42597</v>
          </cell>
          <cell r="N659">
            <v>43500</v>
          </cell>
          <cell r="O659">
            <v>2</v>
          </cell>
          <cell r="P659">
            <v>5</v>
          </cell>
          <cell r="R659">
            <v>72.5</v>
          </cell>
          <cell r="Z659">
            <v>31954</v>
          </cell>
          <cell r="AG659">
            <v>9</v>
          </cell>
          <cell r="AH659">
            <v>1</v>
          </cell>
          <cell r="AI659" t="str">
            <v>ميلاد</v>
          </cell>
          <cell r="AJ659" t="str">
            <v>187738</v>
          </cell>
          <cell r="AS659">
            <v>43500</v>
          </cell>
          <cell r="AT659">
            <v>31</v>
          </cell>
          <cell r="BE659" t="str">
            <v>114-4228191-9</v>
          </cell>
          <cell r="BF659" t="str">
            <v>حاجه عبدالله توتو</v>
          </cell>
          <cell r="BH659" t="str">
            <v>الخرطوم - حى النصر - مايو - م 1</v>
          </cell>
          <cell r="BI659" t="str">
            <v>0925723932</v>
          </cell>
          <cell r="BJ659" t="str">
            <v>عباس عبدالله</v>
          </cell>
          <cell r="BK659" t="str">
            <v>0913508271</v>
          </cell>
          <cell r="BL659" t="str">
            <v>خاضع للخدمه</v>
          </cell>
          <cell r="BN659">
            <v>43500</v>
          </cell>
          <cell r="EP659">
            <v>30</v>
          </cell>
          <cell r="EQ659">
            <v>30</v>
          </cell>
          <cell r="FG659" t="str">
            <v>المدير الادارى</v>
          </cell>
          <cell r="FH659" t="str">
            <v>احمد عبدالرحيم ابوبكر محمد</v>
          </cell>
          <cell r="FI659" t="str">
            <v>114-4228191-9</v>
          </cell>
        </row>
        <row r="660">
          <cell r="A660">
            <v>1020</v>
          </cell>
          <cell r="B660" t="str">
            <v>كمبال حسن كمبال احمد</v>
          </cell>
          <cell r="C660" t="str">
            <v>كمبال</v>
          </cell>
          <cell r="D660" t="str">
            <v>حسن</v>
          </cell>
          <cell r="E660" t="str">
            <v>كمبال</v>
          </cell>
          <cell r="F660" t="str">
            <v>احمد</v>
          </cell>
          <cell r="G660" t="str">
            <v>الرئاسه</v>
          </cell>
          <cell r="H660" t="str">
            <v>الاداره</v>
          </cell>
          <cell r="L660" t="str">
            <v>سكرتير تنفيذي</v>
          </cell>
          <cell r="M660">
            <v>42826</v>
          </cell>
          <cell r="N660">
            <v>43500</v>
          </cell>
          <cell r="O660">
            <v>1</v>
          </cell>
          <cell r="P660">
            <v>10</v>
          </cell>
          <cell r="R660">
            <v>55</v>
          </cell>
          <cell r="Z660">
            <v>27854</v>
          </cell>
          <cell r="AS660">
            <v>43500</v>
          </cell>
          <cell r="AT660">
            <v>42</v>
          </cell>
          <cell r="BN660">
            <v>43500</v>
          </cell>
          <cell r="BS660" t="str">
            <v>محاسبة</v>
          </cell>
          <cell r="BT660" t="str">
            <v>بكلاريوس</v>
          </cell>
          <cell r="BU660" t="str">
            <v>جامعة النيلين</v>
          </cell>
          <cell r="BV660">
            <v>35490</v>
          </cell>
          <cell r="CQ660" t="str">
            <v>شركة الترايستار لخدمات الشحن الجوى والتجارة المحدودة</v>
          </cell>
          <cell r="CR660" t="str">
            <v>محاسب</v>
          </cell>
          <cell r="CS660">
            <v>36100</v>
          </cell>
          <cell r="CT660">
            <v>36922</v>
          </cell>
          <cell r="CV660" t="str">
            <v>شركة شيبال للاستثمار والتجارة المحدودة</v>
          </cell>
          <cell r="CW660" t="str">
            <v>محاسب</v>
          </cell>
          <cell r="CX660">
            <v>40583</v>
          </cell>
          <cell r="CY660">
            <v>40882</v>
          </cell>
          <cell r="EQ660">
            <v>0</v>
          </cell>
          <cell r="FG660" t="str">
            <v>المدير الادارى</v>
          </cell>
          <cell r="FH660" t="str">
            <v>احمد عبدالرحيم ابوبكر محمد</v>
          </cell>
          <cell r="FI660">
            <v>0</v>
          </cell>
        </row>
        <row r="661">
          <cell r="A661">
            <v>1021</v>
          </cell>
          <cell r="B661" t="str">
            <v>نشوه داؤد فرح احمد</v>
          </cell>
          <cell r="C661" t="str">
            <v>نشوه</v>
          </cell>
          <cell r="D661" t="str">
            <v>داؤد</v>
          </cell>
          <cell r="E661" t="str">
            <v>فرح</v>
          </cell>
          <cell r="F661" t="str">
            <v>احمد</v>
          </cell>
          <cell r="G661" t="str">
            <v>الرئاسه</v>
          </cell>
          <cell r="H661" t="str">
            <v>الماليه</v>
          </cell>
          <cell r="K661" t="str">
            <v>محاسب</v>
          </cell>
          <cell r="L661" t="str">
            <v>محاسب</v>
          </cell>
          <cell r="M661">
            <v>43009</v>
          </cell>
          <cell r="N661">
            <v>43500</v>
          </cell>
          <cell r="O661">
            <v>1</v>
          </cell>
          <cell r="P661">
            <v>4</v>
          </cell>
          <cell r="R661">
            <v>40</v>
          </cell>
          <cell r="Z661">
            <v>32309</v>
          </cell>
          <cell r="AS661">
            <v>43500</v>
          </cell>
          <cell r="AT661">
            <v>30</v>
          </cell>
          <cell r="BE661" t="str">
            <v>119-1224176-7</v>
          </cell>
          <cell r="BF661" t="str">
            <v>فتحيه احمد حسن</v>
          </cell>
          <cell r="BH661" t="str">
            <v>الكلاكلة - الاندلس</v>
          </cell>
          <cell r="BI661" t="str">
            <v>0904123334</v>
          </cell>
          <cell r="BJ661" t="str">
            <v>اما داؤد فرح</v>
          </cell>
          <cell r="BL661" t="str">
            <v>خالي الطرف</v>
          </cell>
          <cell r="BN661">
            <v>43500</v>
          </cell>
          <cell r="BS661" t="str">
            <v>المحاسبة والتمويل</v>
          </cell>
          <cell r="BT661" t="str">
            <v>بكلاريوس</v>
          </cell>
          <cell r="BU661" t="str">
            <v>جامعة السودان للعلوم والتكنولوجيا</v>
          </cell>
          <cell r="BV661">
            <v>41172</v>
          </cell>
          <cell r="BW661" t="str">
            <v>حاسوب</v>
          </cell>
          <cell r="BX661" t="str">
            <v>دبلوم (معاهد)</v>
          </cell>
          <cell r="BY661" t="str">
            <v>مركز بي سي قيت لعلوم الكمبيوتر والانترنت</v>
          </cell>
          <cell r="BZ661">
            <v>41286</v>
          </cell>
          <cell r="CQ661" t="str">
            <v>شركة كندين إمارات وسترن للهندسة</v>
          </cell>
          <cell r="CR661" t="str">
            <v>محاسبة</v>
          </cell>
          <cell r="CS661">
            <v>41744</v>
          </cell>
          <cell r="CT661">
            <v>42078</v>
          </cell>
          <cell r="CV661" t="str">
            <v>مصنع طويل استار</v>
          </cell>
          <cell r="CW661" t="str">
            <v>محاسبة مبيعات</v>
          </cell>
          <cell r="CX661">
            <v>42095</v>
          </cell>
          <cell r="CY661">
            <v>42710</v>
          </cell>
          <cell r="DA661" t="str">
            <v>عباس حسن التلب مراجعون ومحاسبون قانونيون ومستشارون ماليون</v>
          </cell>
          <cell r="DB661" t="str">
            <v>متدرب</v>
          </cell>
          <cell r="DC661">
            <v>41625</v>
          </cell>
          <cell r="DD661">
            <v>41742</v>
          </cell>
          <cell r="EQ661">
            <v>0</v>
          </cell>
          <cell r="FG661" t="str">
            <v>المدير المالي</v>
          </cell>
          <cell r="FH661" t="str">
            <v>بالانابه</v>
          </cell>
          <cell r="FI661" t="str">
            <v>119-1224176-7</v>
          </cell>
        </row>
        <row r="662">
          <cell r="A662">
            <v>1022</v>
          </cell>
          <cell r="B662" t="str">
            <v>امال عثمان محمد</v>
          </cell>
          <cell r="C662" t="str">
            <v>امال</v>
          </cell>
          <cell r="D662" t="str">
            <v>عثمان</v>
          </cell>
          <cell r="E662" t="str">
            <v>محمد</v>
          </cell>
          <cell r="G662" t="str">
            <v>مستشارين</v>
          </cell>
          <cell r="H662" t="str">
            <v>الماليه</v>
          </cell>
          <cell r="L662" t="str">
            <v>المستشار المالى</v>
          </cell>
          <cell r="M662">
            <v>39173</v>
          </cell>
          <cell r="N662">
            <v>43500</v>
          </cell>
          <cell r="O662">
            <v>11</v>
          </cell>
          <cell r="P662">
            <v>10</v>
          </cell>
          <cell r="Q662">
            <v>10</v>
          </cell>
          <cell r="R662">
            <v>345</v>
          </cell>
          <cell r="AG662">
            <v>9</v>
          </cell>
          <cell r="AH662">
            <v>1</v>
          </cell>
          <cell r="AS662">
            <v>43500</v>
          </cell>
          <cell r="AT662">
            <v>119</v>
          </cell>
          <cell r="BG662" t="str">
            <v>خاص</v>
          </cell>
          <cell r="BN662">
            <v>43500</v>
          </cell>
          <cell r="EJ662">
            <v>60</v>
          </cell>
          <cell r="EO662">
            <v>60</v>
          </cell>
          <cell r="EQ662">
            <v>120</v>
          </cell>
          <cell r="ER662">
            <v>94</v>
          </cell>
          <cell r="FG662" t="str">
            <v>المدير المالي</v>
          </cell>
          <cell r="FH662" t="str">
            <v>بالانابه</v>
          </cell>
          <cell r="FI662">
            <v>0</v>
          </cell>
        </row>
        <row r="663">
          <cell r="A663">
            <v>1023</v>
          </cell>
          <cell r="B663" t="str">
            <v>صفوان صلاح عبده احمد</v>
          </cell>
          <cell r="C663" t="str">
            <v>صفوان</v>
          </cell>
          <cell r="D663" t="str">
            <v>صلاح</v>
          </cell>
          <cell r="E663" t="str">
            <v>عبده</v>
          </cell>
          <cell r="F663" t="str">
            <v>احمد</v>
          </cell>
          <cell r="G663" t="str">
            <v>المصنع</v>
          </cell>
          <cell r="H663" t="str">
            <v>المستودعات</v>
          </cell>
          <cell r="K663" t="str">
            <v>عامل</v>
          </cell>
          <cell r="L663" t="str">
            <v>عامل</v>
          </cell>
          <cell r="M663">
            <v>43136</v>
          </cell>
          <cell r="N663">
            <v>43500</v>
          </cell>
          <cell r="O663">
            <v>0</v>
          </cell>
          <cell r="P663">
            <v>11</v>
          </cell>
          <cell r="R663">
            <v>27.5</v>
          </cell>
          <cell r="Z663">
            <v>32887</v>
          </cell>
          <cell r="AI663" t="str">
            <v>ميلاد</v>
          </cell>
          <cell r="AJ663" t="str">
            <v>28732</v>
          </cell>
          <cell r="AS663">
            <v>43500</v>
          </cell>
          <cell r="AT663">
            <v>29</v>
          </cell>
          <cell r="AU663" t="str">
            <v>جواز سفر</v>
          </cell>
          <cell r="AV663" t="str">
            <v>01338961</v>
          </cell>
          <cell r="AW663">
            <v>1</v>
          </cell>
          <cell r="AX663">
            <v>6</v>
          </cell>
          <cell r="AY663">
            <v>9</v>
          </cell>
          <cell r="AZ663">
            <v>8</v>
          </cell>
          <cell r="BA663">
            <v>3</v>
          </cell>
          <cell r="BB663">
            <v>3</v>
          </cell>
          <cell r="BC663">
            <v>0</v>
          </cell>
          <cell r="BE663" t="str">
            <v>114-1901460-6</v>
          </cell>
          <cell r="BF663" t="str">
            <v>عواطف نورى صالح</v>
          </cell>
          <cell r="BG663" t="str">
            <v>الكلاكله</v>
          </cell>
          <cell r="BH663" t="str">
            <v>الكلاكلة - الوحدة</v>
          </cell>
          <cell r="BI663" t="str">
            <v>0915081333</v>
          </cell>
          <cell r="BJ663" t="str">
            <v>صلاح عبده احمد</v>
          </cell>
          <cell r="BK663" t="str">
            <v>0911126323</v>
          </cell>
          <cell r="BL663" t="str">
            <v>خالي الطرف</v>
          </cell>
          <cell r="BN663">
            <v>43500</v>
          </cell>
          <cell r="BS663" t="str">
            <v>حاسوب</v>
          </cell>
          <cell r="BT663" t="str">
            <v>دبلوم (معاهد)</v>
          </cell>
          <cell r="BU663" t="str">
            <v>مركز سوفتي دريم للتدريب</v>
          </cell>
          <cell r="BV663">
            <v>42601</v>
          </cell>
          <cell r="BW663" t="str">
            <v>المحاسبة الالكترونية</v>
          </cell>
          <cell r="BX663" t="str">
            <v>دبلوم (معاهد)</v>
          </cell>
          <cell r="BY663" t="str">
            <v>مركز بي سي قيت لتدريب الكمبيوتر واللغات</v>
          </cell>
          <cell r="BZ663">
            <v>42587</v>
          </cell>
          <cell r="EQ663">
            <v>0</v>
          </cell>
          <cell r="FG663" t="str">
            <v>مدير المستودعات</v>
          </cell>
          <cell r="FH663" t="str">
            <v>على احمد على بابكر</v>
          </cell>
          <cell r="FI663" t="str">
            <v>114-1901460-6</v>
          </cell>
        </row>
        <row r="664">
          <cell r="A664">
            <v>1024</v>
          </cell>
          <cell r="B664" t="str">
            <v>محمد عبده محمد احمد</v>
          </cell>
          <cell r="C664" t="str">
            <v>محمد</v>
          </cell>
          <cell r="D664" t="str">
            <v>عبده</v>
          </cell>
          <cell r="E664" t="str">
            <v>محمد</v>
          </cell>
          <cell r="F664" t="str">
            <v>احمد</v>
          </cell>
          <cell r="G664" t="str">
            <v>المصنع</v>
          </cell>
          <cell r="H664" t="str">
            <v>الانتاج</v>
          </cell>
          <cell r="K664" t="str">
            <v>عامل</v>
          </cell>
          <cell r="L664" t="str">
            <v>عامل</v>
          </cell>
          <cell r="M664">
            <v>43138</v>
          </cell>
          <cell r="N664">
            <v>43500</v>
          </cell>
          <cell r="O664">
            <v>0</v>
          </cell>
          <cell r="P664">
            <v>11</v>
          </cell>
          <cell r="R664">
            <v>27.5</v>
          </cell>
          <cell r="Z664">
            <v>29583</v>
          </cell>
          <cell r="AI664" t="str">
            <v>ميلاد</v>
          </cell>
          <cell r="AJ664" t="str">
            <v>138780</v>
          </cell>
          <cell r="AS664">
            <v>43500</v>
          </cell>
          <cell r="AT664">
            <v>38</v>
          </cell>
          <cell r="AU664" t="str">
            <v>بطاقه قوميه</v>
          </cell>
          <cell r="AV664" t="str">
            <v>000395084</v>
          </cell>
          <cell r="AW664">
            <v>4</v>
          </cell>
          <cell r="AX664">
            <v>8</v>
          </cell>
          <cell r="AY664">
            <v>0</v>
          </cell>
          <cell r="AZ664">
            <v>5</v>
          </cell>
          <cell r="BA664">
            <v>9</v>
          </cell>
          <cell r="BB664">
            <v>3</v>
          </cell>
          <cell r="BC664">
            <v>0</v>
          </cell>
          <cell r="BD664">
            <v>0</v>
          </cell>
          <cell r="BE664" t="str">
            <v>190-6633892-3</v>
          </cell>
          <cell r="BF664" t="str">
            <v>فاطمه شعيب بخارى</v>
          </cell>
          <cell r="BG664" t="str">
            <v>العربى</v>
          </cell>
          <cell r="BH664" t="str">
            <v>الازهرى</v>
          </cell>
          <cell r="BI664" t="str">
            <v>0917073334</v>
          </cell>
          <cell r="BJ664" t="str">
            <v>مصطفى بابكر عمر</v>
          </cell>
          <cell r="BK664" t="str">
            <v>0912756465</v>
          </cell>
          <cell r="BL664" t="str">
            <v>خالي الطرف</v>
          </cell>
          <cell r="BN664">
            <v>43500</v>
          </cell>
          <cell r="BS664" t="str">
            <v>برادة الصيانة</v>
          </cell>
          <cell r="BT664" t="str">
            <v>تدريب مهني</v>
          </cell>
          <cell r="BU664" t="str">
            <v xml:space="preserve">المجلس القومى للتدريب المهنى </v>
          </cell>
          <cell r="BV664">
            <v>36784</v>
          </cell>
          <cell r="EQ664">
            <v>0</v>
          </cell>
          <cell r="FG664" t="str">
            <v xml:space="preserve"> مدير الانتاج</v>
          </cell>
          <cell r="FH664" t="str">
            <v>هشام عيسى محمد عبدالكريم</v>
          </cell>
          <cell r="FI664" t="str">
            <v>190-6633892-3</v>
          </cell>
        </row>
        <row r="665">
          <cell r="A665">
            <v>1025</v>
          </cell>
          <cell r="B665" t="str">
            <v>احمد عبدالمنعم محمد فضل المولى</v>
          </cell>
          <cell r="C665" t="str">
            <v>احمد</v>
          </cell>
          <cell r="D665" t="str">
            <v>عبدالمنعم</v>
          </cell>
          <cell r="E665" t="str">
            <v>محمد</v>
          </cell>
          <cell r="F665" t="str">
            <v>فضل المولى</v>
          </cell>
          <cell r="G665" t="str">
            <v>المصنع</v>
          </cell>
          <cell r="H665" t="str">
            <v>المستودعات</v>
          </cell>
          <cell r="K665" t="str">
            <v>امين مستودع</v>
          </cell>
          <cell r="L665" t="str">
            <v>امين مستودع</v>
          </cell>
          <cell r="M665">
            <v>43142</v>
          </cell>
          <cell r="N665">
            <v>43500</v>
          </cell>
          <cell r="O665">
            <v>0</v>
          </cell>
          <cell r="P665">
            <v>11</v>
          </cell>
          <cell r="R665">
            <v>27.5</v>
          </cell>
          <cell r="Z665">
            <v>33678</v>
          </cell>
          <cell r="AI665" t="str">
            <v>ميلاد</v>
          </cell>
          <cell r="AJ665" t="str">
            <v>467597</v>
          </cell>
          <cell r="AS665">
            <v>43500</v>
          </cell>
          <cell r="AT665">
            <v>26</v>
          </cell>
          <cell r="AU665" t="str">
            <v>بطاقه قوميه</v>
          </cell>
          <cell r="AV665" t="str">
            <v>002612538</v>
          </cell>
          <cell r="AW665">
            <v>8</v>
          </cell>
          <cell r="AX665">
            <v>3</v>
          </cell>
          <cell r="AY665">
            <v>5</v>
          </cell>
          <cell r="AZ665">
            <v>2</v>
          </cell>
          <cell r="BA665">
            <v>1</v>
          </cell>
          <cell r="BB665">
            <v>6</v>
          </cell>
          <cell r="BC665">
            <v>2</v>
          </cell>
          <cell r="BD665">
            <v>0</v>
          </cell>
          <cell r="BE665" t="str">
            <v>115-2783439-3</v>
          </cell>
          <cell r="BF665" t="str">
            <v>هدى يحى فضل المولى</v>
          </cell>
          <cell r="BG665" t="str">
            <v>بحرى</v>
          </cell>
          <cell r="BH665" t="str">
            <v>بحرى - الشعبية</v>
          </cell>
          <cell r="BI665" t="str">
            <v>0926059841</v>
          </cell>
          <cell r="BJ665" t="str">
            <v xml:space="preserve">عبدالمنعم محمد </v>
          </cell>
          <cell r="BK665" t="str">
            <v>0923333595</v>
          </cell>
          <cell r="BL665" t="str">
            <v>خالي الطرف</v>
          </cell>
          <cell r="BN665">
            <v>43500</v>
          </cell>
          <cell r="BS665" t="str">
            <v>إدارة الاعمال</v>
          </cell>
          <cell r="BT665" t="str">
            <v>ماجستير</v>
          </cell>
          <cell r="BU665" t="str">
            <v>جامعة الزعيم الازهرى</v>
          </cell>
          <cell r="BV665">
            <v>42450</v>
          </cell>
          <cell r="BW665" t="str">
            <v>الدراسات الاستراتيجية</v>
          </cell>
          <cell r="BX665" t="str">
            <v>بكلاريوس</v>
          </cell>
          <cell r="BY665" t="str">
            <v>جامعة السودان للعلوم والتكنولوجيا</v>
          </cell>
          <cell r="BZ665">
            <v>41554</v>
          </cell>
          <cell r="EQ665">
            <v>0</v>
          </cell>
          <cell r="FG665" t="str">
            <v>مدير المستودعات</v>
          </cell>
          <cell r="FH665" t="str">
            <v>على احمد على بابكر</v>
          </cell>
          <cell r="FI665" t="str">
            <v>115-2783439-3</v>
          </cell>
        </row>
        <row r="666">
          <cell r="A666">
            <v>1026</v>
          </cell>
          <cell r="B666" t="str">
            <v>منير كمال محمد احمد مصطفى</v>
          </cell>
          <cell r="C666" t="str">
            <v>منير</v>
          </cell>
          <cell r="D666" t="str">
            <v>كمال</v>
          </cell>
          <cell r="E666" t="str">
            <v>محمد</v>
          </cell>
          <cell r="F666" t="str">
            <v>احمد</v>
          </cell>
          <cell r="G666" t="str">
            <v>المصنع</v>
          </cell>
          <cell r="H666" t="str">
            <v>المستودعات</v>
          </cell>
          <cell r="K666" t="str">
            <v>امين مستودع</v>
          </cell>
          <cell r="L666" t="str">
            <v>امين مستودع</v>
          </cell>
          <cell r="M666">
            <v>43142</v>
          </cell>
          <cell r="N666">
            <v>43500</v>
          </cell>
          <cell r="O666">
            <v>0</v>
          </cell>
          <cell r="P666">
            <v>11</v>
          </cell>
          <cell r="R666">
            <v>27.5</v>
          </cell>
          <cell r="Z666">
            <v>33570</v>
          </cell>
          <cell r="AI666" t="str">
            <v>ميلاد</v>
          </cell>
          <cell r="AJ666" t="str">
            <v>272743</v>
          </cell>
          <cell r="AS666">
            <v>43500</v>
          </cell>
          <cell r="AT666">
            <v>27</v>
          </cell>
          <cell r="AU666" t="str">
            <v>بطاقه قوميه</v>
          </cell>
          <cell r="AV666" t="str">
            <v>0054432699</v>
          </cell>
          <cell r="AW666">
            <v>9</v>
          </cell>
          <cell r="AX666">
            <v>9</v>
          </cell>
          <cell r="AY666">
            <v>6</v>
          </cell>
          <cell r="AZ666">
            <v>2</v>
          </cell>
          <cell r="BA666">
            <v>3</v>
          </cell>
          <cell r="BB666">
            <v>4</v>
          </cell>
          <cell r="BC666">
            <v>4</v>
          </cell>
          <cell r="BD666">
            <v>5</v>
          </cell>
          <cell r="BE666" t="str">
            <v>190-4289397-3</v>
          </cell>
          <cell r="BF666" t="str">
            <v>ملاك المبارك إبراهيم</v>
          </cell>
          <cell r="BG666" t="str">
            <v>الجزيره</v>
          </cell>
          <cell r="BH666" t="str">
            <v>الجزيرة - ريفى المسيد - ودلميد</v>
          </cell>
          <cell r="BI666" t="str">
            <v>0909332936</v>
          </cell>
          <cell r="BJ666" t="str">
            <v>مبارك محمد إبراهيم</v>
          </cell>
          <cell r="BK666" t="str">
            <v>0918318213</v>
          </cell>
          <cell r="BL666" t="str">
            <v>خالي الطرف</v>
          </cell>
          <cell r="BN666">
            <v>43500</v>
          </cell>
          <cell r="BS666" t="str">
            <v>إدارة الاعمال</v>
          </cell>
          <cell r="BT666" t="str">
            <v>بكلاريوس</v>
          </cell>
          <cell r="BU666" t="str">
            <v>كلية الإمام الهادى</v>
          </cell>
          <cell r="BV666">
            <v>42225</v>
          </cell>
          <cell r="BW666" t="str">
            <v>حاسوب</v>
          </cell>
          <cell r="BX666" t="str">
            <v>دبلوم (معاهد)</v>
          </cell>
          <cell r="BY666" t="str">
            <v>KAPLAN</v>
          </cell>
          <cell r="BZ666">
            <v>42795</v>
          </cell>
          <cell r="EQ666">
            <v>0</v>
          </cell>
          <cell r="FG666" t="str">
            <v>مدير المستودعات</v>
          </cell>
          <cell r="FH666" t="str">
            <v>على احمد على بابكر</v>
          </cell>
          <cell r="FI666" t="str">
            <v>190-4289397-3</v>
          </cell>
        </row>
        <row r="667">
          <cell r="A667">
            <v>1027</v>
          </cell>
          <cell r="B667" t="str">
            <v>بشير احمد عاجب احمد</v>
          </cell>
          <cell r="C667" t="str">
            <v>بشير</v>
          </cell>
          <cell r="D667" t="str">
            <v>احمد</v>
          </cell>
          <cell r="E667" t="str">
            <v>عاجب</v>
          </cell>
          <cell r="F667" t="str">
            <v>احمد</v>
          </cell>
          <cell r="G667" t="str">
            <v>المصنع</v>
          </cell>
          <cell r="H667" t="str">
            <v>الامن و الحركه</v>
          </cell>
          <cell r="K667" t="str">
            <v>فرد امن</v>
          </cell>
          <cell r="L667" t="str">
            <v>فرد امن</v>
          </cell>
          <cell r="M667">
            <v>43143</v>
          </cell>
          <cell r="N667">
            <v>43500</v>
          </cell>
          <cell r="O667">
            <v>0</v>
          </cell>
          <cell r="P667">
            <v>11</v>
          </cell>
          <cell r="R667">
            <v>27.5</v>
          </cell>
          <cell r="T667" t="str">
            <v>فصل</v>
          </cell>
          <cell r="U667">
            <v>43356</v>
          </cell>
          <cell r="V667">
            <v>43356</v>
          </cell>
          <cell r="Z667">
            <v>31919</v>
          </cell>
          <cell r="AI667" t="str">
            <v>ميلاد</v>
          </cell>
          <cell r="AJ667" t="str">
            <v>710568</v>
          </cell>
          <cell r="AS667">
            <v>43500</v>
          </cell>
          <cell r="AT667">
            <v>31</v>
          </cell>
          <cell r="BE667" t="str">
            <v>115-0353720-1</v>
          </cell>
          <cell r="BF667" t="str">
            <v>التومه عمر بليله</v>
          </cell>
          <cell r="BG667" t="str">
            <v>العربى</v>
          </cell>
          <cell r="BH667" t="str">
            <v>امدرمان - كرري - الثورة - ح 16</v>
          </cell>
          <cell r="BI667" t="str">
            <v>0925507328</v>
          </cell>
          <cell r="BJ667" t="str">
            <v>احمد عاجب احمد</v>
          </cell>
          <cell r="BK667" t="str">
            <v>0128498689</v>
          </cell>
          <cell r="BL667" t="str">
            <v>خالي الطرف</v>
          </cell>
          <cell r="BN667">
            <v>43500</v>
          </cell>
          <cell r="BS667" t="str">
            <v>لغة انجليزية</v>
          </cell>
          <cell r="BT667" t="str">
            <v>بكلاريوس الشرف</v>
          </cell>
          <cell r="BU667" t="str">
            <v>جامعة النيلين</v>
          </cell>
          <cell r="BV667">
            <v>41162</v>
          </cell>
          <cell r="EQ667">
            <v>0</v>
          </cell>
          <cell r="FG667" t="str">
            <v>مدير الامن و الحركه</v>
          </cell>
          <cell r="FH667" t="str">
            <v>فارس حمدان عبدالله فارس</v>
          </cell>
          <cell r="FI667" t="str">
            <v>115-0353720-1</v>
          </cell>
        </row>
        <row r="668">
          <cell r="A668">
            <v>1028</v>
          </cell>
          <cell r="B668" t="str">
            <v>ابوزيد عبدالله على عبدالله</v>
          </cell>
          <cell r="C668" t="str">
            <v>ابوزيد</v>
          </cell>
          <cell r="D668" t="str">
            <v>عبدالله</v>
          </cell>
          <cell r="E668" t="str">
            <v>على</v>
          </cell>
          <cell r="F668" t="str">
            <v>عبدالله</v>
          </cell>
          <cell r="G668" t="str">
            <v>المصنع</v>
          </cell>
          <cell r="H668" t="str">
            <v>الامن و الحركه</v>
          </cell>
          <cell r="K668" t="str">
            <v>فرد امن</v>
          </cell>
          <cell r="L668" t="str">
            <v>فرد امن</v>
          </cell>
          <cell r="M668">
            <v>43374</v>
          </cell>
          <cell r="N668">
            <v>43500</v>
          </cell>
          <cell r="O668">
            <v>0</v>
          </cell>
          <cell r="P668">
            <v>4</v>
          </cell>
          <cell r="R668">
            <v>10</v>
          </cell>
          <cell r="T668" t="str">
            <v>إستقال</v>
          </cell>
          <cell r="X668">
            <v>43236</v>
          </cell>
          <cell r="Z668">
            <v>33253</v>
          </cell>
          <cell r="AI668" t="str">
            <v>ميلاد</v>
          </cell>
          <cell r="AJ668" t="str">
            <v>191964</v>
          </cell>
          <cell r="AS668">
            <v>43500</v>
          </cell>
          <cell r="AT668">
            <v>28</v>
          </cell>
          <cell r="AU668" t="str">
            <v>بطاقه قوميه</v>
          </cell>
          <cell r="AV668" t="str">
            <v>001842831</v>
          </cell>
          <cell r="AW668">
            <v>1</v>
          </cell>
          <cell r="AX668">
            <v>3</v>
          </cell>
          <cell r="AY668">
            <v>8</v>
          </cell>
          <cell r="AZ668">
            <v>2</v>
          </cell>
          <cell r="BA668">
            <v>4</v>
          </cell>
          <cell r="BB668">
            <v>8</v>
          </cell>
          <cell r="BC668">
            <v>1</v>
          </cell>
          <cell r="BD668">
            <v>0</v>
          </cell>
          <cell r="BE668" t="str">
            <v>201-6061141-7</v>
          </cell>
          <cell r="BF668" t="str">
            <v>امنه محمد جباره</v>
          </cell>
          <cell r="BG668" t="str">
            <v>العربى</v>
          </cell>
          <cell r="BH668" t="str">
            <v>الشقله</v>
          </cell>
          <cell r="BI668" t="str">
            <v>0907647889</v>
          </cell>
          <cell r="BJ668" t="str">
            <v>حسن عبدالله</v>
          </cell>
          <cell r="BK668" t="str">
            <v>0918635542</v>
          </cell>
          <cell r="BL668" t="str">
            <v>إستثناء</v>
          </cell>
          <cell r="BN668">
            <v>43500</v>
          </cell>
          <cell r="EQ668">
            <v>0</v>
          </cell>
          <cell r="FG668" t="str">
            <v>مدير الامن و الحركه</v>
          </cell>
          <cell r="FH668" t="str">
            <v>فارس حمدان عبدالله فارس</v>
          </cell>
          <cell r="FI668" t="str">
            <v>201-6061141-7</v>
          </cell>
        </row>
        <row r="669">
          <cell r="A669">
            <v>1029</v>
          </cell>
          <cell r="B669" t="str">
            <v>محمد موسى هجرو صالح</v>
          </cell>
          <cell r="C669" t="str">
            <v>محمد</v>
          </cell>
          <cell r="D669" t="str">
            <v>موسى</v>
          </cell>
          <cell r="E669" t="str">
            <v>هجرو</v>
          </cell>
          <cell r="F669" t="str">
            <v>صالح</v>
          </cell>
          <cell r="G669" t="str">
            <v>المصنع</v>
          </cell>
          <cell r="H669" t="str">
            <v>الانتاج</v>
          </cell>
          <cell r="K669" t="str">
            <v>عامل</v>
          </cell>
          <cell r="L669" t="str">
            <v>عامل</v>
          </cell>
          <cell r="M669">
            <v>43143</v>
          </cell>
          <cell r="N669">
            <v>43500</v>
          </cell>
          <cell r="O669">
            <v>0</v>
          </cell>
          <cell r="P669">
            <v>11</v>
          </cell>
          <cell r="R669">
            <v>27.5</v>
          </cell>
          <cell r="Z669">
            <v>31374</v>
          </cell>
          <cell r="AI669" t="str">
            <v>ميلاد</v>
          </cell>
          <cell r="AS669">
            <v>43500</v>
          </cell>
          <cell r="AT669">
            <v>33</v>
          </cell>
          <cell r="AU669" t="str">
            <v>بطاقه قوميه</v>
          </cell>
          <cell r="AV669" t="str">
            <v>001892711</v>
          </cell>
          <cell r="AW669">
            <v>1</v>
          </cell>
          <cell r="AX669">
            <v>1</v>
          </cell>
          <cell r="AY669">
            <v>7</v>
          </cell>
          <cell r="AZ669">
            <v>2</v>
          </cell>
          <cell r="BA669">
            <v>9</v>
          </cell>
          <cell r="BB669">
            <v>8</v>
          </cell>
          <cell r="BC669">
            <v>1</v>
          </cell>
          <cell r="BD669">
            <v>0</v>
          </cell>
          <cell r="BE669" t="str">
            <v>119-3913229-5</v>
          </cell>
          <cell r="BF669" t="str">
            <v>خديجه صوصل ابكر</v>
          </cell>
          <cell r="BG669" t="str">
            <v>العربى</v>
          </cell>
          <cell r="BH669" t="str">
            <v>المدينة الخيرية - م 7 - منزل 591</v>
          </cell>
          <cell r="BI669" t="str">
            <v>0914275822</v>
          </cell>
          <cell r="BJ669" t="str">
            <v>احمد موسى</v>
          </cell>
          <cell r="BK669" t="str">
            <v>0915530545</v>
          </cell>
          <cell r="BL669" t="str">
            <v>إستثناء</v>
          </cell>
          <cell r="BN669">
            <v>43500</v>
          </cell>
          <cell r="BS669" t="str">
            <v>هندسة مدنية</v>
          </cell>
          <cell r="BT669" t="str">
            <v>دبلوم تقني</v>
          </cell>
          <cell r="BU669" t="str">
            <v>جامعة امدرمان الاسلامية</v>
          </cell>
          <cell r="BV669">
            <v>41553</v>
          </cell>
          <cell r="EQ669">
            <v>0</v>
          </cell>
          <cell r="FG669" t="str">
            <v xml:space="preserve"> مدير الانتاج</v>
          </cell>
          <cell r="FH669" t="str">
            <v>هشام عيسى محمد عبدالكريم</v>
          </cell>
          <cell r="FI669" t="str">
            <v>119-3913229-5</v>
          </cell>
        </row>
        <row r="670">
          <cell r="A670">
            <v>1030</v>
          </cell>
          <cell r="B670" t="str">
            <v>معتصم احمد يسن محمد</v>
          </cell>
          <cell r="C670" t="str">
            <v>معتصم</v>
          </cell>
          <cell r="D670" t="str">
            <v>احمد</v>
          </cell>
          <cell r="E670" t="str">
            <v>يسن</v>
          </cell>
          <cell r="F670" t="str">
            <v>محمد</v>
          </cell>
          <cell r="G670" t="str">
            <v>المصنع</v>
          </cell>
          <cell r="H670" t="str">
            <v>الانتاج</v>
          </cell>
          <cell r="K670" t="str">
            <v>عامل</v>
          </cell>
          <cell r="L670" t="str">
            <v>عامل</v>
          </cell>
          <cell r="M670">
            <v>43144</v>
          </cell>
          <cell r="N670">
            <v>43500</v>
          </cell>
          <cell r="O670">
            <v>0</v>
          </cell>
          <cell r="P670">
            <v>11</v>
          </cell>
          <cell r="R670">
            <v>27.5</v>
          </cell>
          <cell r="T670" t="str">
            <v>إستقال</v>
          </cell>
          <cell r="Z670">
            <v>33970</v>
          </cell>
          <cell r="AI670" t="str">
            <v>تسنين</v>
          </cell>
          <cell r="AJ670" t="str">
            <v>3659550</v>
          </cell>
          <cell r="AS670">
            <v>43500</v>
          </cell>
          <cell r="AT670">
            <v>26</v>
          </cell>
          <cell r="AU670" t="str">
            <v>بطاقه قوميه</v>
          </cell>
          <cell r="AV670" t="str">
            <v>004063658</v>
          </cell>
          <cell r="AW670">
            <v>8</v>
          </cell>
          <cell r="AX670">
            <v>5</v>
          </cell>
          <cell r="AY670">
            <v>6</v>
          </cell>
          <cell r="AZ670">
            <v>3</v>
          </cell>
          <cell r="BA670">
            <v>6</v>
          </cell>
          <cell r="BB670">
            <v>0</v>
          </cell>
          <cell r="BC670">
            <v>4</v>
          </cell>
          <cell r="BD670">
            <v>0</v>
          </cell>
          <cell r="BE670" t="str">
            <v>114-3348468-8</v>
          </cell>
          <cell r="BF670" t="str">
            <v>ليلى يسن جلال</v>
          </cell>
          <cell r="BG670" t="str">
            <v>الجزيره</v>
          </cell>
          <cell r="BH670" t="str">
            <v>الجزيرة - الباقير</v>
          </cell>
          <cell r="BI670" t="str">
            <v>0123555294</v>
          </cell>
          <cell r="BJ670" t="str">
            <v>زاهر سراج</v>
          </cell>
          <cell r="BL670" t="str">
            <v>خالي الطرف</v>
          </cell>
          <cell r="BN670">
            <v>43500</v>
          </cell>
          <cell r="BS670" t="str">
            <v>محاسبة</v>
          </cell>
          <cell r="BT670" t="str">
            <v>بكلاريوس الشرف</v>
          </cell>
          <cell r="BU670" t="str">
            <v>جامعة النيلين</v>
          </cell>
          <cell r="BV670">
            <v>41062</v>
          </cell>
          <cell r="BW670" t="str">
            <v>الصحة العامة وصحة البيئة</v>
          </cell>
          <cell r="BX670" t="str">
            <v>دبلوم تقني</v>
          </cell>
          <cell r="BY670" t="str">
            <v>اكاديمية العلوم الصحية</v>
          </cell>
          <cell r="BZ670">
            <v>42033</v>
          </cell>
          <cell r="CQ670" t="str">
            <v>السلاح الطبي شعبة الخدمات العلاجية للعاصمة</v>
          </cell>
          <cell r="CR670" t="str">
            <v>صحة عامة</v>
          </cell>
          <cell r="CS670">
            <v>42533</v>
          </cell>
          <cell r="CT670">
            <v>42837</v>
          </cell>
          <cell r="CV670" t="str">
            <v>مطاحن الحمامة للغلال</v>
          </cell>
          <cell r="CW670" t="str">
            <v>فرد امن</v>
          </cell>
          <cell r="CX670">
            <v>43019</v>
          </cell>
          <cell r="CY670">
            <v>43143</v>
          </cell>
          <cell r="EQ670">
            <v>0</v>
          </cell>
          <cell r="FG670" t="str">
            <v xml:space="preserve"> مدير الانتاج</v>
          </cell>
          <cell r="FH670" t="str">
            <v>هشام عيسى محمد عبدالكريم</v>
          </cell>
          <cell r="FI670" t="str">
            <v>114-3348468-8</v>
          </cell>
        </row>
        <row r="671">
          <cell r="A671">
            <v>1031</v>
          </cell>
          <cell r="B671" t="str">
            <v>محمد عبدالحى يسن ادم</v>
          </cell>
          <cell r="C671" t="str">
            <v>محمد</v>
          </cell>
          <cell r="D671" t="str">
            <v>عبدالحى</v>
          </cell>
          <cell r="E671" t="str">
            <v>يسن</v>
          </cell>
          <cell r="F671" t="str">
            <v>ادم</v>
          </cell>
          <cell r="G671" t="str">
            <v>المصنع</v>
          </cell>
          <cell r="H671" t="str">
            <v>المستودعات</v>
          </cell>
          <cell r="K671" t="str">
            <v>عامل</v>
          </cell>
          <cell r="L671" t="str">
            <v>عامل</v>
          </cell>
          <cell r="M671">
            <v>43144</v>
          </cell>
          <cell r="N671">
            <v>43500</v>
          </cell>
          <cell r="O671">
            <v>0</v>
          </cell>
          <cell r="P671">
            <v>11</v>
          </cell>
          <cell r="R671">
            <v>27.5</v>
          </cell>
          <cell r="Z671">
            <v>34700</v>
          </cell>
          <cell r="AI671" t="str">
            <v>تسنين</v>
          </cell>
          <cell r="AS671">
            <v>43500</v>
          </cell>
          <cell r="AT671">
            <v>24</v>
          </cell>
          <cell r="AU671" t="str">
            <v>بطاقه قوميه</v>
          </cell>
          <cell r="AV671" t="str">
            <v>005281477</v>
          </cell>
          <cell r="AW671">
            <v>7</v>
          </cell>
          <cell r="AX671">
            <v>7</v>
          </cell>
          <cell r="AY671">
            <v>4</v>
          </cell>
          <cell r="AZ671">
            <v>1</v>
          </cell>
          <cell r="BA671">
            <v>8</v>
          </cell>
          <cell r="BB671">
            <v>2</v>
          </cell>
          <cell r="BC671">
            <v>5</v>
          </cell>
          <cell r="BD671">
            <v>0</v>
          </cell>
          <cell r="BE671" t="str">
            <v>120-2531056-6</v>
          </cell>
          <cell r="BF671" t="str">
            <v>زهراء جادين السائر</v>
          </cell>
          <cell r="BG671" t="str">
            <v>العربى</v>
          </cell>
          <cell r="BH671" t="str">
            <v>الجزيرة - بتري</v>
          </cell>
          <cell r="BI671" t="str">
            <v>0920323003</v>
          </cell>
          <cell r="BJ671" t="str">
            <v>احمد عبدالحى عيسى</v>
          </cell>
          <cell r="BK671" t="str">
            <v>0922084310</v>
          </cell>
          <cell r="BL671" t="str">
            <v>خالي الطرف</v>
          </cell>
          <cell r="BN671">
            <v>43500</v>
          </cell>
          <cell r="BS671" t="str">
            <v>نظم المعلومات الإدارية</v>
          </cell>
          <cell r="BT671" t="str">
            <v>دبلوم تقني</v>
          </cell>
          <cell r="BU671" t="str">
            <v>جامعة السودان للعلوم والتكنولوجيا</v>
          </cell>
          <cell r="BV671">
            <v>42549</v>
          </cell>
          <cell r="BW671" t="str">
            <v>حاسوب</v>
          </cell>
          <cell r="BX671" t="str">
            <v>دبلوم (معاهد)</v>
          </cell>
          <cell r="BY671" t="str">
            <v>الصندوق القومى لتشغيل الخريجين - مركز التدريب</v>
          </cell>
          <cell r="BZ671">
            <v>42687</v>
          </cell>
          <cell r="CA671" t="str">
            <v>تصميم شبكات الكمبيوتر</v>
          </cell>
          <cell r="CB671" t="str">
            <v>دبلوم (معاهد)</v>
          </cell>
          <cell r="CC671" t="str">
            <v>اكاديمية سوداكاد للاتصالات</v>
          </cell>
          <cell r="CD671">
            <v>43114</v>
          </cell>
          <cell r="CQ671" t="str">
            <v>الإدارة العامة للجوازات والهجرة - إدارة الحوسبة والمعلومات</v>
          </cell>
          <cell r="CR671" t="str">
            <v>صيانة وشبكات ودعم فنى</v>
          </cell>
          <cell r="CS671">
            <v>42705</v>
          </cell>
          <cell r="CT671">
            <v>43070</v>
          </cell>
          <cell r="EQ671">
            <v>0</v>
          </cell>
          <cell r="FG671" t="str">
            <v>مدير المستودعات</v>
          </cell>
          <cell r="FH671" t="str">
            <v>على احمد على بابكر</v>
          </cell>
          <cell r="FI671" t="str">
            <v>120-2531056-6</v>
          </cell>
        </row>
        <row r="672">
          <cell r="A672">
            <v>1032</v>
          </cell>
          <cell r="B672" t="str">
            <v>طه عبدالمنعم طه مصطفى</v>
          </cell>
          <cell r="C672" t="str">
            <v>طه</v>
          </cell>
          <cell r="D672" t="str">
            <v>عبدالمنعم</v>
          </cell>
          <cell r="E672" t="str">
            <v>طه</v>
          </cell>
          <cell r="F672" t="str">
            <v>مصطفى</v>
          </cell>
          <cell r="G672" t="str">
            <v>المصنع</v>
          </cell>
          <cell r="H672" t="str">
            <v>الانتاج</v>
          </cell>
          <cell r="K672" t="str">
            <v>عامل</v>
          </cell>
          <cell r="L672" t="str">
            <v>عامل</v>
          </cell>
          <cell r="M672">
            <v>43144</v>
          </cell>
          <cell r="N672">
            <v>43500</v>
          </cell>
          <cell r="O672">
            <v>0</v>
          </cell>
          <cell r="P672">
            <v>11</v>
          </cell>
          <cell r="R672">
            <v>27.5</v>
          </cell>
          <cell r="Z672">
            <v>33603</v>
          </cell>
          <cell r="AI672" t="str">
            <v>ميلاد</v>
          </cell>
          <cell r="AJ672" t="str">
            <v>840340</v>
          </cell>
          <cell r="AS672">
            <v>43500</v>
          </cell>
          <cell r="AT672">
            <v>27</v>
          </cell>
          <cell r="AU672" t="str">
            <v>جنسيه</v>
          </cell>
          <cell r="AV672" t="str">
            <v>0730825</v>
          </cell>
          <cell r="AW672">
            <v>5</v>
          </cell>
          <cell r="AX672">
            <v>2</v>
          </cell>
          <cell r="AY672">
            <v>8</v>
          </cell>
          <cell r="AZ672">
            <v>0</v>
          </cell>
          <cell r="BA672">
            <v>3</v>
          </cell>
          <cell r="BB672">
            <v>7</v>
          </cell>
          <cell r="BC672">
            <v>0</v>
          </cell>
          <cell r="BE672" t="str">
            <v>116-7834951-3</v>
          </cell>
          <cell r="BF672" t="str">
            <v>ماجده مامون عوض</v>
          </cell>
          <cell r="BG672" t="str">
            <v>العربى</v>
          </cell>
          <cell r="BH672" t="str">
            <v>امدرمان - بيت المال</v>
          </cell>
          <cell r="BI672" t="str">
            <v>0111611533</v>
          </cell>
          <cell r="BJ672" t="str">
            <v>الشاذلى احمد محمد</v>
          </cell>
          <cell r="BK672" t="str">
            <v>0912204253</v>
          </cell>
          <cell r="BL672" t="str">
            <v>خالي الطرف</v>
          </cell>
          <cell r="BN672">
            <v>43500</v>
          </cell>
          <cell r="BS672" t="str">
            <v>تامين ومصارف</v>
          </cell>
          <cell r="BT672" t="str">
            <v>بكلاريوس</v>
          </cell>
          <cell r="BU672" t="str">
            <v>جامعة امدرمان الاهلية</v>
          </cell>
          <cell r="BV672">
            <v>42181</v>
          </cell>
          <cell r="EQ672">
            <v>0</v>
          </cell>
          <cell r="FG672" t="str">
            <v xml:space="preserve"> مدير الانتاج</v>
          </cell>
          <cell r="FH672" t="str">
            <v>هشام عيسى محمد عبدالكريم</v>
          </cell>
          <cell r="FI672" t="str">
            <v>116-7834951-3</v>
          </cell>
        </row>
        <row r="673">
          <cell r="A673">
            <v>1033</v>
          </cell>
          <cell r="B673" t="str">
            <v>مهند عبدالمنعم طه مصطفى</v>
          </cell>
          <cell r="C673" t="str">
            <v>مهند</v>
          </cell>
          <cell r="D673" t="str">
            <v>عبدالمنعم</v>
          </cell>
          <cell r="E673" t="str">
            <v>طه</v>
          </cell>
          <cell r="F673" t="str">
            <v>مصطفى</v>
          </cell>
          <cell r="G673" t="str">
            <v>المصنع</v>
          </cell>
          <cell r="H673" t="str">
            <v>الانتاج</v>
          </cell>
          <cell r="K673" t="str">
            <v>عامل</v>
          </cell>
          <cell r="L673" t="str">
            <v>عامل</v>
          </cell>
          <cell r="M673">
            <v>43144</v>
          </cell>
          <cell r="N673">
            <v>43500</v>
          </cell>
          <cell r="O673">
            <v>0</v>
          </cell>
          <cell r="P673">
            <v>11</v>
          </cell>
          <cell r="R673">
            <v>27.5</v>
          </cell>
          <cell r="T673" t="str">
            <v>إستقال</v>
          </cell>
          <cell r="U673">
            <v>43277</v>
          </cell>
          <cell r="V673">
            <v>43277</v>
          </cell>
          <cell r="Z673">
            <v>35091</v>
          </cell>
          <cell r="AI673" t="str">
            <v>ميلاد</v>
          </cell>
          <cell r="AJ673" t="str">
            <v>437233</v>
          </cell>
          <cell r="AS673">
            <v>43500</v>
          </cell>
          <cell r="AT673">
            <v>23</v>
          </cell>
          <cell r="AU673" t="str">
            <v>بطاقه قوميه</v>
          </cell>
          <cell r="AV673" t="str">
            <v>002777593</v>
          </cell>
          <cell r="AW673">
            <v>3</v>
          </cell>
          <cell r="AX673">
            <v>9</v>
          </cell>
          <cell r="AY673">
            <v>5</v>
          </cell>
          <cell r="AZ673">
            <v>7</v>
          </cell>
          <cell r="BA673">
            <v>7</v>
          </cell>
          <cell r="BB673">
            <v>7</v>
          </cell>
          <cell r="BC673">
            <v>2</v>
          </cell>
          <cell r="BD673">
            <v>0</v>
          </cell>
          <cell r="BE673" t="str">
            <v>116-2493760-8</v>
          </cell>
          <cell r="BF673" t="str">
            <v>ماجده مامون عوض</v>
          </cell>
          <cell r="BG673" t="str">
            <v>العربى</v>
          </cell>
          <cell r="BH673" t="str">
            <v>امدرمان - بيت المال</v>
          </cell>
          <cell r="BI673" t="str">
            <v>0126574225</v>
          </cell>
          <cell r="BJ673" t="str">
            <v>الشاذلى احمد محمد</v>
          </cell>
          <cell r="BK673" t="str">
            <v>0912204253</v>
          </cell>
          <cell r="BL673" t="str">
            <v>خاضع للخدمه</v>
          </cell>
          <cell r="BN673">
            <v>43500</v>
          </cell>
          <cell r="BS673" t="str">
            <v>محاسبة الكترونية</v>
          </cell>
          <cell r="BT673" t="str">
            <v>دبلوم (معاهد)</v>
          </cell>
          <cell r="BU673" t="str">
            <v>Etco Trainin Human Development Center</v>
          </cell>
          <cell r="BV673">
            <v>42477</v>
          </cell>
          <cell r="BW673" t="str">
            <v>ريادة الاعمال وإحترافية التسويق</v>
          </cell>
          <cell r="BX673" t="str">
            <v>دبلوم (معاهد)</v>
          </cell>
          <cell r="BY673" t="str">
            <v>مركز البيتي للتدريب وتنمية الموارد البشرية</v>
          </cell>
          <cell r="BZ673">
            <v>42971</v>
          </cell>
          <cell r="EQ673">
            <v>0</v>
          </cell>
          <cell r="FG673" t="str">
            <v xml:space="preserve"> مدير الانتاج</v>
          </cell>
          <cell r="FH673" t="str">
            <v>هشام عيسى محمد عبدالكريم</v>
          </cell>
          <cell r="FI673" t="str">
            <v>116-2493760-8</v>
          </cell>
        </row>
        <row r="674">
          <cell r="A674">
            <v>1034</v>
          </cell>
          <cell r="B674" t="str">
            <v>عبدالعظيم صابر ابكر حران</v>
          </cell>
          <cell r="C674" t="str">
            <v>عبدالعظيم</v>
          </cell>
          <cell r="D674" t="str">
            <v>صابر</v>
          </cell>
          <cell r="E674" t="str">
            <v>ابكر</v>
          </cell>
          <cell r="F674" t="str">
            <v>حران</v>
          </cell>
          <cell r="G674" t="str">
            <v>المصنع</v>
          </cell>
          <cell r="H674" t="str">
            <v>الانتاج</v>
          </cell>
          <cell r="K674" t="str">
            <v>عامل</v>
          </cell>
          <cell r="L674" t="str">
            <v>عامل</v>
          </cell>
          <cell r="M674">
            <v>43144</v>
          </cell>
          <cell r="N674">
            <v>43500</v>
          </cell>
          <cell r="O674">
            <v>0</v>
          </cell>
          <cell r="P674">
            <v>11</v>
          </cell>
          <cell r="R674">
            <v>27.5</v>
          </cell>
          <cell r="Z674">
            <v>32817</v>
          </cell>
          <cell r="AI674" t="str">
            <v>ميلاد</v>
          </cell>
          <cell r="AJ674" t="str">
            <v>896956</v>
          </cell>
          <cell r="AS674">
            <v>43500</v>
          </cell>
          <cell r="AT674">
            <v>29</v>
          </cell>
          <cell r="AU674" t="str">
            <v>بطاقه قوميه</v>
          </cell>
          <cell r="AV674" t="str">
            <v>001001677</v>
          </cell>
          <cell r="AW674">
            <v>7</v>
          </cell>
          <cell r="AX674">
            <v>7</v>
          </cell>
          <cell r="AY674">
            <v>6</v>
          </cell>
          <cell r="AZ674">
            <v>1</v>
          </cell>
          <cell r="BA674">
            <v>0</v>
          </cell>
          <cell r="BB674">
            <v>0</v>
          </cell>
          <cell r="BC674">
            <v>1</v>
          </cell>
          <cell r="BD674">
            <v>0</v>
          </cell>
          <cell r="BE674" t="str">
            <v>118-9900233-3</v>
          </cell>
          <cell r="BF674" t="str">
            <v>زهور محمد الحسن</v>
          </cell>
          <cell r="BG674" t="str">
            <v>بحرى</v>
          </cell>
          <cell r="BH674" t="str">
            <v>بحرى - السامراب</v>
          </cell>
          <cell r="BI674" t="str">
            <v>0926459791</v>
          </cell>
          <cell r="BJ674" t="str">
            <v>احمد صابر ابكر</v>
          </cell>
          <cell r="BL674" t="str">
            <v>خالي الطرف</v>
          </cell>
          <cell r="BN674">
            <v>43500</v>
          </cell>
          <cell r="BS674" t="str">
            <v>Printing &amp; Dinding Section</v>
          </cell>
          <cell r="BT674" t="str">
            <v>دبلوم تقني</v>
          </cell>
          <cell r="BU674" t="str">
            <v>جامعة السودان للعلوم والتكنولوجيا</v>
          </cell>
          <cell r="BV674">
            <v>40836</v>
          </cell>
          <cell r="BW674" t="str">
            <v>تطبيقات الحاسوب</v>
          </cell>
          <cell r="BX674" t="str">
            <v>دبلوم (معاهد)</v>
          </cell>
          <cell r="BY674" t="str">
            <v>مركز المحيط للتدريب والاستشارات</v>
          </cell>
          <cell r="BZ674">
            <v>42512</v>
          </cell>
          <cell r="EQ674">
            <v>0</v>
          </cell>
          <cell r="FG674" t="str">
            <v xml:space="preserve"> مدير الانتاج</v>
          </cell>
          <cell r="FH674" t="str">
            <v>هشام عيسى محمد عبدالكريم</v>
          </cell>
          <cell r="FI674" t="str">
            <v>118-9900233-3</v>
          </cell>
        </row>
        <row r="675">
          <cell r="A675">
            <v>1035</v>
          </cell>
          <cell r="B675" t="str">
            <v>محمد حسين مصطفى مناوى</v>
          </cell>
          <cell r="C675" t="str">
            <v>محمد</v>
          </cell>
          <cell r="D675" t="str">
            <v>حسين</v>
          </cell>
          <cell r="E675" t="str">
            <v>مصطفى</v>
          </cell>
          <cell r="F675" t="str">
            <v>مناوى</v>
          </cell>
          <cell r="G675" t="str">
            <v>المصنع</v>
          </cell>
          <cell r="H675" t="str">
            <v>الانتاج</v>
          </cell>
          <cell r="K675" t="str">
            <v>عامل</v>
          </cell>
          <cell r="L675" t="str">
            <v>عامل</v>
          </cell>
          <cell r="M675">
            <v>43144</v>
          </cell>
          <cell r="N675">
            <v>43500</v>
          </cell>
          <cell r="O675">
            <v>0</v>
          </cell>
          <cell r="P675">
            <v>11</v>
          </cell>
          <cell r="R675">
            <v>27.5</v>
          </cell>
          <cell r="Z675">
            <v>26299</v>
          </cell>
          <cell r="AI675" t="str">
            <v>تسنين</v>
          </cell>
          <cell r="AJ675" t="str">
            <v>3171877</v>
          </cell>
          <cell r="AS675">
            <v>43500</v>
          </cell>
          <cell r="AT675">
            <v>47</v>
          </cell>
          <cell r="AU675" t="str">
            <v>بطاقه قوميه</v>
          </cell>
          <cell r="AV675" t="str">
            <v>003371823</v>
          </cell>
          <cell r="AW675">
            <v>3</v>
          </cell>
          <cell r="AX675">
            <v>2</v>
          </cell>
          <cell r="AY675">
            <v>8</v>
          </cell>
          <cell r="AZ675">
            <v>1</v>
          </cell>
          <cell r="BA675">
            <v>7</v>
          </cell>
          <cell r="BB675">
            <v>3</v>
          </cell>
          <cell r="BC675">
            <v>3</v>
          </cell>
          <cell r="BD675">
            <v>0</v>
          </cell>
          <cell r="BE675" t="str">
            <v>134-4399637-2</v>
          </cell>
          <cell r="BF675" t="str">
            <v>عازين حرير نور</v>
          </cell>
          <cell r="BG675" t="str">
            <v>العربى</v>
          </cell>
          <cell r="BH675" t="str">
            <v>الجزيرة - بتري</v>
          </cell>
          <cell r="BI675" t="str">
            <v>0991236080</v>
          </cell>
          <cell r="BJ675" t="str">
            <v>حافظ يعقوب</v>
          </cell>
          <cell r="BL675" t="str">
            <v>خالي الطرف</v>
          </cell>
          <cell r="BN675">
            <v>43500</v>
          </cell>
          <cell r="EQ675">
            <v>0</v>
          </cell>
          <cell r="FG675" t="str">
            <v xml:space="preserve"> مدير الانتاج</v>
          </cell>
          <cell r="FH675" t="str">
            <v>هشام عيسى محمد عبدالكريم</v>
          </cell>
          <cell r="FI675" t="str">
            <v>134-4399637-2</v>
          </cell>
        </row>
        <row r="676">
          <cell r="A676">
            <v>1036</v>
          </cell>
          <cell r="B676" t="str">
            <v>مهند محمد سيد احمد بابكر</v>
          </cell>
          <cell r="C676" t="str">
            <v>مهند</v>
          </cell>
          <cell r="D676" t="str">
            <v>محمد</v>
          </cell>
          <cell r="E676" t="str">
            <v>سيد</v>
          </cell>
          <cell r="F676" t="str">
            <v>احمد</v>
          </cell>
          <cell r="G676" t="str">
            <v>المصنع</v>
          </cell>
          <cell r="H676" t="str">
            <v>الانتاج</v>
          </cell>
          <cell r="K676" t="str">
            <v>عامل</v>
          </cell>
          <cell r="L676" t="str">
            <v>عامل</v>
          </cell>
          <cell r="M676">
            <v>43144</v>
          </cell>
          <cell r="N676">
            <v>43500</v>
          </cell>
          <cell r="O676">
            <v>0</v>
          </cell>
          <cell r="P676">
            <v>11</v>
          </cell>
          <cell r="R676">
            <v>27.5</v>
          </cell>
          <cell r="Z676">
            <v>30858</v>
          </cell>
          <cell r="AI676" t="str">
            <v>ميلاد</v>
          </cell>
          <cell r="AJ676" t="str">
            <v>398449</v>
          </cell>
          <cell r="AS676">
            <v>43500</v>
          </cell>
          <cell r="AT676">
            <v>34</v>
          </cell>
          <cell r="AU676" t="str">
            <v>بطاقه قوميه</v>
          </cell>
          <cell r="AV676" t="str">
            <v>005404390</v>
          </cell>
          <cell r="AW676">
            <v>0</v>
          </cell>
          <cell r="AX676">
            <v>9</v>
          </cell>
          <cell r="AY676">
            <v>3</v>
          </cell>
          <cell r="AZ676">
            <v>4</v>
          </cell>
          <cell r="BA676">
            <v>0</v>
          </cell>
          <cell r="BB676">
            <v>4</v>
          </cell>
          <cell r="BC676">
            <v>5</v>
          </cell>
          <cell r="BD676">
            <v>0</v>
          </cell>
          <cell r="BE676" t="str">
            <v>115-4857251-0</v>
          </cell>
          <cell r="BF676" t="str">
            <v>فتحيه مدثر محمد</v>
          </cell>
          <cell r="BG676" t="str">
            <v>العربى</v>
          </cell>
          <cell r="BH676" t="str">
            <v>ام درمان - العباسية</v>
          </cell>
          <cell r="BI676" t="str">
            <v>0964070216</v>
          </cell>
          <cell r="BJ676" t="str">
            <v>السر كباشي</v>
          </cell>
          <cell r="BK676" t="str">
            <v>0908919666</v>
          </cell>
          <cell r="BL676" t="str">
            <v>إستثناء</v>
          </cell>
          <cell r="BN676">
            <v>43500</v>
          </cell>
          <cell r="EQ676">
            <v>0</v>
          </cell>
          <cell r="FG676" t="str">
            <v xml:space="preserve"> مدير الانتاج</v>
          </cell>
          <cell r="FH676" t="str">
            <v>هشام عيسى محمد عبدالكريم</v>
          </cell>
          <cell r="FI676" t="str">
            <v>115-4857251-0</v>
          </cell>
        </row>
        <row r="677">
          <cell r="A677">
            <v>1037</v>
          </cell>
          <cell r="B677" t="str">
            <v>الدين اسحق الطاهر حسن</v>
          </cell>
          <cell r="C677" t="str">
            <v>الدين</v>
          </cell>
          <cell r="D677" t="str">
            <v>اسحق</v>
          </cell>
          <cell r="E677" t="str">
            <v>الطاهر</v>
          </cell>
          <cell r="F677" t="str">
            <v>حسن</v>
          </cell>
          <cell r="G677" t="str">
            <v>المصنع</v>
          </cell>
          <cell r="H677" t="str">
            <v>الانتاج</v>
          </cell>
          <cell r="K677" t="str">
            <v>عامل</v>
          </cell>
          <cell r="L677" t="str">
            <v>عامل</v>
          </cell>
          <cell r="M677">
            <v>43144</v>
          </cell>
          <cell r="N677">
            <v>43500</v>
          </cell>
          <cell r="O677">
            <v>0</v>
          </cell>
          <cell r="P677">
            <v>11</v>
          </cell>
          <cell r="R677">
            <v>27.5</v>
          </cell>
          <cell r="Z677">
            <v>31778</v>
          </cell>
          <cell r="AI677" t="str">
            <v>تسنين</v>
          </cell>
          <cell r="AJ677" t="str">
            <v>2266670</v>
          </cell>
          <cell r="AS677">
            <v>43500</v>
          </cell>
          <cell r="AT677">
            <v>32</v>
          </cell>
          <cell r="AU677" t="str">
            <v>بطاقه قوميه</v>
          </cell>
          <cell r="AV677" t="str">
            <v>001936466</v>
          </cell>
          <cell r="AW677">
            <v>6</v>
          </cell>
          <cell r="AX677">
            <v>6</v>
          </cell>
          <cell r="AY677">
            <v>4</v>
          </cell>
          <cell r="AZ677">
            <v>6</v>
          </cell>
          <cell r="BA677">
            <v>3</v>
          </cell>
          <cell r="BB677">
            <v>9</v>
          </cell>
          <cell r="BC677">
            <v>1</v>
          </cell>
          <cell r="BD677">
            <v>0</v>
          </cell>
          <cell r="BE677" t="str">
            <v>194-2446525-1</v>
          </cell>
          <cell r="BF677" t="str">
            <v>حواء عباس على</v>
          </cell>
          <cell r="BG677" t="str">
            <v>العربى</v>
          </cell>
          <cell r="BH677" t="str">
            <v>السمير</v>
          </cell>
          <cell r="BI677" t="str">
            <v>0913035370</v>
          </cell>
          <cell r="BJ677" t="str">
            <v>الطاهر عبدالرحمن</v>
          </cell>
          <cell r="BL677" t="str">
            <v>إستثناء</v>
          </cell>
          <cell r="BN677">
            <v>43500</v>
          </cell>
          <cell r="EQ677">
            <v>0</v>
          </cell>
          <cell r="FG677" t="str">
            <v xml:space="preserve"> مدير الانتاج</v>
          </cell>
          <cell r="FH677" t="str">
            <v>هشام عيسى محمد عبدالكريم</v>
          </cell>
          <cell r="FI677" t="str">
            <v>194-2446525-1</v>
          </cell>
        </row>
        <row r="678">
          <cell r="A678">
            <v>1038</v>
          </cell>
          <cell r="B678" t="str">
            <v>محمد مدنى مكى حمد</v>
          </cell>
          <cell r="C678" t="str">
            <v>محمد</v>
          </cell>
          <cell r="D678" t="str">
            <v>مدنى</v>
          </cell>
          <cell r="E678" t="str">
            <v>مكى</v>
          </cell>
          <cell r="F678" t="str">
            <v>حمد</v>
          </cell>
          <cell r="G678" t="str">
            <v>المصنع</v>
          </cell>
          <cell r="H678" t="str">
            <v>الانتاج</v>
          </cell>
          <cell r="K678" t="str">
            <v>عامل</v>
          </cell>
          <cell r="L678" t="str">
            <v>عامل</v>
          </cell>
          <cell r="M678">
            <v>43146</v>
          </cell>
          <cell r="N678">
            <v>43500</v>
          </cell>
          <cell r="O678">
            <v>0</v>
          </cell>
          <cell r="P678">
            <v>11</v>
          </cell>
          <cell r="R678">
            <v>27.5</v>
          </cell>
          <cell r="Z678">
            <v>31481</v>
          </cell>
          <cell r="AI678" t="str">
            <v>ميلاد</v>
          </cell>
          <cell r="AJ678" t="str">
            <v>261010</v>
          </cell>
          <cell r="AS678">
            <v>43500</v>
          </cell>
          <cell r="AT678">
            <v>32</v>
          </cell>
          <cell r="AU678" t="str">
            <v>بطاقه قوميه</v>
          </cell>
          <cell r="AV678" t="str">
            <v>004002215</v>
          </cell>
          <cell r="AW678">
            <v>5</v>
          </cell>
          <cell r="AX678">
            <v>1</v>
          </cell>
          <cell r="AY678">
            <v>2</v>
          </cell>
          <cell r="AZ678">
            <v>2</v>
          </cell>
          <cell r="BA678">
            <v>0</v>
          </cell>
          <cell r="BB678">
            <v>0</v>
          </cell>
          <cell r="BC678">
            <v>4</v>
          </cell>
          <cell r="BD678">
            <v>0</v>
          </cell>
          <cell r="BE678" t="str">
            <v>120-9101698-6</v>
          </cell>
          <cell r="BF678" t="str">
            <v>اكرام ابراهيم مصطفى</v>
          </cell>
          <cell r="BG678" t="str">
            <v>العربى</v>
          </cell>
          <cell r="BH678" t="str">
            <v>سوبا - الحلة</v>
          </cell>
          <cell r="BI678" t="str">
            <v>0917524557</v>
          </cell>
          <cell r="BJ678" t="str">
            <v>عوض مكى</v>
          </cell>
          <cell r="BK678" t="str">
            <v>0912435570</v>
          </cell>
          <cell r="BL678" t="str">
            <v>خالي الطرف</v>
          </cell>
          <cell r="BN678">
            <v>43500</v>
          </cell>
          <cell r="BS678" t="str">
            <v>الميكنة الزراعية</v>
          </cell>
          <cell r="BT678" t="str">
            <v>بكلاريوس الشرف</v>
          </cell>
          <cell r="BU678" t="str">
            <v>جامعة السودان للعلوم والتكنولوجيا</v>
          </cell>
          <cell r="BV678">
            <v>40808</v>
          </cell>
          <cell r="CQ678" t="str">
            <v>شركة الخيارى للخدمات الزراعية المحدودة</v>
          </cell>
          <cell r="CR678" t="str">
            <v>متدرب</v>
          </cell>
          <cell r="CS678">
            <v>40910</v>
          </cell>
          <cell r="CT678">
            <v>42918</v>
          </cell>
          <cell r="EQ678">
            <v>0</v>
          </cell>
          <cell r="FG678" t="str">
            <v xml:space="preserve"> مدير الانتاج</v>
          </cell>
          <cell r="FH678" t="str">
            <v>هشام عيسى محمد عبدالكريم</v>
          </cell>
          <cell r="FI678" t="str">
            <v>120-9101698-6</v>
          </cell>
        </row>
        <row r="679">
          <cell r="A679">
            <v>1039</v>
          </cell>
          <cell r="B679" t="str">
            <v>نورالدين عبدالفتاح خيرالله نقد</v>
          </cell>
          <cell r="C679" t="str">
            <v>نورالدين</v>
          </cell>
          <cell r="D679" t="str">
            <v>عبدالفتاح</v>
          </cell>
          <cell r="E679" t="str">
            <v>خيرالله</v>
          </cell>
          <cell r="F679" t="str">
            <v>نقد</v>
          </cell>
          <cell r="G679" t="str">
            <v>المصنع</v>
          </cell>
          <cell r="H679" t="str">
            <v>الجوده</v>
          </cell>
          <cell r="K679" t="str">
            <v>فرد امن</v>
          </cell>
          <cell r="L679" t="str">
            <v>عامل</v>
          </cell>
          <cell r="M679">
            <v>43150</v>
          </cell>
          <cell r="N679">
            <v>43500</v>
          </cell>
          <cell r="O679">
            <v>0</v>
          </cell>
          <cell r="P679">
            <v>11</v>
          </cell>
          <cell r="R679">
            <v>27.5</v>
          </cell>
          <cell r="Z679">
            <v>26354</v>
          </cell>
          <cell r="AI679" t="str">
            <v>ميلاد</v>
          </cell>
          <cell r="AJ679" t="str">
            <v>569910</v>
          </cell>
          <cell r="AS679">
            <v>43500</v>
          </cell>
          <cell r="AT679">
            <v>46</v>
          </cell>
          <cell r="AU679" t="str">
            <v>بطاقه قوميه</v>
          </cell>
          <cell r="AV679" t="str">
            <v>000253059</v>
          </cell>
          <cell r="AW679">
            <v>9</v>
          </cell>
          <cell r="AX679">
            <v>5</v>
          </cell>
          <cell r="AY679">
            <v>0</v>
          </cell>
          <cell r="AZ679">
            <v>3</v>
          </cell>
          <cell r="BA679">
            <v>5</v>
          </cell>
          <cell r="BB679">
            <v>2</v>
          </cell>
          <cell r="BC679">
            <v>0</v>
          </cell>
          <cell r="BD679">
            <v>0</v>
          </cell>
          <cell r="BE679" t="str">
            <v>178-8746458-8</v>
          </cell>
          <cell r="BF679" t="str">
            <v>خادم الله عبدالله نقد</v>
          </cell>
          <cell r="BG679" t="str">
            <v>الكلاكله</v>
          </cell>
          <cell r="BH679" t="str">
            <v>الكلاكله - القبه شمال - م 1 - منزل 191</v>
          </cell>
          <cell r="BI679" t="str">
            <v>0967989660</v>
          </cell>
          <cell r="BJ679" t="str">
            <v>عبدالرحمن عبدالفتاح</v>
          </cell>
          <cell r="BK679" t="str">
            <v>0912789008</v>
          </cell>
          <cell r="BL679" t="str">
            <v>إستثناء</v>
          </cell>
          <cell r="BN679">
            <v>43500</v>
          </cell>
          <cell r="BS679" t="str">
            <v>نجاره</v>
          </cell>
          <cell r="BT679" t="str">
            <v>تدريب مهني</v>
          </cell>
          <cell r="BU679" t="str">
            <v xml:space="preserve">المجلس القومى للتدريب المهنى </v>
          </cell>
          <cell r="BV679">
            <v>35217</v>
          </cell>
          <cell r="BW679" t="str">
            <v>حاسوب</v>
          </cell>
          <cell r="BX679" t="str">
            <v>دبلوم (معاهد)</v>
          </cell>
          <cell r="BY679" t="str">
            <v>Salkeen</v>
          </cell>
          <cell r="BZ679">
            <v>41269</v>
          </cell>
          <cell r="EQ679">
            <v>0</v>
          </cell>
          <cell r="FG679" t="str">
            <v>مسئول قسم الجوده</v>
          </cell>
          <cell r="FH679" t="str">
            <v>المبارك محمد ابراهيم</v>
          </cell>
          <cell r="FI679" t="str">
            <v>178-8746458-8</v>
          </cell>
        </row>
        <row r="680">
          <cell r="A680">
            <v>1040</v>
          </cell>
          <cell r="B680" t="str">
            <v>جبريل احمد محمد احمد</v>
          </cell>
          <cell r="C680" t="str">
            <v>جبريل</v>
          </cell>
          <cell r="D680" t="str">
            <v>احمد</v>
          </cell>
          <cell r="E680" t="str">
            <v>محمد</v>
          </cell>
          <cell r="F680" t="str">
            <v>احمد</v>
          </cell>
          <cell r="G680" t="str">
            <v>المصنع</v>
          </cell>
          <cell r="H680" t="str">
            <v>الامن و الحركه</v>
          </cell>
          <cell r="K680" t="str">
            <v>فرد امن</v>
          </cell>
          <cell r="L680" t="str">
            <v>فرد امن</v>
          </cell>
          <cell r="M680">
            <v>43149</v>
          </cell>
          <cell r="N680">
            <v>43500</v>
          </cell>
          <cell r="O680">
            <v>0</v>
          </cell>
          <cell r="P680">
            <v>11</v>
          </cell>
          <cell r="R680">
            <v>27.5</v>
          </cell>
          <cell r="T680" t="str">
            <v>فصل</v>
          </cell>
          <cell r="U680">
            <v>43235</v>
          </cell>
          <cell r="V680">
            <v>43235</v>
          </cell>
          <cell r="Z680">
            <v>31776</v>
          </cell>
          <cell r="AI680" t="str">
            <v>ميلاد</v>
          </cell>
          <cell r="AJ680" t="str">
            <v>194031</v>
          </cell>
          <cell r="AS680">
            <v>43500</v>
          </cell>
          <cell r="AT680">
            <v>32</v>
          </cell>
          <cell r="AU680" t="str">
            <v>جواز سفر</v>
          </cell>
          <cell r="AV680" t="str">
            <v>03995833</v>
          </cell>
          <cell r="AW680">
            <v>3</v>
          </cell>
          <cell r="AX680">
            <v>3</v>
          </cell>
          <cell r="AY680">
            <v>8</v>
          </cell>
          <cell r="AZ680">
            <v>5</v>
          </cell>
          <cell r="BA680">
            <v>9</v>
          </cell>
          <cell r="BB680">
            <v>9</v>
          </cell>
          <cell r="BC680">
            <v>3</v>
          </cell>
          <cell r="BD680">
            <v>0</v>
          </cell>
          <cell r="BE680" t="str">
            <v>115-6662698-5</v>
          </cell>
          <cell r="BF680" t="str">
            <v>فطومه حامد محمد</v>
          </cell>
          <cell r="BG680" t="str">
            <v>العربى</v>
          </cell>
          <cell r="BH680" t="str">
            <v xml:space="preserve">ام درمان - مدينة الصفوه - م 4 </v>
          </cell>
          <cell r="BI680" t="str">
            <v>0907300311</v>
          </cell>
          <cell r="BJ680" t="str">
            <v>فارس حمدان</v>
          </cell>
          <cell r="BL680" t="str">
            <v>خالي الطرف</v>
          </cell>
          <cell r="BN680">
            <v>43500</v>
          </cell>
          <cell r="BS680" t="str">
            <v>إدارة الاعمال</v>
          </cell>
          <cell r="BT680" t="str">
            <v>بكلاريوس الشرف</v>
          </cell>
          <cell r="BU680" t="str">
            <v>جامعة النيلين</v>
          </cell>
          <cell r="BV680">
            <v>41526</v>
          </cell>
          <cell r="BW680" t="str">
            <v>تطبيقات الحاسوب</v>
          </cell>
          <cell r="BX680" t="str">
            <v>دبلوم (معاهد)</v>
          </cell>
          <cell r="BY680" t="str">
            <v>الشركة العربية التقنية المحدودة</v>
          </cell>
          <cell r="BZ680">
            <v>41310</v>
          </cell>
          <cell r="EQ680">
            <v>0</v>
          </cell>
          <cell r="FG680" t="str">
            <v>مدير الامن و الحركه</v>
          </cell>
          <cell r="FH680" t="str">
            <v>فارس حمدان عبدالله فارس</v>
          </cell>
          <cell r="FI680" t="str">
            <v>115-6662698-5</v>
          </cell>
        </row>
        <row r="681">
          <cell r="A681">
            <v>1041</v>
          </cell>
          <cell r="B681" t="str">
            <v>حسن احمد صالح حسن</v>
          </cell>
          <cell r="C681" t="str">
            <v>حسن</v>
          </cell>
          <cell r="D681" t="str">
            <v>احمد</v>
          </cell>
          <cell r="E681" t="str">
            <v>صالح</v>
          </cell>
          <cell r="F681" t="str">
            <v>حسن</v>
          </cell>
          <cell r="G681" t="str">
            <v>المصنع</v>
          </cell>
          <cell r="H681" t="str">
            <v>الانتاج</v>
          </cell>
          <cell r="K681" t="str">
            <v>عامل</v>
          </cell>
          <cell r="L681" t="str">
            <v>عامل</v>
          </cell>
          <cell r="M681">
            <v>43150</v>
          </cell>
          <cell r="N681">
            <v>43500</v>
          </cell>
          <cell r="O681">
            <v>0</v>
          </cell>
          <cell r="P681">
            <v>11</v>
          </cell>
          <cell r="R681">
            <v>27.5</v>
          </cell>
          <cell r="T681" t="str">
            <v>إستقال</v>
          </cell>
          <cell r="U681">
            <v>43291</v>
          </cell>
          <cell r="Z681">
            <v>32980</v>
          </cell>
          <cell r="AI681" t="str">
            <v>ميلاد</v>
          </cell>
          <cell r="AJ681" t="str">
            <v>962465</v>
          </cell>
          <cell r="AS681">
            <v>43500</v>
          </cell>
          <cell r="AT681">
            <v>28</v>
          </cell>
          <cell r="AU681" t="str">
            <v>جنسيه</v>
          </cell>
          <cell r="AV681" t="str">
            <v>0712693</v>
          </cell>
          <cell r="AW681">
            <v>3</v>
          </cell>
          <cell r="AX681">
            <v>9</v>
          </cell>
          <cell r="AY681">
            <v>6</v>
          </cell>
          <cell r="AZ681">
            <v>2</v>
          </cell>
          <cell r="BA681">
            <v>1</v>
          </cell>
          <cell r="BB681">
            <v>7</v>
          </cell>
          <cell r="BC681">
            <v>0</v>
          </cell>
          <cell r="BE681" t="str">
            <v>120-8686719-7</v>
          </cell>
          <cell r="BF681" t="str">
            <v>ناهد حسن احمد</v>
          </cell>
          <cell r="BG681" t="str">
            <v>الكلاكله</v>
          </cell>
          <cell r="BH681" t="str">
            <v>الخرطوم - العزوزاب - م1</v>
          </cell>
          <cell r="BI681" t="str">
            <v>0912863368</v>
          </cell>
          <cell r="BJ681" t="str">
            <v>عمر الفاروق احمد</v>
          </cell>
          <cell r="BK681" t="str">
            <v>0112288902</v>
          </cell>
          <cell r="BL681" t="str">
            <v>إستثناء</v>
          </cell>
          <cell r="BN681">
            <v>43500</v>
          </cell>
          <cell r="BS681" t="str">
            <v>علوم الحاسوب</v>
          </cell>
          <cell r="BT681" t="str">
            <v>دبلوم تقني</v>
          </cell>
          <cell r="BU681" t="str">
            <v>جامعة امدرمان الاسلامية</v>
          </cell>
          <cell r="BV681">
            <v>40871</v>
          </cell>
          <cell r="EQ681">
            <v>0</v>
          </cell>
          <cell r="FG681" t="str">
            <v xml:space="preserve"> مدير الانتاج</v>
          </cell>
          <cell r="FH681" t="str">
            <v>هشام عيسى محمد عبدالكريم</v>
          </cell>
          <cell r="FI681" t="str">
            <v>120-8686719-7</v>
          </cell>
        </row>
        <row r="682">
          <cell r="A682">
            <v>1042</v>
          </cell>
          <cell r="B682" t="str">
            <v>محمد احمد محمد الحسن</v>
          </cell>
          <cell r="C682" t="str">
            <v>محمد</v>
          </cell>
          <cell r="D682" t="str">
            <v>احمد</v>
          </cell>
          <cell r="E682" t="str">
            <v>محمد</v>
          </cell>
          <cell r="F682" t="str">
            <v>الحسن</v>
          </cell>
          <cell r="G682" t="str">
            <v>المصنع</v>
          </cell>
          <cell r="H682" t="str">
            <v>الانتاج</v>
          </cell>
          <cell r="K682" t="str">
            <v>عامل</v>
          </cell>
          <cell r="L682" t="str">
            <v>عامل</v>
          </cell>
          <cell r="M682">
            <v>43150</v>
          </cell>
          <cell r="N682">
            <v>43500</v>
          </cell>
          <cell r="O682">
            <v>0</v>
          </cell>
          <cell r="P682">
            <v>11</v>
          </cell>
          <cell r="R682">
            <v>27.5</v>
          </cell>
          <cell r="Z682">
            <v>28491</v>
          </cell>
          <cell r="AI682" t="str">
            <v>تسنين</v>
          </cell>
          <cell r="AJ682" t="str">
            <v>0170103</v>
          </cell>
          <cell r="AS682">
            <v>43500</v>
          </cell>
          <cell r="AT682">
            <v>41</v>
          </cell>
          <cell r="AU682" t="str">
            <v>جنسيه</v>
          </cell>
          <cell r="AV682" t="str">
            <v>0167825</v>
          </cell>
          <cell r="AW682">
            <v>5</v>
          </cell>
          <cell r="AX682">
            <v>2</v>
          </cell>
          <cell r="AY682">
            <v>8</v>
          </cell>
          <cell r="AZ682">
            <v>7</v>
          </cell>
          <cell r="BA682">
            <v>6</v>
          </cell>
          <cell r="BB682">
            <v>1</v>
          </cell>
          <cell r="BC682">
            <v>0</v>
          </cell>
          <cell r="BE682" t="str">
            <v>102-0049413-4</v>
          </cell>
          <cell r="BF682" t="str">
            <v>عائشه احمد مضوى</v>
          </cell>
          <cell r="BG682" t="str">
            <v>العربى</v>
          </cell>
          <cell r="BH682" t="str">
            <v>سوبا شرق</v>
          </cell>
          <cell r="BI682" t="str">
            <v>0913511553</v>
          </cell>
          <cell r="BJ682" t="str">
            <v>عثمان احمد محمد</v>
          </cell>
          <cell r="BK682" t="str">
            <v>0918209793</v>
          </cell>
          <cell r="BL682" t="str">
            <v>خالي الطرف</v>
          </cell>
          <cell r="BN682">
            <v>43500</v>
          </cell>
          <cell r="BS682" t="str">
            <v>التسويق وإدارة المبيعات</v>
          </cell>
          <cell r="BT682" t="str">
            <v>دبلوم وسيط</v>
          </cell>
          <cell r="BU682" t="str">
            <v>جامعة الخرطوم</v>
          </cell>
          <cell r="BV682">
            <v>39832</v>
          </cell>
          <cell r="BW682" t="str">
            <v xml:space="preserve">مركز القمة للتدريب </v>
          </cell>
          <cell r="BX682" t="str">
            <v>شهاده دورة تدريب</v>
          </cell>
          <cell r="BY682" t="str">
            <v>تنمية المهارات الإدارية</v>
          </cell>
          <cell r="BZ682">
            <v>40482</v>
          </cell>
          <cell r="CA682" t="str">
            <v>كيفية التعامل مع الاطفال</v>
          </cell>
          <cell r="CB682" t="str">
            <v>شهاده دورة تدريب</v>
          </cell>
          <cell r="CC682" t="str">
            <v>الادارة العامة للرعاية الاجتماعية</v>
          </cell>
          <cell r="CD682">
            <v>40311</v>
          </cell>
          <cell r="CE682" t="str">
            <v>تمريض منزلي</v>
          </cell>
          <cell r="CF682" t="str">
            <v>شهاده دورة تدريب</v>
          </cell>
          <cell r="CG682" t="str">
            <v>جمعية الهلال الاحمر السودانيه</v>
          </cell>
          <cell r="CH682">
            <v>40414</v>
          </cell>
          <cell r="EQ682">
            <v>0</v>
          </cell>
          <cell r="FG682" t="str">
            <v xml:space="preserve"> مدير الانتاج</v>
          </cell>
          <cell r="FH682" t="str">
            <v>هشام عيسى محمد عبدالكريم</v>
          </cell>
          <cell r="FI682" t="str">
            <v>102-0049413-4</v>
          </cell>
        </row>
        <row r="683">
          <cell r="A683">
            <v>1043</v>
          </cell>
          <cell r="B683" t="str">
            <v>وليد حافظ خير مضوى</v>
          </cell>
          <cell r="C683" t="str">
            <v>وليد</v>
          </cell>
          <cell r="D683" t="str">
            <v>حافظ</v>
          </cell>
          <cell r="E683" t="str">
            <v>خير</v>
          </cell>
          <cell r="F683" t="str">
            <v>مضوى</v>
          </cell>
          <cell r="G683" t="str">
            <v>المصنع</v>
          </cell>
          <cell r="H683" t="str">
            <v>الانتاج</v>
          </cell>
          <cell r="K683" t="str">
            <v>عامل</v>
          </cell>
          <cell r="L683" t="str">
            <v>عامل</v>
          </cell>
          <cell r="M683">
            <v>43150</v>
          </cell>
          <cell r="N683">
            <v>43500</v>
          </cell>
          <cell r="O683">
            <v>0</v>
          </cell>
          <cell r="P683">
            <v>11</v>
          </cell>
          <cell r="R683">
            <v>27.5</v>
          </cell>
          <cell r="Z683">
            <v>29952</v>
          </cell>
          <cell r="AI683" t="str">
            <v>تسنين</v>
          </cell>
          <cell r="AJ683" t="str">
            <v>484760</v>
          </cell>
          <cell r="AS683">
            <v>43500</v>
          </cell>
          <cell r="AT683">
            <v>37</v>
          </cell>
          <cell r="AU683" t="str">
            <v>بطاقه قوميه</v>
          </cell>
          <cell r="AV683" t="str">
            <v>005445665</v>
          </cell>
          <cell r="AW683">
            <v>5</v>
          </cell>
          <cell r="AX683">
            <v>6</v>
          </cell>
          <cell r="AY683">
            <v>6</v>
          </cell>
          <cell r="AZ683">
            <v>5</v>
          </cell>
          <cell r="BA683">
            <v>4</v>
          </cell>
          <cell r="BB683">
            <v>4</v>
          </cell>
          <cell r="BC683">
            <v>5</v>
          </cell>
          <cell r="BD683">
            <v>0</v>
          </cell>
          <cell r="BE683" t="str">
            <v>119-9055428-3</v>
          </cell>
          <cell r="BF683" t="str">
            <v>فاطمه بدوى احمد</v>
          </cell>
          <cell r="BG683" t="str">
            <v>الجزيره</v>
          </cell>
          <cell r="BH683" t="str">
            <v>الجزيرة - المسعودية</v>
          </cell>
          <cell r="BI683" t="str">
            <v>0914633353</v>
          </cell>
          <cell r="BJ683" t="str">
            <v>حافظ خير مضوى</v>
          </cell>
          <cell r="BK683" t="str">
            <v>0966830830</v>
          </cell>
          <cell r="BL683" t="str">
            <v>خالي الطرف</v>
          </cell>
          <cell r="BN683">
            <v>43500</v>
          </cell>
          <cell r="BT683" t="str">
            <v>شهاده ثانويه</v>
          </cell>
          <cell r="BV683">
            <v>37347</v>
          </cell>
          <cell r="EQ683">
            <v>0</v>
          </cell>
          <cell r="FG683" t="str">
            <v xml:space="preserve"> مدير الانتاج</v>
          </cell>
          <cell r="FH683" t="str">
            <v>هشام عيسى محمد عبدالكريم</v>
          </cell>
          <cell r="FI683" t="str">
            <v>119-9055428-3</v>
          </cell>
        </row>
        <row r="684">
          <cell r="A684">
            <v>1044</v>
          </cell>
          <cell r="B684" t="str">
            <v>خالد الفكى إسماعيل نصر</v>
          </cell>
          <cell r="C684" t="str">
            <v>خالد</v>
          </cell>
          <cell r="D684" t="str">
            <v>الفكى</v>
          </cell>
          <cell r="E684" t="str">
            <v>اسماعيل</v>
          </cell>
          <cell r="F684" t="str">
            <v>نصر</v>
          </cell>
          <cell r="G684" t="str">
            <v>المصنع</v>
          </cell>
          <cell r="H684" t="str">
            <v>الانتاج</v>
          </cell>
          <cell r="K684" t="str">
            <v>عامل</v>
          </cell>
          <cell r="L684" t="str">
            <v>عامل</v>
          </cell>
          <cell r="M684">
            <v>43150</v>
          </cell>
          <cell r="N684">
            <v>43500</v>
          </cell>
          <cell r="O684">
            <v>0</v>
          </cell>
          <cell r="P684">
            <v>11</v>
          </cell>
          <cell r="R684">
            <v>27.5</v>
          </cell>
          <cell r="Z684">
            <v>32809</v>
          </cell>
          <cell r="AI684" t="str">
            <v>ميلاد</v>
          </cell>
          <cell r="AJ684" t="str">
            <v>862266</v>
          </cell>
          <cell r="AS684">
            <v>43500</v>
          </cell>
          <cell r="AT684">
            <v>29</v>
          </cell>
          <cell r="AU684" t="str">
            <v>بطاقه قوميه</v>
          </cell>
          <cell r="AV684" t="str">
            <v>002848985</v>
          </cell>
          <cell r="AW684">
            <v>5</v>
          </cell>
          <cell r="AX684">
            <v>8</v>
          </cell>
          <cell r="AY684">
            <v>9</v>
          </cell>
          <cell r="AZ684">
            <v>8</v>
          </cell>
          <cell r="BA684">
            <v>4</v>
          </cell>
          <cell r="BB684">
            <v>8</v>
          </cell>
          <cell r="BC684">
            <v>2</v>
          </cell>
          <cell r="BD684">
            <v>0</v>
          </cell>
          <cell r="BE684" t="str">
            <v>119-89606225-3</v>
          </cell>
          <cell r="BF684" t="str">
            <v>بخيته إدريس صبو</v>
          </cell>
          <cell r="BG684" t="str">
            <v>العربى</v>
          </cell>
          <cell r="BH684" t="str">
            <v xml:space="preserve">المدينة الخيرية </v>
          </cell>
          <cell r="BI684" t="str">
            <v>0991006692</v>
          </cell>
          <cell r="BJ684" t="str">
            <v>الفكى إسماعيل نصر</v>
          </cell>
          <cell r="BK684" t="str">
            <v>0912712396</v>
          </cell>
          <cell r="BL684" t="str">
            <v>خالي الطرف</v>
          </cell>
          <cell r="BN684">
            <v>43500</v>
          </cell>
          <cell r="BS684" t="str">
            <v>محاسبة</v>
          </cell>
          <cell r="BT684" t="str">
            <v>بكلاريوس الشرف</v>
          </cell>
          <cell r="BU684" t="str">
            <v>كلية الجزيرة التقنية</v>
          </cell>
          <cell r="BV684">
            <v>42312</v>
          </cell>
          <cell r="EQ684">
            <v>0</v>
          </cell>
          <cell r="FG684" t="str">
            <v xml:space="preserve"> مدير الانتاج</v>
          </cell>
          <cell r="FH684" t="str">
            <v>هشام عيسى محمد عبدالكريم</v>
          </cell>
          <cell r="FI684" t="str">
            <v>119-89606225-3</v>
          </cell>
        </row>
        <row r="685">
          <cell r="A685">
            <v>1045</v>
          </cell>
          <cell r="B685" t="str">
            <v>صلاح الدين الطاهر محمد النور</v>
          </cell>
          <cell r="C685" t="str">
            <v>صلاح</v>
          </cell>
          <cell r="D685" t="str">
            <v>الدين</v>
          </cell>
          <cell r="E685" t="str">
            <v>الطاهر</v>
          </cell>
          <cell r="F685" t="str">
            <v>محمد</v>
          </cell>
          <cell r="G685" t="str">
            <v>المصنع</v>
          </cell>
          <cell r="H685" t="str">
            <v>الانتاج</v>
          </cell>
          <cell r="K685" t="str">
            <v>عامل</v>
          </cell>
          <cell r="L685" t="str">
            <v>عامل</v>
          </cell>
          <cell r="M685">
            <v>43150</v>
          </cell>
          <cell r="N685">
            <v>43500</v>
          </cell>
          <cell r="O685">
            <v>0</v>
          </cell>
          <cell r="P685">
            <v>11</v>
          </cell>
          <cell r="R685">
            <v>27.5</v>
          </cell>
          <cell r="Z685">
            <v>32652</v>
          </cell>
          <cell r="AI685" t="str">
            <v>ميلاد</v>
          </cell>
          <cell r="AJ685" t="str">
            <v>007551</v>
          </cell>
          <cell r="AS685">
            <v>43500</v>
          </cell>
          <cell r="AT685">
            <v>29</v>
          </cell>
          <cell r="AU685" t="str">
            <v>بطاقه قوميه</v>
          </cell>
          <cell r="AV685" t="str">
            <v>001328220</v>
          </cell>
          <cell r="AW685">
            <v>0</v>
          </cell>
          <cell r="AX685">
            <v>2</v>
          </cell>
          <cell r="AY685">
            <v>2</v>
          </cell>
          <cell r="AZ685">
            <v>8</v>
          </cell>
          <cell r="BA685">
            <v>2</v>
          </cell>
          <cell r="BB685">
            <v>3</v>
          </cell>
          <cell r="BC685">
            <v>1</v>
          </cell>
          <cell r="BD685">
            <v>0</v>
          </cell>
          <cell r="BE685" t="str">
            <v>122-0855950-9</v>
          </cell>
          <cell r="BF685" t="str">
            <v>حواء إبراهيم النور</v>
          </cell>
          <cell r="BG685" t="str">
            <v>الكلاكله</v>
          </cell>
          <cell r="BH685" t="str">
            <v>الكلاكله - القبه جنوب - م 10</v>
          </cell>
          <cell r="BI685" t="str">
            <v>0913081229</v>
          </cell>
          <cell r="BJ685" t="str">
            <v>امجد محمود</v>
          </cell>
          <cell r="BK685" t="str">
            <v>0113077733</v>
          </cell>
          <cell r="BL685" t="str">
            <v>خالي الطرف</v>
          </cell>
          <cell r="BN685">
            <v>43500</v>
          </cell>
          <cell r="EQ685">
            <v>0</v>
          </cell>
          <cell r="FG685" t="str">
            <v xml:space="preserve"> مدير الانتاج</v>
          </cell>
          <cell r="FH685" t="str">
            <v>هشام عيسى محمد عبدالكريم</v>
          </cell>
          <cell r="FI685" t="str">
            <v>122-0855950-9</v>
          </cell>
        </row>
        <row r="686">
          <cell r="A686">
            <v>1046</v>
          </cell>
          <cell r="B686" t="str">
            <v>عوض محمد ادم مصطفى</v>
          </cell>
          <cell r="C686" t="str">
            <v>عوض</v>
          </cell>
          <cell r="D686" t="str">
            <v>محمد</v>
          </cell>
          <cell r="E686" t="str">
            <v>ادم</v>
          </cell>
          <cell r="F686" t="str">
            <v>مصطفى</v>
          </cell>
          <cell r="G686" t="str">
            <v>المصنع</v>
          </cell>
          <cell r="H686" t="str">
            <v>الانتاج</v>
          </cell>
          <cell r="K686" t="str">
            <v>عامل</v>
          </cell>
          <cell r="L686" t="str">
            <v>عامل</v>
          </cell>
          <cell r="M686">
            <v>43150</v>
          </cell>
          <cell r="N686">
            <v>43500</v>
          </cell>
          <cell r="O686">
            <v>0</v>
          </cell>
          <cell r="P686">
            <v>11</v>
          </cell>
          <cell r="R686">
            <v>27.5</v>
          </cell>
          <cell r="T686" t="str">
            <v>فصل</v>
          </cell>
          <cell r="U686">
            <v>43297</v>
          </cell>
          <cell r="Z686">
            <v>31722</v>
          </cell>
          <cell r="AI686" t="str">
            <v>ميلاد</v>
          </cell>
          <cell r="AJ686" t="str">
            <v>0099634</v>
          </cell>
          <cell r="AS686">
            <v>43500</v>
          </cell>
          <cell r="AT686">
            <v>32</v>
          </cell>
          <cell r="AU686" t="str">
            <v>بطاقه قوميه</v>
          </cell>
          <cell r="AV686" t="str">
            <v>003162557</v>
          </cell>
          <cell r="AW686">
            <v>7</v>
          </cell>
          <cell r="AX686">
            <v>5</v>
          </cell>
          <cell r="AY686">
            <v>5</v>
          </cell>
          <cell r="AZ686">
            <v>2</v>
          </cell>
          <cell r="BA686">
            <v>6</v>
          </cell>
          <cell r="BB686">
            <v>1</v>
          </cell>
          <cell r="BC686">
            <v>3</v>
          </cell>
          <cell r="BD686">
            <v>0</v>
          </cell>
          <cell r="BE686" t="str">
            <v>116-7993866-1</v>
          </cell>
          <cell r="BF686" t="str">
            <v>فاطمه محمد عوض</v>
          </cell>
          <cell r="BG686" t="str">
            <v>الكلاكله</v>
          </cell>
          <cell r="BH686" t="str">
            <v>الكلاكله - القبه جنوب - م 1 - منزل 447</v>
          </cell>
          <cell r="BI686" t="str">
            <v>0965527167</v>
          </cell>
          <cell r="BJ686" t="str">
            <v>حسين محمد على</v>
          </cell>
          <cell r="BK686" t="str">
            <v>0924410454</v>
          </cell>
          <cell r="BL686" t="str">
            <v>خالي الطرف</v>
          </cell>
          <cell r="BN686">
            <v>43500</v>
          </cell>
          <cell r="BT686" t="str">
            <v>شهاده ثانويه</v>
          </cell>
          <cell r="BV686">
            <v>39508</v>
          </cell>
          <cell r="EQ686">
            <v>0</v>
          </cell>
          <cell r="FG686" t="str">
            <v xml:space="preserve"> مدير الانتاج</v>
          </cell>
          <cell r="FH686" t="str">
            <v>هشام عيسى محمد عبدالكريم</v>
          </cell>
          <cell r="FI686" t="str">
            <v>116-7993866-1</v>
          </cell>
        </row>
        <row r="687">
          <cell r="A687">
            <v>1047</v>
          </cell>
          <cell r="B687" t="str">
            <v>عصام الدين إسماعيل زين العابدين عباس</v>
          </cell>
          <cell r="C687" t="str">
            <v>عصام الدين</v>
          </cell>
          <cell r="D687" t="str">
            <v>اسماعيل</v>
          </cell>
          <cell r="E687" t="str">
            <v>زين العابدين</v>
          </cell>
          <cell r="F687" t="str">
            <v>عباس</v>
          </cell>
          <cell r="G687" t="str">
            <v>المصنع</v>
          </cell>
          <cell r="H687" t="str">
            <v>الكهرباء</v>
          </cell>
          <cell r="K687" t="str">
            <v>فنى تبريد وتكييف</v>
          </cell>
          <cell r="L687" t="str">
            <v>فنى تبريد وتكييف</v>
          </cell>
          <cell r="M687">
            <v>43152</v>
          </cell>
          <cell r="N687">
            <v>43500</v>
          </cell>
          <cell r="O687">
            <v>0</v>
          </cell>
          <cell r="P687">
            <v>11</v>
          </cell>
          <cell r="R687">
            <v>27.5</v>
          </cell>
          <cell r="Z687">
            <v>32774</v>
          </cell>
          <cell r="AI687" t="str">
            <v>ميلاد</v>
          </cell>
          <cell r="AJ687" t="str">
            <v>155892</v>
          </cell>
          <cell r="AS687">
            <v>43500</v>
          </cell>
          <cell r="AT687">
            <v>29</v>
          </cell>
          <cell r="AU687" t="str">
            <v>بطاقه قوميه</v>
          </cell>
          <cell r="AV687" t="str">
            <v>003234565</v>
          </cell>
          <cell r="AW687">
            <v>5</v>
          </cell>
          <cell r="AX687">
            <v>6</v>
          </cell>
          <cell r="AY687">
            <v>5</v>
          </cell>
          <cell r="AZ687">
            <v>4</v>
          </cell>
          <cell r="BA687">
            <v>3</v>
          </cell>
          <cell r="BB687">
            <v>2</v>
          </cell>
          <cell r="BC687">
            <v>3</v>
          </cell>
          <cell r="BD687">
            <v>0</v>
          </cell>
          <cell r="BE687" t="str">
            <v>119-1100893-8</v>
          </cell>
          <cell r="BF687" t="str">
            <v>عفاف محمد سليمان</v>
          </cell>
          <cell r="BG687" t="str">
            <v>بحرى</v>
          </cell>
          <cell r="BH687" t="str">
            <v>الحاج يوسف - الشقله شمال</v>
          </cell>
          <cell r="BI687" t="str">
            <v>0999456433</v>
          </cell>
          <cell r="BJ687" t="str">
            <v>إسماعيل زين العابدين</v>
          </cell>
          <cell r="BK687" t="str">
            <v>0908891211</v>
          </cell>
          <cell r="BL687" t="str">
            <v>إستثناء</v>
          </cell>
          <cell r="BN687">
            <v>43500</v>
          </cell>
          <cell r="BS687" t="str">
            <v>تبريد وتكييف</v>
          </cell>
          <cell r="BT687" t="str">
            <v>تدريب مهني</v>
          </cell>
          <cell r="BU687" t="str">
            <v>معهد التعليم التقنى والتدريب المهنى العسكرى</v>
          </cell>
          <cell r="BV687">
            <v>41651</v>
          </cell>
          <cell r="EQ687">
            <v>0</v>
          </cell>
          <cell r="FG687" t="str">
            <v>مدير الصيانه الكهربائيه</v>
          </cell>
          <cell r="FH687" t="str">
            <v>ماهر ضيف الله سليمان جابر</v>
          </cell>
          <cell r="FI687" t="str">
            <v>119-1100893-8</v>
          </cell>
        </row>
        <row r="688">
          <cell r="A688">
            <v>1048</v>
          </cell>
          <cell r="B688" t="str">
            <v>مياده الرشيد عبدالعزيز احمد</v>
          </cell>
          <cell r="C688" t="str">
            <v>مياده</v>
          </cell>
          <cell r="D688" t="str">
            <v>الرشيد</v>
          </cell>
          <cell r="E688" t="str">
            <v>عبدالعزيز</v>
          </cell>
          <cell r="F688" t="str">
            <v>احمد</v>
          </cell>
          <cell r="G688" t="str">
            <v>الرئاسه</v>
          </cell>
          <cell r="K688" t="str">
            <v>موظف قسم تجارى</v>
          </cell>
          <cell r="L688" t="str">
            <v>موظف قسم تجارى</v>
          </cell>
          <cell r="M688">
            <v>43160</v>
          </cell>
          <cell r="N688">
            <v>43500</v>
          </cell>
          <cell r="O688">
            <v>0</v>
          </cell>
          <cell r="P688">
            <v>11</v>
          </cell>
          <cell r="R688">
            <v>27.5</v>
          </cell>
          <cell r="Z688">
            <v>31228</v>
          </cell>
          <cell r="AI688" t="str">
            <v>ميلاد</v>
          </cell>
          <cell r="AJ688" t="str">
            <v>902634</v>
          </cell>
          <cell r="AS688">
            <v>43500</v>
          </cell>
          <cell r="AT688">
            <v>33</v>
          </cell>
          <cell r="AU688" t="str">
            <v>جنسيه</v>
          </cell>
          <cell r="AV688" t="str">
            <v>0483096</v>
          </cell>
          <cell r="AW688">
            <v>6</v>
          </cell>
          <cell r="AX688">
            <v>9</v>
          </cell>
          <cell r="AY688">
            <v>0</v>
          </cell>
          <cell r="AZ688">
            <v>3</v>
          </cell>
          <cell r="BA688">
            <v>8</v>
          </cell>
          <cell r="BB688">
            <v>4</v>
          </cell>
          <cell r="BC688">
            <v>0</v>
          </cell>
          <cell r="BE688" t="str">
            <v>120-7488060-9</v>
          </cell>
          <cell r="BF688" t="str">
            <v>اسيا ادريس على</v>
          </cell>
          <cell r="BH688" t="str">
            <v>برى - م 6 - شرق طوارئ رويال كير</v>
          </cell>
          <cell r="BI688" t="str">
            <v>0912462482</v>
          </cell>
          <cell r="BJ688" t="str">
            <v>ميناس عبدالوهاب الامين</v>
          </cell>
          <cell r="BK688" t="str">
            <v>0118288906</v>
          </cell>
          <cell r="BL688" t="str">
            <v>خالي الطرف</v>
          </cell>
          <cell r="BN688">
            <v>43500</v>
          </cell>
          <cell r="BS688" t="str">
            <v>إدارة الاعمال</v>
          </cell>
          <cell r="BT688" t="str">
            <v>ماجستير</v>
          </cell>
          <cell r="BU688" t="str">
            <v>اكاديمية السودان للعلوم</v>
          </cell>
          <cell r="BV688">
            <v>42922</v>
          </cell>
          <cell r="BW688" t="str">
            <v>جيولوجيا</v>
          </cell>
          <cell r="BX688" t="str">
            <v>بكلاريوس الشرف</v>
          </cell>
          <cell r="BY688" t="str">
            <v>جامعة امدرمان الاسلامية</v>
          </cell>
          <cell r="BZ688">
            <v>39142</v>
          </cell>
          <cell r="CA688" t="str">
            <v>لغة انجليزية</v>
          </cell>
          <cell r="CB688" t="str">
            <v>شهاده كورس</v>
          </cell>
          <cell r="CC688" t="str">
            <v>معهد سيمان للغات والكمبيوتر</v>
          </cell>
          <cell r="CD688">
            <v>40080</v>
          </cell>
          <cell r="CQ688" t="str">
            <v>شركة البدوي للطلمبات الغاطسة والمولدات المحدودة</v>
          </cell>
          <cell r="CR688" t="str">
            <v>مهندس جيولوجية</v>
          </cell>
          <cell r="CS688">
            <v>40558</v>
          </cell>
          <cell r="CT688">
            <v>41258</v>
          </cell>
          <cell r="EQ688">
            <v>0</v>
          </cell>
          <cell r="FG688" t="e">
            <v>#N/A</v>
          </cell>
          <cell r="FH688" t="e">
            <v>#N/A</v>
          </cell>
          <cell r="FI688" t="str">
            <v>120-7488060-9</v>
          </cell>
        </row>
        <row r="689">
          <cell r="A689">
            <v>1049</v>
          </cell>
          <cell r="B689" t="str">
            <v>محمد احمد ادم محمد</v>
          </cell>
          <cell r="C689" t="str">
            <v>محمد</v>
          </cell>
          <cell r="D689" t="str">
            <v>احمد</v>
          </cell>
          <cell r="E689" t="str">
            <v>ادم</v>
          </cell>
          <cell r="F689" t="str">
            <v>محمد</v>
          </cell>
          <cell r="G689" t="str">
            <v>المصنع</v>
          </cell>
          <cell r="H689" t="str">
            <v>الامن و الحركه</v>
          </cell>
          <cell r="K689" t="str">
            <v>سائق</v>
          </cell>
          <cell r="L689" t="str">
            <v>سائق</v>
          </cell>
          <cell r="M689">
            <v>43160</v>
          </cell>
          <cell r="N689">
            <v>43500</v>
          </cell>
          <cell r="O689">
            <v>0</v>
          </cell>
          <cell r="P689">
            <v>11</v>
          </cell>
          <cell r="R689">
            <v>27.5</v>
          </cell>
          <cell r="T689" t="str">
            <v>فصل</v>
          </cell>
          <cell r="U689">
            <v>43251</v>
          </cell>
          <cell r="V689">
            <v>43251</v>
          </cell>
          <cell r="Z689">
            <v>19725</v>
          </cell>
          <cell r="AI689" t="str">
            <v>تسنين</v>
          </cell>
          <cell r="AJ689" t="str">
            <v>496337</v>
          </cell>
          <cell r="AS689">
            <v>43500</v>
          </cell>
          <cell r="AT689">
            <v>65</v>
          </cell>
          <cell r="AU689" t="str">
            <v>بطاقه قوميه</v>
          </cell>
          <cell r="AV689" t="str">
            <v>001522904</v>
          </cell>
          <cell r="AW689">
            <v>4</v>
          </cell>
          <cell r="AX689">
            <v>0</v>
          </cell>
          <cell r="AY689">
            <v>9</v>
          </cell>
          <cell r="AZ689">
            <v>2</v>
          </cell>
          <cell r="BA689">
            <v>2</v>
          </cell>
          <cell r="BB689">
            <v>5</v>
          </cell>
          <cell r="BC689">
            <v>1</v>
          </cell>
          <cell r="BD689">
            <v>0</v>
          </cell>
          <cell r="BE689" t="str">
            <v>119-9570711-7</v>
          </cell>
          <cell r="BF689" t="str">
            <v>فاطمه ادم رجال</v>
          </cell>
          <cell r="BG689" t="str">
            <v>بحرى</v>
          </cell>
          <cell r="BH689" t="str">
            <v>بحرى - شمبات الحلة - م 7</v>
          </cell>
          <cell r="BI689" t="str">
            <v>0999039083</v>
          </cell>
          <cell r="BJ689" t="str">
            <v>صلاح بشير</v>
          </cell>
          <cell r="BK689" t="str">
            <v>0911700603</v>
          </cell>
          <cell r="BL689" t="str">
            <v>كبار سن</v>
          </cell>
          <cell r="BN689">
            <v>43500</v>
          </cell>
          <cell r="BS689" t="str">
            <v xml:space="preserve">صيانة العربات </v>
          </cell>
          <cell r="BT689" t="str">
            <v>شهاده دورة تدريب</v>
          </cell>
          <cell r="BU689" t="str">
            <v>المركز القومى لتدريب العاملين</v>
          </cell>
          <cell r="BV689">
            <v>37915</v>
          </cell>
          <cell r="BW689" t="str">
            <v>المراسم والبروتوكول والثقافة المرورية</v>
          </cell>
          <cell r="BX689" t="str">
            <v>شهاده دورة تدريب</v>
          </cell>
          <cell r="BY689" t="str">
            <v>مركز التدريب النفطي بالتعاون مع مركز تدريب كوشايت</v>
          </cell>
          <cell r="BZ689">
            <v>40010</v>
          </cell>
          <cell r="EQ689">
            <v>0</v>
          </cell>
          <cell r="FG689" t="str">
            <v>مدير الامن و الحركه</v>
          </cell>
          <cell r="FH689" t="str">
            <v>فارس حمدان عبدالله فارس</v>
          </cell>
          <cell r="FI689" t="str">
            <v>119-9570711-7</v>
          </cell>
        </row>
        <row r="690">
          <cell r="A690">
            <v>1050</v>
          </cell>
          <cell r="B690" t="str">
            <v>بابكر حسن احمد بابكر</v>
          </cell>
          <cell r="C690" t="str">
            <v>بابكر</v>
          </cell>
          <cell r="D690" t="str">
            <v>حسن</v>
          </cell>
          <cell r="E690" t="str">
            <v>احمد</v>
          </cell>
          <cell r="F690" t="str">
            <v>بابكر</v>
          </cell>
          <cell r="G690" t="str">
            <v>المصنع</v>
          </cell>
          <cell r="H690" t="str">
            <v>الانتاج</v>
          </cell>
          <cell r="K690" t="str">
            <v>عامل</v>
          </cell>
          <cell r="L690" t="str">
            <v>عامل</v>
          </cell>
          <cell r="M690">
            <v>43160</v>
          </cell>
          <cell r="N690">
            <v>43500</v>
          </cell>
          <cell r="O690">
            <v>0</v>
          </cell>
          <cell r="P690">
            <v>11</v>
          </cell>
          <cell r="R690">
            <v>27.5</v>
          </cell>
          <cell r="Z690">
            <v>29952</v>
          </cell>
          <cell r="AI690" t="str">
            <v>تسنين</v>
          </cell>
          <cell r="AJ690" t="str">
            <v>032462</v>
          </cell>
          <cell r="AS690">
            <v>43500</v>
          </cell>
          <cell r="AT690">
            <v>37</v>
          </cell>
          <cell r="AU690" t="str">
            <v>بطاقه قوميه</v>
          </cell>
          <cell r="AV690" t="str">
            <v>002201098</v>
          </cell>
          <cell r="AW690">
            <v>8</v>
          </cell>
          <cell r="AX690">
            <v>9</v>
          </cell>
          <cell r="AY690">
            <v>0</v>
          </cell>
          <cell r="AZ690">
            <v>1</v>
          </cell>
          <cell r="BA690">
            <v>0</v>
          </cell>
          <cell r="BB690">
            <v>2</v>
          </cell>
          <cell r="BC690">
            <v>2</v>
          </cell>
          <cell r="BD690">
            <v>0</v>
          </cell>
          <cell r="BE690" t="str">
            <v>120-1552724-3</v>
          </cell>
          <cell r="BF690" t="str">
            <v>نفيسه إبراهيم محمد</v>
          </cell>
          <cell r="BG690" t="str">
            <v>الجزيره</v>
          </cell>
          <cell r="BH690" t="str">
            <v>السيال - ودراوه</v>
          </cell>
          <cell r="BI690" t="str">
            <v>0911625596</v>
          </cell>
          <cell r="BJ690" t="str">
            <v>محمد حسن احمد</v>
          </cell>
          <cell r="BK690" t="str">
            <v>0915024566</v>
          </cell>
          <cell r="BL690" t="str">
            <v>إستثناء</v>
          </cell>
          <cell r="BN690">
            <v>43500</v>
          </cell>
          <cell r="EQ690">
            <v>0</v>
          </cell>
          <cell r="FG690" t="str">
            <v xml:space="preserve"> مدير الانتاج</v>
          </cell>
          <cell r="FH690" t="str">
            <v>هشام عيسى محمد عبدالكريم</v>
          </cell>
          <cell r="FI690" t="str">
            <v>120-1552724-3</v>
          </cell>
        </row>
        <row r="691">
          <cell r="A691">
            <v>1051</v>
          </cell>
          <cell r="B691" t="str">
            <v>عبدالباقى ابراهيم عبدالله الحاج</v>
          </cell>
          <cell r="C691" t="str">
            <v>عبدالباقى</v>
          </cell>
          <cell r="D691" t="str">
            <v>ابراهيم</v>
          </cell>
          <cell r="E691" t="str">
            <v>عبدالله</v>
          </cell>
          <cell r="F691" t="str">
            <v>الحاج</v>
          </cell>
          <cell r="G691" t="str">
            <v>الرئاسه</v>
          </cell>
          <cell r="K691" t="str">
            <v>محاسب</v>
          </cell>
          <cell r="L691" t="str">
            <v>محاسب</v>
          </cell>
          <cell r="M691">
            <v>43169</v>
          </cell>
          <cell r="N691">
            <v>43500</v>
          </cell>
          <cell r="O691">
            <v>0</v>
          </cell>
          <cell r="P691">
            <v>10</v>
          </cell>
          <cell r="R691">
            <v>25</v>
          </cell>
          <cell r="Z691">
            <v>30858</v>
          </cell>
          <cell r="AI691" t="str">
            <v>ميلاد</v>
          </cell>
          <cell r="AJ691" t="str">
            <v>0805435</v>
          </cell>
          <cell r="AS691">
            <v>43500</v>
          </cell>
          <cell r="AT691">
            <v>34</v>
          </cell>
          <cell r="AU691" t="str">
            <v>بطاقه قوميه</v>
          </cell>
          <cell r="AV691" t="str">
            <v>004713683</v>
          </cell>
          <cell r="AW691">
            <v>3</v>
          </cell>
          <cell r="AX691">
            <v>8</v>
          </cell>
          <cell r="AY691">
            <v>6</v>
          </cell>
          <cell r="AZ691">
            <v>3</v>
          </cell>
          <cell r="BA691">
            <v>1</v>
          </cell>
          <cell r="BB691">
            <v>7</v>
          </cell>
          <cell r="BC691">
            <v>4</v>
          </cell>
          <cell r="BD691">
            <v>0</v>
          </cell>
          <cell r="BE691" t="str">
            <v>115-3074964-8</v>
          </cell>
          <cell r="BF691" t="str">
            <v>فاطمه عبدالباقى برى</v>
          </cell>
          <cell r="BH691" t="str">
            <v>ام درمان - الثوره - ح 41</v>
          </cell>
          <cell r="BI691" t="str">
            <v>0922950834</v>
          </cell>
          <cell r="BJ691" t="str">
            <v>محمد ابراهيم عبدالله</v>
          </cell>
          <cell r="BK691" t="str">
            <v>0925650768</v>
          </cell>
          <cell r="BL691" t="str">
            <v>خالي الطرف</v>
          </cell>
          <cell r="BN691">
            <v>43500</v>
          </cell>
          <cell r="BS691" t="str">
            <v>المحاسبة والتمويل</v>
          </cell>
          <cell r="BT691" t="str">
            <v>بكلاريوس</v>
          </cell>
          <cell r="BU691" t="str">
            <v>جامعة السودان للعلوم والتكنولوجيا</v>
          </cell>
          <cell r="BV691">
            <v>41438</v>
          </cell>
          <cell r="BW691" t="str">
            <v>تطبيقات الحاسوب</v>
          </cell>
          <cell r="BX691" t="str">
            <v>دبلوم (معاهد)</v>
          </cell>
          <cell r="BY691" t="str">
            <v>معهد الشرق الاوسط الدولى</v>
          </cell>
          <cell r="BZ691">
            <v>41389</v>
          </cell>
          <cell r="CA691" t="str">
            <v>المحاسبة الالكترونية</v>
          </cell>
          <cell r="CB691" t="str">
            <v>دبلوم (معاهد)</v>
          </cell>
          <cell r="CC691" t="str">
            <v>معهد الشرق الاوسط الدولى</v>
          </cell>
          <cell r="CD691">
            <v>42592</v>
          </cell>
          <cell r="CQ691" t="str">
            <v>مصنع سكر عسلاية</v>
          </cell>
          <cell r="CR691" t="str">
            <v>متدرب</v>
          </cell>
          <cell r="CS691">
            <v>41179</v>
          </cell>
          <cell r="CT691">
            <v>41219</v>
          </cell>
          <cell r="EQ691">
            <v>0</v>
          </cell>
          <cell r="FG691" t="e">
            <v>#N/A</v>
          </cell>
          <cell r="FH691" t="e">
            <v>#N/A</v>
          </cell>
          <cell r="FI691" t="str">
            <v>115-3074964-8</v>
          </cell>
        </row>
        <row r="692">
          <cell r="A692">
            <v>1052</v>
          </cell>
          <cell r="B692" t="str">
            <v>يسريه سمير احمد سليمان</v>
          </cell>
          <cell r="C692" t="str">
            <v>يسريه</v>
          </cell>
          <cell r="D692" t="str">
            <v>سمير</v>
          </cell>
          <cell r="E692" t="str">
            <v>احمد</v>
          </cell>
          <cell r="F692" t="str">
            <v>سليمان</v>
          </cell>
          <cell r="G692" t="str">
            <v>الرئاسه</v>
          </cell>
          <cell r="K692" t="str">
            <v>علاقات عامة</v>
          </cell>
          <cell r="L692" t="str">
            <v>علاقات عامه</v>
          </cell>
          <cell r="M692">
            <v>43169</v>
          </cell>
          <cell r="N692">
            <v>43500</v>
          </cell>
          <cell r="O692">
            <v>0</v>
          </cell>
          <cell r="P692">
            <v>10</v>
          </cell>
          <cell r="R692">
            <v>25</v>
          </cell>
          <cell r="Z692">
            <v>33653</v>
          </cell>
          <cell r="AI692" t="str">
            <v>ميلاد</v>
          </cell>
          <cell r="AJ692" t="str">
            <v>20570</v>
          </cell>
          <cell r="AS692">
            <v>43500</v>
          </cell>
          <cell r="AT692">
            <v>26</v>
          </cell>
          <cell r="AU692" t="str">
            <v>جواز سفر</v>
          </cell>
          <cell r="AV692" t="str">
            <v>03134224</v>
          </cell>
          <cell r="AW692">
            <v>4</v>
          </cell>
          <cell r="AX692">
            <v>2</v>
          </cell>
          <cell r="AY692">
            <v>2</v>
          </cell>
          <cell r="AZ692">
            <v>4</v>
          </cell>
          <cell r="BA692">
            <v>3</v>
          </cell>
          <cell r="BB692">
            <v>1</v>
          </cell>
          <cell r="BC692">
            <v>3</v>
          </cell>
          <cell r="BD692">
            <v>0</v>
          </cell>
          <cell r="BE692" t="str">
            <v>185-9960310-7</v>
          </cell>
          <cell r="BF692" t="str">
            <v>تهانى حسن دهب</v>
          </cell>
          <cell r="BG692" t="str">
            <v>جبره</v>
          </cell>
          <cell r="BH692" t="str">
            <v>جبره جنوب - م 15</v>
          </cell>
          <cell r="BI692" t="str">
            <v>0126728249</v>
          </cell>
          <cell r="BJ692" t="str">
            <v>احمد عمر محى الدين</v>
          </cell>
          <cell r="BK692" t="str">
            <v>0126261265</v>
          </cell>
          <cell r="BL692" t="str">
            <v>خالي الطرف</v>
          </cell>
          <cell r="BN692">
            <v>43500</v>
          </cell>
          <cell r="BS692" t="str">
            <v>علوم الحاسوب</v>
          </cell>
          <cell r="BT692" t="str">
            <v>دبلوم تقني</v>
          </cell>
          <cell r="BU692" t="str">
            <v>جامعة دنقلا</v>
          </cell>
          <cell r="BV692">
            <v>40889</v>
          </cell>
          <cell r="CQ692" t="str">
            <v>هيئة الجمارك</v>
          </cell>
          <cell r="CR692" t="str">
            <v>شعبة التقنية الحاسب الالى</v>
          </cell>
          <cell r="CS692">
            <v>42099</v>
          </cell>
          <cell r="CT692">
            <v>42896</v>
          </cell>
          <cell r="EQ692">
            <v>0</v>
          </cell>
          <cell r="FG692" t="e">
            <v>#N/A</v>
          </cell>
          <cell r="FH692" t="e">
            <v>#N/A</v>
          </cell>
          <cell r="FI692" t="str">
            <v>185-9960310-7</v>
          </cell>
        </row>
        <row r="693">
          <cell r="A693">
            <v>1053</v>
          </cell>
          <cell r="B693" t="str">
            <v>نادر خليفه عبدالرحمن حسين</v>
          </cell>
          <cell r="C693" t="str">
            <v>نادر</v>
          </cell>
          <cell r="D693" t="str">
            <v>خليفه</v>
          </cell>
          <cell r="E693" t="str">
            <v>عبدالرحمن</v>
          </cell>
          <cell r="F693" t="str">
            <v>حسين</v>
          </cell>
          <cell r="G693" t="str">
            <v>المصنع</v>
          </cell>
          <cell r="H693" t="str">
            <v>الانتاج</v>
          </cell>
          <cell r="I693" t="str">
            <v>الاكسبنده</v>
          </cell>
          <cell r="K693" t="str">
            <v>عامل</v>
          </cell>
          <cell r="L693" t="str">
            <v>مساعد مشغل</v>
          </cell>
          <cell r="M693">
            <v>43191</v>
          </cell>
          <cell r="N693">
            <v>43500</v>
          </cell>
          <cell r="O693">
            <v>0</v>
          </cell>
          <cell r="P693">
            <v>10</v>
          </cell>
          <cell r="R693">
            <v>25</v>
          </cell>
          <cell r="Z693">
            <v>27923</v>
          </cell>
          <cell r="AI693" t="str">
            <v>ميلاد</v>
          </cell>
          <cell r="AJ693" t="str">
            <v>0470485</v>
          </cell>
          <cell r="AS693">
            <v>43500</v>
          </cell>
          <cell r="AT693">
            <v>42</v>
          </cell>
          <cell r="AU693" t="str">
            <v>بطاقه قوميه</v>
          </cell>
          <cell r="AV693" t="str">
            <v>005505249</v>
          </cell>
          <cell r="AW693">
            <v>9</v>
          </cell>
          <cell r="AX693">
            <v>4</v>
          </cell>
          <cell r="AY693">
            <v>2</v>
          </cell>
          <cell r="AZ693">
            <v>5</v>
          </cell>
          <cell r="BA693">
            <v>0</v>
          </cell>
          <cell r="BB693">
            <v>5</v>
          </cell>
          <cell r="BC693">
            <v>5</v>
          </cell>
          <cell r="BD693">
            <v>0</v>
          </cell>
          <cell r="BE693" t="str">
            <v>183-8558109-9</v>
          </cell>
          <cell r="BF693" t="str">
            <v>ستنا طه عبدالله هارون</v>
          </cell>
          <cell r="BG693" t="str">
            <v>الكلاكله</v>
          </cell>
          <cell r="BH693" t="str">
            <v>الاندلس - م 9</v>
          </cell>
          <cell r="BI693" t="str">
            <v>0918244860</v>
          </cell>
          <cell r="BJ693" t="str">
            <v>ناجى خليفه عبدالرحمن</v>
          </cell>
          <cell r="BK693" t="str">
            <v>0112018153</v>
          </cell>
          <cell r="BL693" t="str">
            <v>خالي الطرف</v>
          </cell>
          <cell r="BN693">
            <v>43500</v>
          </cell>
          <cell r="BS693" t="str">
            <v>اثار / دراسات إسلامية</v>
          </cell>
          <cell r="BT693" t="str">
            <v>بكلاريوس</v>
          </cell>
          <cell r="BU693" t="str">
            <v>جامعة دنقلا</v>
          </cell>
          <cell r="BV693">
            <v>38452</v>
          </cell>
          <cell r="CQ693" t="str">
            <v>شركة السلام لانتاج الاسمنت المحدودة</v>
          </cell>
          <cell r="CR693" t="str">
            <v xml:space="preserve">مشغل كساره </v>
          </cell>
          <cell r="CS693">
            <v>40603</v>
          </cell>
          <cell r="CT693">
            <v>41883</v>
          </cell>
          <cell r="EQ693">
            <v>0</v>
          </cell>
          <cell r="FG693" t="str">
            <v xml:space="preserve"> مدير الانتاج</v>
          </cell>
          <cell r="FH693" t="str">
            <v>هشام عيسى محمد عبدالكريم</v>
          </cell>
          <cell r="FI693" t="str">
            <v>183-8558109-9</v>
          </cell>
        </row>
        <row r="694">
          <cell r="A694">
            <v>1054</v>
          </cell>
          <cell r="B694" t="str">
            <v>محمد يحى عثمان ادم</v>
          </cell>
          <cell r="C694" t="str">
            <v>محمد</v>
          </cell>
          <cell r="D694" t="str">
            <v>يحى</v>
          </cell>
          <cell r="E694" t="str">
            <v>عثمان</v>
          </cell>
          <cell r="F694" t="str">
            <v>ادم</v>
          </cell>
          <cell r="G694" t="str">
            <v>المصنع</v>
          </cell>
          <cell r="H694" t="str">
            <v>الانتاج</v>
          </cell>
          <cell r="I694" t="str">
            <v>الاكسبنده</v>
          </cell>
          <cell r="K694" t="str">
            <v>فنى تشغيل</v>
          </cell>
          <cell r="L694" t="str">
            <v>مشغل</v>
          </cell>
          <cell r="M694">
            <v>43205</v>
          </cell>
          <cell r="N694">
            <v>43500</v>
          </cell>
          <cell r="O694">
            <v>0</v>
          </cell>
          <cell r="P694">
            <v>9</v>
          </cell>
          <cell r="R694">
            <v>22.5</v>
          </cell>
          <cell r="Z694">
            <v>28489</v>
          </cell>
          <cell r="AI694" t="str">
            <v>ميلاد</v>
          </cell>
          <cell r="AJ694" t="str">
            <v>0057770</v>
          </cell>
          <cell r="AS694">
            <v>43500</v>
          </cell>
          <cell r="AT694">
            <v>41</v>
          </cell>
          <cell r="AU694" t="str">
            <v>بطاقه قوميه</v>
          </cell>
          <cell r="AV694" t="str">
            <v>002473902</v>
          </cell>
          <cell r="AW694">
            <v>2</v>
          </cell>
          <cell r="AX694">
            <v>0</v>
          </cell>
          <cell r="AY694">
            <v>9</v>
          </cell>
          <cell r="AZ694">
            <v>3</v>
          </cell>
          <cell r="BA694">
            <v>7</v>
          </cell>
          <cell r="BB694">
            <v>4</v>
          </cell>
          <cell r="BC694">
            <v>2</v>
          </cell>
          <cell r="BD694">
            <v>0</v>
          </cell>
          <cell r="BE694" t="str">
            <v>115-6018197-9</v>
          </cell>
          <cell r="BF694" t="str">
            <v>مريم احمد ادم</v>
          </cell>
          <cell r="BG694" t="str">
            <v>الكلاكله</v>
          </cell>
          <cell r="BH694" t="str">
            <v>اللاماب - بحر ابيض</v>
          </cell>
          <cell r="BI694" t="str">
            <v>0915029347</v>
          </cell>
          <cell r="BJ694" t="str">
            <v>ايوب يحى عثمان</v>
          </cell>
          <cell r="BK694" t="str">
            <v>0922596761</v>
          </cell>
          <cell r="BL694" t="str">
            <v>خالي الطرف</v>
          </cell>
          <cell r="BN694">
            <v>43500</v>
          </cell>
          <cell r="CQ694" t="str">
            <v>مصنع الجودة للحديد والصلب</v>
          </cell>
          <cell r="CR694" t="str">
            <v>فنى تشغيل</v>
          </cell>
          <cell r="CS694">
            <v>39083</v>
          </cell>
          <cell r="CT694">
            <v>40178</v>
          </cell>
          <cell r="CV694" t="str">
            <v>مصنع ميتال لمواسير الحديد والزنك</v>
          </cell>
          <cell r="CW694" t="str">
            <v>فنى</v>
          </cell>
          <cell r="CX694">
            <v>36831</v>
          </cell>
          <cell r="CY694">
            <v>38748</v>
          </cell>
          <cell r="EQ694">
            <v>0</v>
          </cell>
          <cell r="FG694" t="str">
            <v xml:space="preserve"> مدير الانتاج</v>
          </cell>
          <cell r="FH694" t="str">
            <v>هشام عيسى محمد عبدالكريم</v>
          </cell>
          <cell r="FI694" t="str">
            <v>115-6018197-9</v>
          </cell>
        </row>
        <row r="695">
          <cell r="A695">
            <v>1055</v>
          </cell>
          <cell r="B695" t="str">
            <v>حسن كمال مصطفى إبراهيم</v>
          </cell>
          <cell r="C695" t="str">
            <v>حسن</v>
          </cell>
          <cell r="D695" t="str">
            <v>كمال</v>
          </cell>
          <cell r="E695" t="str">
            <v>مصطفى</v>
          </cell>
          <cell r="F695" t="str">
            <v>ابراهيم</v>
          </cell>
          <cell r="G695" t="str">
            <v>المصنع</v>
          </cell>
          <cell r="H695" t="str">
            <v>الانتاج</v>
          </cell>
          <cell r="K695" t="str">
            <v>عامل</v>
          </cell>
          <cell r="L695" t="str">
            <v>عامل</v>
          </cell>
          <cell r="M695">
            <v>43208</v>
          </cell>
          <cell r="N695">
            <v>43500</v>
          </cell>
          <cell r="O695">
            <v>0</v>
          </cell>
          <cell r="P695">
            <v>9</v>
          </cell>
          <cell r="R695">
            <v>22.5</v>
          </cell>
          <cell r="T695" t="str">
            <v>فصل</v>
          </cell>
          <cell r="U695">
            <v>43288</v>
          </cell>
          <cell r="V695">
            <v>43288</v>
          </cell>
          <cell r="Z695">
            <v>29807</v>
          </cell>
          <cell r="AI695" t="str">
            <v>ميلاد</v>
          </cell>
          <cell r="AJ695" t="str">
            <v>0007507</v>
          </cell>
          <cell r="AS695">
            <v>43500</v>
          </cell>
          <cell r="AT695">
            <v>37</v>
          </cell>
          <cell r="AU695" t="str">
            <v>بطاقه قوميه</v>
          </cell>
          <cell r="AV695" t="str">
            <v>000795115</v>
          </cell>
          <cell r="AW695">
            <v>5</v>
          </cell>
          <cell r="AX695">
            <v>1</v>
          </cell>
          <cell r="AY695">
            <v>1</v>
          </cell>
          <cell r="AZ695">
            <v>5</v>
          </cell>
          <cell r="BA695">
            <v>9</v>
          </cell>
          <cell r="BB695">
            <v>7</v>
          </cell>
          <cell r="BC695">
            <v>0</v>
          </cell>
          <cell r="BD695">
            <v>0</v>
          </cell>
          <cell r="BE695" t="str">
            <v>120-1233774-7</v>
          </cell>
          <cell r="BF695" t="str">
            <v>خادم الله حسن إبراهيم</v>
          </cell>
          <cell r="BG695" t="str">
            <v>الجزيره</v>
          </cell>
          <cell r="BH695" t="str">
            <v>الجزيرة - المسعودية</v>
          </cell>
          <cell r="BI695" t="str">
            <v>0993700661</v>
          </cell>
          <cell r="BJ695" t="str">
            <v>عبدالمنعم مصطفى</v>
          </cell>
          <cell r="BL695" t="str">
            <v>خالي الطرف</v>
          </cell>
          <cell r="BN695">
            <v>43500</v>
          </cell>
          <cell r="BS695" t="str">
            <v>سيارات</v>
          </cell>
          <cell r="BT695" t="str">
            <v>تدريب مهني</v>
          </cell>
          <cell r="BU695" t="str">
            <v>الإدارة العامة للتعليم الفنى</v>
          </cell>
          <cell r="BV695">
            <v>40196</v>
          </cell>
          <cell r="BW695" t="str">
            <v>حاسوب</v>
          </cell>
          <cell r="BX695" t="str">
            <v>دبلوم (معاهد)</v>
          </cell>
          <cell r="BY695" t="str">
            <v>International Internet Clup</v>
          </cell>
          <cell r="BZ695">
            <v>38543</v>
          </cell>
          <cell r="EQ695">
            <v>0</v>
          </cell>
          <cell r="FG695" t="str">
            <v xml:space="preserve"> مدير الانتاج</v>
          </cell>
          <cell r="FH695" t="str">
            <v>هشام عيسى محمد عبدالكريم</v>
          </cell>
          <cell r="FI695" t="str">
            <v>120-1233774-7</v>
          </cell>
        </row>
        <row r="696">
          <cell r="A696">
            <v>1056</v>
          </cell>
          <cell r="B696" t="str">
            <v>ايمن ضوالبيت هارون سبيل</v>
          </cell>
          <cell r="C696" t="str">
            <v>ايمن</v>
          </cell>
          <cell r="D696" t="str">
            <v>ضوالبيت</v>
          </cell>
          <cell r="E696" t="str">
            <v>هارون</v>
          </cell>
          <cell r="F696" t="str">
            <v>سبيل</v>
          </cell>
          <cell r="G696" t="str">
            <v>المصنع</v>
          </cell>
          <cell r="H696" t="str">
            <v>الانتاج</v>
          </cell>
          <cell r="K696" t="str">
            <v>عامل</v>
          </cell>
          <cell r="L696" t="str">
            <v>عامل</v>
          </cell>
          <cell r="M696">
            <v>43209</v>
          </cell>
          <cell r="N696">
            <v>43500</v>
          </cell>
          <cell r="O696">
            <v>0</v>
          </cell>
          <cell r="P696">
            <v>9</v>
          </cell>
          <cell r="R696">
            <v>22.5</v>
          </cell>
          <cell r="T696" t="str">
            <v>فصل</v>
          </cell>
          <cell r="U696">
            <v>43211</v>
          </cell>
          <cell r="AS696">
            <v>43500</v>
          </cell>
          <cell r="AT696">
            <v>119</v>
          </cell>
          <cell r="BE696" t="str">
            <v>114-7774053-6</v>
          </cell>
          <cell r="BF696" t="str">
            <v>خديجه على محمد</v>
          </cell>
          <cell r="BG696" t="str">
            <v>العربى</v>
          </cell>
          <cell r="BH696" t="str">
            <v>ام درمان - امبده السبيل - ح 8</v>
          </cell>
          <cell r="BI696" t="str">
            <v>0964380796</v>
          </cell>
          <cell r="BJ696" t="str">
            <v>مالك ضوالبيت</v>
          </cell>
          <cell r="BK696" t="str">
            <v>0911397462</v>
          </cell>
          <cell r="BL696" t="str">
            <v>خالي الطرف</v>
          </cell>
          <cell r="BN696">
            <v>43500</v>
          </cell>
          <cell r="EQ696">
            <v>0</v>
          </cell>
          <cell r="FG696" t="str">
            <v xml:space="preserve"> مدير الانتاج</v>
          </cell>
          <cell r="FH696" t="str">
            <v>هشام عيسى محمد عبدالكريم</v>
          </cell>
          <cell r="FI696" t="str">
            <v>114-7774053-6</v>
          </cell>
        </row>
        <row r="697">
          <cell r="A697">
            <v>1057</v>
          </cell>
          <cell r="B697" t="str">
            <v>ابوالسر سيف الدين مصطفى طه</v>
          </cell>
          <cell r="C697" t="str">
            <v>ابوالسر</v>
          </cell>
          <cell r="D697" t="str">
            <v>سيف الدين</v>
          </cell>
          <cell r="E697" t="str">
            <v>مصطفى</v>
          </cell>
          <cell r="F697" t="str">
            <v>طه</v>
          </cell>
          <cell r="G697" t="str">
            <v>المصنع</v>
          </cell>
          <cell r="H697" t="str">
            <v>الانتاج</v>
          </cell>
          <cell r="K697" t="str">
            <v>عامل</v>
          </cell>
          <cell r="L697" t="str">
            <v>عامل</v>
          </cell>
          <cell r="M697">
            <v>43209</v>
          </cell>
          <cell r="N697">
            <v>43500</v>
          </cell>
          <cell r="O697">
            <v>0</v>
          </cell>
          <cell r="P697">
            <v>9</v>
          </cell>
          <cell r="R697">
            <v>22.5</v>
          </cell>
          <cell r="T697" t="str">
            <v>فصل</v>
          </cell>
          <cell r="U697">
            <v>43211</v>
          </cell>
          <cell r="Z697">
            <v>31893</v>
          </cell>
          <cell r="AI697" t="str">
            <v>ميلاد</v>
          </cell>
          <cell r="AJ697" t="str">
            <v>0906308</v>
          </cell>
          <cell r="AS697">
            <v>43500</v>
          </cell>
          <cell r="AT697">
            <v>31</v>
          </cell>
          <cell r="AU697" t="str">
            <v>جواز سفر</v>
          </cell>
          <cell r="AV697" t="str">
            <v>01356303</v>
          </cell>
          <cell r="AW697">
            <v>3</v>
          </cell>
          <cell r="AX697">
            <v>0</v>
          </cell>
          <cell r="AY697">
            <v>3</v>
          </cell>
          <cell r="AZ697">
            <v>6</v>
          </cell>
          <cell r="BA697">
            <v>5</v>
          </cell>
          <cell r="BB697">
            <v>3</v>
          </cell>
          <cell r="BC697">
            <v>1</v>
          </cell>
          <cell r="BD697">
            <v>0</v>
          </cell>
          <cell r="BE697" t="str">
            <v>114-2117591-4</v>
          </cell>
          <cell r="BF697" t="str">
            <v>روحية عثمان</v>
          </cell>
          <cell r="BG697" t="str">
            <v>الكلاكله</v>
          </cell>
          <cell r="BH697" t="str">
            <v>الخرطوم - الكلاكلة</v>
          </cell>
          <cell r="BI697" t="str">
            <v>0129952799</v>
          </cell>
          <cell r="BJ697" t="str">
            <v>مصطفى سيف الدين</v>
          </cell>
          <cell r="BK697" t="str">
            <v>0122572015</v>
          </cell>
          <cell r="BL697" t="str">
            <v>خالي الطرف</v>
          </cell>
          <cell r="BN697">
            <v>43500</v>
          </cell>
          <cell r="BS697" t="str">
            <v>إدارة مكاتب ونظم معلومات</v>
          </cell>
          <cell r="BT697" t="str">
            <v>دبلوم وسيط</v>
          </cell>
          <cell r="BU697" t="str">
            <v>جامعة الخرطوم</v>
          </cell>
          <cell r="BV697">
            <v>41029</v>
          </cell>
          <cell r="CQ697" t="str">
            <v>شركة دايموند للكمبيوتر والإتصالات</v>
          </cell>
          <cell r="CR697" t="str">
            <v>الامن والسلامة</v>
          </cell>
          <cell r="CS697">
            <v>41238</v>
          </cell>
          <cell r="CT697">
            <v>41593</v>
          </cell>
          <cell r="EQ697">
            <v>0</v>
          </cell>
          <cell r="FG697" t="str">
            <v xml:space="preserve"> مدير الانتاج</v>
          </cell>
          <cell r="FH697" t="str">
            <v>هشام عيسى محمد عبدالكريم</v>
          </cell>
          <cell r="FI697" t="str">
            <v>114-2117591-4</v>
          </cell>
        </row>
        <row r="698">
          <cell r="A698">
            <v>1058</v>
          </cell>
          <cell r="B698" t="str">
            <v>محمد طه محمد احمد</v>
          </cell>
          <cell r="C698" t="str">
            <v>محمد</v>
          </cell>
          <cell r="D698" t="str">
            <v>طه</v>
          </cell>
          <cell r="E698" t="str">
            <v>محمد</v>
          </cell>
          <cell r="F698" t="str">
            <v>احمد</v>
          </cell>
          <cell r="G698" t="str">
            <v>المصنع</v>
          </cell>
          <cell r="H698" t="str">
            <v>الانتاج</v>
          </cell>
          <cell r="K698" t="str">
            <v>عامل</v>
          </cell>
          <cell r="L698" t="str">
            <v>عامل</v>
          </cell>
          <cell r="M698">
            <v>43209</v>
          </cell>
          <cell r="N698">
            <v>43500</v>
          </cell>
          <cell r="O698">
            <v>0</v>
          </cell>
          <cell r="P698">
            <v>9</v>
          </cell>
          <cell r="R698">
            <v>22.5</v>
          </cell>
          <cell r="AS698">
            <v>43500</v>
          </cell>
          <cell r="AT698">
            <v>119</v>
          </cell>
          <cell r="AU698" t="str">
            <v>بطاقه قوميه</v>
          </cell>
          <cell r="AV698" t="str">
            <v>004668374</v>
          </cell>
          <cell r="AW698">
            <v>4</v>
          </cell>
          <cell r="AX698">
            <v>7</v>
          </cell>
          <cell r="AY698">
            <v>3</v>
          </cell>
          <cell r="AZ698">
            <v>8</v>
          </cell>
          <cell r="BA698">
            <v>6</v>
          </cell>
          <cell r="BB698">
            <v>6</v>
          </cell>
          <cell r="BC698">
            <v>4</v>
          </cell>
          <cell r="BD698">
            <v>0</v>
          </cell>
          <cell r="BE698" t="str">
            <v>190-9807196-2</v>
          </cell>
          <cell r="BF698" t="str">
            <v>نوال الرشيد محمد</v>
          </cell>
          <cell r="BG698" t="str">
            <v>العربى</v>
          </cell>
          <cell r="BH698" t="str">
            <v>ام درمان - الثورة - ح 71</v>
          </cell>
          <cell r="BI698" t="str">
            <v>0915709098</v>
          </cell>
          <cell r="BJ698" t="str">
            <v>ابو عاقله الرشيد</v>
          </cell>
          <cell r="BK698" t="str">
            <v>0911221963</v>
          </cell>
          <cell r="BL698" t="str">
            <v>خالي الطرف</v>
          </cell>
          <cell r="BN698">
            <v>43500</v>
          </cell>
          <cell r="BS698" t="str">
            <v>محاسبة</v>
          </cell>
          <cell r="BT698" t="str">
            <v>دبلوم تقني</v>
          </cell>
          <cell r="BU698" t="str">
            <v>جامعة السودان للعلوم والتكنولوجيا</v>
          </cell>
          <cell r="BV698">
            <v>39387</v>
          </cell>
          <cell r="CQ698" t="str">
            <v>شركة أين العالمية المحدودة</v>
          </cell>
          <cell r="CR698" t="str">
            <v>محاسب</v>
          </cell>
          <cell r="CS698">
            <v>39448</v>
          </cell>
          <cell r="CT698">
            <v>40359</v>
          </cell>
          <cell r="EQ698">
            <v>0</v>
          </cell>
          <cell r="FG698" t="str">
            <v xml:space="preserve"> مدير الانتاج</v>
          </cell>
          <cell r="FH698" t="str">
            <v>هشام عيسى محمد عبدالكريم</v>
          </cell>
          <cell r="FI698" t="str">
            <v>190-9807196-2</v>
          </cell>
        </row>
        <row r="699">
          <cell r="A699">
            <v>1059</v>
          </cell>
          <cell r="B699" t="str">
            <v>محمد حمزه الامين احمد</v>
          </cell>
          <cell r="C699" t="str">
            <v>محمد</v>
          </cell>
          <cell r="D699" t="str">
            <v>حمزه</v>
          </cell>
          <cell r="E699" t="str">
            <v>الامين</v>
          </cell>
          <cell r="F699" t="str">
            <v>احمد</v>
          </cell>
          <cell r="G699" t="str">
            <v>المصنع</v>
          </cell>
          <cell r="H699" t="str">
            <v>الانتاج</v>
          </cell>
          <cell r="K699" t="str">
            <v>عامل</v>
          </cell>
          <cell r="L699" t="str">
            <v>عامل</v>
          </cell>
          <cell r="M699">
            <v>43209</v>
          </cell>
          <cell r="N699">
            <v>43500</v>
          </cell>
          <cell r="O699">
            <v>0</v>
          </cell>
          <cell r="P699">
            <v>9</v>
          </cell>
          <cell r="R699">
            <v>22.5</v>
          </cell>
          <cell r="T699" t="str">
            <v>فصل</v>
          </cell>
          <cell r="U699">
            <v>43288</v>
          </cell>
          <cell r="V699">
            <v>43288</v>
          </cell>
          <cell r="Z699">
            <v>31413</v>
          </cell>
          <cell r="AI699" t="str">
            <v>تسنين</v>
          </cell>
          <cell r="AJ699" t="str">
            <v>705645</v>
          </cell>
          <cell r="AS699">
            <v>43500</v>
          </cell>
          <cell r="AT699">
            <v>33</v>
          </cell>
          <cell r="AU699" t="str">
            <v>بطاقه قوميه</v>
          </cell>
          <cell r="AV699" t="str">
            <v>005524534</v>
          </cell>
          <cell r="AW699">
            <v>4</v>
          </cell>
          <cell r="AX699">
            <v>3</v>
          </cell>
          <cell r="AY699">
            <v>5</v>
          </cell>
          <cell r="AZ699">
            <v>4</v>
          </cell>
          <cell r="BA699">
            <v>2</v>
          </cell>
          <cell r="BB699">
            <v>5</v>
          </cell>
          <cell r="BC699">
            <v>5</v>
          </cell>
          <cell r="BD699">
            <v>0</v>
          </cell>
          <cell r="BE699" t="str">
            <v>190-4740147-3</v>
          </cell>
          <cell r="BF699" t="str">
            <v>خالده عبدالله احمد</v>
          </cell>
          <cell r="BG699" t="str">
            <v>الجزيره</v>
          </cell>
          <cell r="BH699" t="str">
            <v>الجزيرة - المسعودية</v>
          </cell>
          <cell r="BI699" t="str">
            <v>0919805863</v>
          </cell>
          <cell r="BJ699" t="str">
            <v>عبدالمنعم مصطفى</v>
          </cell>
          <cell r="BL699" t="str">
            <v>خالي الطرف</v>
          </cell>
          <cell r="BN699">
            <v>43500</v>
          </cell>
          <cell r="EQ699">
            <v>0</v>
          </cell>
          <cell r="FG699" t="str">
            <v xml:space="preserve"> مدير الانتاج</v>
          </cell>
          <cell r="FH699" t="str">
            <v>هشام عيسى محمد عبدالكريم</v>
          </cell>
          <cell r="FI699" t="str">
            <v>190-4740147-3</v>
          </cell>
        </row>
        <row r="700">
          <cell r="A700">
            <v>1060</v>
          </cell>
          <cell r="B700" t="str">
            <v>معروف محمد عبدالعزيز احمد</v>
          </cell>
          <cell r="C700" t="str">
            <v>معروف</v>
          </cell>
          <cell r="D700" t="str">
            <v>محمد</v>
          </cell>
          <cell r="E700" t="str">
            <v>عبدالعزيز</v>
          </cell>
          <cell r="F700" t="str">
            <v>احمد</v>
          </cell>
          <cell r="G700" t="str">
            <v>المصنع</v>
          </cell>
          <cell r="H700" t="str">
            <v>الانتاج</v>
          </cell>
          <cell r="K700" t="str">
            <v>عامل</v>
          </cell>
          <cell r="L700" t="str">
            <v>عامل</v>
          </cell>
          <cell r="M700">
            <v>43221</v>
          </cell>
          <cell r="O700" t="e">
            <v>#NUM!</v>
          </cell>
          <cell r="P700" t="e">
            <v>#NUM!</v>
          </cell>
          <cell r="R700" t="e">
            <v>#NUM!</v>
          </cell>
          <cell r="Z700">
            <v>24838</v>
          </cell>
          <cell r="AI700" t="str">
            <v>تسنين</v>
          </cell>
          <cell r="AJ700" t="str">
            <v>3666249</v>
          </cell>
          <cell r="AS700">
            <v>43500</v>
          </cell>
          <cell r="AT700">
            <v>51</v>
          </cell>
          <cell r="AU700" t="str">
            <v>بطاقه قوميه</v>
          </cell>
          <cell r="AV700" t="str">
            <v>005956734</v>
          </cell>
          <cell r="AW700">
            <v>4</v>
          </cell>
          <cell r="AX700">
            <v>3</v>
          </cell>
          <cell r="AY700">
            <v>7</v>
          </cell>
          <cell r="AZ700">
            <v>6</v>
          </cell>
          <cell r="BA700">
            <v>5</v>
          </cell>
          <cell r="BB700">
            <v>9</v>
          </cell>
          <cell r="BC700">
            <v>5</v>
          </cell>
          <cell r="BD700">
            <v>0</v>
          </cell>
          <cell r="BE700" t="str">
            <v>185-5686396-8</v>
          </cell>
          <cell r="BF700" t="str">
            <v>ثريا صالح عثمان</v>
          </cell>
          <cell r="BG700" t="str">
            <v>الكلاكله</v>
          </cell>
          <cell r="BH700" t="str">
            <v>جبره - شارع الهواء</v>
          </cell>
          <cell r="BI700" t="str">
            <v>0969847336</v>
          </cell>
          <cell r="BJ700" t="str">
            <v>فتح الرحمن عبدالله</v>
          </cell>
          <cell r="BL700" t="str">
            <v>خالي الطرف</v>
          </cell>
          <cell r="BN700">
            <v>43500</v>
          </cell>
          <cell r="BS700" t="str">
            <v>التامين</v>
          </cell>
          <cell r="BT700" t="str">
            <v>دبلوم وسيط</v>
          </cell>
          <cell r="BU700" t="str">
            <v>جامعة النيلين</v>
          </cell>
          <cell r="BV700">
            <v>36891</v>
          </cell>
          <cell r="CQ700" t="str">
            <v>الشركة الوطنية للتامين التعاونى المحدودة</v>
          </cell>
          <cell r="CR700" t="str">
            <v>متدرب</v>
          </cell>
          <cell r="CS700">
            <v>37681</v>
          </cell>
          <cell r="CT700">
            <v>37712</v>
          </cell>
          <cell r="EQ700">
            <v>0</v>
          </cell>
          <cell r="FG700" t="str">
            <v xml:space="preserve"> مدير الانتاج</v>
          </cell>
          <cell r="FH700" t="str">
            <v>هشام عيسى محمد عبدالكريم</v>
          </cell>
          <cell r="FI700" t="str">
            <v>185-5686396-8</v>
          </cell>
        </row>
        <row r="701">
          <cell r="A701">
            <v>1061</v>
          </cell>
          <cell r="B701" t="str">
            <v>حسن على بادى يحى</v>
          </cell>
          <cell r="C701" t="str">
            <v>حسن</v>
          </cell>
          <cell r="D701" t="str">
            <v>على</v>
          </cell>
          <cell r="E701" t="str">
            <v>بادى</v>
          </cell>
          <cell r="F701" t="str">
            <v>يحى</v>
          </cell>
          <cell r="G701" t="str">
            <v>المصنع</v>
          </cell>
          <cell r="H701" t="str">
            <v>الخدمات</v>
          </cell>
          <cell r="K701" t="str">
            <v>عامل</v>
          </cell>
          <cell r="L701" t="str">
            <v>عامل</v>
          </cell>
          <cell r="M701">
            <v>43221</v>
          </cell>
          <cell r="O701" t="e">
            <v>#NUM!</v>
          </cell>
          <cell r="P701" t="e">
            <v>#NUM!</v>
          </cell>
          <cell r="R701" t="e">
            <v>#NUM!</v>
          </cell>
          <cell r="Z701">
            <v>20090</v>
          </cell>
          <cell r="AI701" t="str">
            <v>تسنين</v>
          </cell>
          <cell r="AJ701" t="str">
            <v>230764</v>
          </cell>
          <cell r="AS701">
            <v>43500</v>
          </cell>
          <cell r="AT701">
            <v>64</v>
          </cell>
          <cell r="AU701" t="str">
            <v>بطاقه قوميه</v>
          </cell>
          <cell r="AV701" t="str">
            <v>004366725</v>
          </cell>
          <cell r="AW701">
            <v>5</v>
          </cell>
          <cell r="AX701">
            <v>2</v>
          </cell>
          <cell r="AY701">
            <v>7</v>
          </cell>
          <cell r="AZ701">
            <v>6</v>
          </cell>
          <cell r="BA701">
            <v>6</v>
          </cell>
          <cell r="BB701">
            <v>3</v>
          </cell>
          <cell r="BC701">
            <v>4</v>
          </cell>
          <cell r="BD701">
            <v>0</v>
          </cell>
          <cell r="BH701" t="str">
            <v>مزرعة مبارك</v>
          </cell>
          <cell r="BI701" t="str">
            <v>0964661761</v>
          </cell>
          <cell r="BL701" t="str">
            <v>كبار سن</v>
          </cell>
          <cell r="BN701">
            <v>43500</v>
          </cell>
          <cell r="EQ701">
            <v>0</v>
          </cell>
          <cell r="FG701" t="str">
            <v>المدير الادارى</v>
          </cell>
          <cell r="FH701" t="str">
            <v>احمد عبدالرحيم ابوبكر محمد</v>
          </cell>
          <cell r="FI701">
            <v>0</v>
          </cell>
        </row>
        <row r="702">
          <cell r="A702">
            <v>1062</v>
          </cell>
          <cell r="B702" t="str">
            <v>ابراهيم حامد ابراهيم بابكر</v>
          </cell>
          <cell r="C702" t="str">
            <v>ابراهيم</v>
          </cell>
          <cell r="D702" t="str">
            <v>حامد</v>
          </cell>
          <cell r="E702" t="str">
            <v>ابراهيم</v>
          </cell>
          <cell r="F702" t="str">
            <v>بابكر</v>
          </cell>
          <cell r="G702" t="str">
            <v>المصنع</v>
          </cell>
          <cell r="H702" t="str">
            <v>الانتاج</v>
          </cell>
          <cell r="K702" t="str">
            <v>عامل</v>
          </cell>
          <cell r="L702" t="str">
            <v>عامل</v>
          </cell>
          <cell r="M702">
            <v>43223</v>
          </cell>
          <cell r="O702" t="e">
            <v>#NUM!</v>
          </cell>
          <cell r="P702" t="e">
            <v>#NUM!</v>
          </cell>
          <cell r="R702" t="e">
            <v>#NUM!</v>
          </cell>
          <cell r="Z702">
            <v>29722</v>
          </cell>
          <cell r="AI702" t="str">
            <v>ميلاد</v>
          </cell>
          <cell r="AJ702" t="str">
            <v>103257</v>
          </cell>
          <cell r="AS702">
            <v>43500</v>
          </cell>
          <cell r="AT702">
            <v>37</v>
          </cell>
          <cell r="AU702" t="str">
            <v>بطاقه قوميه</v>
          </cell>
          <cell r="AV702" t="str">
            <v>004828254</v>
          </cell>
          <cell r="AW702">
            <v>4</v>
          </cell>
          <cell r="AX702">
            <v>5</v>
          </cell>
          <cell r="AY702">
            <v>2</v>
          </cell>
          <cell r="AZ702">
            <v>8</v>
          </cell>
          <cell r="BA702">
            <v>2</v>
          </cell>
          <cell r="BB702">
            <v>8</v>
          </cell>
          <cell r="BC702">
            <v>4</v>
          </cell>
          <cell r="BD702">
            <v>0</v>
          </cell>
          <cell r="BE702" t="str">
            <v>118-8136275-8</v>
          </cell>
          <cell r="BF702" t="str">
            <v>نوره حسين فضل</v>
          </cell>
          <cell r="BG702" t="str">
            <v>جبره</v>
          </cell>
          <cell r="BH702" t="str">
            <v>الازهرى - م 13</v>
          </cell>
          <cell r="BI702" t="str">
            <v>0966732034</v>
          </cell>
          <cell r="BJ702" t="str">
            <v>محمد الياس</v>
          </cell>
          <cell r="BL702" t="str">
            <v>خالي الطرف</v>
          </cell>
          <cell r="BN702">
            <v>43500</v>
          </cell>
          <cell r="BS702" t="str">
            <v>برادة الصيانة</v>
          </cell>
          <cell r="BT702" t="str">
            <v>تدريب مهني</v>
          </cell>
          <cell r="BU702" t="str">
            <v xml:space="preserve">المجلس الاعلى للتدريب المهنى </v>
          </cell>
          <cell r="BV702">
            <v>37773</v>
          </cell>
          <cell r="EQ702">
            <v>0</v>
          </cell>
          <cell r="FG702" t="str">
            <v xml:space="preserve"> مدير الانتاج</v>
          </cell>
          <cell r="FH702" t="str">
            <v>هشام عيسى محمد عبدالكريم</v>
          </cell>
          <cell r="FI702" t="str">
            <v>118-8136275-8</v>
          </cell>
        </row>
        <row r="703">
          <cell r="A703">
            <v>1063</v>
          </cell>
          <cell r="B703" t="str">
            <v>محمد عيسى النور جابر</v>
          </cell>
          <cell r="C703" t="str">
            <v>محمد</v>
          </cell>
          <cell r="D703" t="str">
            <v>عيسى</v>
          </cell>
          <cell r="E703" t="str">
            <v>النور</v>
          </cell>
          <cell r="F703" t="str">
            <v>جابر</v>
          </cell>
          <cell r="G703" t="str">
            <v>المصنع</v>
          </cell>
          <cell r="H703" t="str">
            <v>الانتاج</v>
          </cell>
          <cell r="K703" t="str">
            <v>عامل</v>
          </cell>
          <cell r="L703" t="str">
            <v>عامل</v>
          </cell>
          <cell r="M703">
            <v>43227</v>
          </cell>
          <cell r="O703" t="e">
            <v>#NUM!</v>
          </cell>
          <cell r="P703" t="e">
            <v>#NUM!</v>
          </cell>
          <cell r="R703" t="e">
            <v>#NUM!</v>
          </cell>
          <cell r="Z703">
            <v>27030</v>
          </cell>
          <cell r="AI703" t="str">
            <v>تسنين</v>
          </cell>
          <cell r="AJ703" t="str">
            <v>493534</v>
          </cell>
          <cell r="AS703">
            <v>43500</v>
          </cell>
          <cell r="AT703">
            <v>45</v>
          </cell>
          <cell r="AU703" t="str">
            <v>بطاقه قوميه</v>
          </cell>
          <cell r="AV703" t="str">
            <v>004389206</v>
          </cell>
          <cell r="AW703">
            <v>6</v>
          </cell>
          <cell r="AX703">
            <v>0</v>
          </cell>
          <cell r="AY703">
            <v>2</v>
          </cell>
          <cell r="AZ703">
            <v>9</v>
          </cell>
          <cell r="BA703">
            <v>8</v>
          </cell>
          <cell r="BB703">
            <v>3</v>
          </cell>
          <cell r="BC703">
            <v>4</v>
          </cell>
          <cell r="BD703">
            <v>0</v>
          </cell>
          <cell r="BE703" t="str">
            <v>118-6090010-1</v>
          </cell>
          <cell r="BF703" t="str">
            <v>هبابه ادريس محمد</v>
          </cell>
          <cell r="BG703" t="str">
            <v>بحرى</v>
          </cell>
          <cell r="BH703" t="str">
            <v>بحرى - شمبات</v>
          </cell>
          <cell r="BI703" t="str">
            <v>0914660962</v>
          </cell>
          <cell r="BJ703" t="str">
            <v>ابراهيم عيسى النور</v>
          </cell>
          <cell r="BK703" t="str">
            <v>0915096618</v>
          </cell>
          <cell r="BL703" t="str">
            <v>خالي الطرف</v>
          </cell>
          <cell r="BN703">
            <v>43500</v>
          </cell>
          <cell r="CQ703" t="str">
            <v>مصنع جميرا للغزل والنسيج</v>
          </cell>
          <cell r="CR703" t="str">
            <v>عامل</v>
          </cell>
          <cell r="CS703">
            <v>36382</v>
          </cell>
          <cell r="CT703">
            <v>36657</v>
          </cell>
          <cell r="EQ703">
            <v>0</v>
          </cell>
          <cell r="FG703" t="str">
            <v xml:space="preserve"> مدير الانتاج</v>
          </cell>
          <cell r="FH703" t="str">
            <v>هشام عيسى محمد عبدالكريم</v>
          </cell>
          <cell r="FI703" t="str">
            <v>118-6090010-1</v>
          </cell>
        </row>
        <row r="704">
          <cell r="A704">
            <v>1064</v>
          </cell>
          <cell r="B704" t="str">
            <v>ابوبكر خالد عباس مقبول</v>
          </cell>
          <cell r="C704" t="str">
            <v>ابوبكر</v>
          </cell>
          <cell r="D704" t="str">
            <v>خالد</v>
          </cell>
          <cell r="E704" t="str">
            <v>عباس</v>
          </cell>
          <cell r="F704" t="str">
            <v>مقبول</v>
          </cell>
          <cell r="G704" t="str">
            <v>المصنع</v>
          </cell>
          <cell r="H704" t="str">
            <v>الانتاج</v>
          </cell>
          <cell r="K704" t="str">
            <v>عامل</v>
          </cell>
          <cell r="L704" t="str">
            <v>عامل</v>
          </cell>
          <cell r="M704">
            <v>43227</v>
          </cell>
          <cell r="O704" t="e">
            <v>#NUM!</v>
          </cell>
          <cell r="P704" t="e">
            <v>#NUM!</v>
          </cell>
          <cell r="R704" t="e">
            <v>#NUM!</v>
          </cell>
          <cell r="T704" t="str">
            <v>إستقال</v>
          </cell>
          <cell r="U704">
            <v>43227</v>
          </cell>
          <cell r="V704">
            <v>43227</v>
          </cell>
          <cell r="Z704">
            <v>29668</v>
          </cell>
          <cell r="AI704" t="str">
            <v>ميلاد</v>
          </cell>
          <cell r="AJ704" t="str">
            <v>434036</v>
          </cell>
          <cell r="AS704">
            <v>43500</v>
          </cell>
          <cell r="AT704">
            <v>37</v>
          </cell>
          <cell r="AU704" t="str">
            <v>بطاقه قوميه</v>
          </cell>
          <cell r="AV704" t="str">
            <v>003334302</v>
          </cell>
          <cell r="AW704">
            <v>2</v>
          </cell>
          <cell r="AX704">
            <v>0</v>
          </cell>
          <cell r="AY704">
            <v>3</v>
          </cell>
          <cell r="AZ704">
            <v>4</v>
          </cell>
          <cell r="BA704">
            <v>3</v>
          </cell>
          <cell r="BB704">
            <v>3</v>
          </cell>
          <cell r="BC704">
            <v>3</v>
          </cell>
          <cell r="BD704">
            <v>0</v>
          </cell>
          <cell r="BE704" t="str">
            <v>103-0015505-9</v>
          </cell>
          <cell r="BF704" t="str">
            <v>ناديه عيدروس على</v>
          </cell>
          <cell r="BG704" t="str">
            <v>الكلاكله</v>
          </cell>
          <cell r="BH704" t="str">
            <v>القطينه شمال - الكريل</v>
          </cell>
          <cell r="BI704" t="str">
            <v>0126064270</v>
          </cell>
          <cell r="BJ704" t="str">
            <v>مصطفى قمرالدوله</v>
          </cell>
          <cell r="BL704" t="str">
            <v>خالي الطرف</v>
          </cell>
          <cell r="BN704">
            <v>43500</v>
          </cell>
          <cell r="BS704" t="str">
            <v>الدراسات البيئية</v>
          </cell>
          <cell r="BT704" t="str">
            <v>بكلاريوس</v>
          </cell>
          <cell r="BU704" t="str">
            <v>جامعة النيلين</v>
          </cell>
          <cell r="BV704">
            <v>38963</v>
          </cell>
          <cell r="EQ704">
            <v>0</v>
          </cell>
          <cell r="FG704" t="str">
            <v xml:space="preserve"> مدير الانتاج</v>
          </cell>
          <cell r="FH704" t="str">
            <v>هشام عيسى محمد عبدالكريم</v>
          </cell>
          <cell r="FI704" t="str">
            <v>103-0015505-9</v>
          </cell>
        </row>
        <row r="705">
          <cell r="A705">
            <v>1065</v>
          </cell>
          <cell r="B705" t="str">
            <v>اسامه خالد كرار عثمان</v>
          </cell>
          <cell r="C705" t="str">
            <v>اسامه</v>
          </cell>
          <cell r="D705" t="str">
            <v>خالد</v>
          </cell>
          <cell r="E705" t="str">
            <v>كرار</v>
          </cell>
          <cell r="F705" t="str">
            <v>عثمان</v>
          </cell>
          <cell r="G705" t="str">
            <v>المصنع</v>
          </cell>
          <cell r="H705" t="str">
            <v>الانتاج</v>
          </cell>
          <cell r="K705" t="str">
            <v>عامل</v>
          </cell>
          <cell r="L705" t="str">
            <v>عامل</v>
          </cell>
          <cell r="M705">
            <v>43222</v>
          </cell>
          <cell r="O705" t="e">
            <v>#NUM!</v>
          </cell>
          <cell r="P705" t="e">
            <v>#NUM!</v>
          </cell>
          <cell r="R705" t="e">
            <v>#NUM!</v>
          </cell>
          <cell r="T705" t="str">
            <v>إستقال</v>
          </cell>
          <cell r="Z705">
            <v>27395</v>
          </cell>
          <cell r="AI705" t="str">
            <v>تسنين</v>
          </cell>
          <cell r="AJ705" t="str">
            <v>095086</v>
          </cell>
          <cell r="AS705">
            <v>43500</v>
          </cell>
          <cell r="AT705">
            <v>44</v>
          </cell>
          <cell r="AU705" t="str">
            <v>بطاقه قوميه</v>
          </cell>
          <cell r="AV705" t="str">
            <v>000398567</v>
          </cell>
          <cell r="AW705">
            <v>7</v>
          </cell>
          <cell r="AX705">
            <v>6</v>
          </cell>
          <cell r="AY705">
            <v>5</v>
          </cell>
          <cell r="AZ705">
            <v>8</v>
          </cell>
          <cell r="BA705">
            <v>9</v>
          </cell>
          <cell r="BB705">
            <v>3</v>
          </cell>
          <cell r="BC705">
            <v>0</v>
          </cell>
          <cell r="BD705">
            <v>0</v>
          </cell>
          <cell r="BE705" t="str">
            <v>119-7224403-8</v>
          </cell>
          <cell r="BF705" t="str">
            <v>فتحيه محمد مجزوب</v>
          </cell>
          <cell r="BG705" t="str">
            <v>الكلاكله</v>
          </cell>
          <cell r="BH705" t="str">
            <v>الكلاكله شرق</v>
          </cell>
          <cell r="BI705" t="str">
            <v>0911333184</v>
          </cell>
          <cell r="BJ705" t="str">
            <v>على خالد كرار</v>
          </cell>
          <cell r="BK705" t="str">
            <v>0912129334</v>
          </cell>
          <cell r="BL705" t="str">
            <v>إستثناء</v>
          </cell>
          <cell r="BN705">
            <v>43500</v>
          </cell>
          <cell r="BT705" t="str">
            <v>شهاده ثانويه</v>
          </cell>
          <cell r="BV705">
            <v>35186</v>
          </cell>
          <cell r="EQ705">
            <v>0</v>
          </cell>
          <cell r="FG705" t="str">
            <v xml:space="preserve"> مدير الانتاج</v>
          </cell>
          <cell r="FH705" t="str">
            <v>هشام عيسى محمد عبدالكريم</v>
          </cell>
          <cell r="FI705" t="str">
            <v>119-7224403-8</v>
          </cell>
        </row>
        <row r="706">
          <cell r="A706">
            <v>1066</v>
          </cell>
          <cell r="B706" t="str">
            <v>فضل السيد محجوب فضل السيد دسوقى</v>
          </cell>
          <cell r="C706" t="str">
            <v>فضل السيد</v>
          </cell>
          <cell r="D706" t="str">
            <v>محجوب</v>
          </cell>
          <cell r="E706" t="str">
            <v>فضل السيد</v>
          </cell>
          <cell r="F706" t="str">
            <v>دسوقى</v>
          </cell>
          <cell r="G706" t="str">
            <v>المصنع</v>
          </cell>
          <cell r="K706" t="str">
            <v>مراجع</v>
          </cell>
          <cell r="L706" t="str">
            <v>مراجع</v>
          </cell>
          <cell r="M706">
            <v>43252</v>
          </cell>
          <cell r="O706" t="e">
            <v>#NUM!</v>
          </cell>
          <cell r="P706" t="e">
            <v>#NUM!</v>
          </cell>
          <cell r="R706" t="e">
            <v>#NUM!</v>
          </cell>
          <cell r="Z706">
            <v>19360</v>
          </cell>
          <cell r="AI706" t="str">
            <v>تسنين</v>
          </cell>
          <cell r="AJ706" t="str">
            <v>890242</v>
          </cell>
          <cell r="AS706">
            <v>43500</v>
          </cell>
          <cell r="AT706">
            <v>66</v>
          </cell>
          <cell r="AU706" t="str">
            <v>بطاقه قوميه</v>
          </cell>
          <cell r="AV706" t="str">
            <v>004424172</v>
          </cell>
          <cell r="AW706">
            <v>2</v>
          </cell>
          <cell r="AX706">
            <v>7</v>
          </cell>
          <cell r="AY706">
            <v>1</v>
          </cell>
          <cell r="AZ706">
            <v>4</v>
          </cell>
          <cell r="BA706">
            <v>2</v>
          </cell>
          <cell r="BB706">
            <v>4</v>
          </cell>
          <cell r="BC706">
            <v>4</v>
          </cell>
          <cell r="BD706">
            <v>0</v>
          </cell>
          <cell r="BE706" t="str">
            <v>115-5913195-9</v>
          </cell>
          <cell r="BF706" t="str">
            <v>فاطمه الخليفه بابكر</v>
          </cell>
          <cell r="BG706" t="str">
            <v>جبره</v>
          </cell>
          <cell r="BH706" t="str">
            <v>جبره - م 15</v>
          </cell>
          <cell r="BI706" t="str">
            <v>0122091396</v>
          </cell>
          <cell r="BJ706" t="str">
            <v>محمد فضل السيد محجوب</v>
          </cell>
          <cell r="BL706" t="str">
            <v>كبار سن</v>
          </cell>
          <cell r="BN706">
            <v>43500</v>
          </cell>
          <cell r="BS706" t="str">
            <v>إدارة الاعمال</v>
          </cell>
          <cell r="BT706" t="str">
            <v>ماجستير</v>
          </cell>
          <cell r="BU706" t="str">
            <v>جامعة امدرمان الاسلامية</v>
          </cell>
          <cell r="BV706">
            <v>35039</v>
          </cell>
          <cell r="BW706" t="str">
            <v>محاسبة</v>
          </cell>
          <cell r="BX706" t="str">
            <v>بكلاريوس</v>
          </cell>
          <cell r="BY706" t="str">
            <v>معهد الكليات التكنولوجية</v>
          </cell>
          <cell r="BZ706">
            <v>30094</v>
          </cell>
          <cell r="EQ706">
            <v>0</v>
          </cell>
          <cell r="FG706" t="e">
            <v>#N/A</v>
          </cell>
          <cell r="FH706" t="e">
            <v>#N/A</v>
          </cell>
          <cell r="FI706" t="str">
            <v>115-5913195-9</v>
          </cell>
        </row>
        <row r="707">
          <cell r="A707">
            <v>1067</v>
          </cell>
          <cell r="B707" t="str">
            <v>محمد النيل بابكر عبدالباقى</v>
          </cell>
          <cell r="C707" t="str">
            <v>محمد</v>
          </cell>
          <cell r="D707" t="str">
            <v>النيل</v>
          </cell>
          <cell r="E707" t="str">
            <v>بابكر</v>
          </cell>
          <cell r="F707" t="str">
            <v>عبدالباقى</v>
          </cell>
          <cell r="G707" t="str">
            <v>المصنع</v>
          </cell>
          <cell r="H707" t="str">
            <v>الاليات</v>
          </cell>
          <cell r="K707" t="str">
            <v>فنى كهربائي</v>
          </cell>
          <cell r="L707" t="str">
            <v>فنى كهربائي</v>
          </cell>
          <cell r="M707">
            <v>43286</v>
          </cell>
          <cell r="O707" t="e">
            <v>#NUM!</v>
          </cell>
          <cell r="P707" t="e">
            <v>#NUM!</v>
          </cell>
          <cell r="R707" t="e">
            <v>#NUM!</v>
          </cell>
          <cell r="Z707">
            <v>34264</v>
          </cell>
          <cell r="AI707" t="str">
            <v>ميلاد</v>
          </cell>
          <cell r="AJ707" t="str">
            <v>866563</v>
          </cell>
          <cell r="AS707">
            <v>43500</v>
          </cell>
          <cell r="AT707">
            <v>25</v>
          </cell>
          <cell r="AU707" t="str">
            <v>بطاقه قوميه</v>
          </cell>
          <cell r="AV707" t="str">
            <v>005906001</v>
          </cell>
          <cell r="AW707">
            <v>1</v>
          </cell>
          <cell r="AX707">
            <v>0</v>
          </cell>
          <cell r="AY707">
            <v>0</v>
          </cell>
          <cell r="AZ707">
            <v>6</v>
          </cell>
          <cell r="BA707">
            <v>0</v>
          </cell>
          <cell r="BB707">
            <v>9</v>
          </cell>
          <cell r="BC707">
            <v>5</v>
          </cell>
          <cell r="BD707">
            <v>0</v>
          </cell>
          <cell r="BE707" t="str">
            <v>119-2231428-3</v>
          </cell>
          <cell r="BF707" t="str">
            <v>زكيه محمد الحسن</v>
          </cell>
          <cell r="BG707" t="str">
            <v>الجزيره</v>
          </cell>
          <cell r="BH707" t="str">
            <v>الجزيرة - المسعودية</v>
          </cell>
          <cell r="BI707" t="str">
            <v>0125881331</v>
          </cell>
          <cell r="BJ707" t="str">
            <v>اياد بشير بابكر</v>
          </cell>
          <cell r="BK707" t="str">
            <v>0911857171</v>
          </cell>
          <cell r="BL707" t="str">
            <v>خالي الطرف</v>
          </cell>
          <cell r="BN707">
            <v>43500</v>
          </cell>
          <cell r="BS707" t="str">
            <v>هندسة ميكانيكا (صيانة)</v>
          </cell>
          <cell r="BT707" t="str">
            <v>دبلوم تقني</v>
          </cell>
          <cell r="BU707" t="str">
            <v>جامعة السودان للعلوم والتكنولوجيا</v>
          </cell>
          <cell r="BV707">
            <v>41900</v>
          </cell>
          <cell r="CQ707" t="str">
            <v>مصنع الاسعد للحديد والتسليح</v>
          </cell>
          <cell r="CR707" t="str">
            <v>فنى كهربائي</v>
          </cell>
          <cell r="CS707">
            <v>42379</v>
          </cell>
          <cell r="CT707">
            <v>43148</v>
          </cell>
          <cell r="CV707" t="str">
            <v>ريبا للنقل البرى</v>
          </cell>
          <cell r="CW707" t="str">
            <v>فنى كهربائي</v>
          </cell>
          <cell r="CX707">
            <v>41853</v>
          </cell>
          <cell r="CY707">
            <v>42218</v>
          </cell>
          <cell r="EQ707">
            <v>0</v>
          </cell>
          <cell r="FG707" t="str">
            <v>مسئول قسم الاليات</v>
          </cell>
          <cell r="FH707" t="str">
            <v>جمال حامد عبد الكريم العبيد</v>
          </cell>
          <cell r="FI707" t="str">
            <v>119-2231428-3</v>
          </cell>
        </row>
        <row r="708">
          <cell r="A708">
            <v>1068</v>
          </cell>
          <cell r="B708" t="str">
            <v>مصطفى الامين عبدالرحيم عبدالله</v>
          </cell>
          <cell r="C708" t="str">
            <v>مصطفى</v>
          </cell>
          <cell r="D708" t="str">
            <v>الامين</v>
          </cell>
          <cell r="E708" t="str">
            <v>عبدالرحيم</v>
          </cell>
          <cell r="F708" t="str">
            <v>عبدالله</v>
          </cell>
          <cell r="G708" t="str">
            <v>المصنع</v>
          </cell>
          <cell r="H708" t="str">
            <v>الميكانيكا</v>
          </cell>
          <cell r="K708" t="str">
            <v>مهندس ميكانيكا</v>
          </cell>
          <cell r="L708" t="str">
            <v>مهندس ميكانيكا</v>
          </cell>
          <cell r="M708">
            <v>43282</v>
          </cell>
          <cell r="O708" t="e">
            <v>#NUM!</v>
          </cell>
          <cell r="P708" t="e">
            <v>#NUM!</v>
          </cell>
          <cell r="R708" t="e">
            <v>#NUM!</v>
          </cell>
          <cell r="Z708">
            <v>32509</v>
          </cell>
          <cell r="AI708" t="str">
            <v>تسنين</v>
          </cell>
          <cell r="AJ708" t="str">
            <v>28234</v>
          </cell>
          <cell r="AS708">
            <v>43500</v>
          </cell>
          <cell r="AT708">
            <v>30</v>
          </cell>
          <cell r="AU708" t="str">
            <v>جواز سفر</v>
          </cell>
          <cell r="AV708" t="str">
            <v>04336664</v>
          </cell>
          <cell r="AW708">
            <v>4</v>
          </cell>
          <cell r="AX708">
            <v>6</v>
          </cell>
          <cell r="AY708">
            <v>6</v>
          </cell>
          <cell r="AZ708">
            <v>6</v>
          </cell>
          <cell r="BA708">
            <v>3</v>
          </cell>
          <cell r="BB708">
            <v>3</v>
          </cell>
          <cell r="BC708">
            <v>4</v>
          </cell>
          <cell r="BD708">
            <v>0</v>
          </cell>
          <cell r="BE708" t="str">
            <v>190-5793515-2</v>
          </cell>
          <cell r="BF708" t="str">
            <v>هويدا مصطفى عبدالله</v>
          </cell>
          <cell r="BG708" t="str">
            <v>العربى</v>
          </cell>
          <cell r="BH708" t="str">
            <v>الخرطوم - مايو - عدحسين</v>
          </cell>
          <cell r="BI708" t="str">
            <v>0914955377</v>
          </cell>
          <cell r="BJ708" t="str">
            <v>مامون مصطفى عبدالله</v>
          </cell>
          <cell r="BK708" t="str">
            <v>0918712765</v>
          </cell>
          <cell r="BL708" t="str">
            <v>خالي الطرف</v>
          </cell>
          <cell r="BN708">
            <v>43500</v>
          </cell>
          <cell r="BS708" t="str">
            <v>هندسة ميكانيكية</v>
          </cell>
          <cell r="BT708" t="str">
            <v>بكلاريوس الشرف</v>
          </cell>
          <cell r="BU708" t="str">
            <v>جامعة كردفان</v>
          </cell>
          <cell r="BV708">
            <v>41961</v>
          </cell>
          <cell r="EQ708">
            <v>0</v>
          </cell>
          <cell r="FG708" t="str">
            <v>مدير الصيانه الميكانيكيه</v>
          </cell>
          <cell r="FH708" t="str">
            <v>محمد احمد محمد سليمان</v>
          </cell>
          <cell r="FI708" t="str">
            <v>190-5793515-2</v>
          </cell>
        </row>
        <row r="709">
          <cell r="A709">
            <v>1069</v>
          </cell>
          <cell r="B709" t="str">
            <v>خالد النور إبراهيم النور</v>
          </cell>
          <cell r="C709" t="str">
            <v>خالد</v>
          </cell>
          <cell r="D709" t="str">
            <v>النور</v>
          </cell>
          <cell r="E709" t="str">
            <v>إبراهيم</v>
          </cell>
          <cell r="F709" t="str">
            <v>النور</v>
          </cell>
          <cell r="G709" t="str">
            <v>المصنع</v>
          </cell>
          <cell r="H709" t="str">
            <v>الانتاج</v>
          </cell>
          <cell r="K709" t="str">
            <v>عامل</v>
          </cell>
          <cell r="L709" t="str">
            <v>عامل</v>
          </cell>
          <cell r="M709">
            <v>43346</v>
          </cell>
          <cell r="O709" t="e">
            <v>#NUM!</v>
          </cell>
          <cell r="P709" t="e">
            <v>#NUM!</v>
          </cell>
          <cell r="R709" t="e">
            <v>#NUM!</v>
          </cell>
          <cell r="T709" t="str">
            <v>إستقال</v>
          </cell>
          <cell r="Z709">
            <v>30013</v>
          </cell>
          <cell r="AI709" t="str">
            <v>ميلاد</v>
          </cell>
          <cell r="AJ709" t="str">
            <v>19583</v>
          </cell>
          <cell r="AS709">
            <v>43500</v>
          </cell>
          <cell r="AT709">
            <v>36</v>
          </cell>
          <cell r="BE709" t="str">
            <v>114-1140254-2</v>
          </cell>
          <cell r="BF709" t="str">
            <v>اسيا عبدالله</v>
          </cell>
          <cell r="BG709" t="str">
            <v>العربى</v>
          </cell>
          <cell r="BH709" t="str">
            <v>الخرطوم - الامتداد الدرجة 3</v>
          </cell>
          <cell r="BI709" t="str">
            <v>0915042218</v>
          </cell>
          <cell r="BJ709" t="str">
            <v>امير النور</v>
          </cell>
          <cell r="BK709" t="str">
            <v>0906400504</v>
          </cell>
          <cell r="BL709" t="str">
            <v>خالي الطرف</v>
          </cell>
          <cell r="BN709">
            <v>43500</v>
          </cell>
          <cell r="BS709" t="str">
            <v>المحاسبة والتمويل</v>
          </cell>
          <cell r="BT709" t="str">
            <v>دبلوم تقني</v>
          </cell>
          <cell r="BU709" t="str">
            <v>جامعة جوبا</v>
          </cell>
          <cell r="BV709">
            <v>39432</v>
          </cell>
          <cell r="BW709" t="str">
            <v>حاسوب</v>
          </cell>
          <cell r="BX709" t="str">
            <v>دبلوم (معاهد)</v>
          </cell>
          <cell r="BY709" t="str">
            <v>الاتحاد الوطنى لاندية اليونسكو بالسودان</v>
          </cell>
          <cell r="BZ709">
            <v>40327</v>
          </cell>
          <cell r="CA709" t="str">
            <v>امن وسلامة المخازن والمستودعات</v>
          </cell>
          <cell r="CB709" t="str">
            <v>شهاده دورة تدريب</v>
          </cell>
          <cell r="CC709" t="str">
            <v>المركز العلمى الدولى للتدريب</v>
          </cell>
          <cell r="CD709">
            <v>41766</v>
          </cell>
          <cell r="CQ709" t="str">
            <v>شركة المهاجر العالمية للاستثمار المحدودة</v>
          </cell>
          <cell r="CR709" t="str">
            <v>امين مخزن</v>
          </cell>
          <cell r="CS709">
            <v>40835</v>
          </cell>
          <cell r="CT709">
            <v>42094</v>
          </cell>
          <cell r="CV709" t="str">
            <v>شركة المهاجر العالمية للاستثمار المحدودة</v>
          </cell>
          <cell r="CW709" t="str">
            <v>متحصل</v>
          </cell>
          <cell r="CX709">
            <v>42095</v>
          </cell>
          <cell r="CY709">
            <v>42428</v>
          </cell>
          <cell r="EQ709">
            <v>0</v>
          </cell>
          <cell r="FG709" t="str">
            <v xml:space="preserve"> مدير الانتاج</v>
          </cell>
          <cell r="FH709" t="str">
            <v>هشام عيسى محمد عبدالكريم</v>
          </cell>
          <cell r="FI709" t="str">
            <v>114-1140254-2</v>
          </cell>
        </row>
        <row r="710">
          <cell r="A710">
            <v>1070</v>
          </cell>
          <cell r="B710" t="str">
            <v>عبدالرحيم موسى ادم محمد</v>
          </cell>
          <cell r="C710" t="str">
            <v>عبدالرحيم</v>
          </cell>
          <cell r="D710" t="str">
            <v>موسى</v>
          </cell>
          <cell r="E710" t="str">
            <v>ادم</v>
          </cell>
          <cell r="F710" t="str">
            <v>محمد</v>
          </cell>
          <cell r="G710" t="str">
            <v>المصنع</v>
          </cell>
          <cell r="H710" t="str">
            <v>الخدمات</v>
          </cell>
          <cell r="K710" t="str">
            <v>فنى سباكة</v>
          </cell>
          <cell r="L710" t="str">
            <v>فنى سباكة</v>
          </cell>
          <cell r="M710">
            <v>43356</v>
          </cell>
          <cell r="O710" t="e">
            <v>#NUM!</v>
          </cell>
          <cell r="P710" t="e">
            <v>#NUM!</v>
          </cell>
          <cell r="R710" t="e">
            <v>#NUM!</v>
          </cell>
          <cell r="Z710">
            <v>27699</v>
          </cell>
          <cell r="AI710" t="str">
            <v>ميلاد</v>
          </cell>
          <cell r="AJ710" t="str">
            <v>198020</v>
          </cell>
          <cell r="AS710">
            <v>43500</v>
          </cell>
          <cell r="AT710">
            <v>43</v>
          </cell>
          <cell r="AU710" t="str">
            <v>بطاقه قوميه</v>
          </cell>
          <cell r="AV710" t="str">
            <v>006117099</v>
          </cell>
          <cell r="AW710">
            <v>9</v>
          </cell>
          <cell r="AX710">
            <v>9</v>
          </cell>
          <cell r="AY710">
            <v>0</v>
          </cell>
          <cell r="AZ710">
            <v>7</v>
          </cell>
          <cell r="BA710">
            <v>1</v>
          </cell>
          <cell r="BB710">
            <v>1</v>
          </cell>
          <cell r="BC710">
            <v>6</v>
          </cell>
          <cell r="BD710">
            <v>0</v>
          </cell>
          <cell r="BE710" t="str">
            <v>122-9303258-1</v>
          </cell>
          <cell r="BF710" t="str">
            <v>صلحه ابكر محمد</v>
          </cell>
          <cell r="BG710" t="str">
            <v>العربى</v>
          </cell>
          <cell r="BH710" t="str">
            <v>مايو - م 31</v>
          </cell>
          <cell r="BI710" t="str">
            <v>0993161195</v>
          </cell>
          <cell r="BJ710" t="str">
            <v>محمد على محمد</v>
          </cell>
          <cell r="BK710" t="str">
            <v>0929998907</v>
          </cell>
          <cell r="BL710" t="str">
            <v>خالي الطرف</v>
          </cell>
          <cell r="BN710">
            <v>43500</v>
          </cell>
          <cell r="BS710" t="str">
            <v>برادة مواسير</v>
          </cell>
          <cell r="BT710" t="str">
            <v>تدريب مهني</v>
          </cell>
          <cell r="BU710" t="str">
            <v xml:space="preserve">المجلس الاعلى للتدريب المهنى </v>
          </cell>
          <cell r="BV710">
            <v>39848</v>
          </cell>
          <cell r="CQ710" t="str">
            <v>شركة ميقا للصناعات الغذائية المحدودة</v>
          </cell>
          <cell r="CR710" t="str">
            <v>فنى صيانة</v>
          </cell>
          <cell r="CS710">
            <v>39264</v>
          </cell>
          <cell r="CT710">
            <v>40394</v>
          </cell>
          <cell r="CV710" t="str">
            <v>المصنع الليبى لتصنيع منتجات الحديد</v>
          </cell>
          <cell r="CW710" t="str">
            <v>سباك</v>
          </cell>
          <cell r="CX710">
            <v>42064</v>
          </cell>
          <cell r="CY710">
            <v>43355</v>
          </cell>
          <cell r="EQ710">
            <v>0</v>
          </cell>
          <cell r="FG710" t="str">
            <v>المدير الادارى</v>
          </cell>
          <cell r="FH710" t="str">
            <v>احمد عبدالرحيم ابوبكر محمد</v>
          </cell>
          <cell r="FI710" t="str">
            <v>122-9303258-1</v>
          </cell>
        </row>
        <row r="711">
          <cell r="A711">
            <v>1071</v>
          </cell>
          <cell r="B711" t="str">
            <v>مازن يحي إدريس على</v>
          </cell>
          <cell r="C711" t="str">
            <v>مازن</v>
          </cell>
          <cell r="D711" t="str">
            <v>يحي</v>
          </cell>
          <cell r="E711" t="str">
            <v>إدريس</v>
          </cell>
          <cell r="F711" t="str">
            <v>على</v>
          </cell>
          <cell r="G711" t="str">
            <v>الرئاسه</v>
          </cell>
          <cell r="M711">
            <v>43376</v>
          </cell>
          <cell r="O711" t="e">
            <v>#NUM!</v>
          </cell>
          <cell r="P711" t="e">
            <v>#NUM!</v>
          </cell>
          <cell r="R711" t="e">
            <v>#NUM!</v>
          </cell>
          <cell r="Z711">
            <v>34861</v>
          </cell>
          <cell r="AI711" t="str">
            <v>ميلاد</v>
          </cell>
          <cell r="AJ711" t="str">
            <v>326048</v>
          </cell>
          <cell r="AS711">
            <v>43500</v>
          </cell>
          <cell r="AT711">
            <v>23</v>
          </cell>
          <cell r="AU711" t="str">
            <v>بطاقه قوميه</v>
          </cell>
          <cell r="AV711" t="str">
            <v>002491772</v>
          </cell>
          <cell r="AW711">
            <v>2</v>
          </cell>
          <cell r="AX711">
            <v>7</v>
          </cell>
          <cell r="AY711">
            <v>7</v>
          </cell>
          <cell r="AZ711">
            <v>1</v>
          </cell>
          <cell r="BA711">
            <v>9</v>
          </cell>
          <cell r="BB711">
            <v>4</v>
          </cell>
          <cell r="BC711">
            <v>2</v>
          </cell>
          <cell r="BD711">
            <v>0</v>
          </cell>
          <cell r="BE711" t="str">
            <v>116-33121979</v>
          </cell>
          <cell r="BF711" t="str">
            <v>تهانى نجم الدين</v>
          </cell>
          <cell r="BH711" t="str">
            <v>ام درمان - امبده - ح 6</v>
          </cell>
          <cell r="BI711" t="str">
            <v>0129915252</v>
          </cell>
          <cell r="BJ711" t="str">
            <v>يحى إدريس على</v>
          </cell>
          <cell r="BK711" t="str">
            <v>0912633314</v>
          </cell>
          <cell r="BL711" t="str">
            <v>خالي الطرف</v>
          </cell>
          <cell r="BN711">
            <v>43500</v>
          </cell>
          <cell r="BS711" t="str">
            <v>المحاسبة والتمويل</v>
          </cell>
          <cell r="BT711" t="str">
            <v>بكلاريوس</v>
          </cell>
          <cell r="BU711" t="str">
            <v>جامعة السودان للعلوم والتكنولوجيا</v>
          </cell>
          <cell r="BV711">
            <v>42705</v>
          </cell>
          <cell r="BW711" t="str">
            <v>حاسوب</v>
          </cell>
          <cell r="BX711" t="str">
            <v>شهاده كورس</v>
          </cell>
          <cell r="BY711" t="str">
            <v>جامعة السودان للعلوم والتكنولوجيا</v>
          </cell>
          <cell r="BZ711">
            <v>42723</v>
          </cell>
          <cell r="CA711" t="str">
            <v>Smacc 5</v>
          </cell>
          <cell r="CB711" t="str">
            <v>دبلوم (معاهد)</v>
          </cell>
          <cell r="CC711" t="str">
            <v>معهد العميد للغات والكمبيوتر</v>
          </cell>
          <cell r="CD711">
            <v>42697</v>
          </cell>
          <cell r="CE711" t="str">
            <v>Tally Accounting</v>
          </cell>
          <cell r="CF711" t="str">
            <v>دبلوم (معاهد)</v>
          </cell>
          <cell r="CG711" t="str">
            <v>معهد إنشون الحديث للكمبيوتر</v>
          </cell>
          <cell r="CH711">
            <v>42684</v>
          </cell>
          <cell r="CI711" t="str">
            <v>ECDL</v>
          </cell>
          <cell r="CJ711" t="str">
            <v>دبلوم (معاهد)</v>
          </cell>
          <cell r="CK711" t="str">
            <v>ECDL FOUNDATION</v>
          </cell>
          <cell r="CL711">
            <v>42532</v>
          </cell>
          <cell r="CQ711" t="str">
            <v>شركة شريان الشمال للطرق والسدود المحدودة</v>
          </cell>
          <cell r="CR711" t="str">
            <v>محاسب</v>
          </cell>
          <cell r="CS711">
            <v>42874</v>
          </cell>
          <cell r="CT711">
            <v>43239</v>
          </cell>
          <cell r="EQ711">
            <v>0</v>
          </cell>
          <cell r="FG711" t="e">
            <v>#N/A</v>
          </cell>
          <cell r="FH711" t="e">
            <v>#N/A</v>
          </cell>
          <cell r="FI711" t="str">
            <v>116-33121979</v>
          </cell>
        </row>
        <row r="712">
          <cell r="A712">
            <v>1072</v>
          </cell>
          <cell r="B712" t="str">
            <v>محمد الطيب محمد إسماعيل</v>
          </cell>
          <cell r="C712" t="str">
            <v>محمد</v>
          </cell>
          <cell r="D712" t="str">
            <v>الطيب</v>
          </cell>
          <cell r="E712" t="str">
            <v>محمد</v>
          </cell>
          <cell r="F712" t="str">
            <v>إسماعيل</v>
          </cell>
          <cell r="G712" t="str">
            <v>الرئاسه</v>
          </cell>
          <cell r="M712">
            <v>43377</v>
          </cell>
          <cell r="O712" t="e">
            <v>#NUM!</v>
          </cell>
          <cell r="P712" t="e">
            <v>#NUM!</v>
          </cell>
          <cell r="R712" t="e">
            <v>#NUM!</v>
          </cell>
          <cell r="Z712">
            <v>34964</v>
          </cell>
          <cell r="AI712" t="str">
            <v>ميلاد</v>
          </cell>
          <cell r="AJ712" t="str">
            <v>486365</v>
          </cell>
          <cell r="AS712">
            <v>43500</v>
          </cell>
          <cell r="AT712">
            <v>23</v>
          </cell>
          <cell r="BE712" t="str">
            <v>178-1782396-9</v>
          </cell>
          <cell r="BF712" t="str">
            <v>جواهر محمد عباس</v>
          </cell>
          <cell r="BH712" t="str">
            <v>الخرطوم - جبره</v>
          </cell>
          <cell r="BI712" t="str">
            <v>0925554664</v>
          </cell>
          <cell r="BJ712" t="str">
            <v>الطيب محمد إسماعيل</v>
          </cell>
          <cell r="BL712" t="str">
            <v>خالي الطرف</v>
          </cell>
          <cell r="BN712">
            <v>43500</v>
          </cell>
          <cell r="BS712" t="str">
            <v>المحاسبة والتمويل</v>
          </cell>
          <cell r="BT712" t="str">
            <v>بكلاريوس</v>
          </cell>
          <cell r="BU712" t="str">
            <v>جامعة السودان للعلوم والتكنولوجيا</v>
          </cell>
          <cell r="BV712">
            <v>42705</v>
          </cell>
          <cell r="BW712" t="str">
            <v>المحاسبة الالكترونية</v>
          </cell>
          <cell r="BX712" t="str">
            <v>دبلوم (معاهد)</v>
          </cell>
          <cell r="BY712" t="str">
            <v>سوداكاد</v>
          </cell>
          <cell r="BZ712">
            <v>42710</v>
          </cell>
          <cell r="CA712" t="str">
            <v>حاسوب</v>
          </cell>
          <cell r="CB712" t="str">
            <v>دبلوم (معاهد)</v>
          </cell>
          <cell r="CC712" t="str">
            <v>جامعة السودان للعلوم والتكنولوجيا</v>
          </cell>
          <cell r="CD712">
            <v>42743</v>
          </cell>
          <cell r="CE712" t="str">
            <v>محاسبة إدارية</v>
          </cell>
          <cell r="CF712" t="str">
            <v>دبلوم (معاهد)</v>
          </cell>
          <cell r="CG712" t="str">
            <v>AI OULA FOR FINANCIAL &amp; ACCOUNTING STUDIES</v>
          </cell>
          <cell r="CH712">
            <v>42858</v>
          </cell>
          <cell r="CQ712" t="str">
            <v>ديوان الضرائب الإدرة العامة للتدريب</v>
          </cell>
          <cell r="CR712" t="str">
            <v>متدرب</v>
          </cell>
          <cell r="CS712">
            <v>42297</v>
          </cell>
          <cell r="CT712">
            <v>42330</v>
          </cell>
          <cell r="EQ712">
            <v>0</v>
          </cell>
          <cell r="FG712" t="e">
            <v>#N/A</v>
          </cell>
          <cell r="FH712" t="e">
            <v>#N/A</v>
          </cell>
          <cell r="FI712" t="str">
            <v>178-1782396-9</v>
          </cell>
        </row>
        <row r="713">
          <cell r="A713">
            <v>1073</v>
          </cell>
          <cell r="B713" t="str">
            <v>عبدالله عمر احمد عمر</v>
          </cell>
          <cell r="C713" t="str">
            <v>عبدالله</v>
          </cell>
          <cell r="D713" t="str">
            <v>عمر</v>
          </cell>
          <cell r="E713" t="str">
            <v>احمد</v>
          </cell>
          <cell r="F713" t="str">
            <v>عمر</v>
          </cell>
          <cell r="G713" t="str">
            <v>المصنع</v>
          </cell>
          <cell r="H713" t="str">
            <v>الانتاج</v>
          </cell>
          <cell r="K713" t="str">
            <v>عامل</v>
          </cell>
          <cell r="L713" t="str">
            <v>عامل</v>
          </cell>
          <cell r="M713">
            <v>43410</v>
          </cell>
          <cell r="O713" t="e">
            <v>#NUM!</v>
          </cell>
          <cell r="P713" t="e">
            <v>#NUM!</v>
          </cell>
          <cell r="R713" t="e">
            <v>#NUM!</v>
          </cell>
          <cell r="T713" t="str">
            <v>إستقال</v>
          </cell>
          <cell r="Z713">
            <v>32784</v>
          </cell>
          <cell r="AI713" t="str">
            <v>ميلاد</v>
          </cell>
          <cell r="AJ713" t="str">
            <v>244823</v>
          </cell>
          <cell r="AS713">
            <v>43500</v>
          </cell>
          <cell r="AT713">
            <v>29</v>
          </cell>
          <cell r="AU713" t="str">
            <v>بطاقه قوميه</v>
          </cell>
          <cell r="AV713" t="str">
            <v>004296580</v>
          </cell>
          <cell r="BE713" t="str">
            <v>183-0615560-9</v>
          </cell>
          <cell r="BF713" t="str">
            <v>النعمه محمد زين</v>
          </cell>
          <cell r="BG713" t="str">
            <v>العربى</v>
          </cell>
          <cell r="BH713" t="str">
            <v>ام درمان - الواحه شرق</v>
          </cell>
          <cell r="BI713" t="str">
            <v>0111347113</v>
          </cell>
          <cell r="BJ713" t="str">
            <v>الدامر عبدالرحيم عمر</v>
          </cell>
          <cell r="BK713" t="str">
            <v>0111810947</v>
          </cell>
          <cell r="BL713" t="str">
            <v>خالي الطرف</v>
          </cell>
          <cell r="BN713">
            <v>43500</v>
          </cell>
          <cell r="BS713" t="str">
            <v>تربية - لغة انجليزية</v>
          </cell>
          <cell r="BT713" t="str">
            <v>بكلاريوس الشرف</v>
          </cell>
          <cell r="BU713" t="str">
            <v>جامعة الجزيرة</v>
          </cell>
          <cell r="BV713">
            <v>41994</v>
          </cell>
          <cell r="EQ713">
            <v>0</v>
          </cell>
          <cell r="FG713" t="str">
            <v xml:space="preserve"> مدير الانتاج</v>
          </cell>
          <cell r="FH713" t="str">
            <v>هشام عيسى محمد عبدالكريم</v>
          </cell>
          <cell r="FI713" t="str">
            <v>183-0615560-9</v>
          </cell>
        </row>
        <row r="714">
          <cell r="A714">
            <v>1074</v>
          </cell>
          <cell r="B714" t="str">
            <v>جعفر الزاكى عبدالرحيم احمد</v>
          </cell>
          <cell r="C714" t="str">
            <v>جعفر</v>
          </cell>
          <cell r="D714" t="str">
            <v>الزاكى</v>
          </cell>
          <cell r="E714" t="str">
            <v>عبدالرحيم</v>
          </cell>
          <cell r="F714" t="str">
            <v>احمد</v>
          </cell>
          <cell r="G714" t="str">
            <v>المصنع</v>
          </cell>
          <cell r="H714" t="str">
            <v>الانتاج</v>
          </cell>
          <cell r="K714" t="str">
            <v>عامل</v>
          </cell>
          <cell r="L714" t="str">
            <v>عامل</v>
          </cell>
          <cell r="M714">
            <v>43414</v>
          </cell>
          <cell r="O714" t="e">
            <v>#NUM!</v>
          </cell>
          <cell r="P714" t="e">
            <v>#NUM!</v>
          </cell>
          <cell r="R714" t="e">
            <v>#NUM!</v>
          </cell>
          <cell r="Z714">
            <v>31166</v>
          </cell>
          <cell r="AI714" t="str">
            <v>ميلاد</v>
          </cell>
          <cell r="AJ714" t="str">
            <v>112554</v>
          </cell>
          <cell r="AS714">
            <v>43500</v>
          </cell>
          <cell r="AT714">
            <v>33</v>
          </cell>
          <cell r="AU714" t="str">
            <v>بطاقه قوميه</v>
          </cell>
          <cell r="AV714" t="str">
            <v>005839728</v>
          </cell>
          <cell r="AW714">
            <v>8</v>
          </cell>
          <cell r="AX714">
            <v>2</v>
          </cell>
          <cell r="AY714">
            <v>7</v>
          </cell>
          <cell r="AZ714">
            <v>9</v>
          </cell>
          <cell r="BA714">
            <v>3</v>
          </cell>
          <cell r="BB714">
            <v>8</v>
          </cell>
          <cell r="BC714">
            <v>5</v>
          </cell>
          <cell r="BD714">
            <v>0</v>
          </cell>
          <cell r="BE714" t="str">
            <v>120-6691793-7</v>
          </cell>
          <cell r="BF714" t="str">
            <v>قسمة اصفر محمد</v>
          </cell>
          <cell r="BG714" t="str">
            <v>العربى</v>
          </cell>
          <cell r="BH714" t="str">
            <v>الخرطوم - السلمة</v>
          </cell>
          <cell r="BI714" t="str">
            <v>0916969164</v>
          </cell>
          <cell r="BJ714" t="str">
            <v>خالد الفكى</v>
          </cell>
          <cell r="BK714" t="str">
            <v>0991006692</v>
          </cell>
          <cell r="BL714" t="str">
            <v>خالي الطرف</v>
          </cell>
          <cell r="BN714">
            <v>43500</v>
          </cell>
          <cell r="BS714" t="str">
            <v>محاسبة</v>
          </cell>
          <cell r="BT714" t="str">
            <v>بكلاريوس الشرف</v>
          </cell>
          <cell r="BU714" t="str">
            <v>كلية الجزيرة التقنية</v>
          </cell>
          <cell r="BV714">
            <v>42105</v>
          </cell>
          <cell r="EQ714">
            <v>0</v>
          </cell>
          <cell r="FG714" t="str">
            <v xml:space="preserve"> مدير الانتاج</v>
          </cell>
          <cell r="FH714" t="str">
            <v>هشام عيسى محمد عبدالكريم</v>
          </cell>
          <cell r="FI714" t="str">
            <v>120-6691793-7</v>
          </cell>
        </row>
        <row r="715">
          <cell r="A715">
            <v>1075</v>
          </cell>
          <cell r="B715" t="str">
            <v>حسن سليمان محمد نور</v>
          </cell>
          <cell r="C715" t="str">
            <v>حسن</v>
          </cell>
          <cell r="D715" t="str">
            <v>صلاح</v>
          </cell>
          <cell r="E715" t="str">
            <v>سليمان</v>
          </cell>
          <cell r="F715" t="str">
            <v>نور</v>
          </cell>
          <cell r="G715" t="str">
            <v>المصنع</v>
          </cell>
          <cell r="H715" t="str">
            <v>الانتاج</v>
          </cell>
          <cell r="K715" t="str">
            <v>عامل</v>
          </cell>
          <cell r="L715" t="str">
            <v>عامل</v>
          </cell>
          <cell r="M715">
            <v>43414</v>
          </cell>
          <cell r="O715" t="e">
            <v>#NUM!</v>
          </cell>
          <cell r="P715" t="e">
            <v>#NUM!</v>
          </cell>
          <cell r="R715" t="e">
            <v>#NUM!</v>
          </cell>
          <cell r="AS715">
            <v>43500</v>
          </cell>
          <cell r="AT715">
            <v>119</v>
          </cell>
          <cell r="AU715" t="str">
            <v>بطاقه قوميه</v>
          </cell>
          <cell r="AV715" t="str">
            <v>002090176</v>
          </cell>
          <cell r="AW715">
            <v>6</v>
          </cell>
          <cell r="AX715">
            <v>7</v>
          </cell>
          <cell r="AY715">
            <v>1</v>
          </cell>
          <cell r="AZ715">
            <v>0</v>
          </cell>
          <cell r="BA715">
            <v>9</v>
          </cell>
          <cell r="BB715">
            <v>0</v>
          </cell>
          <cell r="BC715">
            <v>2</v>
          </cell>
          <cell r="BD715">
            <v>0</v>
          </cell>
          <cell r="BE715" t="str">
            <v>120-0302380-6</v>
          </cell>
          <cell r="BF715" t="str">
            <v>فاطمه جمال محمد</v>
          </cell>
          <cell r="BG715" t="str">
            <v>الكلاكله</v>
          </cell>
          <cell r="BH715" t="str">
            <v>الكلاكله شرق</v>
          </cell>
          <cell r="BI715" t="str">
            <v>0915022567</v>
          </cell>
          <cell r="BJ715" t="str">
            <v>معتصم صلاح</v>
          </cell>
          <cell r="BK715" t="str">
            <v>0900655673</v>
          </cell>
          <cell r="BL715" t="str">
            <v>خالي الطرف</v>
          </cell>
          <cell r="BN715">
            <v>43500</v>
          </cell>
          <cell r="BS715" t="str">
            <v>التأمين</v>
          </cell>
          <cell r="BT715" t="str">
            <v>دبلوم تقني</v>
          </cell>
          <cell r="BU715" t="str">
            <v>جامعة السودان للعلوم والتكنولوجيا</v>
          </cell>
          <cell r="BV715">
            <v>41900</v>
          </cell>
          <cell r="EQ715">
            <v>0</v>
          </cell>
          <cell r="FG715" t="str">
            <v xml:space="preserve"> مدير الانتاج</v>
          </cell>
          <cell r="FH715" t="str">
            <v>هشام عيسى محمد عبدالكريم</v>
          </cell>
          <cell r="FI715" t="str">
            <v>120-0302380-6</v>
          </cell>
        </row>
        <row r="716">
          <cell r="A716">
            <v>1076</v>
          </cell>
          <cell r="B716" t="str">
            <v>محمد حوى النبى الفضل بابكر</v>
          </cell>
          <cell r="C716" t="str">
            <v>محمد</v>
          </cell>
          <cell r="D716" t="str">
            <v>حوى النبى</v>
          </cell>
          <cell r="E716" t="str">
            <v>الفضل</v>
          </cell>
          <cell r="F716" t="str">
            <v>بابكر</v>
          </cell>
          <cell r="G716" t="str">
            <v>المصنع</v>
          </cell>
          <cell r="H716" t="str">
            <v>الانتاج</v>
          </cell>
          <cell r="K716" t="str">
            <v>عامل</v>
          </cell>
          <cell r="L716" t="str">
            <v>عامل</v>
          </cell>
          <cell r="M716">
            <v>43416</v>
          </cell>
          <cell r="O716" t="e">
            <v>#NUM!</v>
          </cell>
          <cell r="P716" t="e">
            <v>#NUM!</v>
          </cell>
          <cell r="R716" t="e">
            <v>#NUM!</v>
          </cell>
          <cell r="Z716">
            <v>32331</v>
          </cell>
          <cell r="AG716">
            <v>9</v>
          </cell>
          <cell r="AH716">
            <v>1</v>
          </cell>
          <cell r="AI716" t="str">
            <v>ميلاد</v>
          </cell>
          <cell r="AJ716" t="str">
            <v>285864</v>
          </cell>
          <cell r="AS716">
            <v>43500</v>
          </cell>
          <cell r="AT716">
            <v>30</v>
          </cell>
          <cell r="AU716" t="str">
            <v>بطاقه قوميه</v>
          </cell>
          <cell r="AV716" t="str">
            <v>006366711</v>
          </cell>
          <cell r="AW716">
            <v>1</v>
          </cell>
          <cell r="AX716">
            <v>1</v>
          </cell>
          <cell r="AY716">
            <v>7</v>
          </cell>
          <cell r="AZ716">
            <v>6</v>
          </cell>
          <cell r="BA716">
            <v>6</v>
          </cell>
          <cell r="BB716">
            <v>3</v>
          </cell>
          <cell r="BC716">
            <v>6</v>
          </cell>
          <cell r="BD716">
            <v>0</v>
          </cell>
          <cell r="BE716" t="str">
            <v>189-5469629-7</v>
          </cell>
          <cell r="BF716" t="str">
            <v>الصندليه محمد عثمان</v>
          </cell>
          <cell r="BG716" t="str">
            <v>الجزيره</v>
          </cell>
          <cell r="BH716" t="str">
            <v>الجزيرة - الجديد</v>
          </cell>
          <cell r="BI716" t="str">
            <v>0913222124</v>
          </cell>
          <cell r="BJ716" t="str">
            <v>السيد حوى النبى الفضل</v>
          </cell>
          <cell r="BK716" t="str">
            <v>0917376373</v>
          </cell>
          <cell r="BL716" t="str">
            <v>إستثناء</v>
          </cell>
          <cell r="BN716">
            <v>43500</v>
          </cell>
          <cell r="EQ716">
            <v>0</v>
          </cell>
          <cell r="FG716" t="str">
            <v xml:space="preserve"> مدير الانتاج</v>
          </cell>
          <cell r="FH716" t="str">
            <v>هشام عيسى محمد عبدالكريم</v>
          </cell>
          <cell r="FI716" t="str">
            <v>189-5469629-7</v>
          </cell>
        </row>
        <row r="717">
          <cell r="A717">
            <v>1077</v>
          </cell>
          <cell r="B717" t="str">
            <v>عمادالدين بله محمد ادم</v>
          </cell>
          <cell r="C717" t="str">
            <v>عمادالدين</v>
          </cell>
          <cell r="D717" t="str">
            <v>بله</v>
          </cell>
          <cell r="E717" t="str">
            <v>محمد</v>
          </cell>
          <cell r="F717" t="str">
            <v>ادم</v>
          </cell>
          <cell r="G717" t="str">
            <v>التعدين</v>
          </cell>
          <cell r="K717" t="str">
            <v>محاسب</v>
          </cell>
          <cell r="L717" t="str">
            <v>محاسب</v>
          </cell>
          <cell r="M717">
            <v>43435</v>
          </cell>
          <cell r="O717" t="e">
            <v>#NUM!</v>
          </cell>
          <cell r="P717" t="e">
            <v>#NUM!</v>
          </cell>
          <cell r="R717" t="e">
            <v>#NUM!</v>
          </cell>
          <cell r="Z717">
            <v>25508</v>
          </cell>
          <cell r="AG717">
            <v>9</v>
          </cell>
          <cell r="AH717">
            <v>1</v>
          </cell>
          <cell r="AI717" t="str">
            <v>ميلاد</v>
          </cell>
          <cell r="AJ717" t="str">
            <v>61949</v>
          </cell>
          <cell r="AS717">
            <v>43500</v>
          </cell>
          <cell r="AT717">
            <v>49</v>
          </cell>
          <cell r="AU717" t="str">
            <v>بطاقه قوميه</v>
          </cell>
          <cell r="AV717" t="str">
            <v>001927371</v>
          </cell>
          <cell r="AW717">
            <v>1</v>
          </cell>
          <cell r="AX717">
            <v>7</v>
          </cell>
          <cell r="AY717">
            <v>3</v>
          </cell>
          <cell r="AZ717">
            <v>7</v>
          </cell>
          <cell r="BA717">
            <v>2</v>
          </cell>
          <cell r="BB717">
            <v>9</v>
          </cell>
          <cell r="BC717">
            <v>1</v>
          </cell>
          <cell r="BD717">
            <v>0</v>
          </cell>
          <cell r="BE717" t="str">
            <v>115-0100960-4</v>
          </cell>
          <cell r="BF717" t="str">
            <v xml:space="preserve">منى السر </v>
          </cell>
          <cell r="BH717" t="str">
            <v>بحرى - الدروشاب جنوب - م 1</v>
          </cell>
          <cell r="BI717" t="str">
            <v>0908841708</v>
          </cell>
          <cell r="BJ717" t="str">
            <v>امال عثمان محمد</v>
          </cell>
          <cell r="BL717" t="str">
            <v>كبار سن</v>
          </cell>
          <cell r="BN717">
            <v>43500</v>
          </cell>
          <cell r="BT717" t="str">
            <v>شهاده ثانويه</v>
          </cell>
          <cell r="BV717">
            <v>32203</v>
          </cell>
          <cell r="BW717" t="str">
            <v>برنامج الصيارفة</v>
          </cell>
          <cell r="BX717" t="str">
            <v>شهاده كورس</v>
          </cell>
          <cell r="BY717" t="str">
            <v>بنك البركة السودانى</v>
          </cell>
          <cell r="BZ717">
            <v>37455</v>
          </cell>
          <cell r="CA717" t="str">
            <v>الصراف الشامل وخدمة العملاء</v>
          </cell>
          <cell r="CB717" t="str">
            <v>شهاده كورس</v>
          </cell>
          <cell r="CC717" t="str">
            <v>بنك البركة السودانى</v>
          </cell>
          <cell r="CD717">
            <v>38185</v>
          </cell>
          <cell r="CQ717" t="str">
            <v>البنك الزراعى السودانى</v>
          </cell>
          <cell r="CR717" t="str">
            <v>محاسب</v>
          </cell>
          <cell r="CS717">
            <v>33794</v>
          </cell>
          <cell r="CT717">
            <v>36830</v>
          </cell>
          <cell r="CV717" t="str">
            <v>بنك البركة السودانى</v>
          </cell>
          <cell r="CX717">
            <v>37366</v>
          </cell>
          <cell r="CY717">
            <v>38209</v>
          </cell>
          <cell r="EQ717">
            <v>0</v>
          </cell>
          <cell r="FG717" t="e">
            <v>#N/A</v>
          </cell>
          <cell r="FH717" t="e">
            <v>#N/A</v>
          </cell>
          <cell r="FI717" t="str">
            <v>115-0100960-4</v>
          </cell>
        </row>
        <row r="718">
          <cell r="A718">
            <v>1078</v>
          </cell>
          <cell r="B718" t="str">
            <v>تقوى إدريس كورى تيه</v>
          </cell>
          <cell r="C718" t="str">
            <v>تقوى</v>
          </cell>
          <cell r="D718" t="str">
            <v>إدريس</v>
          </cell>
          <cell r="E718" t="str">
            <v>كورى</v>
          </cell>
          <cell r="F718" t="str">
            <v>تيه</v>
          </cell>
          <cell r="G718" t="str">
            <v>السودانى الايطالى</v>
          </cell>
          <cell r="K718" t="str">
            <v>عامل</v>
          </cell>
          <cell r="L718" t="str">
            <v>عامل</v>
          </cell>
          <cell r="M718">
            <v>43408</v>
          </cell>
          <cell r="O718" t="e">
            <v>#NUM!</v>
          </cell>
          <cell r="P718" t="e">
            <v>#NUM!</v>
          </cell>
          <cell r="R718" t="e">
            <v>#NUM!</v>
          </cell>
          <cell r="Z718">
            <v>33604</v>
          </cell>
          <cell r="AI718" t="str">
            <v>تسنين</v>
          </cell>
          <cell r="AJ718" t="str">
            <v>3137174</v>
          </cell>
          <cell r="AS718">
            <v>43500</v>
          </cell>
          <cell r="AT718">
            <v>27</v>
          </cell>
          <cell r="AU718" t="str">
            <v>بطاقه قوميه</v>
          </cell>
          <cell r="AV718" t="str">
            <v>005665486</v>
          </cell>
          <cell r="AW718">
            <v>6</v>
          </cell>
          <cell r="AX718">
            <v>8</v>
          </cell>
          <cell r="AY718">
            <v>4</v>
          </cell>
          <cell r="AZ718">
            <v>5</v>
          </cell>
          <cell r="BA718">
            <v>6</v>
          </cell>
          <cell r="BB718">
            <v>6</v>
          </cell>
          <cell r="BC718">
            <v>5</v>
          </cell>
          <cell r="BD718">
            <v>0</v>
          </cell>
          <cell r="BE718" t="str">
            <v>120-5480974-3</v>
          </cell>
          <cell r="BF718" t="str">
            <v>زهره خميس بلال</v>
          </cell>
          <cell r="BH718" t="str">
            <v>الخرطوم - مايو</v>
          </cell>
          <cell r="BI718" t="str">
            <v>0999778295</v>
          </cell>
          <cell r="BJ718" t="str">
            <v>كورى إدريس تيه</v>
          </cell>
          <cell r="BK718" t="str">
            <v>0922045913</v>
          </cell>
          <cell r="BL718" t="str">
            <v>خاضع للخدمه</v>
          </cell>
          <cell r="BN718">
            <v>43500</v>
          </cell>
          <cell r="EQ718">
            <v>0</v>
          </cell>
          <cell r="FG718" t="e">
            <v>#N/A</v>
          </cell>
          <cell r="FH718" t="e">
            <v>#N/A</v>
          </cell>
          <cell r="FI718" t="str">
            <v>120-5480974-3</v>
          </cell>
        </row>
        <row r="719">
          <cell r="A719">
            <v>1079</v>
          </cell>
          <cell r="B719" t="str">
            <v>سامى عبدالله ادم محمد</v>
          </cell>
          <cell r="C719" t="str">
            <v>سامى</v>
          </cell>
          <cell r="D719" t="str">
            <v>عبدالله</v>
          </cell>
          <cell r="E719" t="str">
            <v>ادم</v>
          </cell>
          <cell r="F719" t="str">
            <v>محمد</v>
          </cell>
          <cell r="G719" t="str">
            <v>المصنع</v>
          </cell>
          <cell r="H719" t="str">
            <v>الانتاج</v>
          </cell>
          <cell r="K719" t="str">
            <v>حداد</v>
          </cell>
          <cell r="L719" t="str">
            <v>حداد</v>
          </cell>
          <cell r="M719">
            <v>43435</v>
          </cell>
          <cell r="O719" t="e">
            <v>#NUM!</v>
          </cell>
          <cell r="P719" t="e">
            <v>#NUM!</v>
          </cell>
          <cell r="R719" t="e">
            <v>#NUM!</v>
          </cell>
          <cell r="Z719">
            <v>30682</v>
          </cell>
          <cell r="AI719" t="str">
            <v>تسنين</v>
          </cell>
          <cell r="AJ719" t="str">
            <v>1578073</v>
          </cell>
          <cell r="AS719">
            <v>43500</v>
          </cell>
          <cell r="AT719">
            <v>35</v>
          </cell>
          <cell r="AU719" t="str">
            <v>بطاقه قوميه</v>
          </cell>
          <cell r="AV719" t="str">
            <v>003280441</v>
          </cell>
          <cell r="AW719">
            <v>1</v>
          </cell>
          <cell r="AX719">
            <v>4</v>
          </cell>
          <cell r="AY719">
            <v>4</v>
          </cell>
          <cell r="AZ719">
            <v>0</v>
          </cell>
          <cell r="BA719">
            <v>8</v>
          </cell>
          <cell r="BB719">
            <v>2</v>
          </cell>
          <cell r="BC719">
            <v>3</v>
          </cell>
          <cell r="BD719">
            <v>0</v>
          </cell>
          <cell r="BE719" t="str">
            <v>190-1577964-8</v>
          </cell>
          <cell r="BF719" t="str">
            <v>بلقيس عثمان محمد</v>
          </cell>
          <cell r="BG719" t="str">
            <v>العربى</v>
          </cell>
          <cell r="BH719" t="str">
            <v>ام درمان - طيبه الحسناب</v>
          </cell>
          <cell r="BI719" t="str">
            <v>0920804564</v>
          </cell>
          <cell r="BJ719" t="str">
            <v>على عبدالله ادم</v>
          </cell>
          <cell r="BK719" t="str">
            <v>0121371225</v>
          </cell>
          <cell r="BL719" t="str">
            <v>خالي الطرف</v>
          </cell>
          <cell r="BN719">
            <v>43500</v>
          </cell>
          <cell r="BS719" t="str">
            <v>لحام وتوضيب</v>
          </cell>
          <cell r="BT719" t="str">
            <v>تدريب مهني</v>
          </cell>
          <cell r="BU719" t="str">
            <v xml:space="preserve">المجلس الاعلى للتدريب المهنى </v>
          </cell>
          <cell r="BV719">
            <v>41966</v>
          </cell>
          <cell r="CQ719" t="str">
            <v>شركة المصنع السودانى الماليزى</v>
          </cell>
          <cell r="CR719" t="str">
            <v>حداد</v>
          </cell>
          <cell r="CS719">
            <v>42386</v>
          </cell>
          <cell r="CT719">
            <v>42765</v>
          </cell>
          <cell r="CV719" t="str">
            <v>ليدر تكنولوجى للمنتجات الهندسية المحدودة</v>
          </cell>
          <cell r="CW719" t="str">
            <v>حداد</v>
          </cell>
          <cell r="CX719">
            <v>42826</v>
          </cell>
          <cell r="CY719">
            <v>43429</v>
          </cell>
          <cell r="EQ719">
            <v>0</v>
          </cell>
          <cell r="FG719" t="str">
            <v xml:space="preserve"> مدير الانتاج</v>
          </cell>
          <cell r="FH719" t="str">
            <v>هشام عيسى محمد عبدالكريم</v>
          </cell>
          <cell r="FI719" t="str">
            <v>190-1577964-8</v>
          </cell>
        </row>
        <row r="720">
          <cell r="A720">
            <v>1080</v>
          </cell>
          <cell r="B720" t="str">
            <v>ناجى عبدالله محمد على صالح</v>
          </cell>
          <cell r="C720" t="str">
            <v>ناجى</v>
          </cell>
          <cell r="D720" t="str">
            <v>عبدالله</v>
          </cell>
          <cell r="E720" t="str">
            <v>محمد على</v>
          </cell>
          <cell r="F720" t="str">
            <v>صالح</v>
          </cell>
          <cell r="G720" t="str">
            <v>المصنع</v>
          </cell>
          <cell r="H720" t="str">
            <v>الانتاج</v>
          </cell>
          <cell r="K720" t="str">
            <v>عامل</v>
          </cell>
          <cell r="L720" t="str">
            <v>عامل</v>
          </cell>
          <cell r="M720">
            <v>43444</v>
          </cell>
          <cell r="O720" t="e">
            <v>#NUM!</v>
          </cell>
          <cell r="P720" t="e">
            <v>#NUM!</v>
          </cell>
          <cell r="R720" t="e">
            <v>#NUM!</v>
          </cell>
          <cell r="AS720">
            <v>43500</v>
          </cell>
          <cell r="AT720">
            <v>119</v>
          </cell>
          <cell r="AU720" t="str">
            <v>بطاقه قوميه</v>
          </cell>
          <cell r="AV720" t="str">
            <v>003355550</v>
          </cell>
          <cell r="AW720">
            <v>0</v>
          </cell>
          <cell r="AX720">
            <v>5</v>
          </cell>
          <cell r="AY720">
            <v>5</v>
          </cell>
          <cell r="AZ720">
            <v>5</v>
          </cell>
          <cell r="BA720">
            <v>5</v>
          </cell>
          <cell r="BB720">
            <v>3</v>
          </cell>
          <cell r="BC720">
            <v>3</v>
          </cell>
          <cell r="BD720">
            <v>0</v>
          </cell>
          <cell r="BE720" t="str">
            <v>112-7308124-9</v>
          </cell>
          <cell r="BF720" t="str">
            <v>سعاد احمد عباس</v>
          </cell>
          <cell r="BG720" t="str">
            <v>العربى</v>
          </cell>
          <cell r="BH720" t="str">
            <v>سوبا شرق</v>
          </cell>
          <cell r="BI720" t="str">
            <v>0127332530</v>
          </cell>
          <cell r="BJ720" t="str">
            <v>احمد عبدالله</v>
          </cell>
          <cell r="BK720" t="str">
            <v>0121207985</v>
          </cell>
          <cell r="BL720" t="str">
            <v>خالي الطرف</v>
          </cell>
          <cell r="BN720">
            <v>43500</v>
          </cell>
          <cell r="CQ720" t="str">
            <v>الهيئة الفرعية لنظافة محلية شرق النيل</v>
          </cell>
          <cell r="CR720" t="str">
            <v>متحصل</v>
          </cell>
          <cell r="CS720">
            <v>41799</v>
          </cell>
          <cell r="CT720">
            <v>43388</v>
          </cell>
          <cell r="EQ720">
            <v>0</v>
          </cell>
          <cell r="FG720" t="str">
            <v xml:space="preserve"> مدير الانتاج</v>
          </cell>
          <cell r="FH720" t="str">
            <v>هشام عيسى محمد عبدالكريم</v>
          </cell>
          <cell r="FI720" t="str">
            <v>112-7308124-9</v>
          </cell>
        </row>
        <row r="721">
          <cell r="A721">
            <v>1081</v>
          </cell>
          <cell r="B721" t="str">
            <v>نعمات عبدالرحيم محمد عثمان عبدالعزيز</v>
          </cell>
          <cell r="C721" t="str">
            <v>نعمات</v>
          </cell>
          <cell r="D721" t="str">
            <v>عبدالرحيم</v>
          </cell>
          <cell r="E721" t="str">
            <v>محمد عثمان</v>
          </cell>
          <cell r="F721" t="str">
            <v>عبدالعزيز</v>
          </cell>
          <cell r="G721" t="str">
            <v>السودانى الايطالى</v>
          </cell>
          <cell r="K721" t="str">
            <v>سكرتيرة</v>
          </cell>
          <cell r="L721" t="str">
            <v>سكرتيرة</v>
          </cell>
          <cell r="M721">
            <v>43435</v>
          </cell>
          <cell r="O721" t="e">
            <v>#NUM!</v>
          </cell>
          <cell r="P721" t="e">
            <v>#NUM!</v>
          </cell>
          <cell r="R721" t="e">
            <v>#NUM!</v>
          </cell>
          <cell r="Z721">
            <v>32386</v>
          </cell>
          <cell r="AI721" t="str">
            <v>ميلاد بالخارج</v>
          </cell>
          <cell r="AJ721" t="str">
            <v>981</v>
          </cell>
          <cell r="AS721">
            <v>43500</v>
          </cell>
          <cell r="AT721">
            <v>30</v>
          </cell>
          <cell r="AU721" t="str">
            <v>بطاقه قوميه</v>
          </cell>
          <cell r="AV721" t="str">
            <v>006173838</v>
          </cell>
          <cell r="AW721">
            <v>8</v>
          </cell>
          <cell r="AX721">
            <v>3</v>
          </cell>
          <cell r="AY721">
            <v>8</v>
          </cell>
          <cell r="AZ721">
            <v>3</v>
          </cell>
          <cell r="BA721">
            <v>7</v>
          </cell>
          <cell r="BB721">
            <v>1</v>
          </cell>
          <cell r="BC721">
            <v>6</v>
          </cell>
          <cell r="BD721">
            <v>0</v>
          </cell>
          <cell r="BE721" t="str">
            <v>120-5230534-6</v>
          </cell>
          <cell r="BF721" t="str">
            <v>بدريه الطاهر إبراهيم</v>
          </cell>
          <cell r="BH721" t="str">
            <v>جبره - م 15</v>
          </cell>
          <cell r="BI721" t="str">
            <v>0908361956</v>
          </cell>
          <cell r="BJ721" t="str">
            <v>محمد عثمان عبدالرحيم</v>
          </cell>
          <cell r="BK721" t="str">
            <v>0927676551</v>
          </cell>
          <cell r="BL721" t="str">
            <v>خاضع للخدمه</v>
          </cell>
          <cell r="BN721">
            <v>43500</v>
          </cell>
          <cell r="BT721" t="str">
            <v>شهاده ثانويه</v>
          </cell>
          <cell r="BU721" t="str">
            <v>وزارة التربية والتعليم</v>
          </cell>
          <cell r="BV721">
            <v>38777</v>
          </cell>
          <cell r="BW721" t="str">
            <v>حاسوب</v>
          </cell>
          <cell r="BX721" t="str">
            <v>دبلوم (معاهد)</v>
          </cell>
          <cell r="BY721" t="str">
            <v>مركز بي سي قيت لتدريب الكمبيوتر واللغات</v>
          </cell>
          <cell r="BZ721">
            <v>43205</v>
          </cell>
          <cell r="EQ721">
            <v>0</v>
          </cell>
          <cell r="FG721" t="e">
            <v>#N/A</v>
          </cell>
          <cell r="FH721" t="e">
            <v>#N/A</v>
          </cell>
          <cell r="FI721" t="str">
            <v>120-5230534-6</v>
          </cell>
        </row>
        <row r="722">
          <cell r="A722">
            <v>1082</v>
          </cell>
          <cell r="B722" t="str">
            <v>احمد عبدالوهاب صالح داؤود</v>
          </cell>
          <cell r="C722" t="str">
            <v>احمد</v>
          </cell>
          <cell r="D722" t="str">
            <v>عبدالوهاب</v>
          </cell>
          <cell r="E722" t="str">
            <v>صالح</v>
          </cell>
          <cell r="F722" t="str">
            <v>داؤود</v>
          </cell>
          <cell r="G722" t="str">
            <v>الرئاسه</v>
          </cell>
          <cell r="H722" t="str">
            <v>الماليه</v>
          </cell>
          <cell r="K722" t="str">
            <v>محاسب</v>
          </cell>
          <cell r="L722" t="str">
            <v>محاسب</v>
          </cell>
          <cell r="M722">
            <v>43444</v>
          </cell>
          <cell r="O722" t="e">
            <v>#NUM!</v>
          </cell>
          <cell r="P722" t="e">
            <v>#NUM!</v>
          </cell>
          <cell r="R722" t="e">
            <v>#NUM!</v>
          </cell>
          <cell r="AS722">
            <v>43500</v>
          </cell>
          <cell r="AT722">
            <v>119</v>
          </cell>
          <cell r="BH722" t="str">
            <v>الصحافه - م 34</v>
          </cell>
          <cell r="BI722" t="str">
            <v>0912743103</v>
          </cell>
          <cell r="BJ722" t="str">
            <v>محمد عبدالوهاب صالح</v>
          </cell>
          <cell r="BK722" t="str">
            <v>0912231664</v>
          </cell>
          <cell r="BL722" t="str">
            <v>خالي الطرف</v>
          </cell>
          <cell r="BN722">
            <v>43500</v>
          </cell>
          <cell r="BS722" t="str">
            <v>الدراسات المصرفية والمالية</v>
          </cell>
          <cell r="BT722" t="str">
            <v>بكلاريوس</v>
          </cell>
          <cell r="BU722" t="str">
            <v>اكاديمية السودان للعلوم المصرفية والمالية</v>
          </cell>
          <cell r="BV722">
            <v>41547</v>
          </cell>
          <cell r="BW722" t="str">
            <v>لغة انجليزية</v>
          </cell>
          <cell r="BX722" t="str">
            <v>شهاده كورس</v>
          </cell>
          <cell r="BY722" t="str">
            <v>جامعة الخرطوم</v>
          </cell>
          <cell r="BZ722">
            <v>41808</v>
          </cell>
          <cell r="CA722" t="str">
            <v>محاسبة الكترونية</v>
          </cell>
          <cell r="CB722" t="str">
            <v>دبلوم (معاهد)</v>
          </cell>
          <cell r="CC722" t="str">
            <v>اكاديمية سوداتل للاتصالات</v>
          </cell>
          <cell r="CD722">
            <v>42369</v>
          </cell>
          <cell r="CQ722" t="str">
            <v>شركة ويتا الصناعية المحدودة</v>
          </cell>
          <cell r="CR722" t="str">
            <v>محاسب</v>
          </cell>
          <cell r="CS722">
            <v>41854</v>
          </cell>
          <cell r="CT722">
            <v>42218</v>
          </cell>
          <cell r="CV722" t="str">
            <v>وزارة الزراعة والثروة الحيوانية مشروع السليت الزراعى</v>
          </cell>
          <cell r="CW722" t="str">
            <v>محاسب</v>
          </cell>
          <cell r="CX722">
            <v>41335</v>
          </cell>
          <cell r="CY722">
            <v>41699</v>
          </cell>
          <cell r="EQ722">
            <v>0</v>
          </cell>
          <cell r="FG722" t="str">
            <v>المدير المالي</v>
          </cell>
          <cell r="FH722" t="str">
            <v>بالانابه</v>
          </cell>
          <cell r="FI722">
            <v>0</v>
          </cell>
        </row>
        <row r="723">
          <cell r="A723">
            <v>1083</v>
          </cell>
          <cell r="B723" t="str">
            <v>عبدالرحمن ابراهيم سنهورى الامين</v>
          </cell>
          <cell r="C723" t="str">
            <v>عبدالرحمن</v>
          </cell>
          <cell r="D723" t="str">
            <v>ابراهيم</v>
          </cell>
          <cell r="E723" t="str">
            <v>سنهورى</v>
          </cell>
          <cell r="F723" t="str">
            <v>الامين</v>
          </cell>
          <cell r="G723" t="str">
            <v>السودانى الايطالى</v>
          </cell>
          <cell r="H723" t="str">
            <v>الماليه</v>
          </cell>
          <cell r="K723" t="str">
            <v>مدير مالى</v>
          </cell>
          <cell r="L723" t="str">
            <v>مديرمالى</v>
          </cell>
          <cell r="M723">
            <v>43435</v>
          </cell>
          <cell r="O723" t="e">
            <v>#NUM!</v>
          </cell>
          <cell r="P723" t="e">
            <v>#NUM!</v>
          </cell>
          <cell r="R723" t="e">
            <v>#NUM!</v>
          </cell>
          <cell r="Z723">
            <v>23109</v>
          </cell>
          <cell r="AS723">
            <v>43500</v>
          </cell>
          <cell r="AT723">
            <v>55</v>
          </cell>
          <cell r="AU723" t="str">
            <v>بطاقه قوميه</v>
          </cell>
          <cell r="AV723" t="str">
            <v>06033566</v>
          </cell>
          <cell r="AW723">
            <v>6</v>
          </cell>
          <cell r="AX723">
            <v>6</v>
          </cell>
          <cell r="AY723">
            <v>5</v>
          </cell>
          <cell r="AZ723">
            <v>3</v>
          </cell>
          <cell r="BA723">
            <v>3</v>
          </cell>
          <cell r="BB723">
            <v>0</v>
          </cell>
          <cell r="BC723">
            <v>6</v>
          </cell>
          <cell r="BD723">
            <v>0</v>
          </cell>
          <cell r="BE723" t="str">
            <v>114-2682166-2</v>
          </cell>
          <cell r="BH723" t="str">
            <v>ام درمان - المهندسين - م 28 منزل 177</v>
          </cell>
          <cell r="BI723" t="str">
            <v>0901230083</v>
          </cell>
          <cell r="BJ723" t="str">
            <v>انور حمد حامد</v>
          </cell>
          <cell r="BL723" t="str">
            <v>كبار سن</v>
          </cell>
          <cell r="BN723">
            <v>43500</v>
          </cell>
          <cell r="BS723" t="str">
            <v>محاسبة مالية</v>
          </cell>
          <cell r="BT723" t="str">
            <v>دبلوم (معاهد)</v>
          </cell>
          <cell r="BU723" t="str">
            <v>المعهد الفنى التجارى الاسكندرية</v>
          </cell>
          <cell r="BV723">
            <v>31678</v>
          </cell>
          <cell r="BW723" t="str">
            <v>قيادة فرق البيع</v>
          </cell>
          <cell r="BX723" t="str">
            <v>شهاده دورة تدريب</v>
          </cell>
          <cell r="BY723" t="str">
            <v>شركة الإستشارات التسويقية والإدارة</v>
          </cell>
          <cell r="BZ723">
            <v>40014</v>
          </cell>
          <cell r="CA723" t="str">
            <v>حاسوب</v>
          </cell>
          <cell r="CB723" t="str">
            <v>دبلوم (معاهد)</v>
          </cell>
          <cell r="CC723" t="str">
            <v>معاهد لبرانزا لعلوم الكمبيوتر واللغات</v>
          </cell>
          <cell r="CD723">
            <v>41070</v>
          </cell>
          <cell r="CE723" t="str">
            <v>تسويق</v>
          </cell>
          <cell r="CF723" t="str">
            <v>شهاده كورس</v>
          </cell>
          <cell r="CG723" t="str">
            <v>Better Life Center</v>
          </cell>
          <cell r="CH723">
            <v>39891</v>
          </cell>
          <cell r="CQ723" t="str">
            <v>دولتى وشركاه محاسبون ومراجعون قانونيون</v>
          </cell>
          <cell r="CR723" t="str">
            <v>مراجع حسابات</v>
          </cell>
          <cell r="CS723">
            <v>31778</v>
          </cell>
          <cell r="CT723">
            <v>32508</v>
          </cell>
          <cell r="CV723" t="str">
            <v>مجموعة شركات محجوب اولاد التجارية المحدودة</v>
          </cell>
          <cell r="CW723" t="str">
            <v>رئيس حسابات - مدير مكتب</v>
          </cell>
          <cell r="CX723">
            <v>32874</v>
          </cell>
          <cell r="CY723">
            <v>34700</v>
          </cell>
          <cell r="DA723" t="str">
            <v>شركة ابوالشاذلى التجارية الصناعية المحدودة</v>
          </cell>
          <cell r="DB723" t="str">
            <v>مدير مبيعات</v>
          </cell>
          <cell r="DC723">
            <v>35217</v>
          </cell>
          <cell r="DD723">
            <v>37012</v>
          </cell>
          <cell r="DF723" t="str">
            <v>شركة هليوبوليس للتنمية المحدودة</v>
          </cell>
          <cell r="DG723" t="str">
            <v>مسئول مبيعات</v>
          </cell>
          <cell r="DH723">
            <v>38718</v>
          </cell>
          <cell r="DI723">
            <v>39234</v>
          </cell>
          <cell r="EQ723">
            <v>0</v>
          </cell>
          <cell r="FG723" t="str">
            <v>المدير المالي</v>
          </cell>
          <cell r="FH723" t="str">
            <v>بالانابه</v>
          </cell>
          <cell r="FI723" t="str">
            <v>114-2682166-2</v>
          </cell>
        </row>
        <row r="724">
          <cell r="A724">
            <v>1084</v>
          </cell>
          <cell r="B724" t="str">
            <v>مدثر عوض الكريم محمد احمد</v>
          </cell>
          <cell r="G724" t="str">
            <v>المصنع</v>
          </cell>
          <cell r="H724" t="str">
            <v>الانتاج</v>
          </cell>
          <cell r="K724" t="str">
            <v>عامل</v>
          </cell>
          <cell r="L724" t="str">
            <v>عامل</v>
          </cell>
          <cell r="M724">
            <v>43484</v>
          </cell>
          <cell r="O724" t="e">
            <v>#NUM!</v>
          </cell>
          <cell r="P724" t="e">
            <v>#NUM!</v>
          </cell>
          <cell r="R724" t="e">
            <v>#NUM!</v>
          </cell>
          <cell r="Z724">
            <v>32405</v>
          </cell>
          <cell r="AI724" t="str">
            <v>ميلاد</v>
          </cell>
          <cell r="AJ724" t="str">
            <v>283221</v>
          </cell>
          <cell r="AS724">
            <v>43500</v>
          </cell>
          <cell r="AT724">
            <v>30</v>
          </cell>
          <cell r="BE724" t="str">
            <v>120-5647771-5</v>
          </cell>
          <cell r="BF724" t="str">
            <v>نجاه محمد الشيخ</v>
          </cell>
          <cell r="BH724" t="str">
            <v>الحاج يوسف - المايقوما</v>
          </cell>
          <cell r="BI724" t="str">
            <v>0911212632</v>
          </cell>
          <cell r="BJ724" t="str">
            <v>عوض الكريم محمد</v>
          </cell>
          <cell r="BK724" t="str">
            <v>0128408981</v>
          </cell>
          <cell r="BL724" t="str">
            <v>إستثناء</v>
          </cell>
          <cell r="BN724">
            <v>43500</v>
          </cell>
          <cell r="BT724" t="str">
            <v>شهاده ثانويه</v>
          </cell>
          <cell r="BV724">
            <v>38047</v>
          </cell>
          <cell r="EQ724">
            <v>0</v>
          </cell>
          <cell r="FG724" t="str">
            <v xml:space="preserve"> مدير الانتاج</v>
          </cell>
          <cell r="FH724" t="str">
            <v>هشام عيسى محمد عبدالكريم</v>
          </cell>
          <cell r="FI724" t="str">
            <v>120-5647771-5</v>
          </cell>
        </row>
        <row r="725">
          <cell r="A725">
            <v>6001</v>
          </cell>
          <cell r="B725" t="str">
            <v>محمد الساير فضالى الحلو</v>
          </cell>
          <cell r="C725" t="str">
            <v>محمد</v>
          </cell>
          <cell r="D725" t="str">
            <v>الساير</v>
          </cell>
          <cell r="E725" t="str">
            <v>فضالى</v>
          </cell>
          <cell r="F725" t="str">
            <v>الحلو</v>
          </cell>
          <cell r="G725" t="str">
            <v>السودانى الايطالى</v>
          </cell>
          <cell r="H725" t="str">
            <v>الامن و الحركه</v>
          </cell>
          <cell r="I725" t="str">
            <v>الامن</v>
          </cell>
          <cell r="L725" t="str">
            <v>خفير</v>
          </cell>
          <cell r="M725">
            <v>41105</v>
          </cell>
          <cell r="N725">
            <v>43500</v>
          </cell>
          <cell r="O725">
            <v>6</v>
          </cell>
          <cell r="P725">
            <v>6</v>
          </cell>
          <cell r="R725">
            <v>195</v>
          </cell>
          <cell r="AG725">
            <v>9</v>
          </cell>
          <cell r="AH725">
            <v>1</v>
          </cell>
          <cell r="AS725">
            <v>43500</v>
          </cell>
          <cell r="AT725">
            <v>119</v>
          </cell>
          <cell r="BN725">
            <v>43500</v>
          </cell>
          <cell r="EL725">
            <v>30</v>
          </cell>
          <cell r="EQ725">
            <v>30</v>
          </cell>
          <cell r="FG725" t="str">
            <v>مدير الامن و الحركه</v>
          </cell>
          <cell r="FH725" t="str">
            <v>فارس حمدان عبدالله فارس</v>
          </cell>
          <cell r="FI725">
            <v>0</v>
          </cell>
        </row>
        <row r="726">
          <cell r="A726">
            <v>6002</v>
          </cell>
          <cell r="B726" t="str">
            <v>معتز الرشيد خشم الموس احمد</v>
          </cell>
          <cell r="C726" t="str">
            <v>معتز</v>
          </cell>
          <cell r="D726" t="str">
            <v>الرشيد</v>
          </cell>
          <cell r="E726" t="str">
            <v>خشم الموس</v>
          </cell>
          <cell r="F726" t="str">
            <v>احمد</v>
          </cell>
          <cell r="G726" t="str">
            <v>السودانى الايطالى</v>
          </cell>
          <cell r="H726" t="str">
            <v>الاداره</v>
          </cell>
          <cell r="L726" t="str">
            <v>مدير السودانى الايطالى</v>
          </cell>
          <cell r="M726">
            <v>41760</v>
          </cell>
          <cell r="N726">
            <v>43500</v>
          </cell>
          <cell r="O726">
            <v>4</v>
          </cell>
          <cell r="P726">
            <v>9</v>
          </cell>
          <cell r="R726">
            <v>142.5</v>
          </cell>
          <cell r="Z726">
            <v>27116</v>
          </cell>
          <cell r="AG726">
            <v>9</v>
          </cell>
          <cell r="AH726">
            <v>1</v>
          </cell>
          <cell r="AI726" t="str">
            <v>ميلاد</v>
          </cell>
          <cell r="AJ726" t="str">
            <v>0479729</v>
          </cell>
          <cell r="AS726">
            <v>43500</v>
          </cell>
          <cell r="AT726">
            <v>44</v>
          </cell>
          <cell r="AU726" t="str">
            <v>جواز سفر</v>
          </cell>
          <cell r="AV726" t="str">
            <v>03180677</v>
          </cell>
          <cell r="AW726">
            <v>7</v>
          </cell>
          <cell r="AX726">
            <v>7</v>
          </cell>
          <cell r="AY726">
            <v>6</v>
          </cell>
          <cell r="AZ726">
            <v>0</v>
          </cell>
          <cell r="BA726">
            <v>8</v>
          </cell>
          <cell r="BB726">
            <v>1</v>
          </cell>
          <cell r="BC726">
            <v>3</v>
          </cell>
          <cell r="BD726">
            <v>0</v>
          </cell>
          <cell r="BE726" t="str">
            <v>120-8113567-8</v>
          </cell>
          <cell r="BF726" t="str">
            <v>حياة عبد الرحيم</v>
          </cell>
          <cell r="BG726" t="str">
            <v>خاص</v>
          </cell>
          <cell r="BH726" t="str">
            <v>جبره - م 16 - منزل 396</v>
          </cell>
          <cell r="BI726" t="str">
            <v>0912985488</v>
          </cell>
          <cell r="BJ726" t="str">
            <v>المعز الرشيد خشم الموس</v>
          </cell>
          <cell r="BK726" t="str">
            <v>0912224004</v>
          </cell>
          <cell r="BL726" t="str">
            <v>خالي الطرف</v>
          </cell>
          <cell r="BN726">
            <v>43500</v>
          </cell>
          <cell r="BS726" t="str">
            <v>هندسة زراعة</v>
          </cell>
          <cell r="BT726" t="str">
            <v>بكلاريوس الشرف</v>
          </cell>
          <cell r="BU726" t="str">
            <v>جامعة الجزيرة</v>
          </cell>
          <cell r="BV726">
            <v>36422</v>
          </cell>
          <cell r="CQ726" t="str">
            <v>شركة الجداول للتنمية الزراعية المحدودة</v>
          </cell>
          <cell r="CR726" t="str">
            <v>مدير الادارة الفنية</v>
          </cell>
          <cell r="CS726">
            <v>39403</v>
          </cell>
          <cell r="CT726">
            <v>40485</v>
          </cell>
          <cell r="CV726" t="str">
            <v>شركة موسكافى فارما للتنمية والاستثمار</v>
          </cell>
          <cell r="CW726" t="str">
            <v>مدير فنى</v>
          </cell>
          <cell r="CX726">
            <v>40313</v>
          </cell>
          <cell r="CY726">
            <v>41039</v>
          </cell>
          <cell r="DA726" t="str">
            <v>شركة الفتوح للاستثمار والتجارة والخدمات</v>
          </cell>
          <cell r="DB726" t="str">
            <v>مهندس زراعى</v>
          </cell>
          <cell r="DC726">
            <v>37408</v>
          </cell>
          <cell r="DD726">
            <v>37884</v>
          </cell>
          <cell r="EQ726">
            <v>0</v>
          </cell>
          <cell r="FG726" t="str">
            <v>المدير الادارى</v>
          </cell>
          <cell r="FH726" t="str">
            <v>احمد عبدالرحيم ابوبكر محمد</v>
          </cell>
          <cell r="FI726" t="str">
            <v>120-8113567-8</v>
          </cell>
        </row>
        <row r="727">
          <cell r="A727">
            <v>6003</v>
          </cell>
          <cell r="B727" t="str">
            <v>بشريه حسن بخيت</v>
          </cell>
          <cell r="C727" t="str">
            <v>بشريه</v>
          </cell>
          <cell r="D727" t="str">
            <v>حسن</v>
          </cell>
          <cell r="E727" t="str">
            <v>بخيت</v>
          </cell>
          <cell r="G727" t="str">
            <v>السودانى الايطالى</v>
          </cell>
          <cell r="H727" t="str">
            <v>الاداره</v>
          </cell>
          <cell r="M727">
            <v>41953</v>
          </cell>
          <cell r="N727">
            <v>42705</v>
          </cell>
          <cell r="O727">
            <v>2</v>
          </cell>
          <cell r="P727">
            <v>0</v>
          </cell>
          <cell r="R727">
            <v>60</v>
          </cell>
          <cell r="T727" t="str">
            <v>إستقال</v>
          </cell>
          <cell r="U727">
            <v>42709</v>
          </cell>
          <cell r="V727">
            <v>42705</v>
          </cell>
          <cell r="Z727">
            <v>31899</v>
          </cell>
          <cell r="AG727">
            <v>9</v>
          </cell>
          <cell r="AH727">
            <v>1</v>
          </cell>
          <cell r="AS727">
            <v>43500</v>
          </cell>
          <cell r="AT727">
            <v>31</v>
          </cell>
          <cell r="BE727" t="str">
            <v>183-0363681-9</v>
          </cell>
          <cell r="BF727" t="str">
            <v>مهديه ابشر عمر</v>
          </cell>
          <cell r="BH727" t="str">
            <v>امدرمان - المهندسين</v>
          </cell>
          <cell r="BI727" t="str">
            <v>0914528904</v>
          </cell>
          <cell r="BJ727" t="str">
            <v>رفيده حسن</v>
          </cell>
          <cell r="BL727" t="str">
            <v>خالي الطرف</v>
          </cell>
          <cell r="BN727">
            <v>43500</v>
          </cell>
          <cell r="BS727" t="str">
            <v>إنتاج حيوانى</v>
          </cell>
          <cell r="BT727" t="str">
            <v>بكلاريوس</v>
          </cell>
          <cell r="BU727" t="str">
            <v>جامعة الجزيرة</v>
          </cell>
          <cell r="BV727">
            <v>40258</v>
          </cell>
          <cell r="BW727" t="str">
            <v>تطبيقات الحاسوب</v>
          </cell>
          <cell r="BX727" t="str">
            <v>دبلوم (معاهد)</v>
          </cell>
          <cell r="BY727" t="str">
            <v>اكاديمية الدانقا لعلوم الكمبيوتر واللغات</v>
          </cell>
          <cell r="BZ727">
            <v>40462</v>
          </cell>
          <cell r="CQ727" t="str">
            <v>اعمال نميراب للتجارة</v>
          </cell>
          <cell r="CR727" t="str">
            <v xml:space="preserve">المبيعات </v>
          </cell>
          <cell r="CS727" t="str">
            <v>متدربه</v>
          </cell>
          <cell r="CT727">
            <v>41730</v>
          </cell>
          <cell r="CU727">
            <v>41852</v>
          </cell>
          <cell r="EQ727">
            <v>0</v>
          </cell>
          <cell r="FG727" t="str">
            <v>المدير الادارى</v>
          </cell>
          <cell r="FH727" t="str">
            <v>احمد عبدالرحيم ابوبكر محمد</v>
          </cell>
          <cell r="FI727" t="str">
            <v>183-0363681-9</v>
          </cell>
        </row>
        <row r="728">
          <cell r="A728">
            <v>6006</v>
          </cell>
          <cell r="B728" t="str">
            <v>عبدالمنعم عبدالرحمن مصطفى بابكر</v>
          </cell>
          <cell r="C728" t="str">
            <v>عبدالمنعم</v>
          </cell>
          <cell r="D728" t="str">
            <v>عبدالرحمن</v>
          </cell>
          <cell r="E728" t="str">
            <v>مصطفى</v>
          </cell>
          <cell r="F728" t="str">
            <v>بابكر</v>
          </cell>
          <cell r="G728" t="str">
            <v>السودانى الايطالى</v>
          </cell>
          <cell r="H728" t="str">
            <v>الاداره</v>
          </cell>
          <cell r="L728" t="str">
            <v>موظف مبيعات</v>
          </cell>
          <cell r="M728">
            <v>42310</v>
          </cell>
          <cell r="N728">
            <v>43500</v>
          </cell>
          <cell r="O728">
            <v>3</v>
          </cell>
          <cell r="P728">
            <v>3</v>
          </cell>
          <cell r="R728">
            <v>97.5</v>
          </cell>
          <cell r="Z728">
            <v>20455</v>
          </cell>
          <cell r="AG728">
            <v>9</v>
          </cell>
          <cell r="AH728">
            <v>1</v>
          </cell>
          <cell r="AI728" t="str">
            <v>تسنين</v>
          </cell>
          <cell r="AJ728" t="str">
            <v>76754</v>
          </cell>
          <cell r="AS728">
            <v>43500</v>
          </cell>
          <cell r="AT728">
            <v>63</v>
          </cell>
          <cell r="BE728" t="str">
            <v>114-8006622-0</v>
          </cell>
          <cell r="BF728" t="str">
            <v>زهره ابراهيم احمد</v>
          </cell>
          <cell r="BH728" t="str">
            <v>الصحافة - م 36 - منزل 87</v>
          </cell>
          <cell r="BI728" t="str">
            <v>0915174150</v>
          </cell>
          <cell r="BJ728" t="str">
            <v>عادل شحاده</v>
          </cell>
          <cell r="BL728" t="str">
            <v>كبار سن</v>
          </cell>
          <cell r="BN728">
            <v>43500</v>
          </cell>
          <cell r="BS728" t="str">
            <v>دراسات اقنصادية واجتماعية</v>
          </cell>
          <cell r="BT728" t="str">
            <v>بكلاريوس</v>
          </cell>
          <cell r="BU728" t="str">
            <v>جامعة الخرطوم</v>
          </cell>
          <cell r="BV728">
            <v>29843</v>
          </cell>
          <cell r="EQ728">
            <v>0</v>
          </cell>
          <cell r="FG728" t="str">
            <v>المدير الادارى</v>
          </cell>
          <cell r="FH728" t="str">
            <v>احمد عبدالرحيم ابوبكر محمد</v>
          </cell>
          <cell r="FI728" t="str">
            <v>114-8006622-0</v>
          </cell>
        </row>
        <row r="729">
          <cell r="A729">
            <v>6007</v>
          </cell>
          <cell r="B729" t="str">
            <v>المعتصم الياس حسين فضل</v>
          </cell>
          <cell r="C729" t="str">
            <v>المعتصم</v>
          </cell>
          <cell r="D729" t="str">
            <v>الياس</v>
          </cell>
          <cell r="E729" t="str">
            <v>حسين</v>
          </cell>
          <cell r="F729" t="str">
            <v>فضل</v>
          </cell>
          <cell r="G729" t="str">
            <v>السودانى الايطالى</v>
          </cell>
          <cell r="H729" t="str">
            <v>الانتاج</v>
          </cell>
          <cell r="L729" t="str">
            <v>عامل</v>
          </cell>
          <cell r="M729">
            <v>42535</v>
          </cell>
          <cell r="N729">
            <v>43500</v>
          </cell>
          <cell r="O729">
            <v>2</v>
          </cell>
          <cell r="P729">
            <v>7</v>
          </cell>
          <cell r="R729">
            <v>77.5</v>
          </cell>
          <cell r="T729" t="str">
            <v>إستقال</v>
          </cell>
          <cell r="Z729">
            <v>32570</v>
          </cell>
          <cell r="AG729">
            <v>9</v>
          </cell>
          <cell r="AH729">
            <v>1</v>
          </cell>
          <cell r="AI729" t="str">
            <v>ميلاد</v>
          </cell>
          <cell r="AJ729" t="str">
            <v>920211</v>
          </cell>
          <cell r="AS729">
            <v>43500</v>
          </cell>
          <cell r="AT729">
            <v>29</v>
          </cell>
          <cell r="AU729" t="str">
            <v>بطاقه قوميه</v>
          </cell>
          <cell r="AV729" t="str">
            <v>000871041</v>
          </cell>
          <cell r="AW729">
            <v>1</v>
          </cell>
          <cell r="AX729">
            <v>4</v>
          </cell>
          <cell r="AY729">
            <v>0</v>
          </cell>
          <cell r="AZ729">
            <v>1</v>
          </cell>
          <cell r="BA729">
            <v>7</v>
          </cell>
          <cell r="BB729">
            <v>8</v>
          </cell>
          <cell r="BC729">
            <v>0</v>
          </cell>
          <cell r="BD729">
            <v>0</v>
          </cell>
          <cell r="BE729" t="str">
            <v>221-7042553-3</v>
          </cell>
          <cell r="BF729" t="str">
            <v>رقيه طمبل فضل</v>
          </cell>
          <cell r="BG729" t="str">
            <v>جبره</v>
          </cell>
          <cell r="BH729" t="str">
            <v>جبره الاسكان</v>
          </cell>
          <cell r="BI729" t="str">
            <v>0919627286</v>
          </cell>
          <cell r="BJ729" t="str">
            <v>محمد الياس</v>
          </cell>
          <cell r="BL729" t="str">
            <v>خالي الطرف</v>
          </cell>
          <cell r="BN729">
            <v>43500</v>
          </cell>
          <cell r="EQ729">
            <v>0</v>
          </cell>
          <cell r="FG729" t="str">
            <v xml:space="preserve"> مدير الانتاج</v>
          </cell>
          <cell r="FH729" t="str">
            <v>هشام عيسى محمد عبدالكريم</v>
          </cell>
          <cell r="FI729" t="str">
            <v>221-7042553-3</v>
          </cell>
        </row>
        <row r="730">
          <cell r="A730">
            <v>6008</v>
          </cell>
          <cell r="B730" t="str">
            <v>رفيده البدرى محمد محمد نور</v>
          </cell>
          <cell r="C730" t="str">
            <v>رفيده</v>
          </cell>
          <cell r="D730" t="str">
            <v>البدرى</v>
          </cell>
          <cell r="E730" t="str">
            <v>محمد</v>
          </cell>
          <cell r="F730" t="str">
            <v>محمد</v>
          </cell>
          <cell r="G730" t="str">
            <v>السودانى الايطالى</v>
          </cell>
          <cell r="H730" t="str">
            <v>الاداره</v>
          </cell>
          <cell r="L730" t="str">
            <v>مندوب مبيعات</v>
          </cell>
          <cell r="M730">
            <v>42692</v>
          </cell>
          <cell r="N730">
            <v>43500</v>
          </cell>
          <cell r="O730">
            <v>2</v>
          </cell>
          <cell r="P730">
            <v>2</v>
          </cell>
          <cell r="R730">
            <v>65</v>
          </cell>
          <cell r="Z730">
            <v>31916</v>
          </cell>
          <cell r="AG730">
            <v>9</v>
          </cell>
          <cell r="AH730">
            <v>1</v>
          </cell>
          <cell r="AI730" t="str">
            <v>ميلاد</v>
          </cell>
          <cell r="AJ730" t="str">
            <v>231395</v>
          </cell>
          <cell r="AK730">
            <v>5</v>
          </cell>
          <cell r="AL730">
            <v>9</v>
          </cell>
          <cell r="AM730">
            <v>3</v>
          </cell>
          <cell r="AN730">
            <v>1</v>
          </cell>
          <cell r="AO730">
            <v>3</v>
          </cell>
          <cell r="AP730">
            <v>2</v>
          </cell>
          <cell r="AS730">
            <v>43500</v>
          </cell>
          <cell r="AT730">
            <v>31</v>
          </cell>
          <cell r="BE730" t="str">
            <v>112-4859139-5</v>
          </cell>
          <cell r="BF730" t="str">
            <v>منى الصديق خالد</v>
          </cell>
          <cell r="BH730" t="str">
            <v>شرق النيل - الجريق شرق - حى الهدى</v>
          </cell>
          <cell r="BI730" t="str">
            <v>0121092516</v>
          </cell>
          <cell r="BJ730" t="str">
            <v>البدرى محمد نور</v>
          </cell>
          <cell r="BL730" t="str">
            <v>خالي الطرف</v>
          </cell>
          <cell r="BN730">
            <v>43500</v>
          </cell>
          <cell r="BS730" t="str">
            <v xml:space="preserve">علوم زراعية </v>
          </cell>
          <cell r="BT730" t="str">
            <v>بكلاريوس الشرف</v>
          </cell>
          <cell r="BU730" t="str">
            <v>جامعة الخرطوم</v>
          </cell>
          <cell r="BV730">
            <v>40756</v>
          </cell>
          <cell r="CQ730" t="str">
            <v>مشروع السليت الزراعى</v>
          </cell>
          <cell r="CR730" t="str">
            <v>مشرفة صالة زهور</v>
          </cell>
          <cell r="CS730">
            <v>40836</v>
          </cell>
          <cell r="CT730">
            <v>41425</v>
          </cell>
          <cell r="CV730" t="str">
            <v>هيئة البحوث الزراعية - محطة بحوث شمبات</v>
          </cell>
          <cell r="CW730" t="str">
            <v>متدرب</v>
          </cell>
          <cell r="CX730">
            <v>40695</v>
          </cell>
          <cell r="CY730">
            <v>40907</v>
          </cell>
          <cell r="DA730" t="str">
            <v>وزارة الزراعة والبساتين</v>
          </cell>
          <cell r="DB730" t="str">
            <v>متدرب</v>
          </cell>
          <cell r="DC730">
            <v>40036</v>
          </cell>
          <cell r="DD730">
            <v>40077</v>
          </cell>
          <cell r="EQ730">
            <v>0</v>
          </cell>
          <cell r="FG730" t="str">
            <v>المدير الادارى</v>
          </cell>
          <cell r="FH730" t="str">
            <v>احمد عبدالرحيم ابوبكر محمد</v>
          </cell>
          <cell r="FI730" t="str">
            <v>112-4859139-5</v>
          </cell>
        </row>
        <row r="731">
          <cell r="A731">
            <v>6009</v>
          </cell>
          <cell r="B731" t="str">
            <v>رباب سراج الدين خالد محمد</v>
          </cell>
          <cell r="C731" t="str">
            <v>رباب</v>
          </cell>
          <cell r="D731" t="str">
            <v>سراج الدين</v>
          </cell>
          <cell r="E731" t="str">
            <v>خالد</v>
          </cell>
          <cell r="F731" t="str">
            <v>محمد</v>
          </cell>
          <cell r="G731" t="str">
            <v>السودانى الايطالى</v>
          </cell>
          <cell r="H731" t="str">
            <v>الاداره</v>
          </cell>
          <cell r="L731" t="str">
            <v>مندوب مبيعات</v>
          </cell>
          <cell r="M731">
            <v>42701</v>
          </cell>
          <cell r="N731">
            <v>42927</v>
          </cell>
          <cell r="O731">
            <v>0</v>
          </cell>
          <cell r="P731">
            <v>7</v>
          </cell>
          <cell r="R731">
            <v>17.5</v>
          </cell>
          <cell r="T731" t="str">
            <v>فصل</v>
          </cell>
          <cell r="U731">
            <v>42927</v>
          </cell>
          <cell r="Z731">
            <v>33466</v>
          </cell>
          <cell r="AG731">
            <v>9</v>
          </cell>
          <cell r="AH731">
            <v>1</v>
          </cell>
          <cell r="AI731" t="str">
            <v>ميلاد</v>
          </cell>
          <cell r="AJ731" t="str">
            <v>509183</v>
          </cell>
          <cell r="AK731">
            <v>3</v>
          </cell>
          <cell r="AL731">
            <v>8</v>
          </cell>
          <cell r="AM731">
            <v>1</v>
          </cell>
          <cell r="AN731">
            <v>9</v>
          </cell>
          <cell r="AO731">
            <v>0</v>
          </cell>
          <cell r="AP731">
            <v>5</v>
          </cell>
          <cell r="AS731">
            <v>43500</v>
          </cell>
          <cell r="AT731">
            <v>27</v>
          </cell>
          <cell r="AU731" t="str">
            <v>بطاقه قوميه</v>
          </cell>
          <cell r="AV731" t="str">
            <v>001617517</v>
          </cell>
          <cell r="AW731">
            <v>7</v>
          </cell>
          <cell r="AX731">
            <v>1</v>
          </cell>
          <cell r="AY731">
            <v>5</v>
          </cell>
          <cell r="AZ731">
            <v>7</v>
          </cell>
          <cell r="BA731">
            <v>1</v>
          </cell>
          <cell r="BB731">
            <v>6</v>
          </cell>
          <cell r="BC731">
            <v>1</v>
          </cell>
          <cell r="BD731">
            <v>0</v>
          </cell>
          <cell r="BE731" t="str">
            <v>115-8114140-2</v>
          </cell>
          <cell r="BF731" t="str">
            <v>نجاة بابكر إبراهيم</v>
          </cell>
          <cell r="BH731" t="str">
            <v>امدرمان - ح 36</v>
          </cell>
          <cell r="BI731" t="str">
            <v>0919896674</v>
          </cell>
          <cell r="BJ731" t="str">
            <v>نجاة بابكر إبراهيم</v>
          </cell>
          <cell r="BL731" t="str">
            <v>خالي الطرف</v>
          </cell>
          <cell r="BN731">
            <v>43500</v>
          </cell>
          <cell r="BS731" t="str">
            <v>التامين</v>
          </cell>
          <cell r="BT731" t="str">
            <v>دبلوم تقني</v>
          </cell>
          <cell r="BU731" t="str">
            <v>جامعة النيلين</v>
          </cell>
          <cell r="BV731">
            <v>42444</v>
          </cell>
          <cell r="BW731" t="str">
            <v>علوم حاسوب</v>
          </cell>
          <cell r="BX731" t="str">
            <v>دبلوم (معاهد)</v>
          </cell>
          <cell r="BY731" t="str">
            <v>الموئل لعلوم الكمبيوتر</v>
          </cell>
          <cell r="BZ731">
            <v>42109</v>
          </cell>
          <cell r="CA731" t="str">
            <v>SMACC</v>
          </cell>
          <cell r="CB731" t="str">
            <v>دبلوم (معاهد)</v>
          </cell>
          <cell r="CC731" t="str">
            <v>الموئل لعلوم الكمبيوتر</v>
          </cell>
          <cell r="CD731">
            <v>42136</v>
          </cell>
          <cell r="CE731" t="str">
            <v>مهارات الطباعة</v>
          </cell>
          <cell r="CF731" t="str">
            <v>دبلوم (معاهد)</v>
          </cell>
          <cell r="CG731" t="str">
            <v>الموئل لعلوم الكمبيوتر</v>
          </cell>
          <cell r="CH731">
            <v>42179</v>
          </cell>
          <cell r="CQ731" t="str">
            <v>شركة الشرق الاوسط للتامين المحدودة</v>
          </cell>
          <cell r="CR731" t="str">
            <v>متدرب</v>
          </cell>
          <cell r="CS731">
            <v>42430</v>
          </cell>
          <cell r="CT731">
            <v>42551</v>
          </cell>
          <cell r="CV731" t="str">
            <v>المجلس الاعلى للشباب والرياضة</v>
          </cell>
          <cell r="CW731" t="str">
            <v>متدرب</v>
          </cell>
          <cell r="CX731">
            <v>42127</v>
          </cell>
          <cell r="CY731">
            <v>42220</v>
          </cell>
          <cell r="DA731" t="str">
            <v>الشركة السودانية للزيوت النباتية المحدودة</v>
          </cell>
          <cell r="DB731" t="str">
            <v>متدرب</v>
          </cell>
          <cell r="DC731">
            <v>42082</v>
          </cell>
          <cell r="DD731">
            <v>42135</v>
          </cell>
          <cell r="DF731" t="str">
            <v>مركز المغيره لنظم التعليم المتقدم</v>
          </cell>
          <cell r="DG731" t="str">
            <v>متدرب</v>
          </cell>
          <cell r="DH731">
            <v>42432</v>
          </cell>
          <cell r="DI731">
            <v>42617</v>
          </cell>
          <cell r="EQ731">
            <v>0</v>
          </cell>
          <cell r="FG731" t="str">
            <v>المدير الادارى</v>
          </cell>
          <cell r="FH731" t="str">
            <v>احمد عبدالرحيم ابوبكر محمد</v>
          </cell>
          <cell r="FI731" t="str">
            <v>115-8114140-2</v>
          </cell>
        </row>
        <row r="732">
          <cell r="A732">
            <v>6010</v>
          </cell>
          <cell r="B732" t="str">
            <v>فتح الرحمن عباس رحمه محمد</v>
          </cell>
          <cell r="C732" t="str">
            <v>فتح الرحمن</v>
          </cell>
          <cell r="D732" t="str">
            <v>عباس</v>
          </cell>
          <cell r="E732" t="str">
            <v>رحمه</v>
          </cell>
          <cell r="F732" t="str">
            <v>محمد</v>
          </cell>
          <cell r="G732" t="str">
            <v>السودانى الايطالى</v>
          </cell>
          <cell r="H732" t="str">
            <v>الانتاج</v>
          </cell>
          <cell r="K732" t="str">
            <v>عامل</v>
          </cell>
          <cell r="L732" t="str">
            <v>عامل</v>
          </cell>
          <cell r="M732">
            <v>42719</v>
          </cell>
          <cell r="N732">
            <v>43500</v>
          </cell>
          <cell r="O732">
            <v>2</v>
          </cell>
          <cell r="P732">
            <v>1</v>
          </cell>
          <cell r="R732">
            <v>62.5</v>
          </cell>
          <cell r="Z732">
            <v>25204</v>
          </cell>
          <cell r="AG732">
            <v>9</v>
          </cell>
          <cell r="AH732">
            <v>1</v>
          </cell>
          <cell r="AI732" t="str">
            <v>تسنين</v>
          </cell>
          <cell r="AJ732" t="str">
            <v>1555054</v>
          </cell>
          <cell r="AS732">
            <v>43500</v>
          </cell>
          <cell r="AT732">
            <v>50</v>
          </cell>
          <cell r="AU732" t="str">
            <v>جنسيه</v>
          </cell>
          <cell r="AV732" t="str">
            <v>494626</v>
          </cell>
          <cell r="AW732">
            <v>6</v>
          </cell>
          <cell r="AX732">
            <v>2</v>
          </cell>
          <cell r="AY732">
            <v>6</v>
          </cell>
          <cell r="AZ732">
            <v>4</v>
          </cell>
          <cell r="BA732">
            <v>9</v>
          </cell>
          <cell r="BB732">
            <v>4</v>
          </cell>
          <cell r="BG732" t="str">
            <v>الكلاكله</v>
          </cell>
          <cell r="BN732">
            <v>43500</v>
          </cell>
          <cell r="EQ732">
            <v>0</v>
          </cell>
          <cell r="EW732">
            <v>43084</v>
          </cell>
          <cell r="EX732">
            <v>43448</v>
          </cell>
          <cell r="EY732" t="str">
            <v>عامل</v>
          </cell>
          <cell r="FG732" t="str">
            <v xml:space="preserve"> مدير الانتاج</v>
          </cell>
          <cell r="FH732" t="str">
            <v>هشام عيسى محمد عبدالكريم</v>
          </cell>
          <cell r="FI732">
            <v>0</v>
          </cell>
        </row>
        <row r="733">
          <cell r="A733">
            <v>6011</v>
          </cell>
          <cell r="B733" t="str">
            <v>عوض الله هجو الفكى سليم</v>
          </cell>
          <cell r="C733" t="str">
            <v>عوض الله</v>
          </cell>
          <cell r="D733" t="str">
            <v>هجو</v>
          </cell>
          <cell r="E733" t="str">
            <v>الفكى</v>
          </cell>
          <cell r="F733" t="str">
            <v>سليم</v>
          </cell>
          <cell r="G733" t="str">
            <v>السودانى الايطالى</v>
          </cell>
          <cell r="H733" t="str">
            <v>الاداره</v>
          </cell>
          <cell r="L733" t="str">
            <v>مهندس مشاريع</v>
          </cell>
          <cell r="M733">
            <v>42795</v>
          </cell>
          <cell r="N733">
            <v>43500</v>
          </cell>
          <cell r="O733">
            <v>1</v>
          </cell>
          <cell r="P733">
            <v>11</v>
          </cell>
          <cell r="R733">
            <v>57.5</v>
          </cell>
          <cell r="Z733">
            <v>33657</v>
          </cell>
          <cell r="AI733" t="str">
            <v>ميلاد</v>
          </cell>
          <cell r="AJ733" t="str">
            <v>660570</v>
          </cell>
          <cell r="AS733">
            <v>43500</v>
          </cell>
          <cell r="AT733">
            <v>26</v>
          </cell>
          <cell r="AU733" t="str">
            <v>جنسيه</v>
          </cell>
          <cell r="AV733" t="str">
            <v>0114592</v>
          </cell>
          <cell r="AW733">
            <v>2</v>
          </cell>
          <cell r="AX733">
            <v>9</v>
          </cell>
          <cell r="AY733">
            <v>5</v>
          </cell>
          <cell r="AZ733">
            <v>4</v>
          </cell>
          <cell r="BA733">
            <v>1</v>
          </cell>
          <cell r="BB733">
            <v>1</v>
          </cell>
          <cell r="BC733">
            <v>0</v>
          </cell>
          <cell r="BE733" t="str">
            <v>201-0462948-2</v>
          </cell>
          <cell r="BF733" t="str">
            <v>رشيده حسن ادم</v>
          </cell>
          <cell r="BH733" t="str">
            <v>بحرى - الشعبية</v>
          </cell>
          <cell r="BI733" t="str">
            <v>0912592478</v>
          </cell>
          <cell r="BJ733" t="str">
            <v>فريد الضو بريمه</v>
          </cell>
          <cell r="BL733" t="str">
            <v>خالي الطرف</v>
          </cell>
          <cell r="BN733">
            <v>43500</v>
          </cell>
          <cell r="BS733" t="str">
            <v>هندسة زراعة</v>
          </cell>
          <cell r="BT733" t="str">
            <v>بكلاريوس الشرف</v>
          </cell>
          <cell r="BU733" t="str">
            <v>جامعة الخرطوم</v>
          </cell>
          <cell r="BV733">
            <v>42338</v>
          </cell>
          <cell r="EQ733">
            <v>0</v>
          </cell>
          <cell r="FG733" t="str">
            <v>المدير الادارى</v>
          </cell>
          <cell r="FH733" t="str">
            <v>احمد عبدالرحيم ابوبكر محمد</v>
          </cell>
          <cell r="FI733" t="str">
            <v>201-0462948-2</v>
          </cell>
        </row>
        <row r="734">
          <cell r="A734">
            <v>6012</v>
          </cell>
          <cell r="B734" t="str">
            <v>نصرالدين احمد بابكر احمد</v>
          </cell>
          <cell r="C734" t="str">
            <v>نصرالدين</v>
          </cell>
          <cell r="D734" t="str">
            <v>احمد</v>
          </cell>
          <cell r="E734" t="str">
            <v>بابكر</v>
          </cell>
          <cell r="F734" t="str">
            <v>احمد</v>
          </cell>
          <cell r="G734" t="str">
            <v>السودانى الايطالى</v>
          </cell>
          <cell r="H734" t="str">
            <v>الانتاج</v>
          </cell>
          <cell r="L734" t="str">
            <v>عامل</v>
          </cell>
          <cell r="M734">
            <v>42948</v>
          </cell>
          <cell r="N734">
            <v>43500</v>
          </cell>
          <cell r="O734">
            <v>1</v>
          </cell>
          <cell r="P734">
            <v>6</v>
          </cell>
          <cell r="R734">
            <v>45</v>
          </cell>
          <cell r="T734" t="str">
            <v>فصل</v>
          </cell>
          <cell r="Z734">
            <v>33682</v>
          </cell>
          <cell r="AS734">
            <v>43500</v>
          </cell>
          <cell r="AT734">
            <v>26</v>
          </cell>
          <cell r="AU734" t="str">
            <v>جنسيه</v>
          </cell>
          <cell r="AV734" t="str">
            <v>0621847</v>
          </cell>
          <cell r="AW734">
            <v>7</v>
          </cell>
          <cell r="AX734">
            <v>4</v>
          </cell>
          <cell r="AY734">
            <v>8</v>
          </cell>
          <cell r="AZ734">
            <v>1</v>
          </cell>
          <cell r="BA734">
            <v>2</v>
          </cell>
          <cell r="BB734">
            <v>6</v>
          </cell>
          <cell r="BC734">
            <v>0</v>
          </cell>
          <cell r="BE734" t="str">
            <v>119-9268342-9</v>
          </cell>
          <cell r="BF734" t="str">
            <v>فائز فضل الله</v>
          </cell>
          <cell r="BG734" t="str">
            <v>بحرى</v>
          </cell>
          <cell r="BH734" t="str">
            <v>بحري - الشعبيه</v>
          </cell>
          <cell r="BI734" t="str">
            <v>0990612356</v>
          </cell>
          <cell r="BJ734" t="str">
            <v>محمد سلام</v>
          </cell>
          <cell r="BK734" t="str">
            <v>0925860141</v>
          </cell>
          <cell r="BL734" t="str">
            <v>خالي الطرف</v>
          </cell>
          <cell r="BN734">
            <v>43500</v>
          </cell>
          <cell r="BS734" t="str">
            <v>علوم اتصال وعلاقات عامه</v>
          </cell>
          <cell r="BT734" t="str">
            <v>بكلاريوس</v>
          </cell>
          <cell r="BU734" t="str">
            <v>جامعة السودان للعلوم والتكنولوجيا</v>
          </cell>
          <cell r="BV734">
            <v>41420</v>
          </cell>
          <cell r="EQ734">
            <v>0</v>
          </cell>
          <cell r="FG734" t="str">
            <v xml:space="preserve"> مدير الانتاج</v>
          </cell>
          <cell r="FH734" t="str">
            <v>هشام عيسى محمد عبدالكريم</v>
          </cell>
          <cell r="FI734" t="str">
            <v>119-9268342-9</v>
          </cell>
        </row>
        <row r="735">
          <cell r="A735">
            <v>6013</v>
          </cell>
          <cell r="B735" t="str">
            <v>صدام عبداللطيف فضل المولى الغزالى</v>
          </cell>
          <cell r="C735" t="str">
            <v>صدام</v>
          </cell>
          <cell r="D735" t="str">
            <v>عبداللطيف</v>
          </cell>
          <cell r="E735" t="str">
            <v>فضل المولى</v>
          </cell>
          <cell r="F735" t="str">
            <v>الغزالى</v>
          </cell>
          <cell r="G735" t="str">
            <v>السودانى الايطالى</v>
          </cell>
          <cell r="H735" t="str">
            <v>الانتاج</v>
          </cell>
          <cell r="L735" t="str">
            <v>عامل</v>
          </cell>
          <cell r="M735">
            <v>42953</v>
          </cell>
          <cell r="N735">
            <v>43500</v>
          </cell>
          <cell r="O735">
            <v>1</v>
          </cell>
          <cell r="P735">
            <v>5</v>
          </cell>
          <cell r="R735">
            <v>42.5</v>
          </cell>
          <cell r="Z735">
            <v>33067</v>
          </cell>
          <cell r="AS735">
            <v>43500</v>
          </cell>
          <cell r="AT735">
            <v>28</v>
          </cell>
          <cell r="BE735" t="str">
            <v>120-8379655-9</v>
          </cell>
          <cell r="BF735" t="str">
            <v>علويه موسى اللين على</v>
          </cell>
          <cell r="BG735" t="str">
            <v>الكلاكله</v>
          </cell>
          <cell r="BH735" t="str">
            <v>الكلاكله - القادسيه</v>
          </cell>
          <cell r="BI735" t="str">
            <v>0918968016</v>
          </cell>
          <cell r="BJ735" t="str">
            <v>محمد عبد اللطيف</v>
          </cell>
          <cell r="BK735" t="str">
            <v>0919198874</v>
          </cell>
          <cell r="BL735" t="str">
            <v>خالي الطرف</v>
          </cell>
          <cell r="BN735">
            <v>43500</v>
          </cell>
          <cell r="BS735" t="str">
            <v>الاقتصاد التطبيقى</v>
          </cell>
          <cell r="BT735" t="str">
            <v>بكلاريوس</v>
          </cell>
          <cell r="BU735" t="str">
            <v>جامعة السودان للعلوم والتكنولوجيا</v>
          </cell>
          <cell r="BV735">
            <v>41536</v>
          </cell>
          <cell r="BW735" t="str">
            <v>حاسوب</v>
          </cell>
          <cell r="CQ735" t="str">
            <v>الهيئة العامة لقاعة الصداقة</v>
          </cell>
          <cell r="CR735" t="str">
            <v>متدرب</v>
          </cell>
          <cell r="CS735">
            <v>41165</v>
          </cell>
          <cell r="CT735">
            <v>41256</v>
          </cell>
          <cell r="EQ735">
            <v>0</v>
          </cell>
          <cell r="FG735" t="str">
            <v xml:space="preserve"> مدير الانتاج</v>
          </cell>
          <cell r="FH735" t="str">
            <v>هشام عيسى محمد عبدالكريم</v>
          </cell>
          <cell r="FI735" t="str">
            <v>120-8379655-9</v>
          </cell>
        </row>
        <row r="736">
          <cell r="A736">
            <v>6014</v>
          </cell>
          <cell r="B736" t="str">
            <v>عبد الله العوض ادريس حسن</v>
          </cell>
          <cell r="C736" t="str">
            <v>عبدالله</v>
          </cell>
          <cell r="D736" t="str">
            <v>العوض</v>
          </cell>
          <cell r="E736" t="str">
            <v>ادريس</v>
          </cell>
          <cell r="F736" t="str">
            <v>حسن</v>
          </cell>
          <cell r="G736" t="str">
            <v>السودانى الايطالى</v>
          </cell>
          <cell r="H736" t="str">
            <v>الانتاج</v>
          </cell>
          <cell r="L736" t="str">
            <v>عامل</v>
          </cell>
          <cell r="M736">
            <v>43023</v>
          </cell>
          <cell r="N736">
            <v>43500</v>
          </cell>
          <cell r="O736">
            <v>1</v>
          </cell>
          <cell r="P736">
            <v>3</v>
          </cell>
          <cell r="R736">
            <v>37.5</v>
          </cell>
          <cell r="Z736">
            <v>29952</v>
          </cell>
          <cell r="AI736" t="str">
            <v>تسنين</v>
          </cell>
          <cell r="AJ736" t="str">
            <v>1943443</v>
          </cell>
          <cell r="AS736">
            <v>43500</v>
          </cell>
          <cell r="AT736">
            <v>37</v>
          </cell>
          <cell r="AU736" t="str">
            <v>بطاقه قوميه</v>
          </cell>
          <cell r="AV736" t="str">
            <v>002835709</v>
          </cell>
          <cell r="AW736">
            <v>9</v>
          </cell>
          <cell r="AX736">
            <v>0</v>
          </cell>
          <cell r="AY736">
            <v>7</v>
          </cell>
          <cell r="AZ736">
            <v>5</v>
          </cell>
          <cell r="BA736">
            <v>3</v>
          </cell>
          <cell r="BB736">
            <v>8</v>
          </cell>
          <cell r="BC736">
            <v>2</v>
          </cell>
          <cell r="BD736">
            <v>0</v>
          </cell>
          <cell r="BG736" t="str">
            <v>الكلاكله</v>
          </cell>
          <cell r="BN736">
            <v>43500</v>
          </cell>
          <cell r="EQ736">
            <v>0</v>
          </cell>
          <cell r="FG736" t="str">
            <v xml:space="preserve"> مدير الانتاج</v>
          </cell>
          <cell r="FH736" t="str">
            <v>هشام عيسى محمد عبدالكريم</v>
          </cell>
          <cell r="FI736">
            <v>0</v>
          </cell>
        </row>
        <row r="737">
          <cell r="A737">
            <v>6015</v>
          </cell>
          <cell r="B737" t="str">
            <v>عزمى عبدالمجيد محمد عثمان</v>
          </cell>
          <cell r="C737" t="str">
            <v>عومى</v>
          </cell>
          <cell r="D737" t="str">
            <v>عبدالمجيد</v>
          </cell>
          <cell r="E737" t="str">
            <v>محمد</v>
          </cell>
          <cell r="F737" t="str">
            <v>عثمان</v>
          </cell>
          <cell r="G737" t="str">
            <v>السودانى الايطالى</v>
          </cell>
          <cell r="H737" t="str">
            <v>الانتاج</v>
          </cell>
          <cell r="L737" t="str">
            <v>عامل</v>
          </cell>
          <cell r="M737">
            <v>43026</v>
          </cell>
          <cell r="N737">
            <v>43500</v>
          </cell>
          <cell r="O737">
            <v>1</v>
          </cell>
          <cell r="P737">
            <v>3</v>
          </cell>
          <cell r="R737">
            <v>37.5</v>
          </cell>
          <cell r="T737" t="str">
            <v>فصل</v>
          </cell>
          <cell r="U737">
            <v>43097</v>
          </cell>
          <cell r="Z737">
            <v>31346</v>
          </cell>
          <cell r="AI737" t="str">
            <v>ميلاد</v>
          </cell>
          <cell r="AJ737" t="str">
            <v>168746</v>
          </cell>
          <cell r="AS737">
            <v>43500</v>
          </cell>
          <cell r="AT737">
            <v>33</v>
          </cell>
          <cell r="AU737" t="str">
            <v>بطاقه قوميه</v>
          </cell>
          <cell r="AV737" t="str">
            <v>002597544</v>
          </cell>
          <cell r="AW737">
            <v>4</v>
          </cell>
          <cell r="AX737">
            <v>4</v>
          </cell>
          <cell r="AY737">
            <v>5</v>
          </cell>
          <cell r="AZ737">
            <v>7</v>
          </cell>
          <cell r="BA737">
            <v>9</v>
          </cell>
          <cell r="BB737">
            <v>5</v>
          </cell>
          <cell r="BC737">
            <v>2</v>
          </cell>
          <cell r="BD737">
            <v>0</v>
          </cell>
          <cell r="BE737" t="str">
            <v>114-5203011-8</v>
          </cell>
          <cell r="BF737" t="str">
            <v>سميره سيف الدين</v>
          </cell>
          <cell r="BG737" t="str">
            <v>الكلاكله</v>
          </cell>
          <cell r="BH737" t="str">
            <v>الكلاكله - الوحده</v>
          </cell>
          <cell r="BI737" t="str">
            <v>0910322323</v>
          </cell>
          <cell r="BJ737" t="str">
            <v>عوض عبدالمجيد</v>
          </cell>
          <cell r="BK737" t="str">
            <v>0121486868</v>
          </cell>
          <cell r="BL737" t="str">
            <v>استثناء</v>
          </cell>
          <cell r="BN737">
            <v>43500</v>
          </cell>
          <cell r="EQ737">
            <v>0</v>
          </cell>
          <cell r="FG737" t="str">
            <v xml:space="preserve"> مدير الانتاج</v>
          </cell>
          <cell r="FH737" t="str">
            <v>هشام عيسى محمد عبدالكريم</v>
          </cell>
          <cell r="FI737" t="str">
            <v>114-5203011-8</v>
          </cell>
        </row>
        <row r="738">
          <cell r="A738">
            <v>6016</v>
          </cell>
          <cell r="B738" t="str">
            <v>محمد عمران محمد احمد</v>
          </cell>
          <cell r="C738" t="str">
            <v>محمد</v>
          </cell>
          <cell r="D738" t="str">
            <v>عمران</v>
          </cell>
          <cell r="E738" t="str">
            <v>محمد</v>
          </cell>
          <cell r="F738" t="str">
            <v>احمد</v>
          </cell>
          <cell r="G738" t="str">
            <v>السودانى الايطالى</v>
          </cell>
          <cell r="H738" t="str">
            <v>الانتاج</v>
          </cell>
          <cell r="I738" t="str">
            <v>الزنك</v>
          </cell>
          <cell r="L738" t="str">
            <v>مشغل</v>
          </cell>
          <cell r="M738">
            <v>43044</v>
          </cell>
          <cell r="N738">
            <v>43500</v>
          </cell>
          <cell r="O738">
            <v>1</v>
          </cell>
          <cell r="P738">
            <v>2</v>
          </cell>
          <cell r="R738">
            <v>35</v>
          </cell>
          <cell r="Z738">
            <v>34294</v>
          </cell>
          <cell r="AI738" t="str">
            <v>ميلاد</v>
          </cell>
          <cell r="AJ738" t="str">
            <v>951575</v>
          </cell>
          <cell r="AS738">
            <v>43500</v>
          </cell>
          <cell r="AT738">
            <v>25</v>
          </cell>
          <cell r="AU738" t="str">
            <v>جنسيه</v>
          </cell>
          <cell r="AV738" t="str">
            <v>0862192</v>
          </cell>
          <cell r="AW738">
            <v>2</v>
          </cell>
          <cell r="AX738">
            <v>9</v>
          </cell>
          <cell r="AY738">
            <v>1</v>
          </cell>
          <cell r="AZ738">
            <v>2</v>
          </cell>
          <cell r="BA738">
            <v>6</v>
          </cell>
          <cell r="BB738">
            <v>8</v>
          </cell>
          <cell r="BC738">
            <v>0</v>
          </cell>
          <cell r="BE738" t="str">
            <v>182-8989413-4</v>
          </cell>
          <cell r="BF738" t="str">
            <v>اخلاص بشير</v>
          </cell>
          <cell r="BG738" t="str">
            <v>العربى</v>
          </cell>
          <cell r="BH738" t="str">
            <v>امدرمان - الثوره</v>
          </cell>
          <cell r="BI738" t="str">
            <v>0910019886</v>
          </cell>
          <cell r="BJ738" t="str">
            <v>عبدالمنعم ادم</v>
          </cell>
          <cell r="BK738" t="str">
            <v>0912955553</v>
          </cell>
          <cell r="BL738" t="str">
            <v>خالي الطرف</v>
          </cell>
          <cell r="BN738">
            <v>43500</v>
          </cell>
          <cell r="BS738" t="str">
            <v>نظم المعلومات الادارية</v>
          </cell>
          <cell r="BT738" t="str">
            <v>دبلوم تقني</v>
          </cell>
          <cell r="BU738" t="str">
            <v>كلية النيل الابيض للعلوم والتكنولوجيا</v>
          </cell>
          <cell r="BV738">
            <v>42294</v>
          </cell>
          <cell r="EQ738">
            <v>0</v>
          </cell>
          <cell r="FG738" t="str">
            <v xml:space="preserve"> مدير الانتاج</v>
          </cell>
          <cell r="FH738" t="str">
            <v>هشام عيسى محمد عبدالكريم</v>
          </cell>
          <cell r="FI738" t="str">
            <v>182-8989413-4</v>
          </cell>
        </row>
        <row r="739">
          <cell r="A739">
            <v>6017</v>
          </cell>
          <cell r="B739" t="str">
            <v>باشا محمد تركاس محمد</v>
          </cell>
          <cell r="C739" t="str">
            <v>باشا</v>
          </cell>
          <cell r="D739" t="str">
            <v>محمد</v>
          </cell>
          <cell r="E739" t="str">
            <v>تركاس</v>
          </cell>
          <cell r="F739" t="str">
            <v>محمد</v>
          </cell>
          <cell r="G739" t="str">
            <v>السودانى الايطالى</v>
          </cell>
          <cell r="H739" t="str">
            <v>الانتاج</v>
          </cell>
          <cell r="L739" t="str">
            <v>عامل</v>
          </cell>
          <cell r="M739">
            <v>43047</v>
          </cell>
          <cell r="N739">
            <v>43500</v>
          </cell>
          <cell r="O739">
            <v>1</v>
          </cell>
          <cell r="P739">
            <v>2</v>
          </cell>
          <cell r="R739">
            <v>35</v>
          </cell>
          <cell r="Z739">
            <v>31413</v>
          </cell>
          <cell r="AI739" t="str">
            <v>تسنين</v>
          </cell>
          <cell r="AJ739" t="str">
            <v>052251</v>
          </cell>
          <cell r="AS739">
            <v>43500</v>
          </cell>
          <cell r="AT739">
            <v>33</v>
          </cell>
          <cell r="AU739" t="str">
            <v>جنسيه</v>
          </cell>
          <cell r="AV739" t="str">
            <v>0049694</v>
          </cell>
          <cell r="AW739">
            <v>4</v>
          </cell>
          <cell r="AX739">
            <v>9</v>
          </cell>
          <cell r="AY739">
            <v>6</v>
          </cell>
          <cell r="AZ739">
            <v>9</v>
          </cell>
          <cell r="BA739">
            <v>4</v>
          </cell>
          <cell r="BB739">
            <v>0</v>
          </cell>
          <cell r="BC739">
            <v>0</v>
          </cell>
          <cell r="BE739" t="str">
            <v>190-9993758-9</v>
          </cell>
          <cell r="BF739" t="str">
            <v>حاجه تاور</v>
          </cell>
          <cell r="BG739" t="str">
            <v>الجزيره</v>
          </cell>
          <cell r="BH739" t="str">
            <v>الجزيرة - المسعودية</v>
          </cell>
          <cell r="BI739" t="str">
            <v>0916671328</v>
          </cell>
          <cell r="BJ739" t="str">
            <v>صلاح محمد</v>
          </cell>
          <cell r="BK739" t="str">
            <v>0910245095</v>
          </cell>
          <cell r="BL739" t="str">
            <v>استثناء</v>
          </cell>
          <cell r="BN739">
            <v>43500</v>
          </cell>
          <cell r="EQ739">
            <v>0</v>
          </cell>
          <cell r="FG739" t="str">
            <v xml:space="preserve"> مدير الانتاج</v>
          </cell>
          <cell r="FH739" t="str">
            <v>هشام عيسى محمد عبدالكريم</v>
          </cell>
          <cell r="FI739" t="str">
            <v>190-9993758-9</v>
          </cell>
        </row>
        <row r="740">
          <cell r="A740">
            <v>6018</v>
          </cell>
          <cell r="B740" t="str">
            <v>عبد الفتاح محمد عبدالله عبدالسلام</v>
          </cell>
          <cell r="C740" t="str">
            <v>عبدالفتاح</v>
          </cell>
          <cell r="D740" t="str">
            <v>محمد</v>
          </cell>
          <cell r="E740" t="str">
            <v>عبدالله</v>
          </cell>
          <cell r="F740" t="str">
            <v>عبدالسلام</v>
          </cell>
          <cell r="G740" t="str">
            <v>السودانى الايطالى</v>
          </cell>
          <cell r="H740" t="str">
            <v>الانتاج</v>
          </cell>
          <cell r="L740" t="str">
            <v>عامل</v>
          </cell>
          <cell r="M740">
            <v>43057</v>
          </cell>
          <cell r="N740">
            <v>43500</v>
          </cell>
          <cell r="O740">
            <v>1</v>
          </cell>
          <cell r="P740">
            <v>2</v>
          </cell>
          <cell r="R740">
            <v>35</v>
          </cell>
          <cell r="Z740">
            <v>31778</v>
          </cell>
          <cell r="AI740" t="str">
            <v>تسنين</v>
          </cell>
          <cell r="AJ740" t="str">
            <v>340226</v>
          </cell>
          <cell r="AS740">
            <v>43500</v>
          </cell>
          <cell r="AT740">
            <v>32</v>
          </cell>
          <cell r="AU740" t="str">
            <v>بطاقه قوميه</v>
          </cell>
          <cell r="AV740" t="str">
            <v>001063595</v>
          </cell>
          <cell r="AX740">
            <v>5</v>
          </cell>
          <cell r="AY740">
            <v>9</v>
          </cell>
          <cell r="AZ740">
            <v>5</v>
          </cell>
          <cell r="BA740">
            <v>3</v>
          </cell>
          <cell r="BB740">
            <v>6</v>
          </cell>
          <cell r="BC740">
            <v>0</v>
          </cell>
          <cell r="BD740">
            <v>1</v>
          </cell>
          <cell r="BE740" t="str">
            <v>201-0272167-2</v>
          </cell>
          <cell r="BF740" t="str">
            <v>جميله بخارى</v>
          </cell>
          <cell r="BG740" t="str">
            <v>العربى</v>
          </cell>
          <cell r="BH740" t="str">
            <v>امدرمان - ليبيا</v>
          </cell>
          <cell r="BI740" t="str">
            <v>0902194297</v>
          </cell>
          <cell r="BJ740" t="str">
            <v>انس محمد</v>
          </cell>
          <cell r="BK740" t="str">
            <v>0961487909</v>
          </cell>
          <cell r="BL740" t="str">
            <v>استثناء</v>
          </cell>
          <cell r="BN740">
            <v>43500</v>
          </cell>
          <cell r="BS740" t="str">
            <v>تصنيع الادوات الزراعية</v>
          </cell>
          <cell r="BT740" t="str">
            <v>شهاده دورة تدريب</v>
          </cell>
          <cell r="BU740" t="str">
            <v>براكتكال اكشن</v>
          </cell>
          <cell r="BV740">
            <v>39205</v>
          </cell>
          <cell r="EQ740">
            <v>0</v>
          </cell>
          <cell r="FG740" t="str">
            <v xml:space="preserve"> مدير الانتاج</v>
          </cell>
          <cell r="FH740" t="str">
            <v>هشام عيسى محمد عبدالكريم</v>
          </cell>
          <cell r="FI740" t="str">
            <v>201-0272167-2</v>
          </cell>
        </row>
        <row r="741">
          <cell r="A741">
            <v>6019</v>
          </cell>
          <cell r="B741" t="str">
            <v>عبدالقادر محمد عبدالرحيم محمد</v>
          </cell>
          <cell r="C741" t="str">
            <v>عبدالقادر</v>
          </cell>
          <cell r="D741" t="str">
            <v>محمد</v>
          </cell>
          <cell r="E741" t="str">
            <v>عبدالرحيم</v>
          </cell>
          <cell r="F741" t="str">
            <v>محمد</v>
          </cell>
          <cell r="G741" t="str">
            <v>السودانى الايطالى</v>
          </cell>
          <cell r="K741" t="str">
            <v>امين مستودع - مشرف صاله</v>
          </cell>
          <cell r="L741" t="str">
            <v>امين مستودع - مشرف صاله</v>
          </cell>
          <cell r="M741">
            <v>43166</v>
          </cell>
          <cell r="N741">
            <v>43500</v>
          </cell>
          <cell r="O741">
            <v>0</v>
          </cell>
          <cell r="P741">
            <v>10</v>
          </cell>
          <cell r="R741">
            <v>25</v>
          </cell>
          <cell r="Z741">
            <v>24838</v>
          </cell>
          <cell r="AI741" t="str">
            <v>تسنين</v>
          </cell>
          <cell r="AJ741" t="str">
            <v>34239</v>
          </cell>
          <cell r="AS741">
            <v>43500</v>
          </cell>
          <cell r="AT741">
            <v>51</v>
          </cell>
          <cell r="AU741" t="str">
            <v>بطاقه قوميه</v>
          </cell>
          <cell r="AV741" t="str">
            <v>005023014</v>
          </cell>
          <cell r="AW741">
            <v>4</v>
          </cell>
          <cell r="AX741">
            <v>1</v>
          </cell>
          <cell r="AY741">
            <v>0</v>
          </cell>
          <cell r="AZ741">
            <v>3</v>
          </cell>
          <cell r="BA741">
            <v>2</v>
          </cell>
          <cell r="BB741">
            <v>0</v>
          </cell>
          <cell r="BC741">
            <v>5</v>
          </cell>
          <cell r="BD741">
            <v>0</v>
          </cell>
          <cell r="BE741" t="str">
            <v>119-1699985-6</v>
          </cell>
          <cell r="BF741" t="str">
            <v>قسمة بشير محمد</v>
          </cell>
          <cell r="BG741" t="str">
            <v>بحرى</v>
          </cell>
          <cell r="BH741" t="str">
            <v>بحرى - الشعبية جنوب - م 4</v>
          </cell>
          <cell r="BI741" t="str">
            <v>0912960931</v>
          </cell>
          <cell r="BJ741" t="str">
            <v>عبدالعظيم محمد عبدالرحيم</v>
          </cell>
          <cell r="BK741" t="str">
            <v>0960033009</v>
          </cell>
          <cell r="BL741" t="str">
            <v>كبار سن</v>
          </cell>
          <cell r="BN741">
            <v>43500</v>
          </cell>
          <cell r="BS741" t="str">
            <v>إدارة الاعمال</v>
          </cell>
          <cell r="BT741" t="str">
            <v>بكلاريوس</v>
          </cell>
          <cell r="BU741" t="str">
            <v>جامعة النيلين</v>
          </cell>
          <cell r="BV741">
            <v>35796</v>
          </cell>
          <cell r="BW741" t="str">
            <v>حاسوب</v>
          </cell>
          <cell r="BX741" t="str">
            <v>دبلوم (معاهد)</v>
          </cell>
          <cell r="BY741" t="str">
            <v>اكاديمية الدراسات الادارية</v>
          </cell>
          <cell r="BZ741">
            <v>36252</v>
          </cell>
          <cell r="CQ741" t="str">
            <v>شركة الدامر للنقل والاستثمار المحدودة</v>
          </cell>
          <cell r="CR741" t="str">
            <v>موظف شؤون العاملين</v>
          </cell>
          <cell r="CS741">
            <v>37622</v>
          </cell>
          <cell r="CT741">
            <v>40544</v>
          </cell>
          <cell r="CV741" t="str">
            <v>المركز القومى لتاهيل المكفوفين</v>
          </cell>
          <cell r="CW741" t="str">
            <v>مسئول بادارة المشاريع</v>
          </cell>
          <cell r="CX741">
            <v>40909</v>
          </cell>
          <cell r="CY741">
            <v>42370</v>
          </cell>
          <cell r="EQ741">
            <v>0</v>
          </cell>
          <cell r="FG741" t="e">
            <v>#N/A</v>
          </cell>
          <cell r="FH741" t="e">
            <v>#N/A</v>
          </cell>
          <cell r="FI741" t="str">
            <v>119-1699985-6</v>
          </cell>
        </row>
        <row r="742">
          <cell r="A742">
            <v>8081</v>
          </cell>
          <cell r="B742" t="str">
            <v>خليل فرح احمد محمد</v>
          </cell>
          <cell r="C742" t="str">
            <v>خليل</v>
          </cell>
          <cell r="D742" t="str">
            <v>فرح</v>
          </cell>
          <cell r="E742" t="str">
            <v>احمد</v>
          </cell>
          <cell r="F742" t="str">
            <v>محمد</v>
          </cell>
          <cell r="G742" t="str">
            <v>المصنع</v>
          </cell>
          <cell r="H742" t="str">
            <v>الانتاج</v>
          </cell>
          <cell r="I742" t="str">
            <v>المواسير</v>
          </cell>
          <cell r="L742" t="str">
            <v>مشغل كرين</v>
          </cell>
          <cell r="N742">
            <v>43500</v>
          </cell>
          <cell r="O742">
            <v>119</v>
          </cell>
          <cell r="P742">
            <v>1</v>
          </cell>
          <cell r="R742">
            <v>3572.5</v>
          </cell>
          <cell r="T742" t="str">
            <v>m</v>
          </cell>
          <cell r="AS742">
            <v>43500</v>
          </cell>
          <cell r="AT742">
            <v>119</v>
          </cell>
          <cell r="BL742" t="str">
            <v>خاضع للخدمه</v>
          </cell>
          <cell r="BN742">
            <v>43500</v>
          </cell>
          <cell r="EQ742">
            <v>0</v>
          </cell>
          <cell r="FG742" t="str">
            <v xml:space="preserve"> مدير الانتاج</v>
          </cell>
          <cell r="FH742" t="str">
            <v>هشام عيسى محمد عبدالكريم</v>
          </cell>
          <cell r="FI742">
            <v>0</v>
          </cell>
        </row>
        <row r="743">
          <cell r="A743">
            <v>8091</v>
          </cell>
          <cell r="B743" t="str">
            <v>محمد سيف الدين محمد حسين</v>
          </cell>
          <cell r="C743" t="str">
            <v>محمد</v>
          </cell>
          <cell r="D743" t="str">
            <v>سيف الدين</v>
          </cell>
          <cell r="E743" t="str">
            <v>محمد</v>
          </cell>
          <cell r="F743" t="str">
            <v>حسين</v>
          </cell>
          <cell r="G743" t="str">
            <v>السودانى الايطالى</v>
          </cell>
          <cell r="H743" t="str">
            <v>الانتاج</v>
          </cell>
          <cell r="L743" t="str">
            <v>مشغل</v>
          </cell>
          <cell r="N743">
            <v>43500</v>
          </cell>
          <cell r="O743">
            <v>119</v>
          </cell>
          <cell r="P743">
            <v>1</v>
          </cell>
          <cell r="R743">
            <v>3572.5</v>
          </cell>
          <cell r="T743" t="str">
            <v>m</v>
          </cell>
          <cell r="AS743">
            <v>43500</v>
          </cell>
          <cell r="AT743">
            <v>119</v>
          </cell>
          <cell r="BG743" t="str">
            <v>العربى</v>
          </cell>
          <cell r="BL743" t="str">
            <v>خاضع للخدمه</v>
          </cell>
          <cell r="BN743">
            <v>43500</v>
          </cell>
          <cell r="EQ743">
            <v>0</v>
          </cell>
          <cell r="FG743" t="str">
            <v xml:space="preserve"> مدير الانتاج</v>
          </cell>
          <cell r="FH743" t="str">
            <v>هشام عيسى محمد عبدالكريم</v>
          </cell>
          <cell r="FI743">
            <v>0</v>
          </cell>
        </row>
        <row r="744">
          <cell r="A744">
            <v>8092</v>
          </cell>
          <cell r="B744" t="str">
            <v>عماد السنوسي محمد احمد</v>
          </cell>
          <cell r="C744" t="str">
            <v>عماد</v>
          </cell>
          <cell r="D744" t="str">
            <v>السنوسى</v>
          </cell>
          <cell r="E744" t="str">
            <v>محمد</v>
          </cell>
          <cell r="F744" t="str">
            <v>احمد</v>
          </cell>
          <cell r="G744" t="str">
            <v>السودانى الايطالى</v>
          </cell>
          <cell r="H744" t="str">
            <v>الانتاج</v>
          </cell>
          <cell r="L744" t="str">
            <v>مشغل</v>
          </cell>
          <cell r="M744">
            <v>42435</v>
          </cell>
          <cell r="N744">
            <v>43500</v>
          </cell>
          <cell r="O744">
            <v>2</v>
          </cell>
          <cell r="P744">
            <v>10</v>
          </cell>
          <cell r="R744">
            <v>85</v>
          </cell>
          <cell r="Z744">
            <v>27842</v>
          </cell>
          <cell r="AI744" t="str">
            <v>ميلاد</v>
          </cell>
          <cell r="AJ744" t="str">
            <v>256269</v>
          </cell>
          <cell r="AS744">
            <v>43500</v>
          </cell>
          <cell r="AT744">
            <v>42</v>
          </cell>
          <cell r="AU744" t="str">
            <v>جنسيه</v>
          </cell>
          <cell r="AV744" t="str">
            <v>390190</v>
          </cell>
          <cell r="AW744">
            <v>0</v>
          </cell>
          <cell r="AX744">
            <v>9</v>
          </cell>
          <cell r="AY744">
            <v>1</v>
          </cell>
          <cell r="AZ744">
            <v>0</v>
          </cell>
          <cell r="BA744">
            <v>9</v>
          </cell>
          <cell r="BB744">
            <v>3</v>
          </cell>
          <cell r="BE744" t="str">
            <v>119-4200252-8</v>
          </cell>
          <cell r="BF744" t="str">
            <v>عائشه خاف الله</v>
          </cell>
          <cell r="BG744" t="str">
            <v>بحرى</v>
          </cell>
          <cell r="BH744" t="str">
            <v>بحرى - الدروشاب</v>
          </cell>
          <cell r="BI744" t="str">
            <v>0927470515</v>
          </cell>
          <cell r="BJ744" t="str">
            <v>الحارث السنوسى</v>
          </cell>
          <cell r="BL744" t="str">
            <v>خاضع للخدمه</v>
          </cell>
          <cell r="BN744">
            <v>43500</v>
          </cell>
          <cell r="EQ744">
            <v>0</v>
          </cell>
          <cell r="FG744" t="str">
            <v xml:space="preserve"> مدير الانتاج</v>
          </cell>
          <cell r="FH744" t="str">
            <v>هشام عيسى محمد عبدالكريم</v>
          </cell>
          <cell r="FI744" t="str">
            <v>119-4200252-8</v>
          </cell>
        </row>
        <row r="745">
          <cell r="A745">
            <v>8093</v>
          </cell>
          <cell r="B745" t="str">
            <v>حسين حماد فرح الدور موسى</v>
          </cell>
          <cell r="C745" t="str">
            <v>حسين</v>
          </cell>
          <cell r="D745" t="str">
            <v>حماد</v>
          </cell>
          <cell r="E745" t="str">
            <v>فرح الدور</v>
          </cell>
          <cell r="F745" t="str">
            <v>موسى</v>
          </cell>
          <cell r="G745" t="str">
            <v>المصنع</v>
          </cell>
          <cell r="H745" t="str">
            <v>الاليات</v>
          </cell>
          <cell r="L745" t="str">
            <v>فني اليات</v>
          </cell>
          <cell r="M745">
            <v>42481</v>
          </cell>
          <cell r="N745">
            <v>43500</v>
          </cell>
          <cell r="O745">
            <v>2</v>
          </cell>
          <cell r="P745">
            <v>9</v>
          </cell>
          <cell r="R745">
            <v>82.5</v>
          </cell>
          <cell r="Z745">
            <v>30157</v>
          </cell>
          <cell r="AI745" t="str">
            <v>ميلاد</v>
          </cell>
          <cell r="AJ745" t="str">
            <v>182379</v>
          </cell>
          <cell r="AS745">
            <v>43500</v>
          </cell>
          <cell r="AT745">
            <v>36</v>
          </cell>
          <cell r="AU745" t="str">
            <v>بطاقه قوميه</v>
          </cell>
          <cell r="AV745" t="str">
            <v>002245228</v>
          </cell>
          <cell r="AW745">
            <v>8</v>
          </cell>
          <cell r="AX745">
            <v>2</v>
          </cell>
          <cell r="AY745">
            <v>2</v>
          </cell>
          <cell r="AZ745">
            <v>5</v>
          </cell>
          <cell r="BA745">
            <v>4</v>
          </cell>
          <cell r="BB745">
            <v>2</v>
          </cell>
          <cell r="BC745">
            <v>2</v>
          </cell>
          <cell r="BD745">
            <v>0</v>
          </cell>
          <cell r="BE745" t="str">
            <v>114-7760187-2</v>
          </cell>
          <cell r="BF745" t="str">
            <v>فائزه عبد الرحمن</v>
          </cell>
          <cell r="BG745" t="str">
            <v>الكلاكله</v>
          </cell>
          <cell r="BH745" t="str">
            <v>اشلاق الزخيرة</v>
          </cell>
          <cell r="BI745" t="str">
            <v>0913795851</v>
          </cell>
          <cell r="BJ745" t="str">
            <v>فتحى حماد فرح الدور</v>
          </cell>
          <cell r="BK745" t="str">
            <v>0915364957</v>
          </cell>
          <cell r="BL745" t="str">
            <v>خاضع للخدمه</v>
          </cell>
          <cell r="BN745">
            <v>43500</v>
          </cell>
          <cell r="CQ745" t="str">
            <v>مصنع مينا للصناعات الحديدية</v>
          </cell>
          <cell r="CR745" t="str">
            <v>ميكانيكى اليات كبيرة</v>
          </cell>
          <cell r="CS745">
            <v>41579</v>
          </cell>
          <cell r="CT745">
            <v>42248</v>
          </cell>
          <cell r="EQ745">
            <v>30</v>
          </cell>
          <cell r="FG745" t="str">
            <v>مسئول قسم الاليات</v>
          </cell>
          <cell r="FH745" t="str">
            <v>جمال حامد عبد الكريم العبيد</v>
          </cell>
          <cell r="FI745" t="str">
            <v>114-7760187-2</v>
          </cell>
          <cell r="HC745" t="str">
            <v>30</v>
          </cell>
        </row>
        <row r="746">
          <cell r="A746">
            <v>8094</v>
          </cell>
          <cell r="B746" t="str">
            <v>حيدر جمال عبد الله</v>
          </cell>
          <cell r="C746" t="str">
            <v>حيدر</v>
          </cell>
          <cell r="D746" t="str">
            <v>جمال</v>
          </cell>
          <cell r="E746" t="str">
            <v>عبدالله</v>
          </cell>
          <cell r="G746" t="str">
            <v>المصنع</v>
          </cell>
          <cell r="H746" t="str">
            <v>الانتاج</v>
          </cell>
          <cell r="I746" t="str">
            <v>المواسير</v>
          </cell>
          <cell r="L746" t="str">
            <v>مشغل كرين</v>
          </cell>
          <cell r="M746">
            <v>42493</v>
          </cell>
          <cell r="N746">
            <v>43500</v>
          </cell>
          <cell r="O746">
            <v>2</v>
          </cell>
          <cell r="P746">
            <v>9</v>
          </cell>
          <cell r="R746">
            <v>82.5</v>
          </cell>
          <cell r="AS746">
            <v>43500</v>
          </cell>
          <cell r="AT746">
            <v>119</v>
          </cell>
          <cell r="BG746" t="str">
            <v>العربى</v>
          </cell>
          <cell r="BN746">
            <v>43500</v>
          </cell>
          <cell r="EQ746">
            <v>0</v>
          </cell>
          <cell r="FG746" t="str">
            <v xml:space="preserve"> مدير الانتاج</v>
          </cell>
          <cell r="FH746" t="str">
            <v>هشام عيسى محمد عبدالكريم</v>
          </cell>
          <cell r="FI746">
            <v>0</v>
          </cell>
        </row>
        <row r="747">
          <cell r="A747">
            <v>8095</v>
          </cell>
          <cell r="B747" t="str">
            <v>احمد زهير حسن عبدالله</v>
          </cell>
          <cell r="C747" t="str">
            <v>احمد</v>
          </cell>
          <cell r="D747" t="str">
            <v>زهير</v>
          </cell>
          <cell r="E747" t="str">
            <v>حسن</v>
          </cell>
          <cell r="F747" t="str">
            <v>عبدالله</v>
          </cell>
          <cell r="G747" t="str">
            <v>المصنع</v>
          </cell>
          <cell r="H747" t="str">
            <v>الانتاج</v>
          </cell>
          <cell r="I747" t="str">
            <v>الزنك</v>
          </cell>
          <cell r="L747" t="str">
            <v>مشغل</v>
          </cell>
          <cell r="M747">
            <v>42497</v>
          </cell>
          <cell r="N747">
            <v>43500</v>
          </cell>
          <cell r="O747">
            <v>2</v>
          </cell>
          <cell r="P747">
            <v>8</v>
          </cell>
          <cell r="R747">
            <v>80</v>
          </cell>
          <cell r="Z747">
            <v>33508</v>
          </cell>
          <cell r="AI747" t="str">
            <v>ميلاد</v>
          </cell>
          <cell r="AJ747" t="str">
            <v>182749</v>
          </cell>
          <cell r="AS747">
            <v>43500</v>
          </cell>
          <cell r="AT747">
            <v>27</v>
          </cell>
          <cell r="AU747" t="str">
            <v>بطاقه قوميه</v>
          </cell>
          <cell r="AV747" t="str">
            <v>004342393</v>
          </cell>
          <cell r="AW747">
            <v>3</v>
          </cell>
          <cell r="AX747">
            <v>9</v>
          </cell>
          <cell r="AY747">
            <v>3</v>
          </cell>
          <cell r="AZ747">
            <v>2</v>
          </cell>
          <cell r="BA747">
            <v>4</v>
          </cell>
          <cell r="BB747">
            <v>3</v>
          </cell>
          <cell r="BC747">
            <v>4</v>
          </cell>
          <cell r="BD747">
            <v>0</v>
          </cell>
          <cell r="BE747" t="str">
            <v>182-0113106-0</v>
          </cell>
          <cell r="BF747" t="str">
            <v>امنه عابدين حسن</v>
          </cell>
          <cell r="BG747" t="str">
            <v>العربى</v>
          </cell>
          <cell r="BH747" t="str">
            <v>سوبا - الحله</v>
          </cell>
          <cell r="BI747" t="str">
            <v>0910002788</v>
          </cell>
          <cell r="BJ747" t="str">
            <v>الامين زهير</v>
          </cell>
          <cell r="BK747" t="str">
            <v>0911133018</v>
          </cell>
          <cell r="BL747" t="str">
            <v>خاضع للخدمه</v>
          </cell>
          <cell r="BN747">
            <v>43500</v>
          </cell>
          <cell r="EQ747">
            <v>0</v>
          </cell>
          <cell r="FG747" t="str">
            <v xml:space="preserve"> مدير الانتاج</v>
          </cell>
          <cell r="FH747" t="str">
            <v>هشام عيسى محمد عبدالكريم</v>
          </cell>
          <cell r="FI747" t="str">
            <v>182-0113106-0</v>
          </cell>
        </row>
        <row r="748">
          <cell r="A748">
            <v>8096</v>
          </cell>
          <cell r="B748" t="str">
            <v>عبدالقادر عبدالدافع كرار عمر</v>
          </cell>
          <cell r="C748" t="str">
            <v>عبدالقادر</v>
          </cell>
          <cell r="D748" t="str">
            <v>عبدالدافع</v>
          </cell>
          <cell r="E748" t="str">
            <v>كرار</v>
          </cell>
          <cell r="F748" t="str">
            <v>عمر</v>
          </cell>
          <cell r="G748" t="str">
            <v>المصنع</v>
          </cell>
          <cell r="H748" t="str">
            <v>المستودعات</v>
          </cell>
          <cell r="L748" t="str">
            <v>امين مستودع</v>
          </cell>
          <cell r="M748">
            <v>42740</v>
          </cell>
          <cell r="N748">
            <v>43500</v>
          </cell>
          <cell r="O748">
            <v>2</v>
          </cell>
          <cell r="P748">
            <v>0</v>
          </cell>
          <cell r="R748">
            <v>60</v>
          </cell>
          <cell r="Z748">
            <v>33239</v>
          </cell>
          <cell r="AS748">
            <v>43500</v>
          </cell>
          <cell r="AT748">
            <v>28</v>
          </cell>
          <cell r="AU748" t="str">
            <v>بطاقه قوميه</v>
          </cell>
          <cell r="AV748" t="str">
            <v>002967452</v>
          </cell>
          <cell r="AW748">
            <v>2</v>
          </cell>
          <cell r="AX748">
            <v>5</v>
          </cell>
          <cell r="AY748">
            <v>4</v>
          </cell>
          <cell r="AZ748">
            <v>7</v>
          </cell>
          <cell r="BA748">
            <v>6</v>
          </cell>
          <cell r="BB748">
            <v>9</v>
          </cell>
          <cell r="BC748">
            <v>2</v>
          </cell>
          <cell r="BD748">
            <v>0</v>
          </cell>
          <cell r="BE748" t="str">
            <v>115-5353249-0</v>
          </cell>
          <cell r="BF748" t="str">
            <v>عوضيه الشازلى</v>
          </cell>
          <cell r="BG748" t="str">
            <v>الكلاكله</v>
          </cell>
          <cell r="BH748" t="str">
            <v>الكلاكله - القبه</v>
          </cell>
          <cell r="BI748" t="str">
            <v>0995129994</v>
          </cell>
          <cell r="BJ748" t="str">
            <v>محمد محمود</v>
          </cell>
          <cell r="BL748" t="str">
            <v>خاضع للخدمه</v>
          </cell>
          <cell r="BN748">
            <v>43500</v>
          </cell>
          <cell r="EQ748">
            <v>0</v>
          </cell>
          <cell r="FG748" t="str">
            <v>مدير المستودعات</v>
          </cell>
          <cell r="FH748" t="str">
            <v>على احمد على بابكر</v>
          </cell>
          <cell r="FI748" t="str">
            <v>115-5353249-0</v>
          </cell>
        </row>
        <row r="749">
          <cell r="A749">
            <v>8097</v>
          </cell>
          <cell r="B749" t="str">
            <v>على جبر على عبدالله</v>
          </cell>
          <cell r="C749" t="str">
            <v>على</v>
          </cell>
          <cell r="D749" t="str">
            <v>جبر</v>
          </cell>
          <cell r="E749" t="str">
            <v>على</v>
          </cell>
          <cell r="F749" t="str">
            <v>عبدالله</v>
          </cell>
          <cell r="G749" t="str">
            <v>المصنع</v>
          </cell>
          <cell r="H749" t="str">
            <v>المستودعات</v>
          </cell>
          <cell r="M749">
            <v>42749</v>
          </cell>
          <cell r="N749">
            <v>43500</v>
          </cell>
          <cell r="O749">
            <v>2</v>
          </cell>
          <cell r="P749">
            <v>0</v>
          </cell>
          <cell r="R749">
            <v>60</v>
          </cell>
          <cell r="T749" t="str">
            <v>إستقال</v>
          </cell>
          <cell r="U749">
            <v>42865</v>
          </cell>
          <cell r="Z749">
            <v>32415</v>
          </cell>
          <cell r="AI749" t="str">
            <v>ميلاد</v>
          </cell>
          <cell r="AJ749" t="str">
            <v>120808</v>
          </cell>
          <cell r="AS749">
            <v>43500</v>
          </cell>
          <cell r="AT749">
            <v>30</v>
          </cell>
          <cell r="AU749" t="str">
            <v>بطاقه قوميه</v>
          </cell>
          <cell r="AV749" t="str">
            <v>004187228</v>
          </cell>
          <cell r="AW749">
            <v>8</v>
          </cell>
          <cell r="AX749">
            <v>2</v>
          </cell>
          <cell r="AY749">
            <v>2</v>
          </cell>
          <cell r="AZ749">
            <v>7</v>
          </cell>
          <cell r="BA749">
            <v>8</v>
          </cell>
          <cell r="BB749">
            <v>1</v>
          </cell>
          <cell r="BC749">
            <v>4</v>
          </cell>
          <cell r="BD749">
            <v>0</v>
          </cell>
          <cell r="BE749" t="str">
            <v>120-2444065-2</v>
          </cell>
          <cell r="BF749" t="str">
            <v>اميره عبدالرحمن</v>
          </cell>
          <cell r="BG749" t="str">
            <v>بحرى</v>
          </cell>
          <cell r="BH749" t="str">
            <v>امتداد ناصر - م 1</v>
          </cell>
          <cell r="BI749" t="str">
            <v>0999222225</v>
          </cell>
          <cell r="BJ749" t="str">
            <v>جبر على عبدالله</v>
          </cell>
          <cell r="BN749">
            <v>43500</v>
          </cell>
          <cell r="EQ749">
            <v>0</v>
          </cell>
          <cell r="FG749" t="str">
            <v>مدير المستودعات</v>
          </cell>
          <cell r="FH749" t="str">
            <v>على احمد على بابكر</v>
          </cell>
          <cell r="FI749" t="str">
            <v>120-2444065-2</v>
          </cell>
        </row>
        <row r="750">
          <cell r="A750">
            <v>8098</v>
          </cell>
          <cell r="B750" t="str">
            <v>محمد الطيب محمد إسماعيل</v>
          </cell>
          <cell r="C750" t="str">
            <v>محمد</v>
          </cell>
          <cell r="D750" t="str">
            <v>الطيب</v>
          </cell>
          <cell r="E750" t="str">
            <v>محمد</v>
          </cell>
          <cell r="F750" t="str">
            <v>اسماعيل</v>
          </cell>
          <cell r="G750" t="str">
            <v>المصنع</v>
          </cell>
          <cell r="H750" t="str">
            <v>الماليه</v>
          </cell>
          <cell r="L750" t="str">
            <v>محاسب</v>
          </cell>
          <cell r="M750">
            <v>42813</v>
          </cell>
          <cell r="N750">
            <v>43500</v>
          </cell>
          <cell r="O750">
            <v>1</v>
          </cell>
          <cell r="P750">
            <v>10</v>
          </cell>
          <cell r="R750">
            <v>55</v>
          </cell>
          <cell r="T750" t="str">
            <v>m</v>
          </cell>
          <cell r="Z750">
            <v>34964</v>
          </cell>
          <cell r="AI750" t="str">
            <v>ميلاد</v>
          </cell>
          <cell r="AJ750" t="str">
            <v>486365</v>
          </cell>
          <cell r="AS750">
            <v>43500</v>
          </cell>
          <cell r="AT750">
            <v>23</v>
          </cell>
          <cell r="AU750" t="str">
            <v>جنسيه</v>
          </cell>
          <cell r="AV750" t="str">
            <v>0005522</v>
          </cell>
          <cell r="AW750">
            <v>2</v>
          </cell>
          <cell r="AX750">
            <v>2</v>
          </cell>
          <cell r="AY750">
            <v>5</v>
          </cell>
          <cell r="AZ750">
            <v>5</v>
          </cell>
          <cell r="BA750">
            <v>0</v>
          </cell>
          <cell r="BB750">
            <v>0</v>
          </cell>
          <cell r="BC750">
            <v>0</v>
          </cell>
          <cell r="BE750" t="str">
            <v>178-1782396-9</v>
          </cell>
          <cell r="BF750" t="str">
            <v>جواهر محمد عباس</v>
          </cell>
          <cell r="BH750" t="str">
            <v>الخرطوم - جبره</v>
          </cell>
          <cell r="BI750" t="str">
            <v>0925554664</v>
          </cell>
          <cell r="BJ750" t="str">
            <v>الطيب محمد</v>
          </cell>
          <cell r="BK750" t="str">
            <v>0992577752</v>
          </cell>
          <cell r="BL750" t="str">
            <v>خاضع للخدمه</v>
          </cell>
          <cell r="BN750">
            <v>43500</v>
          </cell>
          <cell r="BS750" t="str">
            <v>المحاسبة والتمويل</v>
          </cell>
          <cell r="BT750" t="str">
            <v>بكلاريوس</v>
          </cell>
          <cell r="BU750" t="str">
            <v>جامعة السودان للعلوم والتكنولوجيا</v>
          </cell>
          <cell r="BV750">
            <v>42614</v>
          </cell>
          <cell r="BW750" t="str">
            <v>المحاسبة الالكترونية</v>
          </cell>
          <cell r="BX750" t="str">
            <v>دبلوم (معاهد)</v>
          </cell>
          <cell r="BY750" t="str">
            <v>سوداكاد</v>
          </cell>
          <cell r="BZ750">
            <v>42710</v>
          </cell>
          <cell r="CQ750" t="str">
            <v>ديوان الضرائب</v>
          </cell>
          <cell r="CR750" t="str">
            <v>متدرب</v>
          </cell>
          <cell r="CS750">
            <v>42297</v>
          </cell>
          <cell r="CT750">
            <v>42330</v>
          </cell>
          <cell r="EQ750">
            <v>0</v>
          </cell>
          <cell r="FG750" t="str">
            <v>المدير المالي</v>
          </cell>
          <cell r="FH750" t="str">
            <v>بالانابه</v>
          </cell>
          <cell r="FI750" t="str">
            <v>178-1782396-9</v>
          </cell>
        </row>
        <row r="751">
          <cell r="A751">
            <v>8099</v>
          </cell>
          <cell r="B751" t="str">
            <v>المقداد صالح سليمان حمد</v>
          </cell>
          <cell r="C751" t="str">
            <v>المقداد</v>
          </cell>
          <cell r="D751" t="str">
            <v>صالح</v>
          </cell>
          <cell r="E751" t="str">
            <v>سليمان</v>
          </cell>
          <cell r="F751" t="str">
            <v>حمد</v>
          </cell>
          <cell r="G751" t="str">
            <v>المصنع</v>
          </cell>
          <cell r="H751" t="str">
            <v>الموارد البشريه</v>
          </cell>
          <cell r="L751" t="str">
            <v>موظف موارد بشريه</v>
          </cell>
          <cell r="M751">
            <v>42826</v>
          </cell>
          <cell r="N751">
            <v>43500</v>
          </cell>
          <cell r="O751">
            <v>1</v>
          </cell>
          <cell r="P751">
            <v>10</v>
          </cell>
          <cell r="R751">
            <v>55</v>
          </cell>
          <cell r="Z751">
            <v>34582</v>
          </cell>
          <cell r="AS751">
            <v>43500</v>
          </cell>
          <cell r="AT751">
            <v>24</v>
          </cell>
          <cell r="AU751" t="str">
            <v>بطاقه قوميه</v>
          </cell>
          <cell r="AV751" t="str">
            <v>005129691</v>
          </cell>
          <cell r="AW751">
            <v>1</v>
          </cell>
          <cell r="AX751">
            <v>9</v>
          </cell>
          <cell r="AY751">
            <v>6</v>
          </cell>
          <cell r="AZ751">
            <v>9</v>
          </cell>
          <cell r="BA751">
            <v>2</v>
          </cell>
          <cell r="BB751">
            <v>1</v>
          </cell>
          <cell r="BC751">
            <v>5</v>
          </cell>
          <cell r="BD751">
            <v>0</v>
          </cell>
          <cell r="BE751" t="str">
            <v>185-7929967-3</v>
          </cell>
          <cell r="BF751" t="str">
            <v>فاطمه صالح سيد</v>
          </cell>
          <cell r="BG751" t="str">
            <v>العربى</v>
          </cell>
          <cell r="BH751" t="str">
            <v>الديم</v>
          </cell>
          <cell r="BI751" t="str">
            <v>0911233992</v>
          </cell>
          <cell r="BJ751" t="str">
            <v>عماد الدين حمزه</v>
          </cell>
          <cell r="BK751" t="str">
            <v>0967060912</v>
          </cell>
          <cell r="BL751" t="str">
            <v>خاضع للخدمه</v>
          </cell>
          <cell r="BN751">
            <v>43500</v>
          </cell>
          <cell r="EQ751">
            <v>0</v>
          </cell>
          <cell r="FG751" t="str">
            <v>نائب مدير الموارد المكلف</v>
          </cell>
          <cell r="FH751" t="str">
            <v>محمد على عبدالرحيم ابوبكر</v>
          </cell>
          <cell r="FI751" t="str">
            <v>185-7929967-3</v>
          </cell>
        </row>
        <row r="752">
          <cell r="A752">
            <v>8100</v>
          </cell>
          <cell r="B752" t="str">
            <v>الطيب عبدالرحمن جمعه الطيب</v>
          </cell>
          <cell r="C752" t="str">
            <v>الطيب</v>
          </cell>
          <cell r="D752" t="str">
            <v>عبدالرحمن</v>
          </cell>
          <cell r="E752" t="str">
            <v>جمعه</v>
          </cell>
          <cell r="F752" t="str">
            <v>الطيب</v>
          </cell>
          <cell r="G752" t="str">
            <v>المصنع</v>
          </cell>
          <cell r="H752" t="str">
            <v>الانتاج</v>
          </cell>
          <cell r="I752" t="str">
            <v>الاكسبنده</v>
          </cell>
          <cell r="L752" t="str">
            <v>عامل</v>
          </cell>
          <cell r="M752">
            <v>42598</v>
          </cell>
          <cell r="N752">
            <v>43500</v>
          </cell>
          <cell r="O752">
            <v>2</v>
          </cell>
          <cell r="P752">
            <v>5</v>
          </cell>
          <cell r="R752">
            <v>72.5</v>
          </cell>
          <cell r="AS752">
            <v>43500</v>
          </cell>
          <cell r="AT752">
            <v>119</v>
          </cell>
          <cell r="BG752" t="str">
            <v>العربى</v>
          </cell>
          <cell r="BL752" t="str">
            <v>خاضع للخدمه</v>
          </cell>
          <cell r="BN752">
            <v>43500</v>
          </cell>
          <cell r="EQ752">
            <v>0</v>
          </cell>
          <cell r="FG752" t="str">
            <v xml:space="preserve"> مدير الانتاج</v>
          </cell>
          <cell r="FH752" t="str">
            <v>هشام عيسى محمد عبدالكريم</v>
          </cell>
          <cell r="FI752">
            <v>0</v>
          </cell>
        </row>
        <row r="753">
          <cell r="A753">
            <v>8101</v>
          </cell>
          <cell r="B753" t="str">
            <v>العتيبه صديق محمد صالح</v>
          </cell>
          <cell r="C753" t="str">
            <v>العتيبه</v>
          </cell>
          <cell r="D753" t="str">
            <v>صديق</v>
          </cell>
          <cell r="E753" t="str">
            <v>محمد</v>
          </cell>
          <cell r="F753" t="str">
            <v>صالح</v>
          </cell>
          <cell r="G753" t="str">
            <v>المصنع</v>
          </cell>
          <cell r="H753" t="str">
            <v>الكهرباء</v>
          </cell>
          <cell r="M753">
            <v>42988</v>
          </cell>
          <cell r="N753">
            <v>43500</v>
          </cell>
          <cell r="O753">
            <v>1</v>
          </cell>
          <cell r="P753">
            <v>4</v>
          </cell>
          <cell r="R753">
            <v>40</v>
          </cell>
          <cell r="T753" t="str">
            <v>m</v>
          </cell>
          <cell r="AS753">
            <v>43500</v>
          </cell>
          <cell r="AT753">
            <v>119</v>
          </cell>
          <cell r="BN753">
            <v>43500</v>
          </cell>
          <cell r="EQ753">
            <v>0</v>
          </cell>
          <cell r="FG753" t="str">
            <v>مدير الصيانه الكهربائيه</v>
          </cell>
          <cell r="FH753" t="str">
            <v>ماهر ضيف الله سليمان جابر</v>
          </cell>
          <cell r="FI753">
            <v>0</v>
          </cell>
        </row>
        <row r="754">
          <cell r="A754">
            <v>8102</v>
          </cell>
          <cell r="B754" t="str">
            <v>عبد الحميد حسن على الطائف</v>
          </cell>
          <cell r="C754" t="str">
            <v>عبدالحميد</v>
          </cell>
          <cell r="D754" t="str">
            <v>حسن</v>
          </cell>
          <cell r="E754" t="str">
            <v>على</v>
          </cell>
          <cell r="F754" t="str">
            <v>الطائف</v>
          </cell>
          <cell r="G754" t="str">
            <v>المصنع</v>
          </cell>
          <cell r="H754" t="str">
            <v>الانتاج</v>
          </cell>
          <cell r="I754" t="str">
            <v>الاليات</v>
          </cell>
          <cell r="L754" t="str">
            <v>سائق رافعة شوكية</v>
          </cell>
          <cell r="M754">
            <v>42996</v>
          </cell>
          <cell r="N754">
            <v>43500</v>
          </cell>
          <cell r="O754">
            <v>1</v>
          </cell>
          <cell r="P754">
            <v>4</v>
          </cell>
          <cell r="R754">
            <v>40</v>
          </cell>
          <cell r="Z754">
            <v>31327</v>
          </cell>
          <cell r="AI754" t="str">
            <v>ميلاد</v>
          </cell>
          <cell r="AJ754" t="str">
            <v>932486</v>
          </cell>
          <cell r="AS754">
            <v>43500</v>
          </cell>
          <cell r="AT754">
            <v>33</v>
          </cell>
          <cell r="AU754" t="str">
            <v>بطاقه قوميه</v>
          </cell>
          <cell r="AV754" t="str">
            <v>002540651</v>
          </cell>
          <cell r="AW754">
            <v>1</v>
          </cell>
          <cell r="AX754">
            <v>5</v>
          </cell>
          <cell r="AY754">
            <v>6</v>
          </cell>
          <cell r="AZ754">
            <v>0</v>
          </cell>
          <cell r="BA754">
            <v>4</v>
          </cell>
          <cell r="BB754">
            <v>5</v>
          </cell>
          <cell r="BC754">
            <v>2</v>
          </cell>
          <cell r="BD754">
            <v>0</v>
          </cell>
          <cell r="BE754" t="str">
            <v>119-5912522-5</v>
          </cell>
          <cell r="BF754" t="str">
            <v>امنه عبد الكريم العبيد</v>
          </cell>
          <cell r="BG754" t="str">
            <v>جبره</v>
          </cell>
          <cell r="BH754" t="str">
            <v>جبره</v>
          </cell>
          <cell r="BI754" t="str">
            <v>0911902880</v>
          </cell>
          <cell r="BJ754" t="str">
            <v>حسن على الطائق</v>
          </cell>
          <cell r="BK754" t="str">
            <v>0122289109</v>
          </cell>
          <cell r="BL754" t="str">
            <v>خاضع للخدمه</v>
          </cell>
          <cell r="BN754">
            <v>43500</v>
          </cell>
          <cell r="CQ754" t="str">
            <v>إدوارد للحديد</v>
          </cell>
          <cell r="CR754" t="str">
            <v>سائق فوركلفت</v>
          </cell>
          <cell r="CS754">
            <v>37514</v>
          </cell>
          <cell r="CT754">
            <v>38656</v>
          </cell>
          <cell r="CV754" t="str">
            <v>مصنع الجودة للحديد والصلب</v>
          </cell>
          <cell r="CW754" t="str">
            <v>سائق فور كلفت</v>
          </cell>
          <cell r="CX754">
            <v>38699</v>
          </cell>
          <cell r="CY754">
            <v>39428</v>
          </cell>
          <cell r="DA754" t="str">
            <v>المصنع الليبى لتصنيع منتجات الحديد</v>
          </cell>
          <cell r="DB754" t="str">
            <v>سائق رافعة شوكية</v>
          </cell>
          <cell r="DC754">
            <v>39490</v>
          </cell>
          <cell r="DD754">
            <v>39856</v>
          </cell>
          <cell r="DF754" t="str">
            <v>مصنع مينا للصناعات الحديدية</v>
          </cell>
          <cell r="DG754" t="str">
            <v>سائق فور كلفت</v>
          </cell>
          <cell r="DH754">
            <v>40678</v>
          </cell>
          <cell r="DI754">
            <v>41676</v>
          </cell>
          <cell r="EQ754">
            <v>0</v>
          </cell>
          <cell r="FG754" t="str">
            <v xml:space="preserve"> مدير الانتاج</v>
          </cell>
          <cell r="FH754" t="str">
            <v>هشام عيسى محمد عبدالكريم</v>
          </cell>
          <cell r="FI754" t="str">
            <v>119-5912522-5</v>
          </cell>
        </row>
        <row r="755">
          <cell r="A755">
            <v>8103</v>
          </cell>
          <cell r="B755" t="str">
            <v>الصادق ضحيه مطر محمد</v>
          </cell>
          <cell r="C755" t="str">
            <v>الصادق</v>
          </cell>
          <cell r="D755" t="str">
            <v>ضحيه</v>
          </cell>
          <cell r="E755" t="str">
            <v>مطر</v>
          </cell>
          <cell r="F755" t="str">
            <v>محمد</v>
          </cell>
          <cell r="G755" t="str">
            <v>المصنع</v>
          </cell>
          <cell r="H755" t="str">
            <v>الاليات</v>
          </cell>
          <cell r="L755" t="str">
            <v>فنى صيانه + سائق اليات</v>
          </cell>
          <cell r="M755">
            <v>43102</v>
          </cell>
          <cell r="N755">
            <v>43500</v>
          </cell>
          <cell r="O755">
            <v>1</v>
          </cell>
          <cell r="P755">
            <v>1</v>
          </cell>
          <cell r="R755">
            <v>32.5</v>
          </cell>
          <cell r="Z755">
            <v>30682</v>
          </cell>
          <cell r="AI755" t="str">
            <v>تسنين</v>
          </cell>
          <cell r="AJ755" t="str">
            <v>2227880</v>
          </cell>
          <cell r="AS755">
            <v>43500</v>
          </cell>
          <cell r="AT755">
            <v>35</v>
          </cell>
          <cell r="AU755" t="str">
            <v>بطاقه قوميه</v>
          </cell>
          <cell r="AV755" t="str">
            <v>003294719</v>
          </cell>
          <cell r="AW755">
            <v>9</v>
          </cell>
          <cell r="AX755">
            <v>1</v>
          </cell>
          <cell r="AY755">
            <v>7</v>
          </cell>
          <cell r="AZ755">
            <v>4</v>
          </cell>
          <cell r="BA755">
            <v>9</v>
          </cell>
          <cell r="BB755">
            <v>2</v>
          </cell>
          <cell r="BC755">
            <v>3</v>
          </cell>
          <cell r="BD755">
            <v>0</v>
          </cell>
          <cell r="BE755" t="str">
            <v>115-2760504-4</v>
          </cell>
          <cell r="BF755" t="str">
            <v>عايده الجعلى محمد</v>
          </cell>
          <cell r="BG755" t="str">
            <v>العربى</v>
          </cell>
          <cell r="BH755" t="str">
            <v>سوبا - الاراضى</v>
          </cell>
          <cell r="BI755" t="str">
            <v>0918746116</v>
          </cell>
          <cell r="BJ755" t="str">
            <v>جمال حامد</v>
          </cell>
          <cell r="BL755" t="str">
            <v>خاضع للخدمه</v>
          </cell>
          <cell r="BN755">
            <v>43500</v>
          </cell>
          <cell r="CQ755" t="str">
            <v>مصنع مينا للصناعات الحديدية</v>
          </cell>
          <cell r="CR755" t="str">
            <v>فنى + سائق اليات + مشتروات</v>
          </cell>
          <cell r="CS755">
            <v>37348</v>
          </cell>
          <cell r="CT755">
            <v>42198</v>
          </cell>
          <cell r="EQ755">
            <v>0</v>
          </cell>
          <cell r="FG755" t="str">
            <v>مسئول قسم الاليات</v>
          </cell>
          <cell r="FH755" t="str">
            <v>جمال حامد عبد الكريم العبيد</v>
          </cell>
          <cell r="FI755" t="str">
            <v>115-2760504-4</v>
          </cell>
        </row>
        <row r="756">
          <cell r="A756">
            <v>8104</v>
          </cell>
          <cell r="B756" t="str">
            <v>بابكر محمد عبد القادر ابراهيم</v>
          </cell>
          <cell r="C756" t="str">
            <v>بابكر</v>
          </cell>
          <cell r="D756" t="str">
            <v>محمد</v>
          </cell>
          <cell r="E756" t="str">
            <v>عبدالقادر</v>
          </cell>
          <cell r="F756" t="str">
            <v>ابراهيم</v>
          </cell>
          <cell r="G756" t="str">
            <v>المصنع</v>
          </cell>
          <cell r="H756" t="str">
            <v>الانتاج</v>
          </cell>
          <cell r="L756" t="str">
            <v>عامل</v>
          </cell>
          <cell r="M756">
            <v>43103</v>
          </cell>
          <cell r="N756">
            <v>43500</v>
          </cell>
          <cell r="O756">
            <v>1</v>
          </cell>
          <cell r="P756">
            <v>1</v>
          </cell>
          <cell r="R756">
            <v>32.5</v>
          </cell>
          <cell r="Z756">
            <v>34700</v>
          </cell>
          <cell r="AI756" t="str">
            <v>تسنين</v>
          </cell>
          <cell r="AJ756" t="str">
            <v>1561359</v>
          </cell>
          <cell r="AS756">
            <v>43500</v>
          </cell>
          <cell r="AT756">
            <v>24</v>
          </cell>
          <cell r="BE756" t="str">
            <v>116-1475377-2</v>
          </cell>
          <cell r="BF756" t="str">
            <v>ام عزين موسى</v>
          </cell>
          <cell r="BG756" t="str">
            <v>العربى</v>
          </cell>
          <cell r="BH756" t="str">
            <v>امدرمان - امبده - ح 10</v>
          </cell>
          <cell r="BI756" t="str">
            <v>0960079987</v>
          </cell>
          <cell r="BJ756" t="str">
            <v>عبد القادر محمد</v>
          </cell>
          <cell r="BK756" t="str">
            <v>0917619929</v>
          </cell>
          <cell r="BL756" t="str">
            <v>خاضع للخدمه</v>
          </cell>
          <cell r="BN756">
            <v>43500</v>
          </cell>
          <cell r="BS756" t="str">
            <v>هندسة زراعة</v>
          </cell>
          <cell r="BT756" t="str">
            <v>بكلاريوس الشرف</v>
          </cell>
          <cell r="BU756" t="str">
            <v>جامعة السودان للعلوم والتكنولوجيا</v>
          </cell>
          <cell r="BV756">
            <v>43076</v>
          </cell>
          <cell r="EQ756">
            <v>0</v>
          </cell>
          <cell r="FG756" t="e">
            <v>#N/A</v>
          </cell>
          <cell r="FH756" t="e">
            <v>#N/A</v>
          </cell>
          <cell r="FI756" t="str">
            <v>116-1475377-2</v>
          </cell>
        </row>
        <row r="757">
          <cell r="A757">
            <v>8105</v>
          </cell>
          <cell r="B757" t="str">
            <v>محمد فضل طمبل فضل</v>
          </cell>
          <cell r="C757" t="str">
            <v>محمد</v>
          </cell>
          <cell r="D757" t="str">
            <v>فضل</v>
          </cell>
          <cell r="E757" t="str">
            <v>طمبل</v>
          </cell>
          <cell r="F757" t="str">
            <v>فضل</v>
          </cell>
          <cell r="G757" t="str">
            <v>المصنع</v>
          </cell>
          <cell r="H757" t="str">
            <v>الانتاج</v>
          </cell>
          <cell r="I757" t="str">
            <v>الزنك</v>
          </cell>
          <cell r="L757" t="str">
            <v>فورمان</v>
          </cell>
          <cell r="M757">
            <v>43150</v>
          </cell>
          <cell r="N757">
            <v>43500</v>
          </cell>
          <cell r="O757">
            <v>0</v>
          </cell>
          <cell r="P757">
            <v>11</v>
          </cell>
          <cell r="R757">
            <v>27.5</v>
          </cell>
          <cell r="X757">
            <v>41461</v>
          </cell>
          <cell r="Z757">
            <v>34530</v>
          </cell>
          <cell r="AI757" t="str">
            <v>ميلاد بالخارج</v>
          </cell>
          <cell r="AJ757" t="str">
            <v>16</v>
          </cell>
          <cell r="AS757">
            <v>43500</v>
          </cell>
          <cell r="AT757">
            <v>24</v>
          </cell>
          <cell r="AU757" t="str">
            <v>بطاقه قوميه</v>
          </cell>
          <cell r="AV757" t="str">
            <v>000521901</v>
          </cell>
          <cell r="AW757">
            <v>1</v>
          </cell>
          <cell r="AX757">
            <v>0</v>
          </cell>
          <cell r="AY757">
            <v>9</v>
          </cell>
          <cell r="AZ757">
            <v>1</v>
          </cell>
          <cell r="BA757">
            <v>2</v>
          </cell>
          <cell r="BB757">
            <v>5</v>
          </cell>
          <cell r="BC757">
            <v>0</v>
          </cell>
          <cell r="BD757">
            <v>0</v>
          </cell>
          <cell r="BE757" t="str">
            <v>112-6923613-0</v>
          </cell>
          <cell r="BF757" t="str">
            <v>نفيسه الناير احمد</v>
          </cell>
          <cell r="BG757" t="str">
            <v>جبره</v>
          </cell>
          <cell r="BH757" t="str">
            <v>جبره</v>
          </cell>
          <cell r="BI757" t="str">
            <v>0960302228</v>
          </cell>
          <cell r="BJ757" t="str">
            <v>محمد الياس</v>
          </cell>
          <cell r="BL757" t="str">
            <v>خاضع للخدمه</v>
          </cell>
          <cell r="BN757">
            <v>43500</v>
          </cell>
          <cell r="EQ757">
            <v>0</v>
          </cell>
          <cell r="FG757" t="str">
            <v xml:space="preserve"> مدير الانتاج</v>
          </cell>
          <cell r="FH757" t="str">
            <v>هشام عيسى محمد عبدالكريم</v>
          </cell>
          <cell r="FI757" t="str">
            <v>112-6923613-0</v>
          </cell>
        </row>
        <row r="758">
          <cell r="A758">
            <v>8106</v>
          </cell>
          <cell r="B758" t="str">
            <v>محمد احمد موسى حسن</v>
          </cell>
          <cell r="C758" t="str">
            <v>محمد</v>
          </cell>
          <cell r="D758" t="str">
            <v>احمد</v>
          </cell>
          <cell r="E758" t="str">
            <v>موسى</v>
          </cell>
          <cell r="F758" t="str">
            <v>حسن</v>
          </cell>
          <cell r="G758" t="str">
            <v>المصنع</v>
          </cell>
          <cell r="H758" t="str">
            <v>الانتاج</v>
          </cell>
          <cell r="I758" t="str">
            <v>الاكسبنده</v>
          </cell>
          <cell r="K758" t="str">
            <v>عامل</v>
          </cell>
          <cell r="L758" t="str">
            <v>مشغل</v>
          </cell>
          <cell r="M758">
            <v>43180</v>
          </cell>
          <cell r="N758">
            <v>43500</v>
          </cell>
          <cell r="O758">
            <v>0</v>
          </cell>
          <cell r="P758">
            <v>10</v>
          </cell>
          <cell r="R758">
            <v>25</v>
          </cell>
          <cell r="Z758">
            <v>29221</v>
          </cell>
          <cell r="AI758" t="str">
            <v>تسنين</v>
          </cell>
          <cell r="AJ758" t="str">
            <v>39262</v>
          </cell>
          <cell r="AS758">
            <v>43500</v>
          </cell>
          <cell r="AT758">
            <v>39</v>
          </cell>
          <cell r="AU758" t="str">
            <v>بطاقه قوميه</v>
          </cell>
          <cell r="AV758" t="str">
            <v>002421888</v>
          </cell>
          <cell r="AW758">
            <v>8</v>
          </cell>
          <cell r="AX758">
            <v>8</v>
          </cell>
          <cell r="AY758">
            <v>8</v>
          </cell>
          <cell r="AZ758">
            <v>1</v>
          </cell>
          <cell r="BA758">
            <v>2</v>
          </cell>
          <cell r="BB758">
            <v>4</v>
          </cell>
          <cell r="BC758">
            <v>2</v>
          </cell>
          <cell r="BD758">
            <v>0</v>
          </cell>
          <cell r="BE758" t="str">
            <v>114-5473078-3</v>
          </cell>
          <cell r="BF758" t="str">
            <v>امينه يوسف إدريس</v>
          </cell>
          <cell r="BG758" t="str">
            <v>جبره</v>
          </cell>
          <cell r="BH758" t="str">
            <v>جبره - م 26</v>
          </cell>
          <cell r="BI758" t="str">
            <v>0909241338</v>
          </cell>
          <cell r="BJ758" t="str">
            <v>احمد محمد موسى</v>
          </cell>
          <cell r="BL758" t="str">
            <v>خاضع للخدمه</v>
          </cell>
          <cell r="BN758">
            <v>43500</v>
          </cell>
          <cell r="CQ758" t="str">
            <v>ادوارد إستيل لتشكيل المعادن</v>
          </cell>
          <cell r="CR758" t="str">
            <v>فنى اكسبندة</v>
          </cell>
          <cell r="CS758">
            <v>41974</v>
          </cell>
          <cell r="CT758">
            <v>43010</v>
          </cell>
          <cell r="CV758" t="str">
            <v>المصنع المصري للمنتجات الحديدية</v>
          </cell>
          <cell r="CW758" t="str">
            <v>فنى اكسبندة</v>
          </cell>
          <cell r="CX758">
            <v>41681</v>
          </cell>
          <cell r="CY758">
            <v>41973</v>
          </cell>
          <cell r="DA758" t="str">
            <v>ايدوارد إستيل لتشكيل المعادن</v>
          </cell>
          <cell r="DB758" t="str">
            <v>مشغل اكسبندة</v>
          </cell>
          <cell r="DC758">
            <v>38565</v>
          </cell>
          <cell r="DD758">
            <v>39615</v>
          </cell>
          <cell r="DF758" t="str">
            <v>المصنع الليبى لتصنيع منتجات الحديد</v>
          </cell>
          <cell r="DG758" t="str">
            <v>فنى تشغيل اكسبندة</v>
          </cell>
          <cell r="DH758">
            <v>40940</v>
          </cell>
          <cell r="DI758">
            <v>41764</v>
          </cell>
          <cell r="EQ758">
            <v>0</v>
          </cell>
          <cell r="FG758" t="str">
            <v xml:space="preserve"> مدير الانتاج</v>
          </cell>
          <cell r="FH758" t="str">
            <v>هشام عيسى محمد عبدالكريم</v>
          </cell>
          <cell r="FI758" t="str">
            <v>114-5473078-3</v>
          </cell>
        </row>
        <row r="759">
          <cell r="A759">
            <v>8107</v>
          </cell>
          <cell r="B759" t="str">
            <v>عادل جمال</v>
          </cell>
          <cell r="G759" t="str">
            <v>المصنع</v>
          </cell>
          <cell r="H759" t="str">
            <v>الانتاج</v>
          </cell>
          <cell r="I759" t="str">
            <v>المواسير</v>
          </cell>
          <cell r="L759" t="str">
            <v>مشغل كرين</v>
          </cell>
          <cell r="M759">
            <v>43252</v>
          </cell>
          <cell r="O759" t="e">
            <v>#NUM!</v>
          </cell>
          <cell r="P759" t="e">
            <v>#NUM!</v>
          </cell>
          <cell r="R759" t="e">
            <v>#NUM!</v>
          </cell>
          <cell r="AS759">
            <v>43500</v>
          </cell>
          <cell r="AT759">
            <v>119</v>
          </cell>
          <cell r="BN759">
            <v>43500</v>
          </cell>
          <cell r="EQ759">
            <v>0</v>
          </cell>
          <cell r="FG759" t="str">
            <v xml:space="preserve"> مدير الانتاج</v>
          </cell>
          <cell r="FH759" t="str">
            <v>هشام عيسى محمد عبدالكريم</v>
          </cell>
          <cell r="FI759">
            <v>0</v>
          </cell>
        </row>
        <row r="760">
          <cell r="A760">
            <v>8109</v>
          </cell>
          <cell r="B760" t="str">
            <v>عبدالرحمن ساكن حسن ابكر</v>
          </cell>
          <cell r="C760" t="str">
            <v>عبدالرحمن</v>
          </cell>
          <cell r="D760" t="str">
            <v>ساكن</v>
          </cell>
          <cell r="E760" t="str">
            <v>حسن</v>
          </cell>
          <cell r="F760" t="str">
            <v>ابكر</v>
          </cell>
          <cell r="G760" t="str">
            <v>المصنع</v>
          </cell>
          <cell r="H760" t="str">
            <v>الانتاج</v>
          </cell>
          <cell r="I760" t="str">
            <v>الاليات</v>
          </cell>
          <cell r="K760" t="str">
            <v>سائق اليات</v>
          </cell>
          <cell r="L760" t="str">
            <v>سائق اليات</v>
          </cell>
          <cell r="M760">
            <v>43421</v>
          </cell>
          <cell r="O760" t="e">
            <v>#NUM!</v>
          </cell>
          <cell r="P760" t="e">
            <v>#NUM!</v>
          </cell>
          <cell r="R760" t="e">
            <v>#NUM!</v>
          </cell>
          <cell r="AS760">
            <v>43500</v>
          </cell>
          <cell r="AT760">
            <v>119</v>
          </cell>
          <cell r="BE760" t="str">
            <v>120-8293145-4</v>
          </cell>
          <cell r="BF760" t="str">
            <v>فاطمة حماد بخيت</v>
          </cell>
          <cell r="BG760" t="str">
            <v>الكلاكله</v>
          </cell>
          <cell r="BH760" t="str">
            <v>طيبة الحسناب</v>
          </cell>
          <cell r="BI760" t="str">
            <v>0960514729</v>
          </cell>
          <cell r="BJ760" t="str">
            <v>هناء ابكر</v>
          </cell>
          <cell r="BK760" t="str">
            <v>0916931779</v>
          </cell>
          <cell r="BL760" t="str">
            <v>خاضع للخدمه</v>
          </cell>
          <cell r="BN760">
            <v>43500</v>
          </cell>
          <cell r="EQ760">
            <v>0</v>
          </cell>
          <cell r="FG760" t="str">
            <v xml:space="preserve"> مدير الانتاج</v>
          </cell>
          <cell r="FH760" t="str">
            <v>هشام عيسى محمد عبدالكريم</v>
          </cell>
          <cell r="FI760" t="str">
            <v>120-8293145-4</v>
          </cell>
        </row>
        <row r="761">
          <cell r="A761">
            <v>8501</v>
          </cell>
          <cell r="B761" t="str">
            <v>الطاهر على محمد</v>
          </cell>
          <cell r="C761" t="str">
            <v>الطاهر</v>
          </cell>
          <cell r="D761" t="str">
            <v>على</v>
          </cell>
          <cell r="E761" t="str">
            <v>محمد</v>
          </cell>
          <cell r="G761" t="str">
            <v>المكتب الاقليمي</v>
          </cell>
          <cell r="H761" t="str">
            <v>الاداره</v>
          </cell>
          <cell r="L761" t="str">
            <v>مدير المكتب الاقليمي</v>
          </cell>
          <cell r="M761">
            <v>42005</v>
          </cell>
          <cell r="N761">
            <v>43500</v>
          </cell>
          <cell r="O761">
            <v>4</v>
          </cell>
          <cell r="P761">
            <v>1</v>
          </cell>
          <cell r="R761">
            <v>122.5</v>
          </cell>
          <cell r="AG761">
            <v>9</v>
          </cell>
          <cell r="AH761">
            <v>1</v>
          </cell>
          <cell r="AS761">
            <v>43500</v>
          </cell>
          <cell r="AT761">
            <v>119</v>
          </cell>
          <cell r="BN761">
            <v>43500</v>
          </cell>
          <cell r="EQ761">
            <v>0</v>
          </cell>
          <cell r="FG761" t="str">
            <v>المدير الادارى</v>
          </cell>
          <cell r="FH761" t="str">
            <v>احمد عبدالرحيم ابوبكر محمد</v>
          </cell>
          <cell r="FI761">
            <v>0</v>
          </cell>
        </row>
        <row r="762">
          <cell r="A762">
            <v>8502</v>
          </cell>
          <cell r="B762" t="str">
            <v>محمد  حسن عثمان صالح</v>
          </cell>
          <cell r="C762" t="str">
            <v>محمد</v>
          </cell>
          <cell r="D762" t="str">
            <v>حسن</v>
          </cell>
          <cell r="E762" t="str">
            <v>عثمان</v>
          </cell>
          <cell r="F762" t="str">
            <v>صالح</v>
          </cell>
          <cell r="G762" t="str">
            <v>المكتب الاقليمي</v>
          </cell>
          <cell r="H762" t="str">
            <v>التخليص</v>
          </cell>
          <cell r="L762" t="str">
            <v>مخلص</v>
          </cell>
          <cell r="M762">
            <v>42005</v>
          </cell>
          <cell r="N762">
            <v>43500</v>
          </cell>
          <cell r="O762">
            <v>4</v>
          </cell>
          <cell r="P762">
            <v>1</v>
          </cell>
          <cell r="R762">
            <v>122.5</v>
          </cell>
          <cell r="Z762">
            <v>22649</v>
          </cell>
          <cell r="AG762">
            <v>9</v>
          </cell>
          <cell r="AH762">
            <v>1</v>
          </cell>
          <cell r="AS762">
            <v>43500</v>
          </cell>
          <cell r="AT762">
            <v>57</v>
          </cell>
          <cell r="BN762">
            <v>43500</v>
          </cell>
          <cell r="EQ762">
            <v>0</v>
          </cell>
          <cell r="FG762" t="e">
            <v>#N/A</v>
          </cell>
          <cell r="FH762" t="e">
            <v>#N/A</v>
          </cell>
          <cell r="FI762">
            <v>0</v>
          </cell>
        </row>
        <row r="763">
          <cell r="A763">
            <v>8503</v>
          </cell>
          <cell r="B763" t="str">
            <v>على الطاهر على محمد</v>
          </cell>
          <cell r="C763" t="str">
            <v>على</v>
          </cell>
          <cell r="D763" t="str">
            <v>الطاهر</v>
          </cell>
          <cell r="E763" t="str">
            <v>على</v>
          </cell>
          <cell r="F763" t="str">
            <v>محمد</v>
          </cell>
          <cell r="G763" t="str">
            <v>المكتب الاقليمي</v>
          </cell>
          <cell r="H763" t="str">
            <v>التخليص</v>
          </cell>
          <cell r="L763" t="str">
            <v>مخلص</v>
          </cell>
          <cell r="M763">
            <v>42005</v>
          </cell>
          <cell r="N763">
            <v>43500</v>
          </cell>
          <cell r="O763">
            <v>4</v>
          </cell>
          <cell r="P763">
            <v>1</v>
          </cell>
          <cell r="R763">
            <v>122.5</v>
          </cell>
          <cell r="Z763">
            <v>31456</v>
          </cell>
          <cell r="AG763">
            <v>9</v>
          </cell>
          <cell r="AH763">
            <v>1</v>
          </cell>
          <cell r="AS763">
            <v>43500</v>
          </cell>
          <cell r="AT763">
            <v>32</v>
          </cell>
          <cell r="BN763">
            <v>43500</v>
          </cell>
          <cell r="EQ763">
            <v>0</v>
          </cell>
          <cell r="FG763" t="e">
            <v>#N/A</v>
          </cell>
          <cell r="FH763" t="e">
            <v>#N/A</v>
          </cell>
          <cell r="FI763">
            <v>0</v>
          </cell>
        </row>
        <row r="764">
          <cell r="A764">
            <v>8504</v>
          </cell>
          <cell r="B764" t="str">
            <v>فاطمه عمر محمد عمر</v>
          </cell>
          <cell r="C764" t="str">
            <v>فاطمه</v>
          </cell>
          <cell r="D764" t="str">
            <v>عمر</v>
          </cell>
          <cell r="E764" t="str">
            <v>محمد</v>
          </cell>
          <cell r="F764" t="str">
            <v>عمر</v>
          </cell>
          <cell r="G764" t="str">
            <v>المكتب الاقليمي</v>
          </cell>
          <cell r="H764" t="str">
            <v>الخدمات</v>
          </cell>
          <cell r="L764" t="str">
            <v>عامل</v>
          </cell>
          <cell r="M764">
            <v>42005</v>
          </cell>
          <cell r="N764">
            <v>43500</v>
          </cell>
          <cell r="O764">
            <v>4</v>
          </cell>
          <cell r="P764">
            <v>1</v>
          </cell>
          <cell r="R764">
            <v>122.5</v>
          </cell>
          <cell r="Z764">
            <v>27961</v>
          </cell>
          <cell r="AG764">
            <v>9</v>
          </cell>
          <cell r="AH764">
            <v>1</v>
          </cell>
          <cell r="AI764" t="str">
            <v>ميلاد</v>
          </cell>
          <cell r="AJ764" t="str">
            <v>300087</v>
          </cell>
          <cell r="AS764">
            <v>43500</v>
          </cell>
          <cell r="AT764">
            <v>42</v>
          </cell>
          <cell r="BN764">
            <v>43500</v>
          </cell>
          <cell r="EQ764">
            <v>0</v>
          </cell>
          <cell r="FG764" t="str">
            <v>المدير الادارى</v>
          </cell>
          <cell r="FH764" t="str">
            <v>احمد عبدالرحيم ابوبكر محمد</v>
          </cell>
          <cell r="FI764">
            <v>0</v>
          </cell>
        </row>
        <row r="765">
          <cell r="A765">
            <v>8505</v>
          </cell>
          <cell r="B765" t="str">
            <v>عامر الطاهر على محمد</v>
          </cell>
          <cell r="C765" t="str">
            <v>عامر</v>
          </cell>
          <cell r="D765" t="str">
            <v>الطاهر</v>
          </cell>
          <cell r="E765" t="str">
            <v>على</v>
          </cell>
          <cell r="F765" t="str">
            <v>محمد</v>
          </cell>
          <cell r="G765" t="str">
            <v>المكتب الاقليمي</v>
          </cell>
          <cell r="H765" t="str">
            <v>الماليه</v>
          </cell>
          <cell r="L765" t="str">
            <v>محاسب</v>
          </cell>
          <cell r="M765">
            <v>42430</v>
          </cell>
          <cell r="N765">
            <v>43500</v>
          </cell>
          <cell r="O765">
            <v>2</v>
          </cell>
          <cell r="P765">
            <v>11</v>
          </cell>
          <cell r="R765">
            <v>87.5</v>
          </cell>
          <cell r="AG765">
            <v>9</v>
          </cell>
          <cell r="AH765">
            <v>1</v>
          </cell>
          <cell r="AS765">
            <v>43500</v>
          </cell>
          <cell r="AT765">
            <v>119</v>
          </cell>
          <cell r="BN765">
            <v>43500</v>
          </cell>
          <cell r="EQ765">
            <v>0</v>
          </cell>
          <cell r="FG765" t="str">
            <v>المدير المالي</v>
          </cell>
          <cell r="FH765" t="str">
            <v>بالانابه</v>
          </cell>
          <cell r="FI765">
            <v>0</v>
          </cell>
        </row>
        <row r="766">
          <cell r="A766">
            <v>8506</v>
          </cell>
          <cell r="B766" t="str">
            <v>عمر عثمان محمد عثمان</v>
          </cell>
          <cell r="C766" t="str">
            <v>عمر</v>
          </cell>
          <cell r="D766" t="str">
            <v>عثمان</v>
          </cell>
          <cell r="E766" t="str">
            <v>محمد</v>
          </cell>
          <cell r="F766" t="str">
            <v>عثمان</v>
          </cell>
          <cell r="G766" t="str">
            <v>المكتب الاقليمي</v>
          </cell>
          <cell r="K766" t="str">
            <v>سائق</v>
          </cell>
          <cell r="L766" t="str">
            <v>سائق</v>
          </cell>
          <cell r="M766">
            <v>43191</v>
          </cell>
          <cell r="O766" t="e">
            <v>#NUM!</v>
          </cell>
          <cell r="P766" t="e">
            <v>#NUM!</v>
          </cell>
          <cell r="R766" t="e">
            <v>#NUM!</v>
          </cell>
          <cell r="Z766">
            <v>31055</v>
          </cell>
          <cell r="AI766" t="str">
            <v>ميلاد</v>
          </cell>
          <cell r="AJ766" t="str">
            <v>963005</v>
          </cell>
          <cell r="AS766">
            <v>43500</v>
          </cell>
          <cell r="AT766">
            <v>34</v>
          </cell>
          <cell r="BE766" t="str">
            <v>172-4925634-3</v>
          </cell>
          <cell r="BF766" t="str">
            <v>فاطمه محمود</v>
          </cell>
          <cell r="BN766">
            <v>43500</v>
          </cell>
          <cell r="EQ766">
            <v>0</v>
          </cell>
          <cell r="FG766" t="e">
            <v>#N/A</v>
          </cell>
          <cell r="FH766" t="e">
            <v>#N/A</v>
          </cell>
          <cell r="FI766" t="str">
            <v>172-4925634-3</v>
          </cell>
        </row>
        <row r="767">
          <cell r="A767">
            <v>8507</v>
          </cell>
          <cell r="B767" t="str">
            <v>روان مصطفى محمد خليفه</v>
          </cell>
          <cell r="C767" t="str">
            <v>روان</v>
          </cell>
          <cell r="D767" t="str">
            <v>مصطفى</v>
          </cell>
          <cell r="E767" t="str">
            <v>محمد</v>
          </cell>
          <cell r="F767" t="str">
            <v>خليفه</v>
          </cell>
          <cell r="G767" t="str">
            <v>المكتب الاقليمي</v>
          </cell>
          <cell r="K767" t="str">
            <v>سكرتيرة</v>
          </cell>
          <cell r="L767" t="str">
            <v>سكرتيرة</v>
          </cell>
          <cell r="M767">
            <v>43221</v>
          </cell>
          <cell r="O767" t="e">
            <v>#NUM!</v>
          </cell>
          <cell r="P767" t="e">
            <v>#NUM!</v>
          </cell>
          <cell r="R767" t="e">
            <v>#NUM!</v>
          </cell>
          <cell r="Z767">
            <v>31417</v>
          </cell>
          <cell r="AI767" t="str">
            <v>ميلاد بالخارج</v>
          </cell>
          <cell r="AJ767" t="str">
            <v>12220</v>
          </cell>
          <cell r="AS767">
            <v>43500</v>
          </cell>
          <cell r="AT767">
            <v>33</v>
          </cell>
          <cell r="BE767" t="str">
            <v>105-0000374-4</v>
          </cell>
          <cell r="BF767" t="str">
            <v>صفيه عبدالجليل</v>
          </cell>
          <cell r="BN767">
            <v>43500</v>
          </cell>
          <cell r="BS767" t="str">
            <v>الدراسات الاسلامية</v>
          </cell>
          <cell r="BT767" t="str">
            <v>دبلوم تقني</v>
          </cell>
          <cell r="BU767" t="str">
            <v>جامعة امدرمان الاسلامية</v>
          </cell>
          <cell r="BV767">
            <v>39600</v>
          </cell>
          <cell r="BW767" t="str">
            <v>المعامل الكيميائية</v>
          </cell>
          <cell r="BX767" t="str">
            <v>دبلوم تقني</v>
          </cell>
          <cell r="BY767" t="str">
            <v>جامعة البحر الاحمر</v>
          </cell>
          <cell r="BZ767">
            <v>40836</v>
          </cell>
          <cell r="CQ767" t="str">
            <v>مصنع الضهيبان للجبص</v>
          </cell>
          <cell r="CR767" t="str">
            <v>قسم الحسابات</v>
          </cell>
          <cell r="CS767">
            <v>42644</v>
          </cell>
          <cell r="CT767">
            <v>42705</v>
          </cell>
          <cell r="EQ767">
            <v>0</v>
          </cell>
          <cell r="FG767" t="e">
            <v>#N/A</v>
          </cell>
          <cell r="FH767" t="e">
            <v>#N/A</v>
          </cell>
          <cell r="FI767" t="str">
            <v>105-0000374-4</v>
          </cell>
        </row>
        <row r="768">
          <cell r="A768">
            <v>9000</v>
          </cell>
          <cell r="B768" t="str">
            <v>يوميه</v>
          </cell>
          <cell r="G768" t="str">
            <v>المصنع</v>
          </cell>
          <cell r="M768">
            <v>43500</v>
          </cell>
          <cell r="N768">
            <v>43500</v>
          </cell>
          <cell r="O768">
            <v>0</v>
          </cell>
          <cell r="P768">
            <v>0</v>
          </cell>
          <cell r="R768">
            <v>0</v>
          </cell>
          <cell r="AG768">
            <v>9</v>
          </cell>
          <cell r="AH768">
            <v>1</v>
          </cell>
          <cell r="AS768">
            <v>43500</v>
          </cell>
          <cell r="AT768">
            <v>119</v>
          </cell>
          <cell r="BN768">
            <v>43500</v>
          </cell>
          <cell r="EQ768">
            <v>0</v>
          </cell>
          <cell r="FG768" t="e">
            <v>#N/A</v>
          </cell>
          <cell r="FH768" t="e">
            <v>#N/A</v>
          </cell>
          <cell r="FI768">
            <v>0</v>
          </cell>
        </row>
        <row r="769">
          <cell r="A769" t="str">
            <v>A20</v>
          </cell>
          <cell r="B769" t="str">
            <v>رحيل شقنا</v>
          </cell>
          <cell r="G769" t="str">
            <v>الرئاسه</v>
          </cell>
          <cell r="H769" t="str">
            <v>الخدمات</v>
          </cell>
          <cell r="L769" t="str">
            <v>عامل</v>
          </cell>
          <cell r="M769">
            <v>42005</v>
          </cell>
          <cell r="N769">
            <v>42705</v>
          </cell>
          <cell r="O769">
            <v>1</v>
          </cell>
          <cell r="P769">
            <v>11</v>
          </cell>
          <cell r="R769">
            <v>57.5</v>
          </cell>
          <cell r="T769" t="str">
            <v>إستقال</v>
          </cell>
          <cell r="V769">
            <v>42705</v>
          </cell>
          <cell r="AG769">
            <v>9</v>
          </cell>
          <cell r="AH769">
            <v>1</v>
          </cell>
          <cell r="AS769">
            <v>43500</v>
          </cell>
          <cell r="AT769">
            <v>119</v>
          </cell>
          <cell r="BN769">
            <v>43500</v>
          </cell>
          <cell r="EQ769">
            <v>0</v>
          </cell>
          <cell r="FG769" t="str">
            <v>المدير الادارى</v>
          </cell>
          <cell r="FH769" t="str">
            <v>احمد عبدالرحيم ابوبكر محمد</v>
          </cell>
          <cell r="FI769">
            <v>0</v>
          </cell>
        </row>
        <row r="770">
          <cell r="A770" t="str">
            <v>A6</v>
          </cell>
          <cell r="B770" t="str">
            <v>عصام الدين الجيلى</v>
          </cell>
          <cell r="C770" t="str">
            <v>عصام الدين</v>
          </cell>
          <cell r="D770" t="str">
            <v>الجيلى</v>
          </cell>
          <cell r="H770" t="str">
            <v>الماليه</v>
          </cell>
          <cell r="M770">
            <v>40731</v>
          </cell>
          <cell r="N770">
            <v>42870</v>
          </cell>
          <cell r="O770">
            <v>5</v>
          </cell>
          <cell r="P770">
            <v>10</v>
          </cell>
          <cell r="R770">
            <v>175</v>
          </cell>
          <cell r="T770" t="str">
            <v>فصل</v>
          </cell>
          <cell r="AG770">
            <v>9</v>
          </cell>
          <cell r="AH770">
            <v>1</v>
          </cell>
          <cell r="AS770">
            <v>43500</v>
          </cell>
          <cell r="AT770">
            <v>119</v>
          </cell>
          <cell r="BN770">
            <v>43500</v>
          </cell>
          <cell r="EQ770">
            <v>0</v>
          </cell>
          <cell r="FG770" t="str">
            <v>المدير المالي</v>
          </cell>
          <cell r="FH770" t="str">
            <v>بالانابه</v>
          </cell>
          <cell r="FI770">
            <v>0</v>
          </cell>
        </row>
        <row r="771">
          <cell r="G771" t="str">
            <v>السودانى الايطالى</v>
          </cell>
          <cell r="O771">
            <v>0</v>
          </cell>
          <cell r="P771">
            <v>0</v>
          </cell>
          <cell r="R771">
            <v>0</v>
          </cell>
          <cell r="AS771">
            <v>43500</v>
          </cell>
          <cell r="AT771">
            <v>119</v>
          </cell>
          <cell r="BN771">
            <v>43500</v>
          </cell>
          <cell r="EQ771">
            <v>0</v>
          </cell>
          <cell r="FG771" t="e">
            <v>#N/A</v>
          </cell>
          <cell r="FH771" t="e">
            <v>#N/A</v>
          </cell>
          <cell r="FI771" t="e">
            <v>#N/A</v>
          </cell>
        </row>
        <row r="772">
          <cell r="O772">
            <v>0</v>
          </cell>
          <cell r="P772">
            <v>0</v>
          </cell>
          <cell r="R772">
            <v>0</v>
          </cell>
          <cell r="AS772">
            <v>43500</v>
          </cell>
          <cell r="AT772">
            <v>119</v>
          </cell>
          <cell r="BN772">
            <v>43500</v>
          </cell>
          <cell r="EQ772">
            <v>0</v>
          </cell>
          <cell r="FG772" t="e">
            <v>#N/A</v>
          </cell>
          <cell r="FH772" t="e">
            <v>#N/A</v>
          </cell>
          <cell r="FI772" t="e">
            <v>#N/A</v>
          </cell>
        </row>
        <row r="773">
          <cell r="O773">
            <v>0</v>
          </cell>
          <cell r="P773">
            <v>0</v>
          </cell>
          <cell r="R773">
            <v>0</v>
          </cell>
          <cell r="AS773">
            <v>43500</v>
          </cell>
          <cell r="AT773">
            <v>119</v>
          </cell>
          <cell r="BN773">
            <v>43500</v>
          </cell>
          <cell r="EQ773">
            <v>0</v>
          </cell>
          <cell r="FG773" t="e">
            <v>#N/A</v>
          </cell>
          <cell r="FH773" t="e">
            <v>#N/A</v>
          </cell>
          <cell r="FI773" t="e">
            <v>#N/A</v>
          </cell>
        </row>
        <row r="774">
          <cell r="A774">
            <v>1086</v>
          </cell>
          <cell r="B774" t="str">
            <v>معتز عثمان محمد موسى</v>
          </cell>
          <cell r="G774" t="str">
            <v>المصنع</v>
          </cell>
          <cell r="H774" t="str">
            <v>الانتاج</v>
          </cell>
          <cell r="L774" t="str">
            <v>عامل</v>
          </cell>
          <cell r="M774">
            <v>43499</v>
          </cell>
          <cell r="O774" t="e">
            <v>#NUM!</v>
          </cell>
          <cell r="P774" t="e">
            <v>#NUM!</v>
          </cell>
          <cell r="R774" t="e">
            <v>#NUM!</v>
          </cell>
          <cell r="Z774">
            <v>32582</v>
          </cell>
          <cell r="AI774" t="str">
            <v>ميلاد</v>
          </cell>
          <cell r="AJ774" t="str">
            <v>830061</v>
          </cell>
          <cell r="AS774">
            <v>43500</v>
          </cell>
          <cell r="AT774">
            <v>29</v>
          </cell>
          <cell r="BE774" t="str">
            <v>178-8928691-9</v>
          </cell>
          <cell r="BF774" t="str">
            <v>عائشه عبدالله عبدالكريم</v>
          </cell>
          <cell r="BG774" t="str">
            <v>العربى</v>
          </cell>
          <cell r="BH774" t="str">
            <v>الخرطوم - الانقاذ م 1</v>
          </cell>
          <cell r="BI774" t="str">
            <v>0995843733</v>
          </cell>
          <cell r="BJ774" t="str">
            <v>عبدالله عبدالكريم</v>
          </cell>
          <cell r="BL774" t="str">
            <v>خالي الطرف</v>
          </cell>
          <cell r="BN774">
            <v>43500</v>
          </cell>
          <cell r="BT774" t="str">
            <v>شهاده ثانويه</v>
          </cell>
          <cell r="BV774">
            <v>39873</v>
          </cell>
          <cell r="EQ774">
            <v>0</v>
          </cell>
          <cell r="FG774" t="str">
            <v xml:space="preserve"> مدير الانتاج</v>
          </cell>
          <cell r="FH774" t="str">
            <v>هشام عيسى محمد عبدالكريم</v>
          </cell>
          <cell r="FI774" t="str">
            <v>178-8928691-9</v>
          </cell>
        </row>
        <row r="775">
          <cell r="A775">
            <v>1085</v>
          </cell>
          <cell r="B775" t="str">
            <v>احمد زكى الصديق محمد</v>
          </cell>
          <cell r="G775" t="str">
            <v>المصنع</v>
          </cell>
          <cell r="H775" t="str">
            <v>الانتاج</v>
          </cell>
          <cell r="L775" t="str">
            <v>عامل</v>
          </cell>
          <cell r="M775">
            <v>43498</v>
          </cell>
          <cell r="O775" t="e">
            <v>#NUM!</v>
          </cell>
          <cell r="P775" t="e">
            <v>#NUM!</v>
          </cell>
          <cell r="R775" t="e">
            <v>#NUM!</v>
          </cell>
          <cell r="Z775">
            <v>34233</v>
          </cell>
          <cell r="AI775" t="str">
            <v>ميلاد</v>
          </cell>
          <cell r="AJ775" t="str">
            <v>96005</v>
          </cell>
          <cell r="AS775">
            <v>43500</v>
          </cell>
          <cell r="AT775">
            <v>25</v>
          </cell>
          <cell r="BE775" t="str">
            <v>178-5716507-0</v>
          </cell>
          <cell r="BF775" t="str">
            <v>احسان البشير محمد</v>
          </cell>
          <cell r="BG775" t="str">
            <v>الجزيره</v>
          </cell>
          <cell r="BH775" t="str">
            <v>الجزيرة - المسعودية</v>
          </cell>
          <cell r="BI775" t="str">
            <v>0116501232</v>
          </cell>
          <cell r="BJ775" t="str">
            <v>زكى الصديق محمد</v>
          </cell>
          <cell r="BL775" t="str">
            <v>خالي الطرف</v>
          </cell>
          <cell r="BN775">
            <v>43500</v>
          </cell>
          <cell r="BS775" t="str">
            <v>هندسة كيميائية</v>
          </cell>
          <cell r="BT775" t="str">
            <v>بكلاريوس الشرف</v>
          </cell>
          <cell r="BU775" t="str">
            <v>جامعة الجزيرة</v>
          </cell>
          <cell r="BV775">
            <v>42904</v>
          </cell>
          <cell r="EQ775">
            <v>0</v>
          </cell>
          <cell r="FG775" t="str">
            <v xml:space="preserve"> مدير الانتاج</v>
          </cell>
          <cell r="FH775" t="str">
            <v>هشام عيسى محمد عبدالكريم</v>
          </cell>
          <cell r="FI775" t="str">
            <v>178-5716507-0</v>
          </cell>
        </row>
        <row r="776">
          <cell r="A776">
            <v>8108</v>
          </cell>
          <cell r="B776" t="str">
            <v>ابراهيم عوض موسى محمد</v>
          </cell>
          <cell r="G776" t="str">
            <v>الرئاسه</v>
          </cell>
          <cell r="K776" t="str">
            <v>سائق</v>
          </cell>
          <cell r="L776" t="str">
            <v>سائق</v>
          </cell>
          <cell r="M776">
            <v>43389</v>
          </cell>
          <cell r="O776">
            <v>0</v>
          </cell>
          <cell r="P776">
            <v>0</v>
          </cell>
          <cell r="R776">
            <v>0</v>
          </cell>
          <cell r="Z776">
            <v>31413</v>
          </cell>
          <cell r="AI776" t="str">
            <v>تسنين</v>
          </cell>
          <cell r="AJ776" t="str">
            <v>828165</v>
          </cell>
          <cell r="AS776">
            <v>43500</v>
          </cell>
          <cell r="AT776">
            <v>119</v>
          </cell>
          <cell r="AU776" t="str">
            <v>بطاقه قوميه</v>
          </cell>
          <cell r="AV776" t="str">
            <v>002943449</v>
          </cell>
          <cell r="AW776">
            <v>9</v>
          </cell>
          <cell r="AX776">
            <v>4</v>
          </cell>
          <cell r="AY776">
            <v>4</v>
          </cell>
          <cell r="AZ776">
            <v>3</v>
          </cell>
          <cell r="BA776">
            <v>4</v>
          </cell>
          <cell r="BB776">
            <v>9</v>
          </cell>
          <cell r="BC776">
            <v>2</v>
          </cell>
          <cell r="BD776">
            <v>0</v>
          </cell>
          <cell r="BE776" t="str">
            <v>120-4041458-5</v>
          </cell>
          <cell r="BF776" t="str">
            <v>فاطمه هارون عثمان</v>
          </cell>
          <cell r="BH776" t="str">
            <v>جبل اولياء</v>
          </cell>
          <cell r="BI776" t="str">
            <v>0927543400</v>
          </cell>
          <cell r="BJ776" t="str">
            <v>عبدالمجيد يحى</v>
          </cell>
          <cell r="BK776" t="str">
            <v>0917472891</v>
          </cell>
          <cell r="BN776">
            <v>43500</v>
          </cell>
          <cell r="EQ776">
            <v>0</v>
          </cell>
          <cell r="FG776" t="e">
            <v>#N/A</v>
          </cell>
          <cell r="FH776" t="e">
            <v>#N/A</v>
          </cell>
          <cell r="FI776" t="e">
            <v>#N/A</v>
          </cell>
        </row>
        <row r="777">
          <cell r="A777">
            <v>1087</v>
          </cell>
          <cell r="B777" t="str">
            <v>محمد نورالدين الصديق محمد</v>
          </cell>
          <cell r="G777" t="str">
            <v>المصنع</v>
          </cell>
          <cell r="H777" t="str">
            <v>الانتاج</v>
          </cell>
          <cell r="K777" t="str">
            <v>عامل</v>
          </cell>
          <cell r="L777" t="str">
            <v>عامل</v>
          </cell>
          <cell r="M777">
            <v>43499</v>
          </cell>
          <cell r="O777">
            <v>0</v>
          </cell>
          <cell r="P777">
            <v>0</v>
          </cell>
          <cell r="R777">
            <v>0</v>
          </cell>
          <cell r="AS777">
            <v>43500</v>
          </cell>
          <cell r="AT777">
            <v>119</v>
          </cell>
          <cell r="BE777" t="str">
            <v>190-2942904-9</v>
          </cell>
          <cell r="BF777" t="str">
            <v>نعمات ابشر محمد</v>
          </cell>
          <cell r="BG777" t="str">
            <v>الجزيره</v>
          </cell>
          <cell r="BH777" t="str">
            <v>الجزيرة - المسعودية</v>
          </cell>
          <cell r="BI777" t="str">
            <v>0922933503</v>
          </cell>
          <cell r="BJ777" t="str">
            <v>زكى الصديق محمد</v>
          </cell>
          <cell r="BL777" t="str">
            <v>خالي الطرف</v>
          </cell>
          <cell r="BN777">
            <v>43500</v>
          </cell>
          <cell r="BS777" t="str">
            <v>الاقتصاد والتنمية الريفية</v>
          </cell>
          <cell r="BT777" t="str">
            <v>بكلاريوس</v>
          </cell>
          <cell r="BU777" t="str">
            <v>جامعة الجزيرة</v>
          </cell>
          <cell r="BV777">
            <v>42722</v>
          </cell>
          <cell r="EQ777">
            <v>0</v>
          </cell>
          <cell r="FG777" t="e">
            <v>#N/A</v>
          </cell>
          <cell r="FH777" t="e">
            <v>#N/A</v>
          </cell>
          <cell r="FI777" t="e">
            <v>#N/A</v>
          </cell>
        </row>
        <row r="778">
          <cell r="O778">
            <v>0</v>
          </cell>
          <cell r="P778">
            <v>0</v>
          </cell>
          <cell r="R778">
            <v>0</v>
          </cell>
          <cell r="AS778">
            <v>43500</v>
          </cell>
          <cell r="AT778">
            <v>119</v>
          </cell>
          <cell r="BN778">
            <v>43500</v>
          </cell>
          <cell r="EQ778">
            <v>0</v>
          </cell>
          <cell r="FG778" t="e">
            <v>#N/A</v>
          </cell>
          <cell r="FH778" t="e">
            <v>#N/A</v>
          </cell>
          <cell r="FI778" t="e">
            <v>#N/A</v>
          </cell>
        </row>
        <row r="779">
          <cell r="O779">
            <v>0</v>
          </cell>
          <cell r="P779">
            <v>0</v>
          </cell>
          <cell r="R779">
            <v>0</v>
          </cell>
          <cell r="AS779">
            <v>43500</v>
          </cell>
          <cell r="AT779">
            <v>119</v>
          </cell>
          <cell r="BN779">
            <v>43500</v>
          </cell>
          <cell r="EQ779">
            <v>0</v>
          </cell>
          <cell r="FG779" t="e">
            <v>#N/A</v>
          </cell>
          <cell r="FH779" t="e">
            <v>#N/A</v>
          </cell>
          <cell r="FI779" t="e">
            <v>#N/A</v>
          </cell>
        </row>
        <row r="780">
          <cell r="O780">
            <v>0</v>
          </cell>
          <cell r="P780">
            <v>0</v>
          </cell>
          <cell r="R780">
            <v>0</v>
          </cell>
          <cell r="AS780">
            <v>43500</v>
          </cell>
          <cell r="AT780">
            <v>119</v>
          </cell>
          <cell r="BN780">
            <v>43500</v>
          </cell>
          <cell r="EQ780">
            <v>0</v>
          </cell>
          <cell r="FG780" t="e">
            <v>#N/A</v>
          </cell>
          <cell r="FH780" t="e">
            <v>#N/A</v>
          </cell>
          <cell r="FI780" t="e">
            <v>#N/A</v>
          </cell>
        </row>
        <row r="781">
          <cell r="O781">
            <v>0</v>
          </cell>
          <cell r="P781">
            <v>0</v>
          </cell>
          <cell r="R781">
            <v>0</v>
          </cell>
          <cell r="AS781">
            <v>43500</v>
          </cell>
          <cell r="AT781">
            <v>119</v>
          </cell>
          <cell r="BN781">
            <v>43500</v>
          </cell>
          <cell r="EQ781">
            <v>0</v>
          </cell>
          <cell r="FG781" t="e">
            <v>#N/A</v>
          </cell>
          <cell r="FH781" t="e">
            <v>#N/A</v>
          </cell>
          <cell r="FI781" t="e">
            <v>#N/A</v>
          </cell>
        </row>
        <row r="782">
          <cell r="O782">
            <v>0</v>
          </cell>
          <cell r="P782">
            <v>0</v>
          </cell>
          <cell r="R782">
            <v>0</v>
          </cell>
          <cell r="AS782">
            <v>43500</v>
          </cell>
          <cell r="AT782">
            <v>119</v>
          </cell>
          <cell r="BN782">
            <v>43500</v>
          </cell>
          <cell r="EQ782">
            <v>0</v>
          </cell>
          <cell r="FG782" t="e">
            <v>#N/A</v>
          </cell>
          <cell r="FH782" t="e">
            <v>#N/A</v>
          </cell>
          <cell r="FI782" t="e">
            <v>#N/A</v>
          </cell>
        </row>
        <row r="783">
          <cell r="O783">
            <v>0</v>
          </cell>
          <cell r="P783">
            <v>0</v>
          </cell>
          <cell r="R783">
            <v>0</v>
          </cell>
          <cell r="AS783">
            <v>43500</v>
          </cell>
          <cell r="AT783">
            <v>119</v>
          </cell>
          <cell r="BN783">
            <v>43500</v>
          </cell>
          <cell r="EQ783">
            <v>0</v>
          </cell>
          <cell r="FG783" t="e">
            <v>#N/A</v>
          </cell>
          <cell r="FH783" t="e">
            <v>#N/A</v>
          </cell>
          <cell r="FI783" t="e">
            <v>#N/A</v>
          </cell>
        </row>
        <row r="784">
          <cell r="O784">
            <v>0</v>
          </cell>
          <cell r="P784">
            <v>0</v>
          </cell>
          <cell r="R784">
            <v>0</v>
          </cell>
          <cell r="AS784">
            <v>43500</v>
          </cell>
          <cell r="AT784">
            <v>119</v>
          </cell>
          <cell r="BN784">
            <v>43500</v>
          </cell>
          <cell r="EQ784">
            <v>0</v>
          </cell>
          <cell r="FG784" t="e">
            <v>#N/A</v>
          </cell>
          <cell r="FH784" t="e">
            <v>#N/A</v>
          </cell>
          <cell r="FI784" t="e">
            <v>#N/A</v>
          </cell>
        </row>
        <row r="785">
          <cell r="O785">
            <v>0</v>
          </cell>
          <cell r="P785">
            <v>0</v>
          </cell>
          <cell r="R785">
            <v>0</v>
          </cell>
          <cell r="AS785">
            <v>43500</v>
          </cell>
          <cell r="AT785">
            <v>119</v>
          </cell>
          <cell r="BN785">
            <v>43500</v>
          </cell>
          <cell r="EQ785">
            <v>0</v>
          </cell>
          <cell r="FG785" t="e">
            <v>#N/A</v>
          </cell>
          <cell r="FH785" t="e">
            <v>#N/A</v>
          </cell>
          <cell r="FI785" t="e">
            <v>#N/A</v>
          </cell>
        </row>
        <row r="786">
          <cell r="O786">
            <v>0</v>
          </cell>
          <cell r="P786">
            <v>0</v>
          </cell>
          <cell r="R786">
            <v>0</v>
          </cell>
          <cell r="AS786">
            <v>43500</v>
          </cell>
          <cell r="AT786">
            <v>119</v>
          </cell>
          <cell r="BN786">
            <v>43500</v>
          </cell>
          <cell r="EQ786">
            <v>0</v>
          </cell>
          <cell r="FG786" t="e">
            <v>#N/A</v>
          </cell>
          <cell r="FH786" t="e">
            <v>#N/A</v>
          </cell>
          <cell r="FI786" t="e">
            <v>#N/A</v>
          </cell>
        </row>
        <row r="787">
          <cell r="O787">
            <v>0</v>
          </cell>
          <cell r="P787">
            <v>0</v>
          </cell>
          <cell r="R787">
            <v>0</v>
          </cell>
          <cell r="AS787">
            <v>43500</v>
          </cell>
          <cell r="AT787">
            <v>119</v>
          </cell>
          <cell r="BN787">
            <v>43500</v>
          </cell>
          <cell r="EQ787">
            <v>0</v>
          </cell>
          <cell r="FG787" t="e">
            <v>#N/A</v>
          </cell>
          <cell r="FH787" t="e">
            <v>#N/A</v>
          </cell>
          <cell r="FI787" t="e">
            <v>#N/A</v>
          </cell>
        </row>
        <row r="788">
          <cell r="O788">
            <v>0</v>
          </cell>
          <cell r="P788">
            <v>0</v>
          </cell>
          <cell r="R788">
            <v>0</v>
          </cell>
          <cell r="AS788">
            <v>43500</v>
          </cell>
          <cell r="AT788">
            <v>119</v>
          </cell>
          <cell r="BN788">
            <v>43500</v>
          </cell>
          <cell r="EQ788">
            <v>0</v>
          </cell>
          <cell r="FG788" t="e">
            <v>#N/A</v>
          </cell>
          <cell r="FH788" t="e">
            <v>#N/A</v>
          </cell>
          <cell r="FI788" t="e">
            <v>#N/A</v>
          </cell>
        </row>
        <row r="789">
          <cell r="O789">
            <v>0</v>
          </cell>
          <cell r="P789">
            <v>0</v>
          </cell>
          <cell r="R789">
            <v>0</v>
          </cell>
          <cell r="AS789">
            <v>43500</v>
          </cell>
          <cell r="AT789">
            <v>119</v>
          </cell>
          <cell r="BN789">
            <v>43500</v>
          </cell>
          <cell r="EQ789">
            <v>0</v>
          </cell>
          <cell r="FG789" t="e">
            <v>#N/A</v>
          </cell>
          <cell r="FH789" t="e">
            <v>#N/A</v>
          </cell>
          <cell r="FI789" t="e">
            <v>#N/A</v>
          </cell>
        </row>
        <row r="790">
          <cell r="O790">
            <v>0</v>
          </cell>
          <cell r="P790">
            <v>0</v>
          </cell>
          <cell r="R790">
            <v>0</v>
          </cell>
          <cell r="AS790">
            <v>43500</v>
          </cell>
          <cell r="AT790">
            <v>119</v>
          </cell>
          <cell r="BN790">
            <v>43500</v>
          </cell>
          <cell r="EQ790">
            <v>0</v>
          </cell>
          <cell r="FG790" t="e">
            <v>#N/A</v>
          </cell>
          <cell r="FH790" t="e">
            <v>#N/A</v>
          </cell>
          <cell r="FI790" t="e">
            <v>#N/A</v>
          </cell>
        </row>
        <row r="791">
          <cell r="O791">
            <v>0</v>
          </cell>
          <cell r="P791">
            <v>0</v>
          </cell>
          <cell r="R791">
            <v>0</v>
          </cell>
          <cell r="AS791">
            <v>43500</v>
          </cell>
          <cell r="AT791">
            <v>119</v>
          </cell>
          <cell r="BN791">
            <v>43500</v>
          </cell>
          <cell r="EQ791">
            <v>0</v>
          </cell>
          <cell r="FG791" t="e">
            <v>#N/A</v>
          </cell>
          <cell r="FH791" t="e">
            <v>#N/A</v>
          </cell>
          <cell r="FI791" t="e">
            <v>#N/A</v>
          </cell>
        </row>
        <row r="792">
          <cell r="O792">
            <v>0</v>
          </cell>
          <cell r="P792">
            <v>0</v>
          </cell>
          <cell r="R792">
            <v>0</v>
          </cell>
          <cell r="AS792">
            <v>43500</v>
          </cell>
          <cell r="AT792">
            <v>119</v>
          </cell>
          <cell r="BN792">
            <v>43500</v>
          </cell>
          <cell r="EQ792">
            <v>0</v>
          </cell>
          <cell r="FG792" t="e">
            <v>#N/A</v>
          </cell>
          <cell r="FH792" t="e">
            <v>#N/A</v>
          </cell>
          <cell r="FI792" t="e">
            <v>#N/A</v>
          </cell>
        </row>
        <row r="793">
          <cell r="O793">
            <v>0</v>
          </cell>
          <cell r="P793">
            <v>0</v>
          </cell>
          <cell r="R793">
            <v>0</v>
          </cell>
          <cell r="AS793">
            <v>43500</v>
          </cell>
          <cell r="AT793">
            <v>119</v>
          </cell>
          <cell r="BN793">
            <v>43500</v>
          </cell>
          <cell r="EQ793">
            <v>0</v>
          </cell>
          <cell r="FG793" t="e">
            <v>#N/A</v>
          </cell>
          <cell r="FH793" t="e">
            <v>#N/A</v>
          </cell>
          <cell r="FI793" t="e">
            <v>#N/A</v>
          </cell>
        </row>
        <row r="794">
          <cell r="O794">
            <v>0</v>
          </cell>
          <cell r="P794">
            <v>0</v>
          </cell>
          <cell r="R794">
            <v>0</v>
          </cell>
          <cell r="AS794">
            <v>43500</v>
          </cell>
          <cell r="AT794">
            <v>119</v>
          </cell>
          <cell r="BN794">
            <v>43500</v>
          </cell>
          <cell r="EQ794">
            <v>0</v>
          </cell>
          <cell r="FG794" t="e">
            <v>#N/A</v>
          </cell>
          <cell r="FH794" t="e">
            <v>#N/A</v>
          </cell>
          <cell r="FI794" t="e">
            <v>#N/A</v>
          </cell>
        </row>
        <row r="795">
          <cell r="O795">
            <v>0</v>
          </cell>
          <cell r="P795">
            <v>0</v>
          </cell>
          <cell r="R795">
            <v>0</v>
          </cell>
          <cell r="AS795">
            <v>43500</v>
          </cell>
          <cell r="AT795">
            <v>119</v>
          </cell>
          <cell r="BN795">
            <v>43500</v>
          </cell>
          <cell r="EQ795">
            <v>0</v>
          </cell>
          <cell r="FG795" t="e">
            <v>#N/A</v>
          </cell>
          <cell r="FH795" t="e">
            <v>#N/A</v>
          </cell>
          <cell r="FI795" t="e">
            <v>#N/A</v>
          </cell>
        </row>
        <row r="796">
          <cell r="O796">
            <v>0</v>
          </cell>
          <cell r="P796">
            <v>0</v>
          </cell>
          <cell r="R796">
            <v>0</v>
          </cell>
          <cell r="AS796">
            <v>43500</v>
          </cell>
          <cell r="AT796">
            <v>119</v>
          </cell>
          <cell r="BN796">
            <v>43500</v>
          </cell>
          <cell r="EQ796">
            <v>0</v>
          </cell>
          <cell r="FG796" t="e">
            <v>#N/A</v>
          </cell>
          <cell r="FH796" t="e">
            <v>#N/A</v>
          </cell>
          <cell r="FI796" t="e">
            <v>#N/A</v>
          </cell>
        </row>
        <row r="797">
          <cell r="O797">
            <v>0</v>
          </cell>
          <cell r="P797">
            <v>0</v>
          </cell>
          <cell r="R797">
            <v>0</v>
          </cell>
          <cell r="AS797">
            <v>43500</v>
          </cell>
          <cell r="AT797">
            <v>119</v>
          </cell>
          <cell r="BN797">
            <v>43500</v>
          </cell>
          <cell r="EQ797">
            <v>0</v>
          </cell>
          <cell r="FG797" t="e">
            <v>#N/A</v>
          </cell>
          <cell r="FH797" t="e">
            <v>#N/A</v>
          </cell>
          <cell r="FI797" t="e">
            <v>#N/A</v>
          </cell>
        </row>
        <row r="798">
          <cell r="O798">
            <v>0</v>
          </cell>
          <cell r="P798">
            <v>0</v>
          </cell>
          <cell r="R798">
            <v>0</v>
          </cell>
          <cell r="AS798">
            <v>43500</v>
          </cell>
          <cell r="AT798">
            <v>119</v>
          </cell>
          <cell r="BN798">
            <v>43500</v>
          </cell>
          <cell r="EQ798">
            <v>0</v>
          </cell>
          <cell r="FG798" t="e">
            <v>#N/A</v>
          </cell>
          <cell r="FH798" t="e">
            <v>#N/A</v>
          </cell>
          <cell r="FI798" t="e">
            <v>#N/A</v>
          </cell>
        </row>
        <row r="799">
          <cell r="O799">
            <v>0</v>
          </cell>
          <cell r="P799">
            <v>0</v>
          </cell>
          <cell r="R799">
            <v>0</v>
          </cell>
          <cell r="AS799">
            <v>43500</v>
          </cell>
          <cell r="AT799">
            <v>119</v>
          </cell>
          <cell r="BN799">
            <v>43500</v>
          </cell>
          <cell r="EQ799">
            <v>0</v>
          </cell>
          <cell r="FG799" t="e">
            <v>#N/A</v>
          </cell>
          <cell r="FH799" t="e">
            <v>#N/A</v>
          </cell>
          <cell r="FI799" t="e">
            <v>#N/A</v>
          </cell>
        </row>
        <row r="800">
          <cell r="O800">
            <v>0</v>
          </cell>
          <cell r="P800">
            <v>0</v>
          </cell>
          <cell r="R800">
            <v>0</v>
          </cell>
          <cell r="AS800">
            <v>43500</v>
          </cell>
          <cell r="AT800">
            <v>119</v>
          </cell>
          <cell r="BN800">
            <v>43500</v>
          </cell>
          <cell r="EQ800">
            <v>0</v>
          </cell>
          <cell r="FG800" t="e">
            <v>#N/A</v>
          </cell>
          <cell r="FH800" t="e">
            <v>#N/A</v>
          </cell>
          <cell r="FI800" t="e">
            <v>#N/A</v>
          </cell>
        </row>
        <row r="801">
          <cell r="O801">
            <v>0</v>
          </cell>
          <cell r="P801">
            <v>0</v>
          </cell>
          <cell r="R801">
            <v>0</v>
          </cell>
          <cell r="AS801">
            <v>43500</v>
          </cell>
          <cell r="AT801">
            <v>119</v>
          </cell>
          <cell r="BN801">
            <v>43500</v>
          </cell>
          <cell r="EQ801">
            <v>0</v>
          </cell>
          <cell r="FG801" t="e">
            <v>#N/A</v>
          </cell>
          <cell r="FH801" t="e">
            <v>#N/A</v>
          </cell>
          <cell r="FI801" t="e">
            <v>#N/A</v>
          </cell>
        </row>
        <row r="802">
          <cell r="O802">
            <v>0</v>
          </cell>
          <cell r="P802">
            <v>0</v>
          </cell>
          <cell r="R802">
            <v>0</v>
          </cell>
          <cell r="AS802">
            <v>43500</v>
          </cell>
          <cell r="AT802">
            <v>119</v>
          </cell>
          <cell r="BN802">
            <v>43500</v>
          </cell>
          <cell r="EQ802">
            <v>0</v>
          </cell>
          <cell r="FG802" t="e">
            <v>#N/A</v>
          </cell>
          <cell r="FH802" t="e">
            <v>#N/A</v>
          </cell>
          <cell r="FI802" t="e">
            <v>#N/A</v>
          </cell>
        </row>
        <row r="803">
          <cell r="O803">
            <v>0</v>
          </cell>
          <cell r="P803">
            <v>0</v>
          </cell>
          <cell r="R803">
            <v>0</v>
          </cell>
          <cell r="AS803">
            <v>43500</v>
          </cell>
          <cell r="AT803">
            <v>119</v>
          </cell>
          <cell r="BN803">
            <v>43500</v>
          </cell>
          <cell r="EQ803">
            <v>0</v>
          </cell>
          <cell r="FG803" t="e">
            <v>#N/A</v>
          </cell>
          <cell r="FH803" t="e">
            <v>#N/A</v>
          </cell>
          <cell r="FI803" t="e">
            <v>#N/A</v>
          </cell>
        </row>
        <row r="804">
          <cell r="O804">
            <v>0</v>
          </cell>
          <cell r="P804">
            <v>0</v>
          </cell>
          <cell r="R804">
            <v>0</v>
          </cell>
          <cell r="AS804">
            <v>43500</v>
          </cell>
          <cell r="AT804">
            <v>119</v>
          </cell>
          <cell r="BN804">
            <v>43500</v>
          </cell>
          <cell r="EQ804">
            <v>0</v>
          </cell>
          <cell r="FG804" t="e">
            <v>#N/A</v>
          </cell>
          <cell r="FH804" t="e">
            <v>#N/A</v>
          </cell>
          <cell r="FI804" t="e">
            <v>#N/A</v>
          </cell>
        </row>
        <row r="805">
          <cell r="O805">
            <v>0</v>
          </cell>
          <cell r="P805">
            <v>0</v>
          </cell>
          <cell r="R805">
            <v>0</v>
          </cell>
          <cell r="AS805">
            <v>43500</v>
          </cell>
          <cell r="AT805">
            <v>119</v>
          </cell>
          <cell r="BN805">
            <v>43500</v>
          </cell>
          <cell r="EQ805">
            <v>0</v>
          </cell>
          <cell r="FG805" t="e">
            <v>#N/A</v>
          </cell>
          <cell r="FH805" t="e">
            <v>#N/A</v>
          </cell>
          <cell r="FI805" t="e">
            <v>#N/A</v>
          </cell>
        </row>
        <row r="806">
          <cell r="O806">
            <v>0</v>
          </cell>
          <cell r="P806">
            <v>0</v>
          </cell>
          <cell r="R806">
            <v>0</v>
          </cell>
          <cell r="AS806">
            <v>43500</v>
          </cell>
          <cell r="AT806">
            <v>119</v>
          </cell>
          <cell r="BN806">
            <v>43500</v>
          </cell>
          <cell r="EQ806">
            <v>0</v>
          </cell>
          <cell r="FG806" t="e">
            <v>#N/A</v>
          </cell>
          <cell r="FH806" t="e">
            <v>#N/A</v>
          </cell>
          <cell r="FI806" t="e">
            <v>#N/A</v>
          </cell>
        </row>
        <row r="807">
          <cell r="O807">
            <v>0</v>
          </cell>
          <cell r="P807">
            <v>0</v>
          </cell>
          <cell r="R807">
            <v>0</v>
          </cell>
          <cell r="AS807">
            <v>43500</v>
          </cell>
          <cell r="AT807">
            <v>119</v>
          </cell>
          <cell r="BN807">
            <v>43500</v>
          </cell>
          <cell r="EQ807">
            <v>0</v>
          </cell>
          <cell r="FG807" t="e">
            <v>#N/A</v>
          </cell>
          <cell r="FH807" t="e">
            <v>#N/A</v>
          </cell>
          <cell r="FI807" t="e">
            <v>#N/A</v>
          </cell>
        </row>
        <row r="808">
          <cell r="O808">
            <v>0</v>
          </cell>
          <cell r="P808">
            <v>0</v>
          </cell>
          <cell r="R808">
            <v>0</v>
          </cell>
          <cell r="AS808">
            <v>43500</v>
          </cell>
          <cell r="AT808">
            <v>119</v>
          </cell>
          <cell r="BN808">
            <v>43500</v>
          </cell>
          <cell r="EQ808">
            <v>0</v>
          </cell>
          <cell r="FG808" t="e">
            <v>#N/A</v>
          </cell>
          <cell r="FH808" t="e">
            <v>#N/A</v>
          </cell>
          <cell r="FI808" t="e">
            <v>#N/A</v>
          </cell>
        </row>
        <row r="809">
          <cell r="O809">
            <v>0</v>
          </cell>
          <cell r="P809">
            <v>0</v>
          </cell>
          <cell r="R809">
            <v>0</v>
          </cell>
          <cell r="AS809">
            <v>43500</v>
          </cell>
          <cell r="AT809">
            <v>119</v>
          </cell>
          <cell r="BN809">
            <v>43500</v>
          </cell>
          <cell r="EQ809">
            <v>0</v>
          </cell>
          <cell r="FG809" t="e">
            <v>#N/A</v>
          </cell>
          <cell r="FH809" t="e">
            <v>#N/A</v>
          </cell>
          <cell r="FI809" t="e">
            <v>#N/A</v>
          </cell>
        </row>
        <row r="810">
          <cell r="O810">
            <v>0</v>
          </cell>
          <cell r="P810">
            <v>0</v>
          </cell>
          <cell r="R810">
            <v>0</v>
          </cell>
          <cell r="AS810">
            <v>43500</v>
          </cell>
          <cell r="AT810">
            <v>119</v>
          </cell>
          <cell r="BN810">
            <v>43500</v>
          </cell>
          <cell r="EQ810">
            <v>0</v>
          </cell>
          <cell r="FG810" t="e">
            <v>#N/A</v>
          </cell>
          <cell r="FH810" t="e">
            <v>#N/A</v>
          </cell>
          <cell r="FI810" t="e">
            <v>#N/A</v>
          </cell>
        </row>
        <row r="811">
          <cell r="O811">
            <v>0</v>
          </cell>
          <cell r="P811">
            <v>0</v>
          </cell>
          <cell r="R811">
            <v>0</v>
          </cell>
          <cell r="AS811">
            <v>43500</v>
          </cell>
          <cell r="AT811">
            <v>119</v>
          </cell>
          <cell r="BN811">
            <v>43500</v>
          </cell>
          <cell r="EQ811">
            <v>0</v>
          </cell>
          <cell r="FG811" t="e">
            <v>#N/A</v>
          </cell>
          <cell r="FH811" t="e">
            <v>#N/A</v>
          </cell>
          <cell r="FI811" t="e">
            <v>#N/A</v>
          </cell>
        </row>
        <row r="812">
          <cell r="O812">
            <v>0</v>
          </cell>
          <cell r="P812">
            <v>0</v>
          </cell>
          <cell r="R812">
            <v>0</v>
          </cell>
          <cell r="AS812">
            <v>43500</v>
          </cell>
          <cell r="AT812">
            <v>119</v>
          </cell>
          <cell r="BN812">
            <v>43500</v>
          </cell>
          <cell r="EQ812">
            <v>0</v>
          </cell>
          <cell r="FG812" t="e">
            <v>#N/A</v>
          </cell>
          <cell r="FH812" t="e">
            <v>#N/A</v>
          </cell>
          <cell r="FI812" t="e">
            <v>#N/A</v>
          </cell>
        </row>
        <row r="813">
          <cell r="O813">
            <v>0</v>
          </cell>
          <cell r="P813">
            <v>0</v>
          </cell>
          <cell r="R813">
            <v>0</v>
          </cell>
          <cell r="AS813">
            <v>43500</v>
          </cell>
          <cell r="AT813">
            <v>119</v>
          </cell>
          <cell r="BN813">
            <v>43500</v>
          </cell>
          <cell r="EQ813">
            <v>0</v>
          </cell>
          <cell r="FG813" t="e">
            <v>#N/A</v>
          </cell>
          <cell r="FH813" t="e">
            <v>#N/A</v>
          </cell>
          <cell r="FI813" t="e">
            <v>#N/A</v>
          </cell>
        </row>
        <row r="814">
          <cell r="O814">
            <v>0</v>
          </cell>
          <cell r="P814">
            <v>0</v>
          </cell>
          <cell r="R814">
            <v>0</v>
          </cell>
          <cell r="AS814">
            <v>43500</v>
          </cell>
          <cell r="AT814">
            <v>119</v>
          </cell>
          <cell r="BN814">
            <v>43500</v>
          </cell>
          <cell r="EQ814">
            <v>0</v>
          </cell>
          <cell r="FG814" t="e">
            <v>#N/A</v>
          </cell>
          <cell r="FH814" t="e">
            <v>#N/A</v>
          </cell>
          <cell r="FI814" t="e">
            <v>#N/A</v>
          </cell>
        </row>
        <row r="815">
          <cell r="O815">
            <v>0</v>
          </cell>
          <cell r="P815">
            <v>0</v>
          </cell>
          <cell r="R815">
            <v>0</v>
          </cell>
          <cell r="AS815">
            <v>43500</v>
          </cell>
          <cell r="AT815">
            <v>119</v>
          </cell>
          <cell r="BN815">
            <v>43500</v>
          </cell>
          <cell r="EQ815">
            <v>0</v>
          </cell>
          <cell r="FG815" t="e">
            <v>#N/A</v>
          </cell>
          <cell r="FH815" t="e">
            <v>#N/A</v>
          </cell>
          <cell r="FI815" t="e">
            <v>#N/A</v>
          </cell>
        </row>
        <row r="816">
          <cell r="O816">
            <v>0</v>
          </cell>
          <cell r="P816">
            <v>0</v>
          </cell>
          <cell r="R816">
            <v>0</v>
          </cell>
          <cell r="AS816">
            <v>43500</v>
          </cell>
          <cell r="AT816">
            <v>119</v>
          </cell>
          <cell r="BN816">
            <v>43500</v>
          </cell>
          <cell r="EQ816">
            <v>0</v>
          </cell>
          <cell r="FG816" t="e">
            <v>#N/A</v>
          </cell>
          <cell r="FH816" t="e">
            <v>#N/A</v>
          </cell>
          <cell r="FI816" t="e">
            <v>#N/A</v>
          </cell>
        </row>
        <row r="817">
          <cell r="O817">
            <v>0</v>
          </cell>
          <cell r="P817">
            <v>0</v>
          </cell>
          <cell r="R817">
            <v>0</v>
          </cell>
          <cell r="AS817">
            <v>43500</v>
          </cell>
          <cell r="AT817">
            <v>119</v>
          </cell>
          <cell r="BN817">
            <v>43500</v>
          </cell>
          <cell r="EQ817">
            <v>0</v>
          </cell>
          <cell r="FG817" t="e">
            <v>#N/A</v>
          </cell>
          <cell r="FH817" t="e">
            <v>#N/A</v>
          </cell>
          <cell r="FI817" t="e">
            <v>#N/A</v>
          </cell>
        </row>
        <row r="818">
          <cell r="O818">
            <v>0</v>
          </cell>
          <cell r="P818">
            <v>0</v>
          </cell>
          <cell r="R818">
            <v>0</v>
          </cell>
          <cell r="AS818">
            <v>43500</v>
          </cell>
          <cell r="AT818">
            <v>119</v>
          </cell>
          <cell r="BN818">
            <v>43500</v>
          </cell>
          <cell r="EQ818">
            <v>0</v>
          </cell>
          <cell r="FG818" t="e">
            <v>#N/A</v>
          </cell>
          <cell r="FH818" t="e">
            <v>#N/A</v>
          </cell>
          <cell r="FI818" t="e">
            <v>#N/A</v>
          </cell>
        </row>
        <row r="819">
          <cell r="O819">
            <v>0</v>
          </cell>
          <cell r="P819">
            <v>0</v>
          </cell>
          <cell r="R819">
            <v>0</v>
          </cell>
          <cell r="AS819">
            <v>43500</v>
          </cell>
          <cell r="AT819">
            <v>119</v>
          </cell>
          <cell r="BN819">
            <v>43500</v>
          </cell>
          <cell r="EQ819">
            <v>0</v>
          </cell>
          <cell r="FG819" t="e">
            <v>#N/A</v>
          </cell>
          <cell r="FH819" t="e">
            <v>#N/A</v>
          </cell>
          <cell r="FI819" t="e">
            <v>#N/A</v>
          </cell>
        </row>
        <row r="820">
          <cell r="O820">
            <v>0</v>
          </cell>
          <cell r="P820">
            <v>0</v>
          </cell>
          <cell r="R820">
            <v>0</v>
          </cell>
          <cell r="AS820">
            <v>43500</v>
          </cell>
          <cell r="AT820">
            <v>119</v>
          </cell>
          <cell r="BN820">
            <v>43500</v>
          </cell>
          <cell r="EQ820">
            <v>0</v>
          </cell>
          <cell r="FG820" t="e">
            <v>#N/A</v>
          </cell>
          <cell r="FH820" t="e">
            <v>#N/A</v>
          </cell>
          <cell r="FI820" t="e">
            <v>#N/A</v>
          </cell>
        </row>
        <row r="821">
          <cell r="O821">
            <v>0</v>
          </cell>
          <cell r="P821">
            <v>0</v>
          </cell>
          <cell r="R821">
            <v>0</v>
          </cell>
          <cell r="AS821">
            <v>43500</v>
          </cell>
          <cell r="AT821">
            <v>119</v>
          </cell>
          <cell r="BN821">
            <v>43500</v>
          </cell>
          <cell r="EQ821">
            <v>0</v>
          </cell>
          <cell r="FG821" t="e">
            <v>#N/A</v>
          </cell>
          <cell r="FH821" t="e">
            <v>#N/A</v>
          </cell>
          <cell r="FI821" t="e">
            <v>#N/A</v>
          </cell>
        </row>
        <row r="822">
          <cell r="O822">
            <v>0</v>
          </cell>
          <cell r="P822">
            <v>0</v>
          </cell>
          <cell r="R822">
            <v>0</v>
          </cell>
          <cell r="AS822">
            <v>43500</v>
          </cell>
          <cell r="AT822">
            <v>119</v>
          </cell>
          <cell r="BN822">
            <v>43500</v>
          </cell>
          <cell r="EQ822">
            <v>0</v>
          </cell>
          <cell r="FG822" t="e">
            <v>#N/A</v>
          </cell>
          <cell r="FH822" t="e">
            <v>#N/A</v>
          </cell>
          <cell r="FI822" t="e">
            <v>#N/A</v>
          </cell>
        </row>
        <row r="823">
          <cell r="O823">
            <v>0</v>
          </cell>
          <cell r="P823">
            <v>0</v>
          </cell>
          <cell r="R823">
            <v>0</v>
          </cell>
          <cell r="AS823">
            <v>43500</v>
          </cell>
          <cell r="AT823">
            <v>119</v>
          </cell>
          <cell r="BN823">
            <v>43500</v>
          </cell>
          <cell r="EQ823">
            <v>0</v>
          </cell>
          <cell r="FG823" t="e">
            <v>#N/A</v>
          </cell>
          <cell r="FH823" t="e">
            <v>#N/A</v>
          </cell>
          <cell r="FI823" t="e">
            <v>#N/A</v>
          </cell>
        </row>
        <row r="824">
          <cell r="O824">
            <v>0</v>
          </cell>
          <cell r="P824">
            <v>0</v>
          </cell>
          <cell r="R824">
            <v>0</v>
          </cell>
          <cell r="AS824">
            <v>43500</v>
          </cell>
          <cell r="AT824">
            <v>119</v>
          </cell>
          <cell r="BN824">
            <v>43500</v>
          </cell>
          <cell r="EQ824">
            <v>0</v>
          </cell>
          <cell r="FG824" t="e">
            <v>#N/A</v>
          </cell>
          <cell r="FH824" t="e">
            <v>#N/A</v>
          </cell>
          <cell r="FI824" t="e">
            <v>#N/A</v>
          </cell>
        </row>
        <row r="825">
          <cell r="O825">
            <v>0</v>
          </cell>
          <cell r="P825">
            <v>0</v>
          </cell>
          <cell r="R825">
            <v>0</v>
          </cell>
          <cell r="AS825">
            <v>43500</v>
          </cell>
          <cell r="AT825">
            <v>119</v>
          </cell>
          <cell r="BN825">
            <v>43500</v>
          </cell>
          <cell r="EQ825">
            <v>0</v>
          </cell>
          <cell r="FG825" t="e">
            <v>#N/A</v>
          </cell>
          <cell r="FH825" t="e">
            <v>#N/A</v>
          </cell>
          <cell r="FI825" t="e">
            <v>#N/A</v>
          </cell>
        </row>
        <row r="826">
          <cell r="O826">
            <v>0</v>
          </cell>
          <cell r="P826">
            <v>0</v>
          </cell>
          <cell r="R826">
            <v>0</v>
          </cell>
          <cell r="AS826">
            <v>43500</v>
          </cell>
          <cell r="AT826">
            <v>119</v>
          </cell>
          <cell r="BN826">
            <v>43500</v>
          </cell>
          <cell r="EQ826">
            <v>0</v>
          </cell>
          <cell r="FG826" t="e">
            <v>#N/A</v>
          </cell>
          <cell r="FH826" t="e">
            <v>#N/A</v>
          </cell>
          <cell r="FI826" t="e">
            <v>#N/A</v>
          </cell>
        </row>
        <row r="827">
          <cell r="O827">
            <v>0</v>
          </cell>
          <cell r="P827">
            <v>0</v>
          </cell>
          <cell r="R827">
            <v>0</v>
          </cell>
          <cell r="AS827">
            <v>43500</v>
          </cell>
          <cell r="AT827">
            <v>119</v>
          </cell>
          <cell r="BN827">
            <v>43500</v>
          </cell>
          <cell r="EQ827">
            <v>0</v>
          </cell>
          <cell r="FG827" t="e">
            <v>#N/A</v>
          </cell>
          <cell r="FH827" t="e">
            <v>#N/A</v>
          </cell>
          <cell r="FI827" t="e">
            <v>#N/A</v>
          </cell>
        </row>
        <row r="828">
          <cell r="O828">
            <v>0</v>
          </cell>
          <cell r="P828">
            <v>0</v>
          </cell>
          <cell r="R828">
            <v>0</v>
          </cell>
          <cell r="AS828">
            <v>43500</v>
          </cell>
          <cell r="AT828">
            <v>119</v>
          </cell>
          <cell r="BN828">
            <v>43500</v>
          </cell>
          <cell r="EQ828">
            <v>0</v>
          </cell>
          <cell r="FG828" t="e">
            <v>#N/A</v>
          </cell>
          <cell r="FH828" t="e">
            <v>#N/A</v>
          </cell>
          <cell r="FI828" t="e">
            <v>#N/A</v>
          </cell>
        </row>
        <row r="829">
          <cell r="O829">
            <v>0</v>
          </cell>
          <cell r="P829">
            <v>0</v>
          </cell>
          <cell r="R829">
            <v>0</v>
          </cell>
          <cell r="AS829">
            <v>43500</v>
          </cell>
          <cell r="AT829">
            <v>119</v>
          </cell>
          <cell r="BN829">
            <v>43500</v>
          </cell>
          <cell r="EQ829">
            <v>0</v>
          </cell>
          <cell r="FG829" t="e">
            <v>#N/A</v>
          </cell>
          <cell r="FH829" t="e">
            <v>#N/A</v>
          </cell>
          <cell r="FI829" t="e">
            <v>#N/A</v>
          </cell>
        </row>
        <row r="830">
          <cell r="O830">
            <v>0</v>
          </cell>
          <cell r="P830">
            <v>0</v>
          </cell>
          <cell r="R830">
            <v>0</v>
          </cell>
          <cell r="AS830">
            <v>43500</v>
          </cell>
          <cell r="AT830">
            <v>119</v>
          </cell>
          <cell r="BN830">
            <v>43500</v>
          </cell>
          <cell r="EQ830">
            <v>0</v>
          </cell>
          <cell r="FG830" t="e">
            <v>#N/A</v>
          </cell>
          <cell r="FH830" t="e">
            <v>#N/A</v>
          </cell>
          <cell r="FI830" t="e">
            <v>#N/A</v>
          </cell>
        </row>
        <row r="831">
          <cell r="O831">
            <v>0</v>
          </cell>
          <cell r="P831">
            <v>0</v>
          </cell>
          <cell r="R831">
            <v>0</v>
          </cell>
          <cell r="AS831">
            <v>43500</v>
          </cell>
          <cell r="AT831">
            <v>119</v>
          </cell>
          <cell r="BN831">
            <v>43500</v>
          </cell>
          <cell r="EQ831">
            <v>0</v>
          </cell>
          <cell r="FG831" t="e">
            <v>#N/A</v>
          </cell>
          <cell r="FH831" t="e">
            <v>#N/A</v>
          </cell>
          <cell r="FI831" t="e">
            <v>#N/A</v>
          </cell>
        </row>
        <row r="832">
          <cell r="O832">
            <v>0</v>
          </cell>
          <cell r="P832">
            <v>0</v>
          </cell>
          <cell r="R832">
            <v>0</v>
          </cell>
          <cell r="AS832">
            <v>43500</v>
          </cell>
          <cell r="AT832">
            <v>119</v>
          </cell>
          <cell r="BN832">
            <v>43500</v>
          </cell>
          <cell r="EQ832">
            <v>0</v>
          </cell>
          <cell r="FG832" t="e">
            <v>#N/A</v>
          </cell>
          <cell r="FH832" t="e">
            <v>#N/A</v>
          </cell>
          <cell r="FI832" t="e">
            <v>#N/A</v>
          </cell>
        </row>
        <row r="833">
          <cell r="O833">
            <v>0</v>
          </cell>
          <cell r="P833">
            <v>0</v>
          </cell>
          <cell r="R833">
            <v>0</v>
          </cell>
          <cell r="AS833">
            <v>43500</v>
          </cell>
          <cell r="AT833">
            <v>119</v>
          </cell>
          <cell r="BN833">
            <v>43500</v>
          </cell>
          <cell r="EQ833">
            <v>0</v>
          </cell>
          <cell r="FG833" t="e">
            <v>#N/A</v>
          </cell>
          <cell r="FH833" t="e">
            <v>#N/A</v>
          </cell>
          <cell r="FI833" t="e">
            <v>#N/A</v>
          </cell>
        </row>
        <row r="834">
          <cell r="O834">
            <v>0</v>
          </cell>
          <cell r="P834">
            <v>0</v>
          </cell>
          <cell r="R834">
            <v>0</v>
          </cell>
          <cell r="AS834">
            <v>43500</v>
          </cell>
          <cell r="AT834">
            <v>119</v>
          </cell>
          <cell r="BN834">
            <v>43500</v>
          </cell>
          <cell r="EQ834">
            <v>0</v>
          </cell>
          <cell r="FG834" t="e">
            <v>#N/A</v>
          </cell>
          <cell r="FH834" t="e">
            <v>#N/A</v>
          </cell>
          <cell r="FI834" t="e">
            <v>#N/A</v>
          </cell>
        </row>
        <row r="835">
          <cell r="O835">
            <v>0</v>
          </cell>
          <cell r="P835">
            <v>0</v>
          </cell>
          <cell r="R835">
            <v>0</v>
          </cell>
          <cell r="AS835">
            <v>43500</v>
          </cell>
          <cell r="AT835">
            <v>119</v>
          </cell>
          <cell r="BN835">
            <v>43500</v>
          </cell>
          <cell r="EQ835">
            <v>0</v>
          </cell>
          <cell r="FG835" t="e">
            <v>#N/A</v>
          </cell>
          <cell r="FH835" t="e">
            <v>#N/A</v>
          </cell>
          <cell r="FI835" t="e">
            <v>#N/A</v>
          </cell>
        </row>
        <row r="836">
          <cell r="O836">
            <v>0</v>
          </cell>
          <cell r="P836">
            <v>0</v>
          </cell>
          <cell r="R836">
            <v>0</v>
          </cell>
          <cell r="AS836">
            <v>43500</v>
          </cell>
          <cell r="AT836">
            <v>119</v>
          </cell>
          <cell r="BN836">
            <v>43500</v>
          </cell>
          <cell r="EQ836">
            <v>0</v>
          </cell>
          <cell r="FG836" t="e">
            <v>#N/A</v>
          </cell>
          <cell r="FH836" t="e">
            <v>#N/A</v>
          </cell>
          <cell r="FI836" t="e">
            <v>#N/A</v>
          </cell>
        </row>
        <row r="837">
          <cell r="O837">
            <v>0</v>
          </cell>
          <cell r="P837">
            <v>0</v>
          </cell>
          <cell r="R837">
            <v>0</v>
          </cell>
          <cell r="AS837">
            <v>43500</v>
          </cell>
          <cell r="AT837">
            <v>119</v>
          </cell>
          <cell r="BN837">
            <v>43500</v>
          </cell>
          <cell r="EQ837">
            <v>0</v>
          </cell>
          <cell r="FG837" t="e">
            <v>#N/A</v>
          </cell>
          <cell r="FH837" t="e">
            <v>#N/A</v>
          </cell>
          <cell r="FI837" t="e">
            <v>#N/A</v>
          </cell>
        </row>
        <row r="838">
          <cell r="O838">
            <v>0</v>
          </cell>
          <cell r="P838">
            <v>0</v>
          </cell>
          <cell r="R838">
            <v>0</v>
          </cell>
          <cell r="AS838">
            <v>43500</v>
          </cell>
          <cell r="AT838">
            <v>119</v>
          </cell>
          <cell r="BN838">
            <v>43500</v>
          </cell>
          <cell r="EQ838">
            <v>0</v>
          </cell>
          <cell r="FG838" t="e">
            <v>#N/A</v>
          </cell>
          <cell r="FH838" t="e">
            <v>#N/A</v>
          </cell>
          <cell r="FI838" t="e">
            <v>#N/A</v>
          </cell>
        </row>
        <row r="839">
          <cell r="O839">
            <v>0</v>
          </cell>
          <cell r="P839">
            <v>0</v>
          </cell>
          <cell r="R839">
            <v>0</v>
          </cell>
          <cell r="AS839">
            <v>43500</v>
          </cell>
          <cell r="AT839">
            <v>119</v>
          </cell>
          <cell r="BN839">
            <v>43500</v>
          </cell>
          <cell r="EQ839">
            <v>0</v>
          </cell>
          <cell r="FG839" t="e">
            <v>#N/A</v>
          </cell>
          <cell r="FH839" t="e">
            <v>#N/A</v>
          </cell>
          <cell r="FI839" t="e">
            <v>#N/A</v>
          </cell>
        </row>
        <row r="840">
          <cell r="O840">
            <v>0</v>
          </cell>
          <cell r="P840">
            <v>0</v>
          </cell>
          <cell r="R840">
            <v>0</v>
          </cell>
          <cell r="AS840">
            <v>43500</v>
          </cell>
          <cell r="AT840">
            <v>119</v>
          </cell>
          <cell r="BN840">
            <v>43500</v>
          </cell>
          <cell r="EQ840">
            <v>0</v>
          </cell>
          <cell r="FG840" t="e">
            <v>#N/A</v>
          </cell>
          <cell r="FH840" t="e">
            <v>#N/A</v>
          </cell>
          <cell r="FI840" t="e">
            <v>#N/A</v>
          </cell>
        </row>
        <row r="841">
          <cell r="O841">
            <v>0</v>
          </cell>
          <cell r="P841">
            <v>0</v>
          </cell>
          <cell r="R841">
            <v>0</v>
          </cell>
          <cell r="AS841">
            <v>43500</v>
          </cell>
          <cell r="AT841">
            <v>119</v>
          </cell>
          <cell r="BN841">
            <v>43500</v>
          </cell>
          <cell r="EQ841">
            <v>0</v>
          </cell>
          <cell r="FG841" t="e">
            <v>#N/A</v>
          </cell>
          <cell r="FH841" t="e">
            <v>#N/A</v>
          </cell>
          <cell r="FI841" t="e">
            <v>#N/A</v>
          </cell>
        </row>
        <row r="842">
          <cell r="O842">
            <v>0</v>
          </cell>
          <cell r="P842">
            <v>0</v>
          </cell>
          <cell r="R842">
            <v>0</v>
          </cell>
          <cell r="AS842">
            <v>43500</v>
          </cell>
          <cell r="AT842">
            <v>119</v>
          </cell>
          <cell r="BN842">
            <v>43500</v>
          </cell>
          <cell r="EQ842">
            <v>0</v>
          </cell>
          <cell r="FG842" t="e">
            <v>#N/A</v>
          </cell>
          <cell r="FH842" t="e">
            <v>#N/A</v>
          </cell>
          <cell r="FI842" t="e">
            <v>#N/A</v>
          </cell>
        </row>
        <row r="843">
          <cell r="O843">
            <v>0</v>
          </cell>
          <cell r="P843">
            <v>0</v>
          </cell>
          <cell r="R843">
            <v>0</v>
          </cell>
          <cell r="AS843">
            <v>43500</v>
          </cell>
          <cell r="AT843">
            <v>119</v>
          </cell>
          <cell r="BN843">
            <v>43500</v>
          </cell>
          <cell r="EQ843">
            <v>0</v>
          </cell>
          <cell r="FG843" t="e">
            <v>#N/A</v>
          </cell>
          <cell r="FH843" t="e">
            <v>#N/A</v>
          </cell>
          <cell r="FI843" t="e">
            <v>#N/A</v>
          </cell>
        </row>
        <row r="844">
          <cell r="O844">
            <v>0</v>
          </cell>
          <cell r="P844">
            <v>0</v>
          </cell>
          <cell r="R844">
            <v>0</v>
          </cell>
          <cell r="AS844">
            <v>43500</v>
          </cell>
          <cell r="AT844">
            <v>119</v>
          </cell>
          <cell r="BN844">
            <v>43500</v>
          </cell>
          <cell r="EQ844">
            <v>0</v>
          </cell>
          <cell r="FG844" t="e">
            <v>#N/A</v>
          </cell>
          <cell r="FH844" t="e">
            <v>#N/A</v>
          </cell>
          <cell r="FI844" t="e">
            <v>#N/A</v>
          </cell>
        </row>
        <row r="845">
          <cell r="O845">
            <v>0</v>
          </cell>
          <cell r="P845">
            <v>0</v>
          </cell>
          <cell r="R845">
            <v>0</v>
          </cell>
          <cell r="AS845">
            <v>43500</v>
          </cell>
          <cell r="AT845">
            <v>119</v>
          </cell>
          <cell r="BN845">
            <v>43500</v>
          </cell>
          <cell r="EQ845">
            <v>0</v>
          </cell>
          <cell r="FG845" t="e">
            <v>#N/A</v>
          </cell>
          <cell r="FH845" t="e">
            <v>#N/A</v>
          </cell>
          <cell r="FI845" t="e">
            <v>#N/A</v>
          </cell>
        </row>
        <row r="846">
          <cell r="O846">
            <v>0</v>
          </cell>
          <cell r="P846">
            <v>0</v>
          </cell>
          <cell r="R846">
            <v>0</v>
          </cell>
          <cell r="AS846">
            <v>43500</v>
          </cell>
          <cell r="AT846">
            <v>119</v>
          </cell>
          <cell r="BN846">
            <v>43500</v>
          </cell>
          <cell r="EQ846">
            <v>0</v>
          </cell>
          <cell r="FG846" t="e">
            <v>#N/A</v>
          </cell>
          <cell r="FH846" t="e">
            <v>#N/A</v>
          </cell>
          <cell r="FI846" t="e">
            <v>#N/A</v>
          </cell>
        </row>
        <row r="847">
          <cell r="O847">
            <v>0</v>
          </cell>
          <cell r="P847">
            <v>0</v>
          </cell>
          <cell r="R847">
            <v>0</v>
          </cell>
          <cell r="AS847">
            <v>43500</v>
          </cell>
          <cell r="AT847">
            <v>119</v>
          </cell>
          <cell r="BN847">
            <v>43500</v>
          </cell>
          <cell r="EQ847">
            <v>0</v>
          </cell>
          <cell r="FG847" t="e">
            <v>#N/A</v>
          </cell>
          <cell r="FH847" t="e">
            <v>#N/A</v>
          </cell>
          <cell r="FI847" t="e">
            <v>#N/A</v>
          </cell>
        </row>
        <row r="848">
          <cell r="O848">
            <v>0</v>
          </cell>
          <cell r="P848">
            <v>0</v>
          </cell>
          <cell r="R848">
            <v>0</v>
          </cell>
          <cell r="AS848">
            <v>43500</v>
          </cell>
          <cell r="AT848">
            <v>119</v>
          </cell>
          <cell r="BN848">
            <v>43500</v>
          </cell>
          <cell r="EQ848">
            <v>0</v>
          </cell>
          <cell r="FG848" t="e">
            <v>#N/A</v>
          </cell>
          <cell r="FH848" t="e">
            <v>#N/A</v>
          </cell>
          <cell r="FI848" t="e">
            <v>#N/A</v>
          </cell>
        </row>
        <row r="849">
          <cell r="O849">
            <v>0</v>
          </cell>
          <cell r="P849">
            <v>0</v>
          </cell>
          <cell r="R849">
            <v>0</v>
          </cell>
          <cell r="AS849">
            <v>43500</v>
          </cell>
          <cell r="AT849">
            <v>119</v>
          </cell>
          <cell r="BN849">
            <v>43500</v>
          </cell>
          <cell r="EQ849">
            <v>0</v>
          </cell>
          <cell r="FG849" t="e">
            <v>#N/A</v>
          </cell>
          <cell r="FH849" t="e">
            <v>#N/A</v>
          </cell>
          <cell r="FI849" t="e">
            <v>#N/A</v>
          </cell>
        </row>
        <row r="850">
          <cell r="O850">
            <v>0</v>
          </cell>
          <cell r="P850">
            <v>0</v>
          </cell>
          <cell r="R850">
            <v>0</v>
          </cell>
          <cell r="AS850">
            <v>43500</v>
          </cell>
          <cell r="AT850">
            <v>119</v>
          </cell>
          <cell r="BN850">
            <v>43500</v>
          </cell>
          <cell r="EQ850">
            <v>0</v>
          </cell>
          <cell r="FG850" t="e">
            <v>#N/A</v>
          </cell>
          <cell r="FH850" t="e">
            <v>#N/A</v>
          </cell>
          <cell r="FI850" t="e">
            <v>#N/A</v>
          </cell>
        </row>
        <row r="851">
          <cell r="O851">
            <v>0</v>
          </cell>
          <cell r="P851">
            <v>0</v>
          </cell>
          <cell r="R851">
            <v>0</v>
          </cell>
          <cell r="AS851">
            <v>43500</v>
          </cell>
          <cell r="AT851">
            <v>119</v>
          </cell>
          <cell r="BN851">
            <v>43500</v>
          </cell>
          <cell r="EQ851">
            <v>0</v>
          </cell>
          <cell r="FG851" t="e">
            <v>#N/A</v>
          </cell>
          <cell r="FH851" t="e">
            <v>#N/A</v>
          </cell>
          <cell r="FI851" t="e">
            <v>#N/A</v>
          </cell>
        </row>
        <row r="852">
          <cell r="O852">
            <v>0</v>
          </cell>
          <cell r="P852">
            <v>0</v>
          </cell>
          <cell r="R852">
            <v>0</v>
          </cell>
          <cell r="AS852">
            <v>43500</v>
          </cell>
          <cell r="AT852">
            <v>119</v>
          </cell>
          <cell r="BN852">
            <v>43500</v>
          </cell>
          <cell r="EQ852">
            <v>0</v>
          </cell>
          <cell r="FG852" t="e">
            <v>#N/A</v>
          </cell>
          <cell r="FH852" t="e">
            <v>#N/A</v>
          </cell>
          <cell r="FI852" t="e">
            <v>#N/A</v>
          </cell>
        </row>
        <row r="853">
          <cell r="O853">
            <v>0</v>
          </cell>
          <cell r="P853">
            <v>0</v>
          </cell>
          <cell r="R853">
            <v>0</v>
          </cell>
          <cell r="AS853">
            <v>43500</v>
          </cell>
          <cell r="AT853">
            <v>119</v>
          </cell>
          <cell r="BN853">
            <v>43500</v>
          </cell>
          <cell r="EQ853">
            <v>0</v>
          </cell>
          <cell r="FG853" t="e">
            <v>#N/A</v>
          </cell>
          <cell r="FH853" t="e">
            <v>#N/A</v>
          </cell>
          <cell r="FI853" t="e">
            <v>#N/A</v>
          </cell>
        </row>
        <row r="854">
          <cell r="O854">
            <v>0</v>
          </cell>
          <cell r="P854">
            <v>0</v>
          </cell>
          <cell r="R854">
            <v>0</v>
          </cell>
          <cell r="AS854">
            <v>43500</v>
          </cell>
          <cell r="AT854">
            <v>119</v>
          </cell>
          <cell r="BN854">
            <v>43500</v>
          </cell>
          <cell r="EQ854">
            <v>0</v>
          </cell>
          <cell r="FG854" t="e">
            <v>#N/A</v>
          </cell>
          <cell r="FH854" t="e">
            <v>#N/A</v>
          </cell>
          <cell r="FI854" t="e">
            <v>#N/A</v>
          </cell>
        </row>
        <row r="855">
          <cell r="O855">
            <v>0</v>
          </cell>
          <cell r="P855">
            <v>0</v>
          </cell>
          <cell r="R855">
            <v>0</v>
          </cell>
          <cell r="AS855">
            <v>43500</v>
          </cell>
          <cell r="AT855">
            <v>119</v>
          </cell>
          <cell r="BN855">
            <v>43500</v>
          </cell>
          <cell r="EQ855">
            <v>0</v>
          </cell>
          <cell r="FG855" t="e">
            <v>#N/A</v>
          </cell>
          <cell r="FH855" t="e">
            <v>#N/A</v>
          </cell>
          <cell r="FI855" t="e">
            <v>#N/A</v>
          </cell>
        </row>
        <row r="856">
          <cell r="O856">
            <v>0</v>
          </cell>
          <cell r="P856">
            <v>0</v>
          </cell>
          <cell r="R856">
            <v>0</v>
          </cell>
          <cell r="AS856">
            <v>43500</v>
          </cell>
          <cell r="AT856">
            <v>119</v>
          </cell>
          <cell r="BN856">
            <v>43500</v>
          </cell>
          <cell r="EQ856">
            <v>0</v>
          </cell>
          <cell r="FG856" t="e">
            <v>#N/A</v>
          </cell>
          <cell r="FH856" t="e">
            <v>#N/A</v>
          </cell>
          <cell r="FI856" t="e">
            <v>#N/A</v>
          </cell>
        </row>
        <row r="857">
          <cell r="O857">
            <v>0</v>
          </cell>
          <cell r="P857">
            <v>0</v>
          </cell>
          <cell r="R857">
            <v>0</v>
          </cell>
          <cell r="AS857">
            <v>43500</v>
          </cell>
          <cell r="AT857">
            <v>119</v>
          </cell>
          <cell r="BN857">
            <v>43500</v>
          </cell>
          <cell r="EQ857">
            <v>0</v>
          </cell>
          <cell r="FG857" t="e">
            <v>#N/A</v>
          </cell>
          <cell r="FH857" t="e">
            <v>#N/A</v>
          </cell>
          <cell r="FI857" t="e">
            <v>#N/A</v>
          </cell>
        </row>
        <row r="858">
          <cell r="O858">
            <v>0</v>
          </cell>
          <cell r="P858">
            <v>0</v>
          </cell>
          <cell r="R858">
            <v>0</v>
          </cell>
          <cell r="AS858">
            <v>43500</v>
          </cell>
          <cell r="AT858">
            <v>119</v>
          </cell>
          <cell r="BN858">
            <v>43500</v>
          </cell>
          <cell r="EQ858">
            <v>0</v>
          </cell>
          <cell r="FG858" t="e">
            <v>#N/A</v>
          </cell>
          <cell r="FH858" t="e">
            <v>#N/A</v>
          </cell>
          <cell r="FI858" t="e">
            <v>#N/A</v>
          </cell>
        </row>
        <row r="859">
          <cell r="O859">
            <v>0</v>
          </cell>
          <cell r="P859">
            <v>0</v>
          </cell>
          <cell r="R859">
            <v>0</v>
          </cell>
          <cell r="AS859">
            <v>43500</v>
          </cell>
          <cell r="AT859">
            <v>119</v>
          </cell>
          <cell r="BN859">
            <v>43500</v>
          </cell>
          <cell r="EQ859">
            <v>0</v>
          </cell>
          <cell r="FG859" t="e">
            <v>#N/A</v>
          </cell>
          <cell r="FH859" t="e">
            <v>#N/A</v>
          </cell>
          <cell r="FI859" t="e">
            <v>#N/A</v>
          </cell>
        </row>
        <row r="860">
          <cell r="O860">
            <v>0</v>
          </cell>
          <cell r="P860">
            <v>0</v>
          </cell>
          <cell r="R860">
            <v>0</v>
          </cell>
          <cell r="AS860">
            <v>43500</v>
          </cell>
          <cell r="AT860">
            <v>119</v>
          </cell>
          <cell r="BN860">
            <v>43500</v>
          </cell>
          <cell r="EQ860">
            <v>0</v>
          </cell>
          <cell r="FG860" t="e">
            <v>#N/A</v>
          </cell>
          <cell r="FH860" t="e">
            <v>#N/A</v>
          </cell>
          <cell r="FI860" t="e">
            <v>#N/A</v>
          </cell>
        </row>
        <row r="861">
          <cell r="O861">
            <v>0</v>
          </cell>
          <cell r="P861">
            <v>0</v>
          </cell>
          <cell r="R861">
            <v>0</v>
          </cell>
          <cell r="AS861">
            <v>43500</v>
          </cell>
          <cell r="AT861">
            <v>119</v>
          </cell>
          <cell r="BN861">
            <v>43500</v>
          </cell>
          <cell r="EQ861">
            <v>0</v>
          </cell>
          <cell r="FG861" t="e">
            <v>#N/A</v>
          </cell>
          <cell r="FH861" t="e">
            <v>#N/A</v>
          </cell>
          <cell r="FI861" t="e">
            <v>#N/A</v>
          </cell>
        </row>
        <row r="862">
          <cell r="O862">
            <v>0</v>
          </cell>
          <cell r="P862">
            <v>0</v>
          </cell>
          <cell r="R862">
            <v>0</v>
          </cell>
          <cell r="AS862">
            <v>43500</v>
          </cell>
          <cell r="AT862">
            <v>119</v>
          </cell>
          <cell r="BN862">
            <v>43500</v>
          </cell>
          <cell r="EQ862">
            <v>0</v>
          </cell>
          <cell r="FG862" t="e">
            <v>#N/A</v>
          </cell>
          <cell r="FH862" t="e">
            <v>#N/A</v>
          </cell>
          <cell r="FI862" t="e">
            <v>#N/A</v>
          </cell>
        </row>
        <row r="863">
          <cell r="O863">
            <v>0</v>
          </cell>
          <cell r="P863">
            <v>0</v>
          </cell>
          <cell r="R863">
            <v>0</v>
          </cell>
          <cell r="AS863">
            <v>43500</v>
          </cell>
          <cell r="AT863">
            <v>119</v>
          </cell>
          <cell r="BN863">
            <v>43500</v>
          </cell>
          <cell r="EQ863">
            <v>0</v>
          </cell>
          <cell r="FG863" t="e">
            <v>#N/A</v>
          </cell>
          <cell r="FH863" t="e">
            <v>#N/A</v>
          </cell>
          <cell r="FI863" t="e">
            <v>#N/A</v>
          </cell>
        </row>
        <row r="864">
          <cell r="O864">
            <v>0</v>
          </cell>
          <cell r="P864">
            <v>0</v>
          </cell>
          <cell r="R864">
            <v>0</v>
          </cell>
          <cell r="AS864">
            <v>43500</v>
          </cell>
          <cell r="AT864">
            <v>119</v>
          </cell>
          <cell r="BN864">
            <v>43500</v>
          </cell>
          <cell r="EQ864">
            <v>0</v>
          </cell>
          <cell r="FG864" t="e">
            <v>#N/A</v>
          </cell>
          <cell r="FH864" t="e">
            <v>#N/A</v>
          </cell>
          <cell r="FI864" t="e">
            <v>#N/A</v>
          </cell>
        </row>
        <row r="865">
          <cell r="O865">
            <v>0</v>
          </cell>
          <cell r="P865">
            <v>0</v>
          </cell>
          <cell r="R865">
            <v>0</v>
          </cell>
          <cell r="AS865">
            <v>43500</v>
          </cell>
          <cell r="AT865">
            <v>119</v>
          </cell>
          <cell r="BN865">
            <v>43500</v>
          </cell>
          <cell r="EQ865">
            <v>0</v>
          </cell>
          <cell r="FG865" t="e">
            <v>#N/A</v>
          </cell>
          <cell r="FH865" t="e">
            <v>#N/A</v>
          </cell>
          <cell r="FI865" t="e">
            <v>#N/A</v>
          </cell>
        </row>
        <row r="866">
          <cell r="O866">
            <v>0</v>
          </cell>
          <cell r="P866">
            <v>0</v>
          </cell>
          <cell r="R866">
            <v>0</v>
          </cell>
          <cell r="AS866">
            <v>43500</v>
          </cell>
          <cell r="AT866">
            <v>119</v>
          </cell>
          <cell r="BN866">
            <v>43500</v>
          </cell>
          <cell r="EQ866">
            <v>0</v>
          </cell>
          <cell r="FG866" t="e">
            <v>#N/A</v>
          </cell>
          <cell r="FH866" t="e">
            <v>#N/A</v>
          </cell>
          <cell r="FI866" t="e">
            <v>#N/A</v>
          </cell>
        </row>
        <row r="867">
          <cell r="O867">
            <v>0</v>
          </cell>
          <cell r="P867">
            <v>0</v>
          </cell>
          <cell r="R867">
            <v>0</v>
          </cell>
          <cell r="AS867">
            <v>43500</v>
          </cell>
          <cell r="AT867">
            <v>119</v>
          </cell>
          <cell r="BN867">
            <v>43500</v>
          </cell>
          <cell r="EQ867">
            <v>0</v>
          </cell>
          <cell r="FG867" t="e">
            <v>#N/A</v>
          </cell>
          <cell r="FH867" t="e">
            <v>#N/A</v>
          </cell>
          <cell r="FI867" t="e">
            <v>#N/A</v>
          </cell>
        </row>
        <row r="868">
          <cell r="O868">
            <v>0</v>
          </cell>
          <cell r="P868">
            <v>0</v>
          </cell>
          <cell r="R868">
            <v>0</v>
          </cell>
          <cell r="AS868">
            <v>43500</v>
          </cell>
          <cell r="AT868">
            <v>119</v>
          </cell>
          <cell r="BN868">
            <v>43500</v>
          </cell>
          <cell r="EQ868">
            <v>0</v>
          </cell>
          <cell r="FG868" t="e">
            <v>#N/A</v>
          </cell>
          <cell r="FH868" t="e">
            <v>#N/A</v>
          </cell>
          <cell r="FI868" t="e">
            <v>#N/A</v>
          </cell>
        </row>
        <row r="869">
          <cell r="O869">
            <v>0</v>
          </cell>
          <cell r="P869">
            <v>0</v>
          </cell>
          <cell r="R869">
            <v>0</v>
          </cell>
          <cell r="AS869">
            <v>43500</v>
          </cell>
          <cell r="AT869">
            <v>119</v>
          </cell>
          <cell r="BN869">
            <v>43500</v>
          </cell>
          <cell r="EQ869">
            <v>0</v>
          </cell>
          <cell r="FG869" t="e">
            <v>#N/A</v>
          </cell>
          <cell r="FH869" t="e">
            <v>#N/A</v>
          </cell>
          <cell r="FI869" t="e">
            <v>#N/A</v>
          </cell>
        </row>
        <row r="870">
          <cell r="O870">
            <v>0</v>
          </cell>
          <cell r="P870">
            <v>0</v>
          </cell>
          <cell r="R870">
            <v>0</v>
          </cell>
          <cell r="AS870">
            <v>43500</v>
          </cell>
          <cell r="AT870">
            <v>119</v>
          </cell>
          <cell r="BN870">
            <v>43500</v>
          </cell>
          <cell r="EQ870">
            <v>0</v>
          </cell>
          <cell r="FG870" t="e">
            <v>#N/A</v>
          </cell>
          <cell r="FH870" t="e">
            <v>#N/A</v>
          </cell>
          <cell r="FI870" t="e">
            <v>#N/A</v>
          </cell>
        </row>
        <row r="871">
          <cell r="O871">
            <v>0</v>
          </cell>
          <cell r="P871">
            <v>0</v>
          </cell>
          <cell r="R871">
            <v>0</v>
          </cell>
          <cell r="AS871">
            <v>43500</v>
          </cell>
          <cell r="AT871">
            <v>119</v>
          </cell>
          <cell r="BN871">
            <v>43500</v>
          </cell>
          <cell r="EQ871">
            <v>0</v>
          </cell>
          <cell r="FG871" t="e">
            <v>#N/A</v>
          </cell>
          <cell r="FH871" t="e">
            <v>#N/A</v>
          </cell>
          <cell r="FI871" t="e">
            <v>#N/A</v>
          </cell>
        </row>
        <row r="872">
          <cell r="O872">
            <v>0</v>
          </cell>
          <cell r="P872">
            <v>0</v>
          </cell>
          <cell r="R872">
            <v>0</v>
          </cell>
          <cell r="AS872">
            <v>43500</v>
          </cell>
          <cell r="AT872">
            <v>119</v>
          </cell>
          <cell r="BN872">
            <v>43500</v>
          </cell>
          <cell r="EQ872">
            <v>0</v>
          </cell>
          <cell r="FG872" t="e">
            <v>#N/A</v>
          </cell>
          <cell r="FH872" t="e">
            <v>#N/A</v>
          </cell>
          <cell r="FI872" t="e">
            <v>#N/A</v>
          </cell>
        </row>
        <row r="873">
          <cell r="O873">
            <v>0</v>
          </cell>
          <cell r="P873">
            <v>0</v>
          </cell>
          <cell r="R873">
            <v>0</v>
          </cell>
          <cell r="AS873">
            <v>43500</v>
          </cell>
          <cell r="AT873">
            <v>119</v>
          </cell>
          <cell r="BN873">
            <v>43500</v>
          </cell>
          <cell r="EQ873">
            <v>0</v>
          </cell>
          <cell r="FG873" t="e">
            <v>#N/A</v>
          </cell>
          <cell r="FH873" t="e">
            <v>#N/A</v>
          </cell>
          <cell r="FI873" t="e">
            <v>#N/A</v>
          </cell>
        </row>
        <row r="874">
          <cell r="O874">
            <v>0</v>
          </cell>
          <cell r="P874">
            <v>0</v>
          </cell>
          <cell r="R874">
            <v>0</v>
          </cell>
          <cell r="AS874">
            <v>43500</v>
          </cell>
          <cell r="AT874">
            <v>119</v>
          </cell>
          <cell r="BN874">
            <v>43500</v>
          </cell>
          <cell r="EQ874">
            <v>0</v>
          </cell>
          <cell r="FG874" t="e">
            <v>#N/A</v>
          </cell>
          <cell r="FH874" t="e">
            <v>#N/A</v>
          </cell>
          <cell r="FI874" t="e">
            <v>#N/A</v>
          </cell>
        </row>
        <row r="875">
          <cell r="O875">
            <v>0</v>
          </cell>
          <cell r="P875">
            <v>0</v>
          </cell>
          <cell r="R875">
            <v>0</v>
          </cell>
          <cell r="AS875">
            <v>43500</v>
          </cell>
          <cell r="AT875">
            <v>119</v>
          </cell>
          <cell r="BN875">
            <v>43500</v>
          </cell>
          <cell r="EQ875">
            <v>0</v>
          </cell>
          <cell r="FG875" t="e">
            <v>#N/A</v>
          </cell>
          <cell r="FH875" t="e">
            <v>#N/A</v>
          </cell>
          <cell r="FI875" t="e">
            <v>#N/A</v>
          </cell>
        </row>
        <row r="876">
          <cell r="O876">
            <v>0</v>
          </cell>
          <cell r="P876">
            <v>0</v>
          </cell>
          <cell r="R876">
            <v>0</v>
          </cell>
          <cell r="AS876">
            <v>43500</v>
          </cell>
          <cell r="AT876">
            <v>119</v>
          </cell>
          <cell r="BN876">
            <v>43500</v>
          </cell>
          <cell r="EQ876">
            <v>0</v>
          </cell>
          <cell r="FG876" t="e">
            <v>#N/A</v>
          </cell>
          <cell r="FH876" t="e">
            <v>#N/A</v>
          </cell>
          <cell r="FI876" t="e">
            <v>#N/A</v>
          </cell>
        </row>
        <row r="877">
          <cell r="O877">
            <v>0</v>
          </cell>
          <cell r="P877">
            <v>0</v>
          </cell>
          <cell r="R877">
            <v>0</v>
          </cell>
          <cell r="AS877">
            <v>43500</v>
          </cell>
          <cell r="AT877">
            <v>119</v>
          </cell>
          <cell r="BN877">
            <v>43500</v>
          </cell>
          <cell r="EQ877">
            <v>0</v>
          </cell>
          <cell r="FG877" t="e">
            <v>#N/A</v>
          </cell>
          <cell r="FH877" t="e">
            <v>#N/A</v>
          </cell>
          <cell r="FI877" t="e">
            <v>#N/A</v>
          </cell>
        </row>
        <row r="878">
          <cell r="O878">
            <v>0</v>
          </cell>
          <cell r="P878">
            <v>0</v>
          </cell>
          <cell r="R878">
            <v>0</v>
          </cell>
          <cell r="AS878">
            <v>43500</v>
          </cell>
          <cell r="AT878">
            <v>119</v>
          </cell>
          <cell r="BN878">
            <v>43500</v>
          </cell>
          <cell r="EQ878">
            <v>0</v>
          </cell>
          <cell r="FG878" t="e">
            <v>#N/A</v>
          </cell>
          <cell r="FH878" t="e">
            <v>#N/A</v>
          </cell>
          <cell r="FI878" t="e">
            <v>#N/A</v>
          </cell>
        </row>
        <row r="879">
          <cell r="O879">
            <v>0</v>
          </cell>
          <cell r="P879">
            <v>0</v>
          </cell>
          <cell r="R879">
            <v>0</v>
          </cell>
          <cell r="AS879">
            <v>43500</v>
          </cell>
          <cell r="AT879">
            <v>119</v>
          </cell>
          <cell r="BN879">
            <v>43500</v>
          </cell>
          <cell r="EQ879">
            <v>0</v>
          </cell>
          <cell r="FG879" t="e">
            <v>#N/A</v>
          </cell>
          <cell r="FH879" t="e">
            <v>#N/A</v>
          </cell>
          <cell r="FI879" t="e">
            <v>#N/A</v>
          </cell>
        </row>
        <row r="880">
          <cell r="O880">
            <v>0</v>
          </cell>
          <cell r="P880">
            <v>0</v>
          </cell>
          <cell r="R880">
            <v>0</v>
          </cell>
          <cell r="AS880">
            <v>43500</v>
          </cell>
          <cell r="AT880">
            <v>119</v>
          </cell>
          <cell r="BN880">
            <v>43500</v>
          </cell>
          <cell r="EQ880">
            <v>0</v>
          </cell>
          <cell r="FG880" t="e">
            <v>#N/A</v>
          </cell>
          <cell r="FH880" t="e">
            <v>#N/A</v>
          </cell>
          <cell r="FI880" t="e">
            <v>#N/A</v>
          </cell>
        </row>
        <row r="881">
          <cell r="O881">
            <v>0</v>
          </cell>
          <cell r="P881">
            <v>0</v>
          </cell>
          <cell r="R881">
            <v>0</v>
          </cell>
          <cell r="AS881">
            <v>43500</v>
          </cell>
          <cell r="AT881">
            <v>119</v>
          </cell>
          <cell r="BN881">
            <v>43500</v>
          </cell>
          <cell r="EQ881">
            <v>0</v>
          </cell>
          <cell r="FG881" t="e">
            <v>#N/A</v>
          </cell>
          <cell r="FH881" t="e">
            <v>#N/A</v>
          </cell>
          <cell r="FI881" t="e">
            <v>#N/A</v>
          </cell>
        </row>
        <row r="882">
          <cell r="O882">
            <v>0</v>
          </cell>
          <cell r="P882">
            <v>0</v>
          </cell>
          <cell r="R882">
            <v>0</v>
          </cell>
          <cell r="AS882">
            <v>43500</v>
          </cell>
          <cell r="AT882">
            <v>119</v>
          </cell>
          <cell r="BN882">
            <v>43500</v>
          </cell>
          <cell r="EQ882">
            <v>0</v>
          </cell>
          <cell r="FG882" t="e">
            <v>#N/A</v>
          </cell>
          <cell r="FH882" t="e">
            <v>#N/A</v>
          </cell>
          <cell r="FI882" t="e">
            <v>#N/A</v>
          </cell>
        </row>
        <row r="883">
          <cell r="O883">
            <v>0</v>
          </cell>
          <cell r="P883">
            <v>0</v>
          </cell>
          <cell r="R883">
            <v>0</v>
          </cell>
          <cell r="AS883">
            <v>43500</v>
          </cell>
          <cell r="AT883">
            <v>119</v>
          </cell>
          <cell r="BN883">
            <v>43500</v>
          </cell>
          <cell r="EQ883">
            <v>0</v>
          </cell>
          <cell r="FG883" t="e">
            <v>#N/A</v>
          </cell>
          <cell r="FH883" t="e">
            <v>#N/A</v>
          </cell>
          <cell r="FI883" t="e">
            <v>#N/A</v>
          </cell>
        </row>
        <row r="884">
          <cell r="O884">
            <v>0</v>
          </cell>
          <cell r="P884">
            <v>0</v>
          </cell>
          <cell r="R884">
            <v>0</v>
          </cell>
          <cell r="AS884">
            <v>43500</v>
          </cell>
          <cell r="AT884">
            <v>119</v>
          </cell>
          <cell r="BN884">
            <v>43500</v>
          </cell>
          <cell r="EQ884">
            <v>0</v>
          </cell>
          <cell r="FG884" t="e">
            <v>#N/A</v>
          </cell>
          <cell r="FH884" t="e">
            <v>#N/A</v>
          </cell>
          <cell r="FI884" t="e">
            <v>#N/A</v>
          </cell>
        </row>
        <row r="885">
          <cell r="O885">
            <v>0</v>
          </cell>
          <cell r="P885">
            <v>0</v>
          </cell>
          <cell r="R885">
            <v>0</v>
          </cell>
          <cell r="AS885">
            <v>43500</v>
          </cell>
          <cell r="AT885">
            <v>119</v>
          </cell>
          <cell r="BN885">
            <v>43500</v>
          </cell>
          <cell r="EQ885">
            <v>0</v>
          </cell>
          <cell r="FG885" t="e">
            <v>#N/A</v>
          </cell>
          <cell r="FH885" t="e">
            <v>#N/A</v>
          </cell>
          <cell r="FI885" t="e">
            <v>#N/A</v>
          </cell>
        </row>
        <row r="886">
          <cell r="O886">
            <v>0</v>
          </cell>
          <cell r="P886">
            <v>0</v>
          </cell>
          <cell r="R886">
            <v>0</v>
          </cell>
          <cell r="AS886">
            <v>43500</v>
          </cell>
          <cell r="AT886">
            <v>119</v>
          </cell>
          <cell r="BN886">
            <v>43500</v>
          </cell>
          <cell r="EQ886">
            <v>0</v>
          </cell>
          <cell r="FG886" t="e">
            <v>#N/A</v>
          </cell>
          <cell r="FH886" t="e">
            <v>#N/A</v>
          </cell>
          <cell r="FI886" t="e">
            <v>#N/A</v>
          </cell>
        </row>
        <row r="887">
          <cell r="O887">
            <v>0</v>
          </cell>
          <cell r="P887">
            <v>0</v>
          </cell>
          <cell r="R887">
            <v>0</v>
          </cell>
          <cell r="AS887">
            <v>43500</v>
          </cell>
          <cell r="AT887">
            <v>119</v>
          </cell>
          <cell r="BN887">
            <v>43500</v>
          </cell>
          <cell r="EQ887">
            <v>0</v>
          </cell>
          <cell r="FG887" t="e">
            <v>#N/A</v>
          </cell>
          <cell r="FH887" t="e">
            <v>#N/A</v>
          </cell>
          <cell r="FI887" t="e">
            <v>#N/A</v>
          </cell>
        </row>
        <row r="888">
          <cell r="O888">
            <v>0</v>
          </cell>
          <cell r="P888">
            <v>0</v>
          </cell>
          <cell r="R888">
            <v>0</v>
          </cell>
          <cell r="AS888">
            <v>43500</v>
          </cell>
          <cell r="AT888">
            <v>119</v>
          </cell>
          <cell r="BN888">
            <v>43500</v>
          </cell>
          <cell r="EQ888">
            <v>0</v>
          </cell>
          <cell r="FG888" t="e">
            <v>#N/A</v>
          </cell>
          <cell r="FH888" t="e">
            <v>#N/A</v>
          </cell>
          <cell r="FI888" t="e">
            <v>#N/A</v>
          </cell>
        </row>
        <row r="889">
          <cell r="O889">
            <v>0</v>
          </cell>
          <cell r="P889">
            <v>0</v>
          </cell>
          <cell r="R889">
            <v>0</v>
          </cell>
          <cell r="AS889">
            <v>43500</v>
          </cell>
          <cell r="AT889">
            <v>119</v>
          </cell>
          <cell r="BN889">
            <v>43500</v>
          </cell>
          <cell r="EQ889">
            <v>0</v>
          </cell>
          <cell r="FG889" t="e">
            <v>#N/A</v>
          </cell>
          <cell r="FH889" t="e">
            <v>#N/A</v>
          </cell>
          <cell r="FI889" t="e">
            <v>#N/A</v>
          </cell>
        </row>
        <row r="890">
          <cell r="O890">
            <v>0</v>
          </cell>
          <cell r="P890">
            <v>0</v>
          </cell>
          <cell r="R890">
            <v>0</v>
          </cell>
          <cell r="AS890">
            <v>43500</v>
          </cell>
          <cell r="AT890">
            <v>119</v>
          </cell>
          <cell r="BN890">
            <v>43500</v>
          </cell>
          <cell r="EQ890">
            <v>0</v>
          </cell>
          <cell r="FG890" t="e">
            <v>#N/A</v>
          </cell>
          <cell r="FH890" t="e">
            <v>#N/A</v>
          </cell>
          <cell r="FI890" t="e">
            <v>#N/A</v>
          </cell>
        </row>
        <row r="891">
          <cell r="O891">
            <v>0</v>
          </cell>
          <cell r="P891">
            <v>0</v>
          </cell>
          <cell r="R891">
            <v>0</v>
          </cell>
          <cell r="AS891">
            <v>43500</v>
          </cell>
          <cell r="AT891">
            <v>119</v>
          </cell>
          <cell r="BN891">
            <v>43500</v>
          </cell>
          <cell r="EQ891">
            <v>0</v>
          </cell>
          <cell r="FG891" t="e">
            <v>#N/A</v>
          </cell>
          <cell r="FH891" t="e">
            <v>#N/A</v>
          </cell>
          <cell r="FI891" t="e">
            <v>#N/A</v>
          </cell>
        </row>
        <row r="892">
          <cell r="O892">
            <v>0</v>
          </cell>
          <cell r="P892">
            <v>0</v>
          </cell>
          <cell r="R892">
            <v>0</v>
          </cell>
          <cell r="AS892">
            <v>43500</v>
          </cell>
          <cell r="AT892">
            <v>119</v>
          </cell>
          <cell r="BN892">
            <v>43500</v>
          </cell>
          <cell r="EQ892">
            <v>0</v>
          </cell>
          <cell r="FG892" t="e">
            <v>#N/A</v>
          </cell>
          <cell r="FH892" t="e">
            <v>#N/A</v>
          </cell>
          <cell r="FI892" t="e">
            <v>#N/A</v>
          </cell>
        </row>
        <row r="893">
          <cell r="O893">
            <v>0</v>
          </cell>
          <cell r="P893">
            <v>0</v>
          </cell>
          <cell r="R893">
            <v>0</v>
          </cell>
          <cell r="AS893">
            <v>43500</v>
          </cell>
          <cell r="AT893">
            <v>119</v>
          </cell>
          <cell r="BN893">
            <v>43500</v>
          </cell>
          <cell r="EQ893">
            <v>0</v>
          </cell>
          <cell r="FG893" t="e">
            <v>#N/A</v>
          </cell>
          <cell r="FH893" t="e">
            <v>#N/A</v>
          </cell>
          <cell r="FI893" t="e">
            <v>#N/A</v>
          </cell>
        </row>
        <row r="894">
          <cell r="O894">
            <v>0</v>
          </cell>
          <cell r="P894">
            <v>0</v>
          </cell>
          <cell r="R894">
            <v>0</v>
          </cell>
          <cell r="AS894">
            <v>43500</v>
          </cell>
          <cell r="AT894">
            <v>119</v>
          </cell>
          <cell r="BN894">
            <v>43500</v>
          </cell>
          <cell r="EQ894">
            <v>0</v>
          </cell>
          <cell r="FG894" t="e">
            <v>#N/A</v>
          </cell>
          <cell r="FH894" t="e">
            <v>#N/A</v>
          </cell>
          <cell r="FI894" t="e">
            <v>#N/A</v>
          </cell>
        </row>
        <row r="895">
          <cell r="O895">
            <v>0</v>
          </cell>
          <cell r="P895">
            <v>0</v>
          </cell>
          <cell r="R895">
            <v>0</v>
          </cell>
          <cell r="AS895">
            <v>43500</v>
          </cell>
          <cell r="AT895">
            <v>119</v>
          </cell>
          <cell r="BN895">
            <v>43500</v>
          </cell>
          <cell r="EQ895">
            <v>0</v>
          </cell>
          <cell r="FG895" t="e">
            <v>#N/A</v>
          </cell>
          <cell r="FH895" t="e">
            <v>#N/A</v>
          </cell>
          <cell r="FI895" t="e">
            <v>#N/A</v>
          </cell>
        </row>
        <row r="896">
          <cell r="O896">
            <v>0</v>
          </cell>
          <cell r="P896">
            <v>0</v>
          </cell>
          <cell r="R896">
            <v>0</v>
          </cell>
          <cell r="AS896">
            <v>43500</v>
          </cell>
          <cell r="AT896">
            <v>119</v>
          </cell>
          <cell r="BN896">
            <v>43500</v>
          </cell>
          <cell r="EQ896">
            <v>0</v>
          </cell>
          <cell r="FG896" t="e">
            <v>#N/A</v>
          </cell>
          <cell r="FH896" t="e">
            <v>#N/A</v>
          </cell>
          <cell r="FI896" t="e">
            <v>#N/A</v>
          </cell>
        </row>
        <row r="897">
          <cell r="O897">
            <v>0</v>
          </cell>
          <cell r="P897">
            <v>0</v>
          </cell>
          <cell r="R897">
            <v>0</v>
          </cell>
          <cell r="AS897">
            <v>43500</v>
          </cell>
          <cell r="AT897">
            <v>119</v>
          </cell>
          <cell r="BN897">
            <v>43500</v>
          </cell>
          <cell r="EQ897">
            <v>0</v>
          </cell>
          <cell r="FG897" t="e">
            <v>#N/A</v>
          </cell>
          <cell r="FH897" t="e">
            <v>#N/A</v>
          </cell>
          <cell r="FI897" t="e">
            <v>#N/A</v>
          </cell>
        </row>
        <row r="898">
          <cell r="O898">
            <v>0</v>
          </cell>
          <cell r="P898">
            <v>0</v>
          </cell>
          <cell r="R898">
            <v>0</v>
          </cell>
          <cell r="AS898">
            <v>43500</v>
          </cell>
          <cell r="AT898">
            <v>119</v>
          </cell>
          <cell r="BN898">
            <v>43500</v>
          </cell>
          <cell r="EQ898">
            <v>0</v>
          </cell>
          <cell r="FG898" t="e">
            <v>#N/A</v>
          </cell>
          <cell r="FH898" t="e">
            <v>#N/A</v>
          </cell>
          <cell r="FI898" t="e">
            <v>#N/A</v>
          </cell>
        </row>
        <row r="899">
          <cell r="O899">
            <v>0</v>
          </cell>
          <cell r="P899">
            <v>0</v>
          </cell>
          <cell r="R899">
            <v>0</v>
          </cell>
          <cell r="AS899">
            <v>43500</v>
          </cell>
          <cell r="AT899">
            <v>119</v>
          </cell>
          <cell r="BN899">
            <v>43500</v>
          </cell>
          <cell r="EQ899">
            <v>0</v>
          </cell>
          <cell r="FG899" t="e">
            <v>#N/A</v>
          </cell>
          <cell r="FH899" t="e">
            <v>#N/A</v>
          </cell>
          <cell r="FI899" t="e">
            <v>#N/A</v>
          </cell>
        </row>
        <row r="900">
          <cell r="O900">
            <v>0</v>
          </cell>
          <cell r="P900">
            <v>0</v>
          </cell>
          <cell r="R900">
            <v>0</v>
          </cell>
          <cell r="AS900">
            <v>43500</v>
          </cell>
          <cell r="AT900">
            <v>119</v>
          </cell>
          <cell r="BN900">
            <v>43500</v>
          </cell>
          <cell r="EQ900">
            <v>0</v>
          </cell>
          <cell r="FG900" t="e">
            <v>#N/A</v>
          </cell>
          <cell r="FH900" t="e">
            <v>#N/A</v>
          </cell>
          <cell r="FI900" t="e">
            <v>#N/A</v>
          </cell>
        </row>
        <row r="901">
          <cell r="O901">
            <v>0</v>
          </cell>
          <cell r="P901">
            <v>0</v>
          </cell>
          <cell r="R901">
            <v>0</v>
          </cell>
          <cell r="AS901">
            <v>43500</v>
          </cell>
          <cell r="AT901">
            <v>119</v>
          </cell>
          <cell r="BN901">
            <v>43500</v>
          </cell>
          <cell r="EQ901">
            <v>0</v>
          </cell>
          <cell r="FG901" t="e">
            <v>#N/A</v>
          </cell>
          <cell r="FH901" t="e">
            <v>#N/A</v>
          </cell>
          <cell r="FI901" t="e">
            <v>#N/A</v>
          </cell>
        </row>
        <row r="902">
          <cell r="O902">
            <v>0</v>
          </cell>
          <cell r="P902">
            <v>0</v>
          </cell>
          <cell r="R902">
            <v>0</v>
          </cell>
          <cell r="AS902">
            <v>43500</v>
          </cell>
          <cell r="AT902">
            <v>119</v>
          </cell>
          <cell r="BN902">
            <v>43500</v>
          </cell>
          <cell r="EQ902">
            <v>0</v>
          </cell>
          <cell r="FG902" t="e">
            <v>#N/A</v>
          </cell>
          <cell r="FH902" t="e">
            <v>#N/A</v>
          </cell>
          <cell r="FI902" t="e">
            <v>#N/A</v>
          </cell>
        </row>
        <row r="903">
          <cell r="O903">
            <v>0</v>
          </cell>
          <cell r="P903">
            <v>0</v>
          </cell>
          <cell r="R903">
            <v>0</v>
          </cell>
          <cell r="AS903">
            <v>43500</v>
          </cell>
          <cell r="AT903">
            <v>119</v>
          </cell>
          <cell r="BN903">
            <v>43500</v>
          </cell>
          <cell r="EQ903">
            <v>0</v>
          </cell>
          <cell r="FG903" t="e">
            <v>#N/A</v>
          </cell>
          <cell r="FH903" t="e">
            <v>#N/A</v>
          </cell>
          <cell r="FI903" t="e">
            <v>#N/A</v>
          </cell>
        </row>
        <row r="904">
          <cell r="O904">
            <v>0</v>
          </cell>
          <cell r="P904">
            <v>0</v>
          </cell>
          <cell r="R904">
            <v>0</v>
          </cell>
          <cell r="AS904">
            <v>43500</v>
          </cell>
          <cell r="AT904">
            <v>119</v>
          </cell>
          <cell r="BN904">
            <v>43500</v>
          </cell>
          <cell r="EQ904">
            <v>0</v>
          </cell>
          <cell r="FG904" t="e">
            <v>#N/A</v>
          </cell>
          <cell r="FH904" t="e">
            <v>#N/A</v>
          </cell>
          <cell r="FI904" t="e">
            <v>#N/A</v>
          </cell>
        </row>
        <row r="905">
          <cell r="O905">
            <v>0</v>
          </cell>
          <cell r="P905">
            <v>0</v>
          </cell>
          <cell r="R905">
            <v>0</v>
          </cell>
          <cell r="AS905">
            <v>43500</v>
          </cell>
          <cell r="AT905">
            <v>119</v>
          </cell>
          <cell r="BN905">
            <v>43500</v>
          </cell>
          <cell r="EQ905">
            <v>0</v>
          </cell>
          <cell r="FG905" t="e">
            <v>#N/A</v>
          </cell>
          <cell r="FH905" t="e">
            <v>#N/A</v>
          </cell>
          <cell r="FI905" t="e">
            <v>#N/A</v>
          </cell>
        </row>
        <row r="906">
          <cell r="O906">
            <v>0</v>
          </cell>
          <cell r="P906">
            <v>0</v>
          </cell>
          <cell r="R906">
            <v>0</v>
          </cell>
          <cell r="AS906">
            <v>43500</v>
          </cell>
          <cell r="AT906">
            <v>119</v>
          </cell>
          <cell r="BN906">
            <v>43500</v>
          </cell>
          <cell r="EQ906">
            <v>0</v>
          </cell>
          <cell r="FG906" t="e">
            <v>#N/A</v>
          </cell>
          <cell r="FH906" t="e">
            <v>#N/A</v>
          </cell>
          <cell r="FI906" t="e">
            <v>#N/A</v>
          </cell>
        </row>
        <row r="907">
          <cell r="O907">
            <v>0</v>
          </cell>
          <cell r="P907">
            <v>0</v>
          </cell>
          <cell r="R907">
            <v>0</v>
          </cell>
          <cell r="AS907">
            <v>43500</v>
          </cell>
          <cell r="AT907">
            <v>119</v>
          </cell>
          <cell r="BN907">
            <v>43500</v>
          </cell>
          <cell r="EQ907">
            <v>0</v>
          </cell>
          <cell r="FG907" t="e">
            <v>#N/A</v>
          </cell>
          <cell r="FH907" t="e">
            <v>#N/A</v>
          </cell>
          <cell r="FI907" t="e">
            <v>#N/A</v>
          </cell>
        </row>
        <row r="908">
          <cell r="O908">
            <v>0</v>
          </cell>
          <cell r="P908">
            <v>0</v>
          </cell>
          <cell r="R908">
            <v>0</v>
          </cell>
          <cell r="AS908">
            <v>43500</v>
          </cell>
          <cell r="AT908">
            <v>119</v>
          </cell>
          <cell r="BN908">
            <v>43500</v>
          </cell>
          <cell r="EQ908">
            <v>0</v>
          </cell>
          <cell r="FG908" t="e">
            <v>#N/A</v>
          </cell>
          <cell r="FH908" t="e">
            <v>#N/A</v>
          </cell>
          <cell r="FI908" t="e">
            <v>#N/A</v>
          </cell>
        </row>
        <row r="909">
          <cell r="O909">
            <v>0</v>
          </cell>
          <cell r="P909">
            <v>0</v>
          </cell>
          <cell r="R909">
            <v>0</v>
          </cell>
          <cell r="AS909">
            <v>43500</v>
          </cell>
          <cell r="AT909">
            <v>119</v>
          </cell>
          <cell r="BN909">
            <v>43500</v>
          </cell>
          <cell r="EQ909">
            <v>0</v>
          </cell>
          <cell r="FG909" t="e">
            <v>#N/A</v>
          </cell>
          <cell r="FH909" t="e">
            <v>#N/A</v>
          </cell>
          <cell r="FI909" t="e">
            <v>#N/A</v>
          </cell>
        </row>
        <row r="910">
          <cell r="O910">
            <v>0</v>
          </cell>
          <cell r="P910">
            <v>0</v>
          </cell>
          <cell r="R910">
            <v>0</v>
          </cell>
          <cell r="AS910">
            <v>43500</v>
          </cell>
          <cell r="AT910">
            <v>119</v>
          </cell>
          <cell r="BN910">
            <v>43500</v>
          </cell>
          <cell r="EQ910">
            <v>0</v>
          </cell>
          <cell r="FG910" t="e">
            <v>#N/A</v>
          </cell>
          <cell r="FH910" t="e">
            <v>#N/A</v>
          </cell>
          <cell r="FI910" t="e">
            <v>#N/A</v>
          </cell>
        </row>
        <row r="911">
          <cell r="O911">
            <v>0</v>
          </cell>
          <cell r="P911">
            <v>0</v>
          </cell>
          <cell r="R911">
            <v>0</v>
          </cell>
          <cell r="AS911">
            <v>43500</v>
          </cell>
          <cell r="AT911">
            <v>119</v>
          </cell>
          <cell r="BN911">
            <v>43500</v>
          </cell>
          <cell r="EQ911">
            <v>0</v>
          </cell>
          <cell r="FG911" t="e">
            <v>#N/A</v>
          </cell>
          <cell r="FH911" t="e">
            <v>#N/A</v>
          </cell>
          <cell r="FI911" t="e">
            <v>#N/A</v>
          </cell>
        </row>
        <row r="912">
          <cell r="O912">
            <v>0</v>
          </cell>
          <cell r="P912">
            <v>0</v>
          </cell>
          <cell r="R912">
            <v>0</v>
          </cell>
          <cell r="AS912">
            <v>43500</v>
          </cell>
          <cell r="AT912">
            <v>119</v>
          </cell>
          <cell r="BN912">
            <v>43500</v>
          </cell>
          <cell r="EQ912">
            <v>0</v>
          </cell>
          <cell r="FG912" t="e">
            <v>#N/A</v>
          </cell>
          <cell r="FH912" t="e">
            <v>#N/A</v>
          </cell>
          <cell r="FI912" t="e">
            <v>#N/A</v>
          </cell>
        </row>
        <row r="913">
          <cell r="O913">
            <v>0</v>
          </cell>
          <cell r="P913">
            <v>0</v>
          </cell>
          <cell r="R913">
            <v>0</v>
          </cell>
          <cell r="AS913">
            <v>43500</v>
          </cell>
          <cell r="AT913">
            <v>119</v>
          </cell>
          <cell r="BN913">
            <v>43500</v>
          </cell>
          <cell r="EQ913">
            <v>0</v>
          </cell>
          <cell r="FG913" t="e">
            <v>#N/A</v>
          </cell>
          <cell r="FH913" t="e">
            <v>#N/A</v>
          </cell>
          <cell r="FI913" t="e">
            <v>#N/A</v>
          </cell>
        </row>
        <row r="914">
          <cell r="O914">
            <v>0</v>
          </cell>
          <cell r="P914">
            <v>0</v>
          </cell>
          <cell r="R914">
            <v>0</v>
          </cell>
          <cell r="AS914">
            <v>43500</v>
          </cell>
          <cell r="AT914">
            <v>119</v>
          </cell>
          <cell r="BN914">
            <v>43500</v>
          </cell>
          <cell r="EQ914">
            <v>0</v>
          </cell>
          <cell r="FG914" t="e">
            <v>#N/A</v>
          </cell>
          <cell r="FH914" t="e">
            <v>#N/A</v>
          </cell>
          <cell r="FI914" t="e">
            <v>#N/A</v>
          </cell>
        </row>
        <row r="915">
          <cell r="O915">
            <v>0</v>
          </cell>
          <cell r="P915">
            <v>0</v>
          </cell>
          <cell r="R915">
            <v>0</v>
          </cell>
          <cell r="AS915">
            <v>43500</v>
          </cell>
          <cell r="AT915">
            <v>119</v>
          </cell>
          <cell r="BN915">
            <v>43500</v>
          </cell>
          <cell r="EQ915">
            <v>0</v>
          </cell>
          <cell r="FG915" t="e">
            <v>#N/A</v>
          </cell>
          <cell r="FH915" t="e">
            <v>#N/A</v>
          </cell>
          <cell r="FI915" t="e">
            <v>#N/A</v>
          </cell>
        </row>
        <row r="916">
          <cell r="O916">
            <v>0</v>
          </cell>
          <cell r="P916">
            <v>0</v>
          </cell>
          <cell r="R916">
            <v>0</v>
          </cell>
          <cell r="AS916">
            <v>43500</v>
          </cell>
          <cell r="AT916">
            <v>119</v>
          </cell>
          <cell r="BN916">
            <v>43500</v>
          </cell>
          <cell r="EQ916">
            <v>0</v>
          </cell>
          <cell r="FG916" t="e">
            <v>#N/A</v>
          </cell>
          <cell r="FH916" t="e">
            <v>#N/A</v>
          </cell>
          <cell r="FI916" t="e">
            <v>#N/A</v>
          </cell>
        </row>
        <row r="917">
          <cell r="O917">
            <v>0</v>
          </cell>
          <cell r="P917">
            <v>0</v>
          </cell>
          <cell r="R917">
            <v>0</v>
          </cell>
          <cell r="AS917">
            <v>43500</v>
          </cell>
          <cell r="AT917">
            <v>119</v>
          </cell>
          <cell r="BN917">
            <v>43500</v>
          </cell>
          <cell r="EQ917">
            <v>0</v>
          </cell>
          <cell r="FG917" t="e">
            <v>#N/A</v>
          </cell>
          <cell r="FH917" t="e">
            <v>#N/A</v>
          </cell>
          <cell r="FI917" t="e">
            <v>#N/A</v>
          </cell>
        </row>
        <row r="918">
          <cell r="O918">
            <v>0</v>
          </cell>
          <cell r="P918">
            <v>0</v>
          </cell>
          <cell r="R918">
            <v>0</v>
          </cell>
          <cell r="AS918">
            <v>43500</v>
          </cell>
          <cell r="AT918">
            <v>119</v>
          </cell>
          <cell r="BN918">
            <v>43500</v>
          </cell>
          <cell r="EQ918">
            <v>0</v>
          </cell>
          <cell r="FG918" t="e">
            <v>#N/A</v>
          </cell>
          <cell r="FH918" t="e">
            <v>#N/A</v>
          </cell>
          <cell r="FI918" t="e">
            <v>#N/A</v>
          </cell>
        </row>
        <row r="919">
          <cell r="O919">
            <v>0</v>
          </cell>
          <cell r="P919">
            <v>0</v>
          </cell>
          <cell r="R919">
            <v>0</v>
          </cell>
          <cell r="AS919">
            <v>43500</v>
          </cell>
          <cell r="AT919">
            <v>119</v>
          </cell>
          <cell r="BN919">
            <v>43500</v>
          </cell>
          <cell r="EQ919">
            <v>0</v>
          </cell>
          <cell r="FG919" t="e">
            <v>#N/A</v>
          </cell>
          <cell r="FH919" t="e">
            <v>#N/A</v>
          </cell>
          <cell r="FI919" t="e">
            <v>#N/A</v>
          </cell>
        </row>
        <row r="920">
          <cell r="O920">
            <v>0</v>
          </cell>
          <cell r="P920">
            <v>0</v>
          </cell>
          <cell r="R920">
            <v>0</v>
          </cell>
          <cell r="AS920">
            <v>43500</v>
          </cell>
          <cell r="AT920">
            <v>119</v>
          </cell>
          <cell r="BN920">
            <v>43500</v>
          </cell>
          <cell r="EQ920">
            <v>0</v>
          </cell>
          <cell r="FG920" t="e">
            <v>#N/A</v>
          </cell>
          <cell r="FH920" t="e">
            <v>#N/A</v>
          </cell>
          <cell r="FI920" t="e">
            <v>#N/A</v>
          </cell>
        </row>
        <row r="921">
          <cell r="O921">
            <v>0</v>
          </cell>
          <cell r="P921">
            <v>0</v>
          </cell>
          <cell r="R921">
            <v>0</v>
          </cell>
          <cell r="AS921">
            <v>43500</v>
          </cell>
          <cell r="AT921">
            <v>119</v>
          </cell>
          <cell r="BN921">
            <v>43500</v>
          </cell>
          <cell r="EQ921">
            <v>0</v>
          </cell>
          <cell r="FG921" t="e">
            <v>#N/A</v>
          </cell>
          <cell r="FH921" t="e">
            <v>#N/A</v>
          </cell>
          <cell r="FI921" t="e">
            <v>#N/A</v>
          </cell>
        </row>
        <row r="922">
          <cell r="O922">
            <v>0</v>
          </cell>
          <cell r="P922">
            <v>0</v>
          </cell>
          <cell r="R922">
            <v>0</v>
          </cell>
          <cell r="AS922">
            <v>43500</v>
          </cell>
          <cell r="AT922">
            <v>119</v>
          </cell>
          <cell r="BN922">
            <v>43500</v>
          </cell>
          <cell r="EQ922">
            <v>0</v>
          </cell>
          <cell r="FG922" t="e">
            <v>#N/A</v>
          </cell>
          <cell r="FH922" t="e">
            <v>#N/A</v>
          </cell>
          <cell r="FI922" t="e">
            <v>#N/A</v>
          </cell>
        </row>
        <row r="923">
          <cell r="O923">
            <v>0</v>
          </cell>
          <cell r="P923">
            <v>0</v>
          </cell>
          <cell r="R923">
            <v>0</v>
          </cell>
          <cell r="AS923">
            <v>43500</v>
          </cell>
          <cell r="AT923">
            <v>119</v>
          </cell>
          <cell r="BN923">
            <v>43500</v>
          </cell>
          <cell r="EQ923">
            <v>0</v>
          </cell>
          <cell r="FG923" t="e">
            <v>#N/A</v>
          </cell>
          <cell r="FH923" t="e">
            <v>#N/A</v>
          </cell>
          <cell r="FI923" t="e">
            <v>#N/A</v>
          </cell>
        </row>
        <row r="924">
          <cell r="O924">
            <v>0</v>
          </cell>
          <cell r="P924">
            <v>0</v>
          </cell>
          <cell r="R924">
            <v>0</v>
          </cell>
          <cell r="AS924">
            <v>43500</v>
          </cell>
          <cell r="AT924">
            <v>119</v>
          </cell>
          <cell r="BN924">
            <v>43500</v>
          </cell>
          <cell r="EQ924">
            <v>0</v>
          </cell>
          <cell r="FG924" t="e">
            <v>#N/A</v>
          </cell>
          <cell r="FH924" t="e">
            <v>#N/A</v>
          </cell>
          <cell r="FI924" t="e">
            <v>#N/A</v>
          </cell>
        </row>
        <row r="925">
          <cell r="O925">
            <v>0</v>
          </cell>
          <cell r="P925">
            <v>0</v>
          </cell>
          <cell r="R925">
            <v>0</v>
          </cell>
          <cell r="AS925">
            <v>43500</v>
          </cell>
          <cell r="AT925">
            <v>119</v>
          </cell>
          <cell r="BN925">
            <v>43500</v>
          </cell>
          <cell r="EQ925">
            <v>0</v>
          </cell>
          <cell r="FG925" t="e">
            <v>#N/A</v>
          </cell>
          <cell r="FH925" t="e">
            <v>#N/A</v>
          </cell>
          <cell r="FI925" t="e">
            <v>#N/A</v>
          </cell>
        </row>
        <row r="926">
          <cell r="O926">
            <v>0</v>
          </cell>
          <cell r="P926">
            <v>0</v>
          </cell>
          <cell r="R926">
            <v>0</v>
          </cell>
          <cell r="AS926">
            <v>43500</v>
          </cell>
          <cell r="AT926">
            <v>119</v>
          </cell>
          <cell r="BN926">
            <v>43500</v>
          </cell>
          <cell r="EQ926">
            <v>0</v>
          </cell>
          <cell r="FG926" t="e">
            <v>#N/A</v>
          </cell>
          <cell r="FH926" t="e">
            <v>#N/A</v>
          </cell>
          <cell r="FI926" t="e">
            <v>#N/A</v>
          </cell>
        </row>
        <row r="927">
          <cell r="O927">
            <v>0</v>
          </cell>
          <cell r="P927">
            <v>0</v>
          </cell>
          <cell r="R927">
            <v>0</v>
          </cell>
          <cell r="AS927">
            <v>43500</v>
          </cell>
          <cell r="AT927">
            <v>119</v>
          </cell>
          <cell r="BN927">
            <v>43500</v>
          </cell>
          <cell r="EQ927">
            <v>0</v>
          </cell>
          <cell r="FG927" t="e">
            <v>#N/A</v>
          </cell>
          <cell r="FH927" t="e">
            <v>#N/A</v>
          </cell>
          <cell r="FI927" t="e">
            <v>#N/A</v>
          </cell>
        </row>
        <row r="928">
          <cell r="O928">
            <v>0</v>
          </cell>
          <cell r="P928">
            <v>0</v>
          </cell>
          <cell r="R928">
            <v>0</v>
          </cell>
          <cell r="AS928">
            <v>43500</v>
          </cell>
          <cell r="AT928">
            <v>119</v>
          </cell>
          <cell r="BN928">
            <v>43500</v>
          </cell>
          <cell r="EQ928">
            <v>0</v>
          </cell>
          <cell r="FG928" t="e">
            <v>#N/A</v>
          </cell>
          <cell r="FH928" t="e">
            <v>#N/A</v>
          </cell>
          <cell r="FI928" t="e">
            <v>#N/A</v>
          </cell>
        </row>
        <row r="929">
          <cell r="O929">
            <v>0</v>
          </cell>
          <cell r="P929">
            <v>0</v>
          </cell>
          <cell r="R929">
            <v>0</v>
          </cell>
          <cell r="AS929">
            <v>43500</v>
          </cell>
          <cell r="AT929">
            <v>119</v>
          </cell>
          <cell r="BN929">
            <v>43500</v>
          </cell>
          <cell r="EQ929">
            <v>0</v>
          </cell>
          <cell r="FG929" t="e">
            <v>#N/A</v>
          </cell>
          <cell r="FH929" t="e">
            <v>#N/A</v>
          </cell>
          <cell r="FI929" t="e">
            <v>#N/A</v>
          </cell>
        </row>
        <row r="930">
          <cell r="O930">
            <v>0</v>
          </cell>
          <cell r="P930">
            <v>0</v>
          </cell>
          <cell r="R930">
            <v>0</v>
          </cell>
          <cell r="AS930">
            <v>43500</v>
          </cell>
          <cell r="AT930">
            <v>119</v>
          </cell>
          <cell r="BN930">
            <v>43500</v>
          </cell>
          <cell r="EQ930">
            <v>0</v>
          </cell>
          <cell r="FG930" t="e">
            <v>#N/A</v>
          </cell>
          <cell r="FH930" t="e">
            <v>#N/A</v>
          </cell>
          <cell r="FI930" t="e">
            <v>#N/A</v>
          </cell>
        </row>
        <row r="931">
          <cell r="O931">
            <v>0</v>
          </cell>
          <cell r="P931">
            <v>0</v>
          </cell>
          <cell r="R931">
            <v>0</v>
          </cell>
          <cell r="AS931">
            <v>43500</v>
          </cell>
          <cell r="AT931">
            <v>119</v>
          </cell>
          <cell r="BN931">
            <v>43500</v>
          </cell>
          <cell r="EQ931">
            <v>0</v>
          </cell>
          <cell r="FG931" t="e">
            <v>#N/A</v>
          </cell>
          <cell r="FH931" t="e">
            <v>#N/A</v>
          </cell>
          <cell r="FI931" t="e">
            <v>#N/A</v>
          </cell>
        </row>
        <row r="932">
          <cell r="O932">
            <v>0</v>
          </cell>
          <cell r="P932">
            <v>0</v>
          </cell>
          <cell r="R932">
            <v>0</v>
          </cell>
          <cell r="AS932">
            <v>43500</v>
          </cell>
          <cell r="AT932">
            <v>119</v>
          </cell>
          <cell r="BN932">
            <v>43500</v>
          </cell>
          <cell r="EQ932">
            <v>0</v>
          </cell>
          <cell r="FG932" t="e">
            <v>#N/A</v>
          </cell>
          <cell r="FH932" t="e">
            <v>#N/A</v>
          </cell>
          <cell r="FI932" t="e">
            <v>#N/A</v>
          </cell>
        </row>
        <row r="933">
          <cell r="O933">
            <v>0</v>
          </cell>
          <cell r="P933">
            <v>0</v>
          </cell>
          <cell r="R933">
            <v>0</v>
          </cell>
          <cell r="AS933">
            <v>43500</v>
          </cell>
          <cell r="AT933">
            <v>119</v>
          </cell>
          <cell r="BN933">
            <v>43500</v>
          </cell>
          <cell r="EQ933">
            <v>0</v>
          </cell>
          <cell r="FG933" t="e">
            <v>#N/A</v>
          </cell>
          <cell r="FH933" t="e">
            <v>#N/A</v>
          </cell>
          <cell r="FI933" t="e">
            <v>#N/A</v>
          </cell>
        </row>
        <row r="934">
          <cell r="O934">
            <v>0</v>
          </cell>
          <cell r="P934">
            <v>0</v>
          </cell>
          <cell r="R934">
            <v>0</v>
          </cell>
          <cell r="AS934">
            <v>43500</v>
          </cell>
          <cell r="AT934">
            <v>119</v>
          </cell>
          <cell r="BN934">
            <v>43500</v>
          </cell>
          <cell r="EQ934">
            <v>0</v>
          </cell>
          <cell r="FG934" t="e">
            <v>#N/A</v>
          </cell>
          <cell r="FH934" t="e">
            <v>#N/A</v>
          </cell>
          <cell r="FI934" t="e">
            <v>#N/A</v>
          </cell>
        </row>
        <row r="935">
          <cell r="O935">
            <v>0</v>
          </cell>
          <cell r="P935">
            <v>0</v>
          </cell>
          <cell r="R935">
            <v>0</v>
          </cell>
          <cell r="AS935">
            <v>43500</v>
          </cell>
          <cell r="AT935">
            <v>119</v>
          </cell>
          <cell r="BN935">
            <v>43500</v>
          </cell>
          <cell r="EQ935">
            <v>0</v>
          </cell>
          <cell r="FG935" t="e">
            <v>#N/A</v>
          </cell>
          <cell r="FH935" t="e">
            <v>#N/A</v>
          </cell>
          <cell r="FI935" t="e">
            <v>#N/A</v>
          </cell>
        </row>
        <row r="936">
          <cell r="O936">
            <v>0</v>
          </cell>
          <cell r="P936">
            <v>0</v>
          </cell>
          <cell r="R936">
            <v>0</v>
          </cell>
          <cell r="AS936">
            <v>43500</v>
          </cell>
          <cell r="AT936">
            <v>119</v>
          </cell>
          <cell r="BN936">
            <v>43500</v>
          </cell>
          <cell r="EQ936">
            <v>0</v>
          </cell>
          <cell r="FG936" t="e">
            <v>#N/A</v>
          </cell>
          <cell r="FH936" t="e">
            <v>#N/A</v>
          </cell>
          <cell r="FI936" t="e">
            <v>#N/A</v>
          </cell>
        </row>
        <row r="937">
          <cell r="O937">
            <v>0</v>
          </cell>
          <cell r="P937">
            <v>0</v>
          </cell>
          <cell r="R937">
            <v>0</v>
          </cell>
          <cell r="AS937">
            <v>43500</v>
          </cell>
          <cell r="AT937">
            <v>119</v>
          </cell>
          <cell r="BN937">
            <v>43500</v>
          </cell>
          <cell r="EQ937">
            <v>0</v>
          </cell>
          <cell r="FG937" t="e">
            <v>#N/A</v>
          </cell>
          <cell r="FH937" t="e">
            <v>#N/A</v>
          </cell>
          <cell r="FI937" t="e">
            <v>#N/A</v>
          </cell>
        </row>
        <row r="938">
          <cell r="O938">
            <v>0</v>
          </cell>
          <cell r="P938">
            <v>0</v>
          </cell>
          <cell r="R938">
            <v>0</v>
          </cell>
          <cell r="AS938">
            <v>43500</v>
          </cell>
          <cell r="AT938">
            <v>119</v>
          </cell>
          <cell r="BN938">
            <v>43500</v>
          </cell>
          <cell r="EQ938">
            <v>0</v>
          </cell>
          <cell r="FG938" t="e">
            <v>#N/A</v>
          </cell>
          <cell r="FH938" t="e">
            <v>#N/A</v>
          </cell>
          <cell r="FI938" t="e">
            <v>#N/A</v>
          </cell>
        </row>
        <row r="939">
          <cell r="O939">
            <v>0</v>
          </cell>
          <cell r="P939">
            <v>0</v>
          </cell>
          <cell r="R939">
            <v>0</v>
          </cell>
          <cell r="AS939">
            <v>43500</v>
          </cell>
          <cell r="AT939">
            <v>119</v>
          </cell>
          <cell r="BN939">
            <v>43500</v>
          </cell>
          <cell r="EQ939">
            <v>0</v>
          </cell>
          <cell r="FG939" t="e">
            <v>#N/A</v>
          </cell>
          <cell r="FH939" t="e">
            <v>#N/A</v>
          </cell>
          <cell r="FI939" t="e">
            <v>#N/A</v>
          </cell>
        </row>
        <row r="940">
          <cell r="O940">
            <v>0</v>
          </cell>
          <cell r="P940">
            <v>0</v>
          </cell>
          <cell r="R940">
            <v>0</v>
          </cell>
          <cell r="AS940">
            <v>43500</v>
          </cell>
          <cell r="AT940">
            <v>119</v>
          </cell>
          <cell r="BN940">
            <v>43500</v>
          </cell>
          <cell r="EQ940">
            <v>0</v>
          </cell>
          <cell r="FG940" t="e">
            <v>#N/A</v>
          </cell>
          <cell r="FH940" t="e">
            <v>#N/A</v>
          </cell>
          <cell r="FI940" t="e">
            <v>#N/A</v>
          </cell>
        </row>
        <row r="941">
          <cell r="O941">
            <v>0</v>
          </cell>
          <cell r="P941">
            <v>0</v>
          </cell>
          <cell r="R941">
            <v>0</v>
          </cell>
          <cell r="AS941">
            <v>43500</v>
          </cell>
          <cell r="AT941">
            <v>119</v>
          </cell>
          <cell r="BN941">
            <v>43500</v>
          </cell>
          <cell r="EQ941">
            <v>0</v>
          </cell>
          <cell r="FG941" t="e">
            <v>#N/A</v>
          </cell>
          <cell r="FH941" t="e">
            <v>#N/A</v>
          </cell>
          <cell r="FI941" t="e">
            <v>#N/A</v>
          </cell>
        </row>
        <row r="942">
          <cell r="O942">
            <v>0</v>
          </cell>
          <cell r="P942">
            <v>0</v>
          </cell>
          <cell r="R942">
            <v>0</v>
          </cell>
          <cell r="AS942">
            <v>43500</v>
          </cell>
          <cell r="AT942">
            <v>119</v>
          </cell>
          <cell r="BN942">
            <v>43500</v>
          </cell>
          <cell r="EQ942">
            <v>0</v>
          </cell>
          <cell r="FG942" t="e">
            <v>#N/A</v>
          </cell>
          <cell r="FH942" t="e">
            <v>#N/A</v>
          </cell>
          <cell r="FI942" t="e">
            <v>#N/A</v>
          </cell>
        </row>
        <row r="943">
          <cell r="O943">
            <v>0</v>
          </cell>
          <cell r="P943">
            <v>0</v>
          </cell>
          <cell r="R943">
            <v>0</v>
          </cell>
          <cell r="AS943">
            <v>43500</v>
          </cell>
          <cell r="AT943">
            <v>119</v>
          </cell>
          <cell r="BN943">
            <v>43500</v>
          </cell>
          <cell r="EQ943">
            <v>0</v>
          </cell>
          <cell r="FG943" t="e">
            <v>#N/A</v>
          </cell>
          <cell r="FH943" t="e">
            <v>#N/A</v>
          </cell>
          <cell r="FI943" t="e">
            <v>#N/A</v>
          </cell>
        </row>
        <row r="944">
          <cell r="O944">
            <v>0</v>
          </cell>
          <cell r="P944">
            <v>0</v>
          </cell>
          <cell r="R944">
            <v>0</v>
          </cell>
          <cell r="AS944">
            <v>43500</v>
          </cell>
          <cell r="AT944">
            <v>119</v>
          </cell>
          <cell r="BN944">
            <v>43500</v>
          </cell>
          <cell r="EQ944">
            <v>0</v>
          </cell>
          <cell r="FG944" t="e">
            <v>#N/A</v>
          </cell>
          <cell r="FH944" t="e">
            <v>#N/A</v>
          </cell>
          <cell r="FI944" t="e">
            <v>#N/A</v>
          </cell>
        </row>
        <row r="945">
          <cell r="O945">
            <v>0</v>
          </cell>
          <cell r="P945">
            <v>0</v>
          </cell>
          <cell r="R945">
            <v>0</v>
          </cell>
          <cell r="AS945">
            <v>43500</v>
          </cell>
          <cell r="AT945">
            <v>119</v>
          </cell>
          <cell r="BN945">
            <v>43500</v>
          </cell>
          <cell r="EQ945">
            <v>0</v>
          </cell>
          <cell r="FG945" t="e">
            <v>#N/A</v>
          </cell>
          <cell r="FH945" t="e">
            <v>#N/A</v>
          </cell>
          <cell r="FI945" t="e">
            <v>#N/A</v>
          </cell>
        </row>
        <row r="946">
          <cell r="O946">
            <v>0</v>
          </cell>
          <cell r="P946">
            <v>0</v>
          </cell>
          <cell r="R946">
            <v>0</v>
          </cell>
          <cell r="AS946">
            <v>43500</v>
          </cell>
          <cell r="AT946">
            <v>119</v>
          </cell>
          <cell r="BN946">
            <v>43500</v>
          </cell>
          <cell r="EQ946">
            <v>0</v>
          </cell>
          <cell r="FG946" t="e">
            <v>#N/A</v>
          </cell>
          <cell r="FH946" t="e">
            <v>#N/A</v>
          </cell>
          <cell r="FI946" t="e">
            <v>#N/A</v>
          </cell>
        </row>
        <row r="947">
          <cell r="O947">
            <v>0</v>
          </cell>
          <cell r="P947">
            <v>0</v>
          </cell>
          <cell r="R947">
            <v>0</v>
          </cell>
          <cell r="AS947">
            <v>43500</v>
          </cell>
          <cell r="AT947">
            <v>119</v>
          </cell>
          <cell r="BN947">
            <v>43500</v>
          </cell>
          <cell r="EQ947">
            <v>0</v>
          </cell>
          <cell r="FG947" t="e">
            <v>#N/A</v>
          </cell>
          <cell r="FH947" t="e">
            <v>#N/A</v>
          </cell>
          <cell r="FI947" t="e">
            <v>#N/A</v>
          </cell>
        </row>
        <row r="948">
          <cell r="O948">
            <v>0</v>
          </cell>
          <cell r="P948">
            <v>0</v>
          </cell>
          <cell r="R948">
            <v>0</v>
          </cell>
          <cell r="AS948">
            <v>43500</v>
          </cell>
          <cell r="AT948">
            <v>119</v>
          </cell>
          <cell r="BN948">
            <v>43500</v>
          </cell>
          <cell r="EQ948">
            <v>0</v>
          </cell>
          <cell r="FG948" t="e">
            <v>#N/A</v>
          </cell>
          <cell r="FH948" t="e">
            <v>#N/A</v>
          </cell>
          <cell r="FI948" t="e">
            <v>#N/A</v>
          </cell>
        </row>
        <row r="949">
          <cell r="O949">
            <v>0</v>
          </cell>
          <cell r="P949">
            <v>0</v>
          </cell>
          <cell r="R949">
            <v>0</v>
          </cell>
          <cell r="AS949">
            <v>43500</v>
          </cell>
          <cell r="AT949">
            <v>119</v>
          </cell>
          <cell r="BN949">
            <v>43500</v>
          </cell>
          <cell r="EQ949">
            <v>0</v>
          </cell>
          <cell r="FG949" t="e">
            <v>#N/A</v>
          </cell>
          <cell r="FH949" t="e">
            <v>#N/A</v>
          </cell>
          <cell r="FI949" t="e">
            <v>#N/A</v>
          </cell>
        </row>
        <row r="950">
          <cell r="O950">
            <v>0</v>
          </cell>
          <cell r="P950">
            <v>0</v>
          </cell>
          <cell r="R950">
            <v>0</v>
          </cell>
          <cell r="AS950">
            <v>43500</v>
          </cell>
          <cell r="AT950">
            <v>119</v>
          </cell>
          <cell r="BN950">
            <v>43500</v>
          </cell>
          <cell r="EQ950">
            <v>0</v>
          </cell>
          <cell r="FG950" t="e">
            <v>#N/A</v>
          </cell>
          <cell r="FH950" t="e">
            <v>#N/A</v>
          </cell>
          <cell r="FI950" t="e">
            <v>#N/A</v>
          </cell>
        </row>
        <row r="951">
          <cell r="O951">
            <v>0</v>
          </cell>
          <cell r="P951">
            <v>0</v>
          </cell>
          <cell r="R951">
            <v>0</v>
          </cell>
          <cell r="AS951">
            <v>43500</v>
          </cell>
          <cell r="AT951">
            <v>119</v>
          </cell>
          <cell r="BN951">
            <v>43500</v>
          </cell>
          <cell r="EQ951">
            <v>0</v>
          </cell>
          <cell r="FG951" t="e">
            <v>#N/A</v>
          </cell>
          <cell r="FH951" t="e">
            <v>#N/A</v>
          </cell>
          <cell r="FI951" t="e">
            <v>#N/A</v>
          </cell>
        </row>
        <row r="952">
          <cell r="O952">
            <v>0</v>
          </cell>
          <cell r="P952">
            <v>0</v>
          </cell>
          <cell r="R952">
            <v>0</v>
          </cell>
          <cell r="AS952">
            <v>43500</v>
          </cell>
          <cell r="AT952">
            <v>119</v>
          </cell>
          <cell r="BN952">
            <v>43500</v>
          </cell>
          <cell r="EQ952">
            <v>0</v>
          </cell>
          <cell r="FG952" t="e">
            <v>#N/A</v>
          </cell>
          <cell r="FH952" t="e">
            <v>#N/A</v>
          </cell>
          <cell r="FI952" t="e">
            <v>#N/A</v>
          </cell>
        </row>
        <row r="953">
          <cell r="O953">
            <v>0</v>
          </cell>
          <cell r="P953">
            <v>0</v>
          </cell>
          <cell r="R953">
            <v>0</v>
          </cell>
          <cell r="AS953">
            <v>43500</v>
          </cell>
          <cell r="AT953">
            <v>119</v>
          </cell>
          <cell r="BN953">
            <v>43500</v>
          </cell>
          <cell r="EQ953">
            <v>0</v>
          </cell>
          <cell r="FG953" t="e">
            <v>#N/A</v>
          </cell>
          <cell r="FH953" t="e">
            <v>#N/A</v>
          </cell>
          <cell r="FI953" t="e">
            <v>#N/A</v>
          </cell>
        </row>
        <row r="954">
          <cell r="O954">
            <v>0</v>
          </cell>
          <cell r="P954">
            <v>0</v>
          </cell>
          <cell r="R954">
            <v>0</v>
          </cell>
          <cell r="AS954">
            <v>43500</v>
          </cell>
          <cell r="AT954">
            <v>119</v>
          </cell>
          <cell r="BN954">
            <v>43500</v>
          </cell>
          <cell r="EQ954">
            <v>0</v>
          </cell>
          <cell r="FG954" t="e">
            <v>#N/A</v>
          </cell>
          <cell r="FH954" t="e">
            <v>#N/A</v>
          </cell>
          <cell r="FI954" t="e">
            <v>#N/A</v>
          </cell>
        </row>
        <row r="955">
          <cell r="O955">
            <v>0</v>
          </cell>
          <cell r="P955">
            <v>0</v>
          </cell>
          <cell r="R955">
            <v>0</v>
          </cell>
          <cell r="AS955">
            <v>43500</v>
          </cell>
          <cell r="AT955">
            <v>119</v>
          </cell>
          <cell r="BN955">
            <v>43500</v>
          </cell>
          <cell r="EQ955">
            <v>0</v>
          </cell>
          <cell r="FG955" t="e">
            <v>#N/A</v>
          </cell>
          <cell r="FH955" t="e">
            <v>#N/A</v>
          </cell>
          <cell r="FI955" t="e">
            <v>#N/A</v>
          </cell>
        </row>
        <row r="956">
          <cell r="O956">
            <v>0</v>
          </cell>
          <cell r="P956">
            <v>0</v>
          </cell>
          <cell r="R956">
            <v>0</v>
          </cell>
          <cell r="AS956">
            <v>43500</v>
          </cell>
          <cell r="AT956">
            <v>119</v>
          </cell>
          <cell r="BN956">
            <v>43500</v>
          </cell>
          <cell r="EQ956">
            <v>0</v>
          </cell>
          <cell r="FG956" t="e">
            <v>#N/A</v>
          </cell>
          <cell r="FH956" t="e">
            <v>#N/A</v>
          </cell>
          <cell r="FI956" t="e">
            <v>#N/A</v>
          </cell>
        </row>
        <row r="957">
          <cell r="O957">
            <v>0</v>
          </cell>
          <cell r="P957">
            <v>0</v>
          </cell>
          <cell r="R957">
            <v>0</v>
          </cell>
          <cell r="AS957">
            <v>43500</v>
          </cell>
          <cell r="AT957">
            <v>119</v>
          </cell>
          <cell r="BN957">
            <v>43500</v>
          </cell>
          <cell r="EQ957">
            <v>0</v>
          </cell>
          <cell r="FG957" t="e">
            <v>#N/A</v>
          </cell>
          <cell r="FH957" t="e">
            <v>#N/A</v>
          </cell>
          <cell r="FI957" t="e">
            <v>#N/A</v>
          </cell>
        </row>
        <row r="958">
          <cell r="O958">
            <v>0</v>
          </cell>
          <cell r="P958">
            <v>0</v>
          </cell>
          <cell r="R958">
            <v>0</v>
          </cell>
          <cell r="AS958">
            <v>43500</v>
          </cell>
          <cell r="AT958">
            <v>119</v>
          </cell>
          <cell r="BN958">
            <v>43500</v>
          </cell>
          <cell r="EQ958">
            <v>0</v>
          </cell>
          <cell r="FG958" t="e">
            <v>#N/A</v>
          </cell>
          <cell r="FH958" t="e">
            <v>#N/A</v>
          </cell>
          <cell r="FI958" t="e">
            <v>#N/A</v>
          </cell>
        </row>
        <row r="959">
          <cell r="O959">
            <v>0</v>
          </cell>
          <cell r="P959">
            <v>0</v>
          </cell>
          <cell r="R959">
            <v>0</v>
          </cell>
          <cell r="AS959">
            <v>43500</v>
          </cell>
          <cell r="AT959">
            <v>119</v>
          </cell>
          <cell r="BN959">
            <v>43500</v>
          </cell>
          <cell r="EQ959">
            <v>0</v>
          </cell>
          <cell r="FG959" t="e">
            <v>#N/A</v>
          </cell>
          <cell r="FH959" t="e">
            <v>#N/A</v>
          </cell>
          <cell r="FI959" t="e">
            <v>#N/A</v>
          </cell>
        </row>
        <row r="960">
          <cell r="O960">
            <v>0</v>
          </cell>
          <cell r="P960">
            <v>0</v>
          </cell>
          <cell r="R960">
            <v>0</v>
          </cell>
          <cell r="AS960">
            <v>43500</v>
          </cell>
          <cell r="AT960">
            <v>119</v>
          </cell>
          <cell r="BN960">
            <v>43500</v>
          </cell>
          <cell r="EQ960">
            <v>0</v>
          </cell>
          <cell r="FG960" t="e">
            <v>#N/A</v>
          </cell>
          <cell r="FH960" t="e">
            <v>#N/A</v>
          </cell>
          <cell r="FI960" t="e">
            <v>#N/A</v>
          </cell>
        </row>
        <row r="961">
          <cell r="O961">
            <v>0</v>
          </cell>
          <cell r="P961">
            <v>0</v>
          </cell>
          <cell r="R961">
            <v>0</v>
          </cell>
          <cell r="AS961">
            <v>43500</v>
          </cell>
          <cell r="AT961">
            <v>119</v>
          </cell>
          <cell r="BN961">
            <v>43500</v>
          </cell>
          <cell r="EQ961">
            <v>0</v>
          </cell>
          <cell r="FG961" t="e">
            <v>#N/A</v>
          </cell>
          <cell r="FH961" t="e">
            <v>#N/A</v>
          </cell>
          <cell r="FI961" t="e">
            <v>#N/A</v>
          </cell>
        </row>
        <row r="962">
          <cell r="O962">
            <v>0</v>
          </cell>
          <cell r="P962">
            <v>0</v>
          </cell>
          <cell r="R962">
            <v>0</v>
          </cell>
          <cell r="AS962">
            <v>43500</v>
          </cell>
          <cell r="AT962">
            <v>119</v>
          </cell>
          <cell r="BN962">
            <v>43500</v>
          </cell>
          <cell r="EQ962">
            <v>0</v>
          </cell>
          <cell r="FG962" t="e">
            <v>#N/A</v>
          </cell>
          <cell r="FH962" t="e">
            <v>#N/A</v>
          </cell>
          <cell r="FI962" t="e">
            <v>#N/A</v>
          </cell>
        </row>
        <row r="963">
          <cell r="O963">
            <v>0</v>
          </cell>
          <cell r="P963">
            <v>0</v>
          </cell>
          <cell r="R963">
            <v>0</v>
          </cell>
          <cell r="AS963">
            <v>43500</v>
          </cell>
          <cell r="AT963">
            <v>119</v>
          </cell>
          <cell r="BN963">
            <v>43500</v>
          </cell>
          <cell r="EQ963">
            <v>0</v>
          </cell>
          <cell r="FG963" t="e">
            <v>#N/A</v>
          </cell>
          <cell r="FH963" t="e">
            <v>#N/A</v>
          </cell>
          <cell r="FI963" t="e">
            <v>#N/A</v>
          </cell>
        </row>
        <row r="964">
          <cell r="O964">
            <v>0</v>
          </cell>
          <cell r="P964">
            <v>0</v>
          </cell>
          <cell r="R964">
            <v>0</v>
          </cell>
          <cell r="AS964">
            <v>43500</v>
          </cell>
          <cell r="AT964">
            <v>119</v>
          </cell>
          <cell r="BN964">
            <v>43500</v>
          </cell>
          <cell r="EQ964">
            <v>0</v>
          </cell>
          <cell r="FG964" t="e">
            <v>#N/A</v>
          </cell>
          <cell r="FH964" t="e">
            <v>#N/A</v>
          </cell>
          <cell r="FI964" t="e">
            <v>#N/A</v>
          </cell>
        </row>
        <row r="965">
          <cell r="O965">
            <v>0</v>
          </cell>
          <cell r="P965">
            <v>0</v>
          </cell>
          <cell r="R965">
            <v>0</v>
          </cell>
          <cell r="AS965">
            <v>43500</v>
          </cell>
          <cell r="AT965">
            <v>119</v>
          </cell>
          <cell r="BN965">
            <v>43500</v>
          </cell>
          <cell r="EQ965">
            <v>0</v>
          </cell>
          <cell r="FG965" t="e">
            <v>#N/A</v>
          </cell>
          <cell r="FH965" t="e">
            <v>#N/A</v>
          </cell>
          <cell r="FI965" t="e">
            <v>#N/A</v>
          </cell>
        </row>
        <row r="966">
          <cell r="O966">
            <v>0</v>
          </cell>
          <cell r="P966">
            <v>0</v>
          </cell>
          <cell r="R966">
            <v>0</v>
          </cell>
          <cell r="AS966">
            <v>43500</v>
          </cell>
          <cell r="AT966">
            <v>119</v>
          </cell>
          <cell r="BN966">
            <v>43500</v>
          </cell>
          <cell r="EQ966">
            <v>0</v>
          </cell>
          <cell r="FG966" t="e">
            <v>#N/A</v>
          </cell>
          <cell r="FH966" t="e">
            <v>#N/A</v>
          </cell>
          <cell r="FI966" t="e">
            <v>#N/A</v>
          </cell>
        </row>
        <row r="967">
          <cell r="O967">
            <v>0</v>
          </cell>
          <cell r="P967">
            <v>0</v>
          </cell>
          <cell r="R967">
            <v>0</v>
          </cell>
          <cell r="AS967">
            <v>43500</v>
          </cell>
          <cell r="AT967">
            <v>119</v>
          </cell>
          <cell r="BN967">
            <v>43500</v>
          </cell>
          <cell r="EQ967">
            <v>0</v>
          </cell>
          <cell r="FG967" t="e">
            <v>#N/A</v>
          </cell>
          <cell r="FH967" t="e">
            <v>#N/A</v>
          </cell>
          <cell r="FI967" t="e">
            <v>#N/A</v>
          </cell>
        </row>
        <row r="968">
          <cell r="O968">
            <v>0</v>
          </cell>
          <cell r="P968">
            <v>0</v>
          </cell>
          <cell r="R968">
            <v>0</v>
          </cell>
          <cell r="AS968">
            <v>43500</v>
          </cell>
          <cell r="AT968">
            <v>119</v>
          </cell>
          <cell r="BN968">
            <v>43500</v>
          </cell>
          <cell r="EQ968">
            <v>0</v>
          </cell>
          <cell r="FG968" t="e">
            <v>#N/A</v>
          </cell>
          <cell r="FH968" t="e">
            <v>#N/A</v>
          </cell>
          <cell r="FI968" t="e">
            <v>#N/A</v>
          </cell>
        </row>
        <row r="969">
          <cell r="O969">
            <v>0</v>
          </cell>
          <cell r="P969">
            <v>0</v>
          </cell>
          <cell r="R969">
            <v>0</v>
          </cell>
          <cell r="AS969">
            <v>43500</v>
          </cell>
          <cell r="AT969">
            <v>119</v>
          </cell>
          <cell r="BN969">
            <v>43500</v>
          </cell>
          <cell r="EQ969">
            <v>0</v>
          </cell>
          <cell r="FG969" t="e">
            <v>#N/A</v>
          </cell>
          <cell r="FH969" t="e">
            <v>#N/A</v>
          </cell>
          <cell r="FI969" t="e">
            <v>#N/A</v>
          </cell>
        </row>
        <row r="970">
          <cell r="O970">
            <v>0</v>
          </cell>
          <cell r="P970">
            <v>0</v>
          </cell>
          <cell r="R970">
            <v>0</v>
          </cell>
          <cell r="AS970">
            <v>43500</v>
          </cell>
          <cell r="AT970">
            <v>119</v>
          </cell>
          <cell r="BN970">
            <v>43500</v>
          </cell>
          <cell r="EQ970">
            <v>0</v>
          </cell>
          <cell r="FG970" t="e">
            <v>#N/A</v>
          </cell>
          <cell r="FH970" t="e">
            <v>#N/A</v>
          </cell>
          <cell r="FI970" t="e">
            <v>#N/A</v>
          </cell>
        </row>
        <row r="971">
          <cell r="O971">
            <v>0</v>
          </cell>
          <cell r="P971">
            <v>0</v>
          </cell>
          <cell r="R971">
            <v>0</v>
          </cell>
          <cell r="AS971">
            <v>43500</v>
          </cell>
          <cell r="AT971">
            <v>119</v>
          </cell>
          <cell r="BN971">
            <v>43500</v>
          </cell>
          <cell r="EQ971">
            <v>0</v>
          </cell>
          <cell r="FG971" t="e">
            <v>#N/A</v>
          </cell>
          <cell r="FH971" t="e">
            <v>#N/A</v>
          </cell>
          <cell r="FI971" t="e">
            <v>#N/A</v>
          </cell>
        </row>
        <row r="972">
          <cell r="O972">
            <v>0</v>
          </cell>
          <cell r="P972">
            <v>0</v>
          </cell>
          <cell r="R972">
            <v>0</v>
          </cell>
          <cell r="AS972">
            <v>43500</v>
          </cell>
          <cell r="AT972">
            <v>119</v>
          </cell>
          <cell r="BN972">
            <v>43500</v>
          </cell>
          <cell r="EQ972">
            <v>0</v>
          </cell>
          <cell r="FG972" t="e">
            <v>#N/A</v>
          </cell>
          <cell r="FH972" t="e">
            <v>#N/A</v>
          </cell>
          <cell r="FI972" t="e">
            <v>#N/A</v>
          </cell>
        </row>
        <row r="973">
          <cell r="O973">
            <v>0</v>
          </cell>
          <cell r="P973">
            <v>0</v>
          </cell>
          <cell r="R973">
            <v>0</v>
          </cell>
          <cell r="AS973">
            <v>43500</v>
          </cell>
          <cell r="AT973">
            <v>119</v>
          </cell>
          <cell r="BN973">
            <v>43500</v>
          </cell>
          <cell r="EQ973">
            <v>0</v>
          </cell>
          <cell r="FG973" t="e">
            <v>#N/A</v>
          </cell>
          <cell r="FH973" t="e">
            <v>#N/A</v>
          </cell>
          <cell r="FI973" t="e">
            <v>#N/A</v>
          </cell>
        </row>
        <row r="974">
          <cell r="O974">
            <v>0</v>
          </cell>
          <cell r="P974">
            <v>0</v>
          </cell>
          <cell r="R974">
            <v>0</v>
          </cell>
          <cell r="AS974">
            <v>43500</v>
          </cell>
          <cell r="AT974">
            <v>119</v>
          </cell>
          <cell r="BN974">
            <v>43500</v>
          </cell>
          <cell r="EQ974">
            <v>0</v>
          </cell>
          <cell r="FG974" t="e">
            <v>#N/A</v>
          </cell>
          <cell r="FH974" t="e">
            <v>#N/A</v>
          </cell>
          <cell r="FI974" t="e">
            <v>#N/A</v>
          </cell>
        </row>
        <row r="975">
          <cell r="O975">
            <v>0</v>
          </cell>
          <cell r="P975">
            <v>0</v>
          </cell>
          <cell r="R975">
            <v>0</v>
          </cell>
          <cell r="AS975">
            <v>43500</v>
          </cell>
          <cell r="AT975">
            <v>119</v>
          </cell>
          <cell r="BN975">
            <v>43500</v>
          </cell>
          <cell r="EQ975">
            <v>0</v>
          </cell>
          <cell r="FG975" t="e">
            <v>#N/A</v>
          </cell>
          <cell r="FH975" t="e">
            <v>#N/A</v>
          </cell>
          <cell r="FI975" t="e">
            <v>#N/A</v>
          </cell>
        </row>
        <row r="976">
          <cell r="O976">
            <v>0</v>
          </cell>
          <cell r="P976">
            <v>0</v>
          </cell>
          <cell r="R976">
            <v>0</v>
          </cell>
          <cell r="AS976">
            <v>43500</v>
          </cell>
          <cell r="AT976">
            <v>119</v>
          </cell>
          <cell r="BN976">
            <v>43500</v>
          </cell>
          <cell r="EQ976">
            <v>0</v>
          </cell>
          <cell r="FG976" t="e">
            <v>#N/A</v>
          </cell>
          <cell r="FH976" t="e">
            <v>#N/A</v>
          </cell>
          <cell r="FI976" t="e">
            <v>#N/A</v>
          </cell>
        </row>
        <row r="977">
          <cell r="O977">
            <v>0</v>
          </cell>
          <cell r="P977">
            <v>0</v>
          </cell>
          <cell r="R977">
            <v>0</v>
          </cell>
          <cell r="AS977">
            <v>43500</v>
          </cell>
          <cell r="AT977">
            <v>119</v>
          </cell>
          <cell r="BN977">
            <v>43500</v>
          </cell>
          <cell r="EQ977">
            <v>0</v>
          </cell>
          <cell r="FG977" t="e">
            <v>#N/A</v>
          </cell>
          <cell r="FH977" t="e">
            <v>#N/A</v>
          </cell>
          <cell r="FI977" t="e">
            <v>#N/A</v>
          </cell>
        </row>
        <row r="978">
          <cell r="O978">
            <v>0</v>
          </cell>
          <cell r="P978">
            <v>0</v>
          </cell>
          <cell r="R978">
            <v>0</v>
          </cell>
          <cell r="AS978">
            <v>43500</v>
          </cell>
          <cell r="AT978">
            <v>119</v>
          </cell>
          <cell r="BN978">
            <v>43500</v>
          </cell>
          <cell r="EQ978">
            <v>0</v>
          </cell>
          <cell r="FG978" t="e">
            <v>#N/A</v>
          </cell>
          <cell r="FH978" t="e">
            <v>#N/A</v>
          </cell>
          <cell r="FI978" t="e">
            <v>#N/A</v>
          </cell>
        </row>
        <row r="979">
          <cell r="O979">
            <v>0</v>
          </cell>
          <cell r="P979">
            <v>0</v>
          </cell>
          <cell r="R979">
            <v>0</v>
          </cell>
          <cell r="AS979">
            <v>43500</v>
          </cell>
          <cell r="AT979">
            <v>119</v>
          </cell>
          <cell r="BN979">
            <v>43500</v>
          </cell>
          <cell r="EQ979">
            <v>0</v>
          </cell>
          <cell r="FG979" t="e">
            <v>#N/A</v>
          </cell>
          <cell r="FH979" t="e">
            <v>#N/A</v>
          </cell>
          <cell r="FI979" t="e">
            <v>#N/A</v>
          </cell>
        </row>
        <row r="980">
          <cell r="O980">
            <v>0</v>
          </cell>
          <cell r="P980">
            <v>0</v>
          </cell>
          <cell r="R980">
            <v>0</v>
          </cell>
          <cell r="AS980">
            <v>43500</v>
          </cell>
          <cell r="AT980">
            <v>119</v>
          </cell>
          <cell r="BN980">
            <v>43500</v>
          </cell>
          <cell r="EQ980">
            <v>0</v>
          </cell>
          <cell r="FG980" t="e">
            <v>#N/A</v>
          </cell>
          <cell r="FH980" t="e">
            <v>#N/A</v>
          </cell>
          <cell r="FI980" t="e">
            <v>#N/A</v>
          </cell>
        </row>
        <row r="981">
          <cell r="O981">
            <v>0</v>
          </cell>
          <cell r="P981">
            <v>0</v>
          </cell>
          <cell r="R981">
            <v>0</v>
          </cell>
          <cell r="AS981">
            <v>43500</v>
          </cell>
          <cell r="AT981">
            <v>119</v>
          </cell>
          <cell r="BN981">
            <v>43500</v>
          </cell>
          <cell r="EQ981">
            <v>0</v>
          </cell>
          <cell r="FG981" t="e">
            <v>#N/A</v>
          </cell>
          <cell r="FH981" t="e">
            <v>#N/A</v>
          </cell>
          <cell r="FI981" t="e">
            <v>#N/A</v>
          </cell>
        </row>
        <row r="982">
          <cell r="O982">
            <v>0</v>
          </cell>
          <cell r="P982">
            <v>0</v>
          </cell>
          <cell r="R982">
            <v>0</v>
          </cell>
          <cell r="AS982">
            <v>43500</v>
          </cell>
          <cell r="AT982">
            <v>119</v>
          </cell>
          <cell r="BN982">
            <v>43500</v>
          </cell>
          <cell r="EQ982">
            <v>0</v>
          </cell>
          <cell r="FG982" t="e">
            <v>#N/A</v>
          </cell>
          <cell r="FH982" t="e">
            <v>#N/A</v>
          </cell>
          <cell r="FI982" t="e">
            <v>#N/A</v>
          </cell>
        </row>
        <row r="983">
          <cell r="O983">
            <v>0</v>
          </cell>
          <cell r="P983">
            <v>0</v>
          </cell>
          <cell r="R983">
            <v>0</v>
          </cell>
          <cell r="AS983">
            <v>43500</v>
          </cell>
          <cell r="AT983">
            <v>119</v>
          </cell>
          <cell r="BN983">
            <v>43500</v>
          </cell>
          <cell r="EQ983">
            <v>0</v>
          </cell>
          <cell r="FG983" t="e">
            <v>#N/A</v>
          </cell>
          <cell r="FH983" t="e">
            <v>#N/A</v>
          </cell>
          <cell r="FI983" t="e">
            <v>#N/A</v>
          </cell>
        </row>
        <row r="984">
          <cell r="O984">
            <v>0</v>
          </cell>
          <cell r="P984">
            <v>0</v>
          </cell>
          <cell r="R984">
            <v>0</v>
          </cell>
          <cell r="AS984">
            <v>43500</v>
          </cell>
          <cell r="AT984">
            <v>119</v>
          </cell>
          <cell r="BN984">
            <v>43500</v>
          </cell>
          <cell r="EQ984">
            <v>0</v>
          </cell>
          <cell r="FG984" t="e">
            <v>#N/A</v>
          </cell>
          <cell r="FH984" t="e">
            <v>#N/A</v>
          </cell>
          <cell r="FI984" t="e">
            <v>#N/A</v>
          </cell>
        </row>
        <row r="985">
          <cell r="O985">
            <v>0</v>
          </cell>
          <cell r="P985">
            <v>0</v>
          </cell>
          <cell r="R985">
            <v>0</v>
          </cell>
          <cell r="AS985">
            <v>43500</v>
          </cell>
          <cell r="AT985">
            <v>119</v>
          </cell>
          <cell r="BN985">
            <v>43500</v>
          </cell>
          <cell r="EQ985">
            <v>0</v>
          </cell>
          <cell r="FG985" t="e">
            <v>#N/A</v>
          </cell>
          <cell r="FH985" t="e">
            <v>#N/A</v>
          </cell>
          <cell r="FI985" t="e">
            <v>#N/A</v>
          </cell>
        </row>
        <row r="986">
          <cell r="O986">
            <v>0</v>
          </cell>
          <cell r="P986">
            <v>0</v>
          </cell>
          <cell r="R986">
            <v>0</v>
          </cell>
          <cell r="AS986">
            <v>43500</v>
          </cell>
          <cell r="AT986">
            <v>119</v>
          </cell>
          <cell r="BN986">
            <v>43500</v>
          </cell>
          <cell r="EQ986">
            <v>0</v>
          </cell>
          <cell r="FG986" t="e">
            <v>#N/A</v>
          </cell>
          <cell r="FH986" t="e">
            <v>#N/A</v>
          </cell>
          <cell r="FI986" t="e">
            <v>#N/A</v>
          </cell>
        </row>
        <row r="987">
          <cell r="O987">
            <v>0</v>
          </cell>
          <cell r="P987">
            <v>0</v>
          </cell>
          <cell r="R987">
            <v>0</v>
          </cell>
          <cell r="AS987">
            <v>43500</v>
          </cell>
          <cell r="AT987">
            <v>119</v>
          </cell>
          <cell r="BN987">
            <v>43500</v>
          </cell>
          <cell r="EQ987">
            <v>0</v>
          </cell>
          <cell r="FG987" t="e">
            <v>#N/A</v>
          </cell>
          <cell r="FH987" t="e">
            <v>#N/A</v>
          </cell>
          <cell r="FI987" t="e">
            <v>#N/A</v>
          </cell>
        </row>
        <row r="988">
          <cell r="O988">
            <v>0</v>
          </cell>
          <cell r="P988">
            <v>0</v>
          </cell>
          <cell r="R988">
            <v>0</v>
          </cell>
          <cell r="AS988">
            <v>43500</v>
          </cell>
          <cell r="AT988">
            <v>119</v>
          </cell>
          <cell r="BN988">
            <v>43500</v>
          </cell>
          <cell r="EQ988">
            <v>0</v>
          </cell>
          <cell r="FG988" t="e">
            <v>#N/A</v>
          </cell>
          <cell r="FH988" t="e">
            <v>#N/A</v>
          </cell>
          <cell r="FI988" t="e">
            <v>#N/A</v>
          </cell>
        </row>
        <row r="989">
          <cell r="O989">
            <v>0</v>
          </cell>
          <cell r="P989">
            <v>0</v>
          </cell>
          <cell r="R989">
            <v>0</v>
          </cell>
          <cell r="AS989">
            <v>43500</v>
          </cell>
          <cell r="AT989">
            <v>119</v>
          </cell>
          <cell r="BN989">
            <v>43500</v>
          </cell>
          <cell r="EQ989">
            <v>0</v>
          </cell>
          <cell r="FG989" t="e">
            <v>#N/A</v>
          </cell>
          <cell r="FH989" t="e">
            <v>#N/A</v>
          </cell>
          <cell r="FI989" t="e">
            <v>#N/A</v>
          </cell>
        </row>
        <row r="990">
          <cell r="O990">
            <v>0</v>
          </cell>
          <cell r="P990">
            <v>0</v>
          </cell>
          <cell r="R990">
            <v>0</v>
          </cell>
          <cell r="AS990">
            <v>43500</v>
          </cell>
          <cell r="AT990">
            <v>119</v>
          </cell>
          <cell r="BN990">
            <v>43500</v>
          </cell>
          <cell r="EQ990">
            <v>0</v>
          </cell>
          <cell r="FG990" t="e">
            <v>#N/A</v>
          </cell>
          <cell r="FH990" t="e">
            <v>#N/A</v>
          </cell>
          <cell r="FI990" t="e">
            <v>#N/A</v>
          </cell>
        </row>
        <row r="991">
          <cell r="O991">
            <v>0</v>
          </cell>
          <cell r="P991">
            <v>0</v>
          </cell>
          <cell r="R991">
            <v>0</v>
          </cell>
          <cell r="AS991">
            <v>43500</v>
          </cell>
          <cell r="AT991">
            <v>119</v>
          </cell>
          <cell r="BN991">
            <v>43500</v>
          </cell>
          <cell r="EQ991">
            <v>0</v>
          </cell>
          <cell r="FG991" t="e">
            <v>#N/A</v>
          </cell>
          <cell r="FH991" t="e">
            <v>#N/A</v>
          </cell>
          <cell r="FI991" t="e">
            <v>#N/A</v>
          </cell>
        </row>
        <row r="992">
          <cell r="O992">
            <v>0</v>
          </cell>
          <cell r="P992">
            <v>0</v>
          </cell>
          <cell r="R992">
            <v>0</v>
          </cell>
          <cell r="AS992">
            <v>43500</v>
          </cell>
          <cell r="AT992">
            <v>119</v>
          </cell>
          <cell r="BN992">
            <v>43500</v>
          </cell>
          <cell r="EQ992">
            <v>0</v>
          </cell>
          <cell r="FG992" t="e">
            <v>#N/A</v>
          </cell>
          <cell r="FH992" t="e">
            <v>#N/A</v>
          </cell>
          <cell r="FI992" t="e">
            <v>#N/A</v>
          </cell>
        </row>
        <row r="993">
          <cell r="O993">
            <v>0</v>
          </cell>
          <cell r="P993">
            <v>0</v>
          </cell>
          <cell r="R993">
            <v>0</v>
          </cell>
          <cell r="AS993">
            <v>43500</v>
          </cell>
          <cell r="AT993">
            <v>119</v>
          </cell>
          <cell r="BN993">
            <v>43500</v>
          </cell>
          <cell r="EQ993">
            <v>0</v>
          </cell>
          <cell r="FG993" t="e">
            <v>#N/A</v>
          </cell>
          <cell r="FH993" t="e">
            <v>#N/A</v>
          </cell>
          <cell r="FI993" t="e">
            <v>#N/A</v>
          </cell>
        </row>
        <row r="994">
          <cell r="O994">
            <v>0</v>
          </cell>
          <cell r="P994">
            <v>0</v>
          </cell>
          <cell r="R994">
            <v>0</v>
          </cell>
          <cell r="AS994">
            <v>43500</v>
          </cell>
          <cell r="AT994">
            <v>119</v>
          </cell>
          <cell r="BN994">
            <v>43500</v>
          </cell>
          <cell r="EQ994">
            <v>0</v>
          </cell>
          <cell r="FG994" t="e">
            <v>#N/A</v>
          </cell>
          <cell r="FH994" t="e">
            <v>#N/A</v>
          </cell>
          <cell r="FI994" t="e">
            <v>#N/A</v>
          </cell>
        </row>
        <row r="995">
          <cell r="O995">
            <v>0</v>
          </cell>
          <cell r="P995">
            <v>0</v>
          </cell>
          <cell r="R995">
            <v>0</v>
          </cell>
          <cell r="AS995">
            <v>43500</v>
          </cell>
          <cell r="AT995">
            <v>119</v>
          </cell>
          <cell r="BN995">
            <v>43500</v>
          </cell>
          <cell r="EQ995">
            <v>0</v>
          </cell>
          <cell r="FG995" t="e">
            <v>#N/A</v>
          </cell>
          <cell r="FH995" t="e">
            <v>#N/A</v>
          </cell>
          <cell r="FI995" t="e">
            <v>#N/A</v>
          </cell>
        </row>
        <row r="996">
          <cell r="O996">
            <v>0</v>
          </cell>
          <cell r="P996">
            <v>0</v>
          </cell>
          <cell r="R996">
            <v>0</v>
          </cell>
          <cell r="AS996">
            <v>43500</v>
          </cell>
          <cell r="AT996">
            <v>119</v>
          </cell>
          <cell r="BN996">
            <v>43500</v>
          </cell>
          <cell r="EQ996">
            <v>0</v>
          </cell>
          <cell r="FG996" t="e">
            <v>#N/A</v>
          </cell>
          <cell r="FH996" t="e">
            <v>#N/A</v>
          </cell>
          <cell r="FI996" t="e">
            <v>#N/A</v>
          </cell>
        </row>
        <row r="997">
          <cell r="O997">
            <v>0</v>
          </cell>
          <cell r="P997">
            <v>0</v>
          </cell>
          <cell r="R997">
            <v>0</v>
          </cell>
          <cell r="AS997">
            <v>43500</v>
          </cell>
          <cell r="AT997">
            <v>119</v>
          </cell>
          <cell r="BN997">
            <v>43500</v>
          </cell>
          <cell r="EQ997">
            <v>0</v>
          </cell>
          <cell r="FG997" t="e">
            <v>#N/A</v>
          </cell>
          <cell r="FH997" t="e">
            <v>#N/A</v>
          </cell>
          <cell r="FI997" t="e">
            <v>#N/A</v>
          </cell>
        </row>
        <row r="998">
          <cell r="O998">
            <v>0</v>
          </cell>
          <cell r="P998">
            <v>0</v>
          </cell>
          <cell r="R998">
            <v>0</v>
          </cell>
          <cell r="AS998">
            <v>43500</v>
          </cell>
          <cell r="AT998">
            <v>119</v>
          </cell>
          <cell r="BN998">
            <v>43500</v>
          </cell>
          <cell r="EQ998">
            <v>0</v>
          </cell>
          <cell r="FG998" t="e">
            <v>#N/A</v>
          </cell>
          <cell r="FH998" t="e">
            <v>#N/A</v>
          </cell>
          <cell r="FI998" t="e">
            <v>#N/A</v>
          </cell>
        </row>
        <row r="999">
          <cell r="O999">
            <v>0</v>
          </cell>
          <cell r="P999">
            <v>0</v>
          </cell>
          <cell r="R999">
            <v>0</v>
          </cell>
          <cell r="AS999">
            <v>43500</v>
          </cell>
          <cell r="AT999">
            <v>119</v>
          </cell>
          <cell r="BN999">
            <v>43500</v>
          </cell>
          <cell r="EQ999">
            <v>0</v>
          </cell>
          <cell r="FG999" t="e">
            <v>#N/A</v>
          </cell>
          <cell r="FH999" t="e">
            <v>#N/A</v>
          </cell>
          <cell r="FI999" t="e">
            <v>#N/A</v>
          </cell>
        </row>
        <row r="1000">
          <cell r="O1000">
            <v>0</v>
          </cell>
          <cell r="P1000">
            <v>0</v>
          </cell>
          <cell r="R1000">
            <v>0</v>
          </cell>
          <cell r="AS1000">
            <v>43500</v>
          </cell>
          <cell r="AT1000">
            <v>119</v>
          </cell>
          <cell r="BN1000">
            <v>43500</v>
          </cell>
          <cell r="EQ1000">
            <v>0</v>
          </cell>
          <cell r="FG1000" t="e">
            <v>#N/A</v>
          </cell>
          <cell r="FH1000" t="e">
            <v>#N/A</v>
          </cell>
          <cell r="FI1000" t="e">
            <v>#N/A</v>
          </cell>
        </row>
        <row r="1001">
          <cell r="O1001">
            <v>0</v>
          </cell>
          <cell r="P1001">
            <v>0</v>
          </cell>
          <cell r="R1001">
            <v>0</v>
          </cell>
          <cell r="AS1001">
            <v>43500</v>
          </cell>
          <cell r="AT1001">
            <v>119</v>
          </cell>
          <cell r="BN1001">
            <v>43500</v>
          </cell>
          <cell r="EQ1001">
            <v>0</v>
          </cell>
          <cell r="FG1001" t="e">
            <v>#N/A</v>
          </cell>
          <cell r="FH1001" t="e">
            <v>#N/A</v>
          </cell>
          <cell r="FI1001" t="e">
            <v>#N/A</v>
          </cell>
        </row>
        <row r="1002">
          <cell r="O1002">
            <v>0</v>
          </cell>
          <cell r="P1002">
            <v>0</v>
          </cell>
          <cell r="R1002">
            <v>0</v>
          </cell>
          <cell r="AS1002">
            <v>43500</v>
          </cell>
          <cell r="AT1002">
            <v>119</v>
          </cell>
          <cell r="BN1002">
            <v>43500</v>
          </cell>
          <cell r="EQ1002">
            <v>0</v>
          </cell>
          <cell r="FG1002" t="e">
            <v>#N/A</v>
          </cell>
          <cell r="FH1002" t="e">
            <v>#N/A</v>
          </cell>
          <cell r="FI1002" t="e">
            <v>#N/A</v>
          </cell>
        </row>
        <row r="1003">
          <cell r="O1003">
            <v>0</v>
          </cell>
          <cell r="P1003">
            <v>0</v>
          </cell>
          <cell r="R1003">
            <v>0</v>
          </cell>
          <cell r="AS1003">
            <v>43500</v>
          </cell>
          <cell r="AT1003">
            <v>119</v>
          </cell>
          <cell r="BN1003">
            <v>43500</v>
          </cell>
          <cell r="EQ1003">
            <v>0</v>
          </cell>
          <cell r="FG1003" t="e">
            <v>#N/A</v>
          </cell>
          <cell r="FH1003" t="e">
            <v>#N/A</v>
          </cell>
          <cell r="FI1003" t="e">
            <v>#N/A</v>
          </cell>
        </row>
        <row r="1004">
          <cell r="O1004">
            <v>0</v>
          </cell>
          <cell r="P1004">
            <v>0</v>
          </cell>
          <cell r="R1004">
            <v>0</v>
          </cell>
          <cell r="AS1004">
            <v>43500</v>
          </cell>
          <cell r="AT1004">
            <v>119</v>
          </cell>
          <cell r="BN1004">
            <v>43500</v>
          </cell>
          <cell r="EQ1004">
            <v>0</v>
          </cell>
          <cell r="FG1004" t="e">
            <v>#N/A</v>
          </cell>
          <cell r="FH1004" t="e">
            <v>#N/A</v>
          </cell>
          <cell r="FI1004" t="e">
            <v>#N/A</v>
          </cell>
        </row>
        <row r="1005">
          <cell r="O1005">
            <v>0</v>
          </cell>
          <cell r="P1005">
            <v>0</v>
          </cell>
          <cell r="R1005">
            <v>0</v>
          </cell>
          <cell r="AS1005">
            <v>43500</v>
          </cell>
          <cell r="AT1005">
            <v>119</v>
          </cell>
          <cell r="BN1005">
            <v>43500</v>
          </cell>
          <cell r="EQ1005">
            <v>0</v>
          </cell>
          <cell r="FG1005" t="e">
            <v>#N/A</v>
          </cell>
          <cell r="FH1005" t="e">
            <v>#N/A</v>
          </cell>
          <cell r="FI1005" t="e">
            <v>#N/A</v>
          </cell>
        </row>
        <row r="1006">
          <cell r="O1006">
            <v>0</v>
          </cell>
          <cell r="P1006">
            <v>0</v>
          </cell>
          <cell r="R1006">
            <v>0</v>
          </cell>
          <cell r="AS1006">
            <v>43500</v>
          </cell>
          <cell r="AT1006">
            <v>119</v>
          </cell>
          <cell r="BN1006">
            <v>43500</v>
          </cell>
          <cell r="EQ1006">
            <v>0</v>
          </cell>
          <cell r="FG1006" t="e">
            <v>#N/A</v>
          </cell>
          <cell r="FH1006" t="e">
            <v>#N/A</v>
          </cell>
          <cell r="FI1006" t="e">
            <v>#N/A</v>
          </cell>
        </row>
        <row r="1007">
          <cell r="O1007">
            <v>0</v>
          </cell>
          <cell r="P1007">
            <v>0</v>
          </cell>
          <cell r="R1007">
            <v>0</v>
          </cell>
          <cell r="AS1007">
            <v>43500</v>
          </cell>
          <cell r="AT1007">
            <v>119</v>
          </cell>
          <cell r="BN1007">
            <v>43500</v>
          </cell>
          <cell r="EQ1007">
            <v>0</v>
          </cell>
          <cell r="FG1007" t="e">
            <v>#N/A</v>
          </cell>
          <cell r="FH1007" t="e">
            <v>#N/A</v>
          </cell>
          <cell r="FI1007" t="e">
            <v>#N/A</v>
          </cell>
        </row>
        <row r="1008">
          <cell r="O1008">
            <v>0</v>
          </cell>
          <cell r="P1008">
            <v>0</v>
          </cell>
          <cell r="R1008">
            <v>0</v>
          </cell>
          <cell r="AS1008">
            <v>43500</v>
          </cell>
          <cell r="AT1008">
            <v>119</v>
          </cell>
          <cell r="BN1008">
            <v>43500</v>
          </cell>
          <cell r="EQ1008">
            <v>0</v>
          </cell>
          <cell r="FG1008" t="e">
            <v>#N/A</v>
          </cell>
          <cell r="FH1008" t="e">
            <v>#N/A</v>
          </cell>
          <cell r="FI1008" t="e">
            <v>#N/A</v>
          </cell>
        </row>
        <row r="1009">
          <cell r="O1009">
            <v>0</v>
          </cell>
          <cell r="P1009">
            <v>0</v>
          </cell>
          <cell r="R1009">
            <v>0</v>
          </cell>
          <cell r="AS1009">
            <v>43500</v>
          </cell>
          <cell r="AT1009">
            <v>119</v>
          </cell>
          <cell r="BN1009">
            <v>43500</v>
          </cell>
          <cell r="EQ1009">
            <v>0</v>
          </cell>
          <cell r="FG1009" t="e">
            <v>#N/A</v>
          </cell>
          <cell r="FH1009" t="e">
            <v>#N/A</v>
          </cell>
          <cell r="FI1009" t="e">
            <v>#N/A</v>
          </cell>
        </row>
        <row r="1010">
          <cell r="O1010">
            <v>0</v>
          </cell>
          <cell r="P1010">
            <v>0</v>
          </cell>
          <cell r="R1010">
            <v>0</v>
          </cell>
          <cell r="AS1010">
            <v>43500</v>
          </cell>
          <cell r="AT1010">
            <v>119</v>
          </cell>
          <cell r="BN1010">
            <v>43500</v>
          </cell>
          <cell r="EQ1010">
            <v>0</v>
          </cell>
          <cell r="FG1010" t="e">
            <v>#N/A</v>
          </cell>
          <cell r="FH1010" t="e">
            <v>#N/A</v>
          </cell>
          <cell r="FI1010" t="e">
            <v>#N/A</v>
          </cell>
        </row>
        <row r="1011">
          <cell r="O1011">
            <v>0</v>
          </cell>
          <cell r="P1011">
            <v>0</v>
          </cell>
          <cell r="R1011">
            <v>0</v>
          </cell>
          <cell r="AS1011">
            <v>43500</v>
          </cell>
          <cell r="AT1011">
            <v>119</v>
          </cell>
          <cell r="BN1011">
            <v>43500</v>
          </cell>
          <cell r="EQ1011">
            <v>0</v>
          </cell>
          <cell r="FG1011" t="e">
            <v>#N/A</v>
          </cell>
          <cell r="FH1011" t="e">
            <v>#N/A</v>
          </cell>
          <cell r="FI1011" t="e">
            <v>#N/A</v>
          </cell>
        </row>
        <row r="1012">
          <cell r="O1012">
            <v>0</v>
          </cell>
          <cell r="P1012">
            <v>0</v>
          </cell>
          <cell r="R1012">
            <v>0</v>
          </cell>
          <cell r="AS1012">
            <v>43500</v>
          </cell>
          <cell r="AT1012">
            <v>119</v>
          </cell>
          <cell r="BN1012">
            <v>43500</v>
          </cell>
          <cell r="EQ1012">
            <v>0</v>
          </cell>
          <cell r="FG1012" t="e">
            <v>#N/A</v>
          </cell>
          <cell r="FH1012" t="e">
            <v>#N/A</v>
          </cell>
          <cell r="FI1012" t="e">
            <v>#N/A</v>
          </cell>
        </row>
        <row r="1013">
          <cell r="O1013">
            <v>0</v>
          </cell>
          <cell r="P1013">
            <v>0</v>
          </cell>
          <cell r="R1013">
            <v>0</v>
          </cell>
          <cell r="AS1013">
            <v>43500</v>
          </cell>
          <cell r="AT1013">
            <v>119</v>
          </cell>
          <cell r="BN1013">
            <v>43500</v>
          </cell>
          <cell r="EQ1013">
            <v>0</v>
          </cell>
          <cell r="FG1013" t="e">
            <v>#N/A</v>
          </cell>
          <cell r="FH1013" t="e">
            <v>#N/A</v>
          </cell>
          <cell r="FI1013" t="e">
            <v>#N/A</v>
          </cell>
        </row>
        <row r="1014">
          <cell r="O1014">
            <v>0</v>
          </cell>
          <cell r="P1014">
            <v>0</v>
          </cell>
          <cell r="R1014">
            <v>0</v>
          </cell>
          <cell r="AS1014">
            <v>43500</v>
          </cell>
          <cell r="AT1014">
            <v>119</v>
          </cell>
          <cell r="BN1014">
            <v>43500</v>
          </cell>
          <cell r="EQ1014">
            <v>0</v>
          </cell>
          <cell r="FG1014" t="e">
            <v>#N/A</v>
          </cell>
          <cell r="FH1014" t="e">
            <v>#N/A</v>
          </cell>
          <cell r="FI1014" t="e">
            <v>#N/A</v>
          </cell>
        </row>
        <row r="1015">
          <cell r="O1015">
            <v>0</v>
          </cell>
          <cell r="P1015">
            <v>0</v>
          </cell>
          <cell r="R1015">
            <v>0</v>
          </cell>
          <cell r="AS1015">
            <v>43500</v>
          </cell>
          <cell r="AT1015">
            <v>119</v>
          </cell>
          <cell r="BN1015">
            <v>43500</v>
          </cell>
          <cell r="EQ1015">
            <v>0</v>
          </cell>
          <cell r="FG1015" t="e">
            <v>#N/A</v>
          </cell>
          <cell r="FH1015" t="e">
            <v>#N/A</v>
          </cell>
          <cell r="FI1015" t="e">
            <v>#N/A</v>
          </cell>
        </row>
        <row r="1016">
          <cell r="O1016">
            <v>0</v>
          </cell>
          <cell r="P1016">
            <v>0</v>
          </cell>
          <cell r="R1016">
            <v>0</v>
          </cell>
          <cell r="AS1016">
            <v>43500</v>
          </cell>
          <cell r="AT1016">
            <v>119</v>
          </cell>
          <cell r="BN1016">
            <v>43500</v>
          </cell>
          <cell r="EQ1016">
            <v>0</v>
          </cell>
          <cell r="FG1016" t="e">
            <v>#N/A</v>
          </cell>
          <cell r="FH1016" t="e">
            <v>#N/A</v>
          </cell>
          <cell r="FI1016" t="e">
            <v>#N/A</v>
          </cell>
        </row>
        <row r="1017">
          <cell r="O1017">
            <v>0</v>
          </cell>
          <cell r="P1017">
            <v>0</v>
          </cell>
          <cell r="R1017">
            <v>0</v>
          </cell>
          <cell r="AS1017">
            <v>43500</v>
          </cell>
          <cell r="AT1017">
            <v>119</v>
          </cell>
          <cell r="BN1017">
            <v>43500</v>
          </cell>
          <cell r="EQ1017">
            <v>0</v>
          </cell>
          <cell r="FG1017" t="e">
            <v>#N/A</v>
          </cell>
          <cell r="FH1017" t="e">
            <v>#N/A</v>
          </cell>
          <cell r="FI1017" t="e">
            <v>#N/A</v>
          </cell>
        </row>
        <row r="1018">
          <cell r="O1018">
            <v>0</v>
          </cell>
          <cell r="P1018">
            <v>0</v>
          </cell>
          <cell r="R1018">
            <v>0</v>
          </cell>
          <cell r="AS1018">
            <v>43500</v>
          </cell>
          <cell r="AT1018">
            <v>119</v>
          </cell>
          <cell r="BN1018">
            <v>43500</v>
          </cell>
          <cell r="EQ1018">
            <v>0</v>
          </cell>
          <cell r="FG1018" t="e">
            <v>#N/A</v>
          </cell>
          <cell r="FH1018" t="e">
            <v>#N/A</v>
          </cell>
          <cell r="FI1018" t="e">
            <v>#N/A</v>
          </cell>
        </row>
        <row r="1019">
          <cell r="O1019">
            <v>0</v>
          </cell>
          <cell r="P1019">
            <v>0</v>
          </cell>
          <cell r="R1019">
            <v>0</v>
          </cell>
          <cell r="AS1019">
            <v>43500</v>
          </cell>
          <cell r="AT1019">
            <v>119</v>
          </cell>
          <cell r="BN1019">
            <v>43500</v>
          </cell>
          <cell r="EQ1019">
            <v>0</v>
          </cell>
          <cell r="FG1019" t="e">
            <v>#N/A</v>
          </cell>
          <cell r="FH1019" t="e">
            <v>#N/A</v>
          </cell>
          <cell r="FI1019" t="e">
            <v>#N/A</v>
          </cell>
        </row>
        <row r="1020">
          <cell r="O1020">
            <v>0</v>
          </cell>
          <cell r="P1020">
            <v>0</v>
          </cell>
          <cell r="R1020">
            <v>0</v>
          </cell>
          <cell r="AS1020">
            <v>43500</v>
          </cell>
          <cell r="AT1020">
            <v>119</v>
          </cell>
          <cell r="BN1020">
            <v>43500</v>
          </cell>
          <cell r="EQ1020">
            <v>0</v>
          </cell>
          <cell r="FG1020" t="e">
            <v>#N/A</v>
          </cell>
          <cell r="FH1020" t="e">
            <v>#N/A</v>
          </cell>
          <cell r="FI1020" t="e">
            <v>#N/A</v>
          </cell>
        </row>
        <row r="1021">
          <cell r="O1021">
            <v>0</v>
          </cell>
          <cell r="P1021">
            <v>0</v>
          </cell>
          <cell r="R1021">
            <v>0</v>
          </cell>
          <cell r="AS1021">
            <v>43500</v>
          </cell>
          <cell r="AT1021">
            <v>119</v>
          </cell>
          <cell r="BN1021">
            <v>43500</v>
          </cell>
          <cell r="EQ1021">
            <v>0</v>
          </cell>
          <cell r="FG1021" t="e">
            <v>#N/A</v>
          </cell>
          <cell r="FH1021" t="e">
            <v>#N/A</v>
          </cell>
          <cell r="FI1021" t="e">
            <v>#N/A</v>
          </cell>
        </row>
        <row r="1022">
          <cell r="O1022">
            <v>0</v>
          </cell>
          <cell r="P1022">
            <v>0</v>
          </cell>
          <cell r="R1022">
            <v>0</v>
          </cell>
          <cell r="AS1022">
            <v>43500</v>
          </cell>
          <cell r="AT1022">
            <v>119</v>
          </cell>
          <cell r="BN1022">
            <v>43500</v>
          </cell>
          <cell r="EQ1022">
            <v>0</v>
          </cell>
          <cell r="FG1022" t="e">
            <v>#N/A</v>
          </cell>
          <cell r="FH1022" t="e">
            <v>#N/A</v>
          </cell>
          <cell r="FI1022" t="e">
            <v>#N/A</v>
          </cell>
        </row>
        <row r="1023">
          <cell r="O1023">
            <v>0</v>
          </cell>
          <cell r="P1023">
            <v>0</v>
          </cell>
          <cell r="R1023">
            <v>0</v>
          </cell>
          <cell r="AS1023">
            <v>43500</v>
          </cell>
          <cell r="AT1023">
            <v>119</v>
          </cell>
          <cell r="BN1023">
            <v>43500</v>
          </cell>
          <cell r="EQ1023">
            <v>0</v>
          </cell>
          <cell r="FG1023" t="e">
            <v>#N/A</v>
          </cell>
          <cell r="FH1023" t="e">
            <v>#N/A</v>
          </cell>
          <cell r="FI1023" t="e">
            <v>#N/A</v>
          </cell>
        </row>
        <row r="1024">
          <cell r="O1024">
            <v>0</v>
          </cell>
          <cell r="P1024">
            <v>0</v>
          </cell>
          <cell r="R1024">
            <v>0</v>
          </cell>
          <cell r="AS1024">
            <v>43500</v>
          </cell>
          <cell r="AT1024">
            <v>119</v>
          </cell>
          <cell r="BN1024">
            <v>43500</v>
          </cell>
          <cell r="EQ1024">
            <v>0</v>
          </cell>
          <cell r="FG1024" t="e">
            <v>#N/A</v>
          </cell>
          <cell r="FH1024" t="e">
            <v>#N/A</v>
          </cell>
          <cell r="FI1024" t="e">
            <v>#N/A</v>
          </cell>
        </row>
        <row r="1025">
          <cell r="O1025">
            <v>0</v>
          </cell>
          <cell r="P1025">
            <v>0</v>
          </cell>
          <cell r="R1025">
            <v>0</v>
          </cell>
          <cell r="AS1025">
            <v>43500</v>
          </cell>
          <cell r="AT1025">
            <v>119</v>
          </cell>
          <cell r="BN1025">
            <v>43500</v>
          </cell>
          <cell r="EQ1025">
            <v>0</v>
          </cell>
          <cell r="FG1025" t="e">
            <v>#N/A</v>
          </cell>
          <cell r="FH1025" t="e">
            <v>#N/A</v>
          </cell>
          <cell r="FI1025" t="e">
            <v>#N/A</v>
          </cell>
        </row>
        <row r="1026">
          <cell r="O1026">
            <v>0</v>
          </cell>
          <cell r="P1026">
            <v>0</v>
          </cell>
          <cell r="R1026">
            <v>0</v>
          </cell>
          <cell r="AS1026">
            <v>43500</v>
          </cell>
          <cell r="AT1026">
            <v>119</v>
          </cell>
          <cell r="BN1026">
            <v>43500</v>
          </cell>
          <cell r="EQ1026">
            <v>0</v>
          </cell>
          <cell r="FG1026" t="e">
            <v>#N/A</v>
          </cell>
          <cell r="FH1026" t="e">
            <v>#N/A</v>
          </cell>
          <cell r="FI1026" t="e">
            <v>#N/A</v>
          </cell>
        </row>
        <row r="1027">
          <cell r="O1027">
            <v>0</v>
          </cell>
          <cell r="P1027">
            <v>0</v>
          </cell>
          <cell r="R1027">
            <v>0</v>
          </cell>
          <cell r="AS1027">
            <v>43500</v>
          </cell>
          <cell r="AT1027">
            <v>119</v>
          </cell>
          <cell r="BN1027">
            <v>43500</v>
          </cell>
          <cell r="EQ1027">
            <v>0</v>
          </cell>
          <cell r="FG1027" t="e">
            <v>#N/A</v>
          </cell>
          <cell r="FH1027" t="e">
            <v>#N/A</v>
          </cell>
          <cell r="FI1027" t="e">
            <v>#N/A</v>
          </cell>
        </row>
        <row r="1028">
          <cell r="O1028">
            <v>0</v>
          </cell>
          <cell r="P1028">
            <v>0</v>
          </cell>
          <cell r="R1028">
            <v>0</v>
          </cell>
          <cell r="AS1028">
            <v>43500</v>
          </cell>
          <cell r="AT1028">
            <v>119</v>
          </cell>
          <cell r="BN1028">
            <v>43500</v>
          </cell>
          <cell r="EQ1028">
            <v>0</v>
          </cell>
          <cell r="FG1028" t="e">
            <v>#N/A</v>
          </cell>
          <cell r="FH1028" t="e">
            <v>#N/A</v>
          </cell>
          <cell r="FI1028" t="e">
            <v>#N/A</v>
          </cell>
        </row>
        <row r="1029">
          <cell r="O1029">
            <v>0</v>
          </cell>
          <cell r="P1029">
            <v>0</v>
          </cell>
          <cell r="R1029">
            <v>0</v>
          </cell>
          <cell r="AS1029">
            <v>43500</v>
          </cell>
          <cell r="AT1029">
            <v>119</v>
          </cell>
          <cell r="BN1029">
            <v>43500</v>
          </cell>
          <cell r="EQ1029">
            <v>0</v>
          </cell>
          <cell r="FG1029" t="e">
            <v>#N/A</v>
          </cell>
          <cell r="FH1029" t="e">
            <v>#N/A</v>
          </cell>
          <cell r="FI1029" t="e">
            <v>#N/A</v>
          </cell>
        </row>
        <row r="1030">
          <cell r="O1030">
            <v>0</v>
          </cell>
          <cell r="P1030">
            <v>0</v>
          </cell>
          <cell r="R1030">
            <v>0</v>
          </cell>
          <cell r="AS1030">
            <v>43500</v>
          </cell>
          <cell r="AT1030">
            <v>119</v>
          </cell>
          <cell r="BN1030">
            <v>43500</v>
          </cell>
          <cell r="EQ1030">
            <v>0</v>
          </cell>
          <cell r="FG1030" t="e">
            <v>#N/A</v>
          </cell>
          <cell r="FH1030" t="e">
            <v>#N/A</v>
          </cell>
          <cell r="FI1030" t="e">
            <v>#N/A</v>
          </cell>
        </row>
        <row r="1031">
          <cell r="O1031">
            <v>0</v>
          </cell>
          <cell r="P1031">
            <v>0</v>
          </cell>
          <cell r="R1031">
            <v>0</v>
          </cell>
          <cell r="AS1031">
            <v>43500</v>
          </cell>
          <cell r="AT1031">
            <v>119</v>
          </cell>
          <cell r="BN1031">
            <v>43500</v>
          </cell>
          <cell r="EQ1031">
            <v>0</v>
          </cell>
          <cell r="FG1031" t="e">
            <v>#N/A</v>
          </cell>
          <cell r="FH1031" t="e">
            <v>#N/A</v>
          </cell>
          <cell r="FI1031" t="e">
            <v>#N/A</v>
          </cell>
        </row>
        <row r="1032">
          <cell r="O1032">
            <v>0</v>
          </cell>
          <cell r="P1032">
            <v>0</v>
          </cell>
          <cell r="R1032">
            <v>0</v>
          </cell>
          <cell r="AS1032">
            <v>43500</v>
          </cell>
          <cell r="AT1032">
            <v>119</v>
          </cell>
          <cell r="BN1032">
            <v>43500</v>
          </cell>
          <cell r="EQ1032">
            <v>0</v>
          </cell>
          <cell r="FG1032" t="e">
            <v>#N/A</v>
          </cell>
          <cell r="FH1032" t="e">
            <v>#N/A</v>
          </cell>
          <cell r="FI1032" t="e">
            <v>#N/A</v>
          </cell>
        </row>
        <row r="1033">
          <cell r="O1033">
            <v>0</v>
          </cell>
          <cell r="P1033">
            <v>0</v>
          </cell>
          <cell r="R1033">
            <v>0</v>
          </cell>
          <cell r="AS1033">
            <v>43500</v>
          </cell>
          <cell r="AT1033">
            <v>119</v>
          </cell>
          <cell r="BN1033">
            <v>43500</v>
          </cell>
          <cell r="EQ1033">
            <v>0</v>
          </cell>
          <cell r="FG1033" t="e">
            <v>#N/A</v>
          </cell>
          <cell r="FH1033" t="e">
            <v>#N/A</v>
          </cell>
          <cell r="FI1033" t="e">
            <v>#N/A</v>
          </cell>
        </row>
        <row r="1034">
          <cell r="O1034">
            <v>0</v>
          </cell>
          <cell r="P1034">
            <v>0</v>
          </cell>
          <cell r="R1034">
            <v>0</v>
          </cell>
          <cell r="AS1034">
            <v>43500</v>
          </cell>
          <cell r="AT1034">
            <v>119</v>
          </cell>
          <cell r="BN1034">
            <v>43500</v>
          </cell>
          <cell r="EQ1034">
            <v>0</v>
          </cell>
          <cell r="FG1034" t="e">
            <v>#N/A</v>
          </cell>
          <cell r="FH1034" t="e">
            <v>#N/A</v>
          </cell>
          <cell r="FI1034" t="e">
            <v>#N/A</v>
          </cell>
        </row>
        <row r="1035">
          <cell r="O1035">
            <v>0</v>
          </cell>
          <cell r="P1035">
            <v>0</v>
          </cell>
          <cell r="R1035">
            <v>0</v>
          </cell>
          <cell r="AS1035">
            <v>43500</v>
          </cell>
          <cell r="AT1035">
            <v>119</v>
          </cell>
          <cell r="BN1035">
            <v>43500</v>
          </cell>
          <cell r="EQ1035">
            <v>0</v>
          </cell>
          <cell r="FG1035" t="e">
            <v>#N/A</v>
          </cell>
          <cell r="FH1035" t="e">
            <v>#N/A</v>
          </cell>
          <cell r="FI1035" t="e">
            <v>#N/A</v>
          </cell>
        </row>
        <row r="1036">
          <cell r="O1036">
            <v>0</v>
          </cell>
          <cell r="P1036">
            <v>0</v>
          </cell>
          <cell r="R1036">
            <v>0</v>
          </cell>
          <cell r="AS1036">
            <v>43500</v>
          </cell>
          <cell r="AT1036">
            <v>119</v>
          </cell>
          <cell r="BN1036">
            <v>43500</v>
          </cell>
          <cell r="EQ1036">
            <v>0</v>
          </cell>
          <cell r="FG1036" t="e">
            <v>#N/A</v>
          </cell>
          <cell r="FH1036" t="e">
            <v>#N/A</v>
          </cell>
          <cell r="FI1036" t="e">
            <v>#N/A</v>
          </cell>
        </row>
        <row r="1037">
          <cell r="O1037">
            <v>0</v>
          </cell>
          <cell r="P1037">
            <v>0</v>
          </cell>
          <cell r="R1037">
            <v>0</v>
          </cell>
          <cell r="AS1037">
            <v>43500</v>
          </cell>
          <cell r="AT1037">
            <v>119</v>
          </cell>
          <cell r="BN1037">
            <v>43500</v>
          </cell>
          <cell r="EQ1037">
            <v>0</v>
          </cell>
          <cell r="FG1037" t="e">
            <v>#N/A</v>
          </cell>
          <cell r="FH1037" t="e">
            <v>#N/A</v>
          </cell>
          <cell r="FI1037" t="e">
            <v>#N/A</v>
          </cell>
        </row>
        <row r="1038">
          <cell r="O1038">
            <v>0</v>
          </cell>
          <cell r="P1038">
            <v>0</v>
          </cell>
          <cell r="R1038">
            <v>0</v>
          </cell>
          <cell r="AS1038">
            <v>43500</v>
          </cell>
          <cell r="AT1038">
            <v>119</v>
          </cell>
          <cell r="BN1038">
            <v>43500</v>
          </cell>
          <cell r="EQ1038">
            <v>0</v>
          </cell>
          <cell r="FG1038" t="e">
            <v>#N/A</v>
          </cell>
          <cell r="FH1038" t="e">
            <v>#N/A</v>
          </cell>
          <cell r="FI1038" t="e">
            <v>#N/A</v>
          </cell>
        </row>
        <row r="1039">
          <cell r="O1039">
            <v>0</v>
          </cell>
          <cell r="P1039">
            <v>0</v>
          </cell>
          <cell r="R1039">
            <v>0</v>
          </cell>
          <cell r="AS1039">
            <v>43500</v>
          </cell>
          <cell r="AT1039">
            <v>119</v>
          </cell>
          <cell r="BN1039">
            <v>43500</v>
          </cell>
          <cell r="EQ1039">
            <v>0</v>
          </cell>
          <cell r="FG1039" t="e">
            <v>#N/A</v>
          </cell>
          <cell r="FH1039" t="e">
            <v>#N/A</v>
          </cell>
          <cell r="FI1039" t="e">
            <v>#N/A</v>
          </cell>
        </row>
        <row r="1040">
          <cell r="O1040">
            <v>0</v>
          </cell>
          <cell r="P1040">
            <v>0</v>
          </cell>
          <cell r="R1040">
            <v>0</v>
          </cell>
          <cell r="AS1040">
            <v>43500</v>
          </cell>
          <cell r="AT1040">
            <v>119</v>
          </cell>
          <cell r="BN1040">
            <v>43500</v>
          </cell>
          <cell r="EQ1040">
            <v>0</v>
          </cell>
          <cell r="FG1040" t="e">
            <v>#N/A</v>
          </cell>
          <cell r="FH1040" t="e">
            <v>#N/A</v>
          </cell>
          <cell r="FI1040" t="e">
            <v>#N/A</v>
          </cell>
        </row>
        <row r="1041">
          <cell r="O1041">
            <v>0</v>
          </cell>
          <cell r="P1041">
            <v>0</v>
          </cell>
          <cell r="R1041">
            <v>0</v>
          </cell>
          <cell r="AS1041">
            <v>43500</v>
          </cell>
          <cell r="AT1041">
            <v>119</v>
          </cell>
          <cell r="BN1041">
            <v>43500</v>
          </cell>
          <cell r="EQ1041">
            <v>0</v>
          </cell>
          <cell r="FG1041" t="e">
            <v>#N/A</v>
          </cell>
          <cell r="FH1041" t="e">
            <v>#N/A</v>
          </cell>
          <cell r="FI1041" t="e">
            <v>#N/A</v>
          </cell>
        </row>
        <row r="1042">
          <cell r="O1042">
            <v>0</v>
          </cell>
          <cell r="P1042">
            <v>0</v>
          </cell>
          <cell r="R1042">
            <v>0</v>
          </cell>
          <cell r="AS1042">
            <v>43500</v>
          </cell>
          <cell r="AT1042">
            <v>119</v>
          </cell>
          <cell r="BN1042">
            <v>43500</v>
          </cell>
          <cell r="EQ1042">
            <v>0</v>
          </cell>
          <cell r="FG1042" t="e">
            <v>#N/A</v>
          </cell>
          <cell r="FH1042" t="e">
            <v>#N/A</v>
          </cell>
          <cell r="FI1042" t="e">
            <v>#N/A</v>
          </cell>
        </row>
        <row r="1043">
          <cell r="O1043">
            <v>0</v>
          </cell>
          <cell r="P1043">
            <v>0</v>
          </cell>
          <cell r="R1043">
            <v>0</v>
          </cell>
          <cell r="AS1043">
            <v>43500</v>
          </cell>
          <cell r="AT1043">
            <v>119</v>
          </cell>
          <cell r="BN1043">
            <v>43500</v>
          </cell>
          <cell r="EQ1043">
            <v>0</v>
          </cell>
          <cell r="FG1043" t="e">
            <v>#N/A</v>
          </cell>
          <cell r="FH1043" t="e">
            <v>#N/A</v>
          </cell>
          <cell r="FI1043" t="e">
            <v>#N/A</v>
          </cell>
        </row>
        <row r="1044">
          <cell r="O1044">
            <v>0</v>
          </cell>
          <cell r="P1044">
            <v>0</v>
          </cell>
          <cell r="R1044">
            <v>0</v>
          </cell>
          <cell r="AS1044">
            <v>43500</v>
          </cell>
          <cell r="AT1044">
            <v>119</v>
          </cell>
          <cell r="BN1044">
            <v>43500</v>
          </cell>
          <cell r="EQ1044">
            <v>0</v>
          </cell>
          <cell r="FG1044" t="e">
            <v>#N/A</v>
          </cell>
          <cell r="FH1044" t="e">
            <v>#N/A</v>
          </cell>
          <cell r="FI1044" t="e">
            <v>#N/A</v>
          </cell>
        </row>
        <row r="1045">
          <cell r="O1045">
            <v>0</v>
          </cell>
          <cell r="P1045">
            <v>0</v>
          </cell>
          <cell r="R1045">
            <v>0</v>
          </cell>
          <cell r="AS1045">
            <v>43500</v>
          </cell>
          <cell r="AT1045">
            <v>119</v>
          </cell>
          <cell r="BN1045">
            <v>43500</v>
          </cell>
          <cell r="EQ1045">
            <v>0</v>
          </cell>
          <cell r="FG1045" t="e">
            <v>#N/A</v>
          </cell>
          <cell r="FH1045" t="e">
            <v>#N/A</v>
          </cell>
          <cell r="FI1045" t="e">
            <v>#N/A</v>
          </cell>
        </row>
        <row r="1046">
          <cell r="O1046">
            <v>0</v>
          </cell>
          <cell r="P1046">
            <v>0</v>
          </cell>
          <cell r="R1046">
            <v>0</v>
          </cell>
          <cell r="AS1046">
            <v>43500</v>
          </cell>
          <cell r="AT1046">
            <v>119</v>
          </cell>
          <cell r="BN1046">
            <v>43500</v>
          </cell>
          <cell r="EQ1046">
            <v>0</v>
          </cell>
          <cell r="FG1046" t="e">
            <v>#N/A</v>
          </cell>
          <cell r="FH1046" t="e">
            <v>#N/A</v>
          </cell>
          <cell r="FI1046" t="e">
            <v>#N/A</v>
          </cell>
        </row>
        <row r="1047">
          <cell r="O1047">
            <v>0</v>
          </cell>
          <cell r="P1047">
            <v>0</v>
          </cell>
          <cell r="R1047">
            <v>0</v>
          </cell>
          <cell r="AS1047">
            <v>43500</v>
          </cell>
          <cell r="AT1047">
            <v>119</v>
          </cell>
          <cell r="BN1047">
            <v>43500</v>
          </cell>
          <cell r="EQ1047">
            <v>0</v>
          </cell>
          <cell r="FG1047" t="e">
            <v>#N/A</v>
          </cell>
          <cell r="FH1047" t="e">
            <v>#N/A</v>
          </cell>
          <cell r="FI1047" t="e">
            <v>#N/A</v>
          </cell>
        </row>
        <row r="1048">
          <cell r="O1048">
            <v>0</v>
          </cell>
          <cell r="P1048">
            <v>0</v>
          </cell>
          <cell r="R1048">
            <v>0</v>
          </cell>
          <cell r="AS1048">
            <v>43500</v>
          </cell>
          <cell r="AT1048">
            <v>119</v>
          </cell>
          <cell r="BN1048">
            <v>43500</v>
          </cell>
          <cell r="EQ1048">
            <v>0</v>
          </cell>
          <cell r="FG1048" t="e">
            <v>#N/A</v>
          </cell>
          <cell r="FH1048" t="e">
            <v>#N/A</v>
          </cell>
          <cell r="FI1048" t="e">
            <v>#N/A</v>
          </cell>
        </row>
        <row r="1049">
          <cell r="O1049">
            <v>0</v>
          </cell>
          <cell r="P1049">
            <v>0</v>
          </cell>
          <cell r="R1049">
            <v>0</v>
          </cell>
          <cell r="AS1049">
            <v>43500</v>
          </cell>
          <cell r="AT1049">
            <v>119</v>
          </cell>
          <cell r="BN1049">
            <v>43500</v>
          </cell>
          <cell r="EQ1049">
            <v>0</v>
          </cell>
          <cell r="FG1049" t="e">
            <v>#N/A</v>
          </cell>
          <cell r="FH1049" t="e">
            <v>#N/A</v>
          </cell>
          <cell r="FI1049" t="e">
            <v>#N/A</v>
          </cell>
        </row>
        <row r="1050">
          <cell r="O1050">
            <v>0</v>
          </cell>
          <cell r="P1050">
            <v>0</v>
          </cell>
          <cell r="R1050">
            <v>0</v>
          </cell>
          <cell r="AS1050">
            <v>43500</v>
          </cell>
          <cell r="AT1050">
            <v>119</v>
          </cell>
          <cell r="BN1050">
            <v>43500</v>
          </cell>
          <cell r="EQ1050">
            <v>0</v>
          </cell>
          <cell r="FG1050" t="e">
            <v>#N/A</v>
          </cell>
          <cell r="FH1050" t="e">
            <v>#N/A</v>
          </cell>
          <cell r="FI1050" t="e">
            <v>#N/A</v>
          </cell>
        </row>
        <row r="1051">
          <cell r="O1051">
            <v>0</v>
          </cell>
          <cell r="P1051">
            <v>0</v>
          </cell>
          <cell r="R1051">
            <v>0</v>
          </cell>
          <cell r="AS1051">
            <v>43500</v>
          </cell>
          <cell r="AT1051">
            <v>119</v>
          </cell>
          <cell r="BN1051">
            <v>43500</v>
          </cell>
          <cell r="EQ1051">
            <v>0</v>
          </cell>
          <cell r="FG1051" t="e">
            <v>#N/A</v>
          </cell>
          <cell r="FH1051" t="e">
            <v>#N/A</v>
          </cell>
          <cell r="FI1051" t="e">
            <v>#N/A</v>
          </cell>
        </row>
        <row r="1052">
          <cell r="O1052">
            <v>0</v>
          </cell>
          <cell r="P1052">
            <v>0</v>
          </cell>
          <cell r="R1052">
            <v>0</v>
          </cell>
          <cell r="AS1052">
            <v>43500</v>
          </cell>
          <cell r="AT1052">
            <v>119</v>
          </cell>
          <cell r="BN1052">
            <v>43500</v>
          </cell>
          <cell r="EQ1052">
            <v>0</v>
          </cell>
          <cell r="FG1052" t="e">
            <v>#N/A</v>
          </cell>
          <cell r="FH1052" t="e">
            <v>#N/A</v>
          </cell>
          <cell r="FI1052" t="e">
            <v>#N/A</v>
          </cell>
        </row>
        <row r="1053">
          <cell r="O1053">
            <v>0</v>
          </cell>
          <cell r="P1053">
            <v>0</v>
          </cell>
          <cell r="R1053">
            <v>0</v>
          </cell>
          <cell r="AS1053">
            <v>43500</v>
          </cell>
          <cell r="AT1053">
            <v>119</v>
          </cell>
          <cell r="BN1053">
            <v>43500</v>
          </cell>
          <cell r="EQ1053">
            <v>0</v>
          </cell>
          <cell r="FG1053" t="e">
            <v>#N/A</v>
          </cell>
          <cell r="FH1053" t="e">
            <v>#N/A</v>
          </cell>
          <cell r="FI1053" t="e">
            <v>#N/A</v>
          </cell>
        </row>
        <row r="1054">
          <cell r="O1054">
            <v>0</v>
          </cell>
          <cell r="P1054">
            <v>0</v>
          </cell>
          <cell r="R1054">
            <v>0</v>
          </cell>
          <cell r="AS1054">
            <v>43500</v>
          </cell>
          <cell r="AT1054">
            <v>119</v>
          </cell>
          <cell r="BN1054">
            <v>43500</v>
          </cell>
          <cell r="EQ1054">
            <v>0</v>
          </cell>
          <cell r="FG1054" t="e">
            <v>#N/A</v>
          </cell>
          <cell r="FH1054" t="e">
            <v>#N/A</v>
          </cell>
          <cell r="FI1054" t="e">
            <v>#N/A</v>
          </cell>
        </row>
        <row r="1055">
          <cell r="O1055">
            <v>0</v>
          </cell>
          <cell r="P1055">
            <v>0</v>
          </cell>
          <cell r="R1055">
            <v>0</v>
          </cell>
          <cell r="AS1055">
            <v>43500</v>
          </cell>
          <cell r="AT1055">
            <v>119</v>
          </cell>
          <cell r="BN1055">
            <v>43500</v>
          </cell>
          <cell r="EQ1055">
            <v>0</v>
          </cell>
          <cell r="FG1055" t="e">
            <v>#N/A</v>
          </cell>
          <cell r="FH1055" t="e">
            <v>#N/A</v>
          </cell>
          <cell r="FI1055" t="e">
            <v>#N/A</v>
          </cell>
        </row>
        <row r="1056">
          <cell r="O1056">
            <v>0</v>
          </cell>
          <cell r="P1056">
            <v>0</v>
          </cell>
          <cell r="R1056">
            <v>0</v>
          </cell>
          <cell r="AS1056">
            <v>43500</v>
          </cell>
          <cell r="AT1056">
            <v>119</v>
          </cell>
          <cell r="BN1056">
            <v>43500</v>
          </cell>
          <cell r="EQ1056">
            <v>0</v>
          </cell>
          <cell r="FG1056" t="e">
            <v>#N/A</v>
          </cell>
          <cell r="FH1056" t="e">
            <v>#N/A</v>
          </cell>
          <cell r="FI1056" t="e">
            <v>#N/A</v>
          </cell>
        </row>
        <row r="1057">
          <cell r="O1057">
            <v>0</v>
          </cell>
          <cell r="P1057">
            <v>0</v>
          </cell>
          <cell r="R1057">
            <v>0</v>
          </cell>
          <cell r="AS1057">
            <v>43500</v>
          </cell>
          <cell r="AT1057">
            <v>119</v>
          </cell>
          <cell r="BN1057">
            <v>43500</v>
          </cell>
          <cell r="EQ1057">
            <v>0</v>
          </cell>
          <cell r="FG1057" t="e">
            <v>#N/A</v>
          </cell>
          <cell r="FH1057" t="e">
            <v>#N/A</v>
          </cell>
          <cell r="FI1057" t="e">
            <v>#N/A</v>
          </cell>
        </row>
        <row r="1058">
          <cell r="O1058">
            <v>0</v>
          </cell>
          <cell r="P1058">
            <v>0</v>
          </cell>
          <cell r="R1058">
            <v>0</v>
          </cell>
          <cell r="AS1058">
            <v>43500</v>
          </cell>
          <cell r="AT1058">
            <v>119</v>
          </cell>
          <cell r="BN1058">
            <v>43500</v>
          </cell>
          <cell r="EQ1058">
            <v>0</v>
          </cell>
          <cell r="FG1058" t="e">
            <v>#N/A</v>
          </cell>
          <cell r="FH1058" t="e">
            <v>#N/A</v>
          </cell>
          <cell r="FI1058" t="e">
            <v>#N/A</v>
          </cell>
        </row>
        <row r="1059">
          <cell r="O1059">
            <v>0</v>
          </cell>
          <cell r="P1059">
            <v>0</v>
          </cell>
          <cell r="R1059">
            <v>0</v>
          </cell>
          <cell r="AS1059">
            <v>43500</v>
          </cell>
          <cell r="AT1059">
            <v>119</v>
          </cell>
          <cell r="BN1059">
            <v>43500</v>
          </cell>
          <cell r="EQ1059">
            <v>0</v>
          </cell>
          <cell r="FG1059" t="e">
            <v>#N/A</v>
          </cell>
          <cell r="FH1059" t="e">
            <v>#N/A</v>
          </cell>
          <cell r="FI1059" t="e">
            <v>#N/A</v>
          </cell>
        </row>
        <row r="1060">
          <cell r="O1060">
            <v>0</v>
          </cell>
          <cell r="P1060">
            <v>0</v>
          </cell>
          <cell r="R1060">
            <v>0</v>
          </cell>
          <cell r="AS1060">
            <v>43500</v>
          </cell>
          <cell r="AT1060">
            <v>119</v>
          </cell>
          <cell r="BN1060">
            <v>43500</v>
          </cell>
          <cell r="EQ1060">
            <v>0</v>
          </cell>
          <cell r="FG1060" t="e">
            <v>#N/A</v>
          </cell>
          <cell r="FH1060" t="e">
            <v>#N/A</v>
          </cell>
          <cell r="FI1060" t="e">
            <v>#N/A</v>
          </cell>
        </row>
        <row r="1061">
          <cell r="O1061">
            <v>0</v>
          </cell>
          <cell r="P1061">
            <v>0</v>
          </cell>
          <cell r="R1061">
            <v>0</v>
          </cell>
          <cell r="AS1061">
            <v>43500</v>
          </cell>
          <cell r="AT1061">
            <v>119</v>
          </cell>
          <cell r="BN1061">
            <v>43500</v>
          </cell>
          <cell r="EQ1061">
            <v>0</v>
          </cell>
          <cell r="FG1061" t="e">
            <v>#N/A</v>
          </cell>
          <cell r="FH1061" t="e">
            <v>#N/A</v>
          </cell>
          <cell r="FI1061" t="e">
            <v>#N/A</v>
          </cell>
        </row>
        <row r="1062">
          <cell r="O1062">
            <v>0</v>
          </cell>
          <cell r="P1062">
            <v>0</v>
          </cell>
          <cell r="R1062">
            <v>0</v>
          </cell>
          <cell r="AS1062">
            <v>43500</v>
          </cell>
          <cell r="AT1062">
            <v>119</v>
          </cell>
          <cell r="BN1062">
            <v>43500</v>
          </cell>
          <cell r="EQ1062">
            <v>0</v>
          </cell>
          <cell r="FG1062" t="e">
            <v>#N/A</v>
          </cell>
          <cell r="FH1062" t="e">
            <v>#N/A</v>
          </cell>
          <cell r="FI1062" t="e">
            <v>#N/A</v>
          </cell>
        </row>
        <row r="1063">
          <cell r="O1063">
            <v>0</v>
          </cell>
          <cell r="P1063">
            <v>0</v>
          </cell>
          <cell r="R1063">
            <v>0</v>
          </cell>
          <cell r="AS1063">
            <v>43500</v>
          </cell>
          <cell r="AT1063">
            <v>119</v>
          </cell>
          <cell r="BN1063">
            <v>43500</v>
          </cell>
          <cell r="EQ1063">
            <v>0</v>
          </cell>
          <cell r="FG1063" t="e">
            <v>#N/A</v>
          </cell>
          <cell r="FH1063" t="e">
            <v>#N/A</v>
          </cell>
          <cell r="FI1063" t="e">
            <v>#N/A</v>
          </cell>
        </row>
        <row r="1064">
          <cell r="O1064">
            <v>0</v>
          </cell>
          <cell r="P1064">
            <v>0</v>
          </cell>
          <cell r="R1064">
            <v>0</v>
          </cell>
          <cell r="AS1064">
            <v>43500</v>
          </cell>
          <cell r="AT1064">
            <v>119</v>
          </cell>
          <cell r="BN1064">
            <v>43500</v>
          </cell>
          <cell r="EQ1064">
            <v>0</v>
          </cell>
          <cell r="FG1064" t="e">
            <v>#N/A</v>
          </cell>
          <cell r="FH1064" t="e">
            <v>#N/A</v>
          </cell>
          <cell r="FI1064" t="e">
            <v>#N/A</v>
          </cell>
        </row>
        <row r="1065">
          <cell r="O1065">
            <v>0</v>
          </cell>
          <cell r="P1065">
            <v>0</v>
          </cell>
          <cell r="R1065">
            <v>0</v>
          </cell>
          <cell r="AS1065">
            <v>43500</v>
          </cell>
          <cell r="AT1065">
            <v>119</v>
          </cell>
          <cell r="BN1065">
            <v>43500</v>
          </cell>
          <cell r="EQ1065">
            <v>0</v>
          </cell>
          <cell r="FG1065" t="e">
            <v>#N/A</v>
          </cell>
          <cell r="FH1065" t="e">
            <v>#N/A</v>
          </cell>
          <cell r="FI1065" t="e">
            <v>#N/A</v>
          </cell>
        </row>
        <row r="1066">
          <cell r="O1066">
            <v>0</v>
          </cell>
          <cell r="P1066">
            <v>0</v>
          </cell>
          <cell r="R1066">
            <v>0</v>
          </cell>
          <cell r="AS1066">
            <v>43500</v>
          </cell>
          <cell r="AT1066">
            <v>119</v>
          </cell>
          <cell r="BN1066">
            <v>43500</v>
          </cell>
          <cell r="EQ1066">
            <v>0</v>
          </cell>
          <cell r="FG1066" t="e">
            <v>#N/A</v>
          </cell>
          <cell r="FH1066" t="e">
            <v>#N/A</v>
          </cell>
          <cell r="FI1066" t="e">
            <v>#N/A</v>
          </cell>
        </row>
        <row r="1067">
          <cell r="O1067">
            <v>0</v>
          </cell>
          <cell r="P1067">
            <v>0</v>
          </cell>
          <cell r="R1067">
            <v>0</v>
          </cell>
          <cell r="AS1067">
            <v>43500</v>
          </cell>
          <cell r="AT1067">
            <v>119</v>
          </cell>
          <cell r="BN1067">
            <v>43500</v>
          </cell>
          <cell r="EQ1067">
            <v>0</v>
          </cell>
          <cell r="FG1067" t="e">
            <v>#N/A</v>
          </cell>
          <cell r="FH1067" t="e">
            <v>#N/A</v>
          </cell>
          <cell r="FI1067" t="e">
            <v>#N/A</v>
          </cell>
        </row>
        <row r="1068">
          <cell r="O1068">
            <v>0</v>
          </cell>
          <cell r="P1068">
            <v>0</v>
          </cell>
          <cell r="R1068">
            <v>0</v>
          </cell>
          <cell r="AS1068">
            <v>43500</v>
          </cell>
          <cell r="AT1068">
            <v>119</v>
          </cell>
          <cell r="BN1068">
            <v>43500</v>
          </cell>
          <cell r="EQ1068">
            <v>0</v>
          </cell>
          <cell r="FG1068" t="e">
            <v>#N/A</v>
          </cell>
          <cell r="FH1068" t="e">
            <v>#N/A</v>
          </cell>
          <cell r="FI1068" t="e">
            <v>#N/A</v>
          </cell>
        </row>
        <row r="1069">
          <cell r="O1069">
            <v>0</v>
          </cell>
          <cell r="P1069">
            <v>0</v>
          </cell>
          <cell r="R1069">
            <v>0</v>
          </cell>
          <cell r="AS1069">
            <v>43500</v>
          </cell>
          <cell r="AT1069">
            <v>119</v>
          </cell>
          <cell r="BN1069">
            <v>43500</v>
          </cell>
          <cell r="EQ1069">
            <v>0</v>
          </cell>
          <cell r="FG1069" t="e">
            <v>#N/A</v>
          </cell>
          <cell r="FH1069" t="e">
            <v>#N/A</v>
          </cell>
          <cell r="FI1069" t="e">
            <v>#N/A</v>
          </cell>
        </row>
        <row r="1070">
          <cell r="O1070">
            <v>0</v>
          </cell>
          <cell r="P1070">
            <v>0</v>
          </cell>
          <cell r="R1070">
            <v>0</v>
          </cell>
          <cell r="AS1070">
            <v>43500</v>
          </cell>
          <cell r="AT1070">
            <v>119</v>
          </cell>
          <cell r="BN1070">
            <v>43500</v>
          </cell>
          <cell r="EQ1070">
            <v>0</v>
          </cell>
          <cell r="FG1070" t="e">
            <v>#N/A</v>
          </cell>
          <cell r="FH1070" t="e">
            <v>#N/A</v>
          </cell>
          <cell r="FI1070" t="e">
            <v>#N/A</v>
          </cell>
        </row>
        <row r="1071">
          <cell r="O1071">
            <v>0</v>
          </cell>
          <cell r="P1071">
            <v>0</v>
          </cell>
          <cell r="R1071">
            <v>0</v>
          </cell>
          <cell r="AS1071">
            <v>43500</v>
          </cell>
          <cell r="AT1071">
            <v>119</v>
          </cell>
          <cell r="BN1071">
            <v>43500</v>
          </cell>
          <cell r="EQ1071">
            <v>0</v>
          </cell>
          <cell r="FG1071" t="e">
            <v>#N/A</v>
          </cell>
          <cell r="FH1071" t="e">
            <v>#N/A</v>
          </cell>
          <cell r="FI1071" t="e">
            <v>#N/A</v>
          </cell>
        </row>
        <row r="1072">
          <cell r="O1072">
            <v>0</v>
          </cell>
          <cell r="P1072">
            <v>0</v>
          </cell>
          <cell r="R1072">
            <v>0</v>
          </cell>
          <cell r="AS1072">
            <v>43500</v>
          </cell>
          <cell r="AT1072">
            <v>119</v>
          </cell>
          <cell r="BN1072">
            <v>43500</v>
          </cell>
          <cell r="EQ1072">
            <v>0</v>
          </cell>
          <cell r="FG1072" t="e">
            <v>#N/A</v>
          </cell>
          <cell r="FH1072" t="e">
            <v>#N/A</v>
          </cell>
          <cell r="FI1072" t="e">
            <v>#N/A</v>
          </cell>
        </row>
        <row r="1073">
          <cell r="O1073">
            <v>0</v>
          </cell>
          <cell r="P1073">
            <v>0</v>
          </cell>
          <cell r="R1073">
            <v>0</v>
          </cell>
          <cell r="AS1073">
            <v>43500</v>
          </cell>
          <cell r="AT1073">
            <v>119</v>
          </cell>
          <cell r="BN1073">
            <v>43500</v>
          </cell>
          <cell r="EQ1073">
            <v>0</v>
          </cell>
          <cell r="FG1073" t="e">
            <v>#N/A</v>
          </cell>
          <cell r="FH1073" t="e">
            <v>#N/A</v>
          </cell>
          <cell r="FI1073" t="e">
            <v>#N/A</v>
          </cell>
        </row>
        <row r="1074">
          <cell r="O1074">
            <v>0</v>
          </cell>
          <cell r="P1074">
            <v>0</v>
          </cell>
          <cell r="R1074">
            <v>0</v>
          </cell>
          <cell r="AS1074">
            <v>43500</v>
          </cell>
          <cell r="AT1074">
            <v>119</v>
          </cell>
          <cell r="BN1074">
            <v>43500</v>
          </cell>
          <cell r="EQ1074">
            <v>0</v>
          </cell>
          <cell r="FG1074" t="e">
            <v>#N/A</v>
          </cell>
          <cell r="FH1074" t="e">
            <v>#N/A</v>
          </cell>
          <cell r="FI1074" t="e">
            <v>#N/A</v>
          </cell>
        </row>
        <row r="1075">
          <cell r="O1075">
            <v>0</v>
          </cell>
          <cell r="P1075">
            <v>0</v>
          </cell>
          <cell r="R1075">
            <v>0</v>
          </cell>
          <cell r="AS1075">
            <v>43500</v>
          </cell>
          <cell r="AT1075">
            <v>119</v>
          </cell>
          <cell r="BN1075">
            <v>43500</v>
          </cell>
          <cell r="EQ1075">
            <v>0</v>
          </cell>
          <cell r="FG1075" t="e">
            <v>#N/A</v>
          </cell>
          <cell r="FH1075" t="e">
            <v>#N/A</v>
          </cell>
          <cell r="FI1075" t="e">
            <v>#N/A</v>
          </cell>
        </row>
        <row r="1076">
          <cell r="O1076">
            <v>0</v>
          </cell>
          <cell r="P1076">
            <v>0</v>
          </cell>
          <cell r="R1076">
            <v>0</v>
          </cell>
          <cell r="AS1076">
            <v>43500</v>
          </cell>
          <cell r="AT1076">
            <v>119</v>
          </cell>
          <cell r="BN1076">
            <v>43500</v>
          </cell>
          <cell r="EQ1076">
            <v>0</v>
          </cell>
          <cell r="FG1076" t="e">
            <v>#N/A</v>
          </cell>
          <cell r="FH1076" t="e">
            <v>#N/A</v>
          </cell>
          <cell r="FI1076" t="e">
            <v>#N/A</v>
          </cell>
        </row>
        <row r="1077">
          <cell r="O1077">
            <v>0</v>
          </cell>
          <cell r="P1077">
            <v>0</v>
          </cell>
          <cell r="R1077">
            <v>0</v>
          </cell>
          <cell r="AS1077">
            <v>43500</v>
          </cell>
          <cell r="AT1077">
            <v>119</v>
          </cell>
          <cell r="BN1077">
            <v>43500</v>
          </cell>
          <cell r="EQ1077">
            <v>0</v>
          </cell>
          <cell r="FG1077" t="e">
            <v>#N/A</v>
          </cell>
          <cell r="FH1077" t="e">
            <v>#N/A</v>
          </cell>
          <cell r="FI1077" t="e">
            <v>#N/A</v>
          </cell>
        </row>
        <row r="1078">
          <cell r="O1078">
            <v>0</v>
          </cell>
          <cell r="P1078">
            <v>0</v>
          </cell>
          <cell r="R1078">
            <v>0</v>
          </cell>
          <cell r="AS1078">
            <v>43500</v>
          </cell>
          <cell r="AT1078">
            <v>119</v>
          </cell>
          <cell r="BN1078">
            <v>43500</v>
          </cell>
          <cell r="EQ1078">
            <v>0</v>
          </cell>
          <cell r="FG1078" t="e">
            <v>#N/A</v>
          </cell>
          <cell r="FH1078" t="e">
            <v>#N/A</v>
          </cell>
          <cell r="FI1078" t="e">
            <v>#N/A</v>
          </cell>
        </row>
        <row r="1079">
          <cell r="O1079">
            <v>0</v>
          </cell>
          <cell r="P1079">
            <v>0</v>
          </cell>
          <cell r="R1079">
            <v>0</v>
          </cell>
          <cell r="AS1079">
            <v>43500</v>
          </cell>
          <cell r="AT1079">
            <v>119</v>
          </cell>
          <cell r="BN1079">
            <v>43500</v>
          </cell>
          <cell r="EQ1079">
            <v>0</v>
          </cell>
          <cell r="FG1079" t="e">
            <v>#N/A</v>
          </cell>
          <cell r="FH1079" t="e">
            <v>#N/A</v>
          </cell>
          <cell r="FI1079" t="e">
            <v>#N/A</v>
          </cell>
        </row>
        <row r="1080">
          <cell r="O1080">
            <v>0</v>
          </cell>
          <cell r="P1080">
            <v>0</v>
          </cell>
          <cell r="R1080">
            <v>0</v>
          </cell>
          <cell r="AS1080">
            <v>43500</v>
          </cell>
          <cell r="AT1080">
            <v>119</v>
          </cell>
          <cell r="BN1080">
            <v>43500</v>
          </cell>
          <cell r="EQ1080">
            <v>0</v>
          </cell>
          <cell r="FG1080" t="e">
            <v>#N/A</v>
          </cell>
          <cell r="FH1080" t="e">
            <v>#N/A</v>
          </cell>
          <cell r="FI1080" t="e">
            <v>#N/A</v>
          </cell>
        </row>
        <row r="1081">
          <cell r="O1081">
            <v>0</v>
          </cell>
          <cell r="P1081">
            <v>0</v>
          </cell>
          <cell r="R1081">
            <v>0</v>
          </cell>
          <cell r="AS1081">
            <v>43500</v>
          </cell>
          <cell r="AT1081">
            <v>119</v>
          </cell>
          <cell r="BN1081">
            <v>43500</v>
          </cell>
          <cell r="EQ1081">
            <v>0</v>
          </cell>
          <cell r="FG1081" t="e">
            <v>#N/A</v>
          </cell>
          <cell r="FH1081" t="e">
            <v>#N/A</v>
          </cell>
          <cell r="FI1081" t="e">
            <v>#N/A</v>
          </cell>
        </row>
        <row r="1082">
          <cell r="O1082">
            <v>0</v>
          </cell>
          <cell r="P1082">
            <v>0</v>
          </cell>
          <cell r="R1082">
            <v>0</v>
          </cell>
          <cell r="AS1082">
            <v>43500</v>
          </cell>
          <cell r="AT1082">
            <v>119</v>
          </cell>
          <cell r="BN1082">
            <v>43500</v>
          </cell>
          <cell r="EQ1082">
            <v>0</v>
          </cell>
          <cell r="FG1082" t="e">
            <v>#N/A</v>
          </cell>
          <cell r="FH1082" t="e">
            <v>#N/A</v>
          </cell>
          <cell r="FI1082" t="e">
            <v>#N/A</v>
          </cell>
        </row>
        <row r="1083">
          <cell r="O1083">
            <v>0</v>
          </cell>
          <cell r="P1083">
            <v>0</v>
          </cell>
          <cell r="R1083">
            <v>0</v>
          </cell>
          <cell r="AS1083">
            <v>43500</v>
          </cell>
          <cell r="AT1083">
            <v>119</v>
          </cell>
          <cell r="BN1083">
            <v>43500</v>
          </cell>
          <cell r="EQ1083">
            <v>0</v>
          </cell>
          <cell r="FG1083" t="e">
            <v>#N/A</v>
          </cell>
          <cell r="FH1083" t="e">
            <v>#N/A</v>
          </cell>
          <cell r="FI1083" t="e">
            <v>#N/A</v>
          </cell>
        </row>
        <row r="1084">
          <cell r="O1084">
            <v>0</v>
          </cell>
          <cell r="P1084">
            <v>0</v>
          </cell>
          <cell r="R1084">
            <v>0</v>
          </cell>
          <cell r="AS1084">
            <v>43500</v>
          </cell>
          <cell r="AT1084">
            <v>119</v>
          </cell>
          <cell r="BN1084">
            <v>43500</v>
          </cell>
          <cell r="EQ1084">
            <v>0</v>
          </cell>
          <cell r="FG1084" t="e">
            <v>#N/A</v>
          </cell>
          <cell r="FH1084" t="e">
            <v>#N/A</v>
          </cell>
          <cell r="FI1084" t="e">
            <v>#N/A</v>
          </cell>
        </row>
        <row r="1085">
          <cell r="O1085">
            <v>0</v>
          </cell>
          <cell r="P1085">
            <v>0</v>
          </cell>
          <cell r="R1085">
            <v>0</v>
          </cell>
          <cell r="AS1085">
            <v>43500</v>
          </cell>
          <cell r="AT1085">
            <v>119</v>
          </cell>
          <cell r="BN1085">
            <v>43500</v>
          </cell>
          <cell r="EQ1085">
            <v>0</v>
          </cell>
          <cell r="FG1085" t="e">
            <v>#N/A</v>
          </cell>
          <cell r="FH1085" t="e">
            <v>#N/A</v>
          </cell>
          <cell r="FI1085" t="e">
            <v>#N/A</v>
          </cell>
        </row>
        <row r="1086">
          <cell r="O1086">
            <v>0</v>
          </cell>
          <cell r="P1086">
            <v>0</v>
          </cell>
          <cell r="R1086">
            <v>0</v>
          </cell>
          <cell r="AS1086">
            <v>43500</v>
          </cell>
          <cell r="AT1086">
            <v>119</v>
          </cell>
          <cell r="BN1086">
            <v>43500</v>
          </cell>
          <cell r="EQ1086">
            <v>0</v>
          </cell>
          <cell r="FG1086" t="e">
            <v>#N/A</v>
          </cell>
          <cell r="FH1086" t="e">
            <v>#N/A</v>
          </cell>
          <cell r="FI1086" t="e">
            <v>#N/A</v>
          </cell>
        </row>
        <row r="1087">
          <cell r="O1087">
            <v>0</v>
          </cell>
          <cell r="P1087">
            <v>0</v>
          </cell>
          <cell r="R1087">
            <v>0</v>
          </cell>
          <cell r="AS1087">
            <v>43500</v>
          </cell>
          <cell r="AT1087">
            <v>119</v>
          </cell>
          <cell r="BN1087">
            <v>43500</v>
          </cell>
          <cell r="EQ1087">
            <v>0</v>
          </cell>
          <cell r="FG1087" t="e">
            <v>#N/A</v>
          </cell>
          <cell r="FH1087" t="e">
            <v>#N/A</v>
          </cell>
          <cell r="FI1087" t="e">
            <v>#N/A</v>
          </cell>
        </row>
        <row r="1088">
          <cell r="O1088">
            <v>0</v>
          </cell>
          <cell r="P1088">
            <v>0</v>
          </cell>
          <cell r="R1088">
            <v>0</v>
          </cell>
          <cell r="AS1088">
            <v>43500</v>
          </cell>
          <cell r="AT1088">
            <v>119</v>
          </cell>
          <cell r="BN1088">
            <v>43500</v>
          </cell>
          <cell r="EQ1088">
            <v>0</v>
          </cell>
          <cell r="FG1088" t="e">
            <v>#N/A</v>
          </cell>
          <cell r="FH1088" t="e">
            <v>#N/A</v>
          </cell>
          <cell r="FI1088" t="e">
            <v>#N/A</v>
          </cell>
        </row>
        <row r="1089">
          <cell r="O1089">
            <v>0</v>
          </cell>
          <cell r="P1089">
            <v>0</v>
          </cell>
          <cell r="R1089">
            <v>0</v>
          </cell>
          <cell r="AS1089">
            <v>43500</v>
          </cell>
          <cell r="AT1089">
            <v>119</v>
          </cell>
          <cell r="BN1089">
            <v>43500</v>
          </cell>
          <cell r="EQ1089">
            <v>0</v>
          </cell>
          <cell r="FG1089" t="e">
            <v>#N/A</v>
          </cell>
          <cell r="FH1089" t="e">
            <v>#N/A</v>
          </cell>
          <cell r="FI1089" t="e">
            <v>#N/A</v>
          </cell>
        </row>
        <row r="1090">
          <cell r="O1090">
            <v>0</v>
          </cell>
          <cell r="P1090">
            <v>0</v>
          </cell>
          <cell r="R1090">
            <v>0</v>
          </cell>
          <cell r="AS1090">
            <v>43500</v>
          </cell>
          <cell r="AT1090">
            <v>119</v>
          </cell>
          <cell r="BN1090">
            <v>43500</v>
          </cell>
          <cell r="EQ1090">
            <v>0</v>
          </cell>
          <cell r="FG1090" t="e">
            <v>#N/A</v>
          </cell>
          <cell r="FH1090" t="e">
            <v>#N/A</v>
          </cell>
          <cell r="FI1090" t="e">
            <v>#N/A</v>
          </cell>
        </row>
        <row r="1091">
          <cell r="O1091">
            <v>0</v>
          </cell>
          <cell r="P1091">
            <v>0</v>
          </cell>
          <cell r="R1091">
            <v>0</v>
          </cell>
          <cell r="AS1091">
            <v>43500</v>
          </cell>
          <cell r="AT1091">
            <v>119</v>
          </cell>
          <cell r="BN1091">
            <v>43500</v>
          </cell>
          <cell r="EQ1091">
            <v>0</v>
          </cell>
          <cell r="FG1091" t="e">
            <v>#N/A</v>
          </cell>
          <cell r="FH1091" t="e">
            <v>#N/A</v>
          </cell>
          <cell r="FI1091" t="e">
            <v>#N/A</v>
          </cell>
        </row>
        <row r="1092">
          <cell r="O1092">
            <v>0</v>
          </cell>
          <cell r="P1092">
            <v>0</v>
          </cell>
          <cell r="R1092">
            <v>0</v>
          </cell>
          <cell r="AS1092">
            <v>43500</v>
          </cell>
          <cell r="AT1092">
            <v>119</v>
          </cell>
          <cell r="BN1092">
            <v>43500</v>
          </cell>
          <cell r="EQ1092">
            <v>0</v>
          </cell>
          <cell r="FG1092" t="e">
            <v>#N/A</v>
          </cell>
          <cell r="FH1092" t="e">
            <v>#N/A</v>
          </cell>
          <cell r="FI1092" t="e">
            <v>#N/A</v>
          </cell>
        </row>
        <row r="1093">
          <cell r="O1093">
            <v>0</v>
          </cell>
          <cell r="P1093">
            <v>0</v>
          </cell>
          <cell r="R1093">
            <v>0</v>
          </cell>
          <cell r="AS1093">
            <v>43500</v>
          </cell>
          <cell r="AT1093">
            <v>119</v>
          </cell>
          <cell r="BN1093">
            <v>43500</v>
          </cell>
          <cell r="EQ1093">
            <v>0</v>
          </cell>
          <cell r="FG1093" t="e">
            <v>#N/A</v>
          </cell>
          <cell r="FH1093" t="e">
            <v>#N/A</v>
          </cell>
          <cell r="FI1093" t="e">
            <v>#N/A</v>
          </cell>
        </row>
        <row r="1094">
          <cell r="O1094">
            <v>0</v>
          </cell>
          <cell r="P1094">
            <v>0</v>
          </cell>
          <cell r="R1094">
            <v>0</v>
          </cell>
          <cell r="AS1094">
            <v>43500</v>
          </cell>
          <cell r="AT1094">
            <v>119</v>
          </cell>
          <cell r="BN1094">
            <v>43500</v>
          </cell>
          <cell r="EQ1094">
            <v>0</v>
          </cell>
          <cell r="FG1094" t="e">
            <v>#N/A</v>
          </cell>
          <cell r="FH1094" t="e">
            <v>#N/A</v>
          </cell>
          <cell r="FI1094" t="e">
            <v>#N/A</v>
          </cell>
        </row>
        <row r="1095">
          <cell r="O1095">
            <v>0</v>
          </cell>
          <cell r="P1095">
            <v>0</v>
          </cell>
          <cell r="R1095">
            <v>0</v>
          </cell>
          <cell r="AS1095">
            <v>43500</v>
          </cell>
          <cell r="AT1095">
            <v>119</v>
          </cell>
          <cell r="BN1095">
            <v>43500</v>
          </cell>
          <cell r="EQ1095">
            <v>0</v>
          </cell>
          <cell r="FG1095" t="e">
            <v>#N/A</v>
          </cell>
          <cell r="FH1095" t="e">
            <v>#N/A</v>
          </cell>
          <cell r="FI1095" t="e">
            <v>#N/A</v>
          </cell>
        </row>
        <row r="1096">
          <cell r="O1096">
            <v>0</v>
          </cell>
          <cell r="P1096">
            <v>0</v>
          </cell>
          <cell r="R1096">
            <v>0</v>
          </cell>
          <cell r="AS1096">
            <v>43500</v>
          </cell>
          <cell r="AT1096">
            <v>119</v>
          </cell>
          <cell r="BN1096">
            <v>43500</v>
          </cell>
          <cell r="EQ1096">
            <v>0</v>
          </cell>
          <cell r="FG1096" t="e">
            <v>#N/A</v>
          </cell>
          <cell r="FH1096" t="e">
            <v>#N/A</v>
          </cell>
          <cell r="FI1096" t="e">
            <v>#N/A</v>
          </cell>
        </row>
        <row r="1097">
          <cell r="O1097">
            <v>0</v>
          </cell>
          <cell r="P1097">
            <v>0</v>
          </cell>
          <cell r="R1097">
            <v>0</v>
          </cell>
          <cell r="AS1097">
            <v>43500</v>
          </cell>
          <cell r="AT1097">
            <v>119</v>
          </cell>
          <cell r="BN1097">
            <v>43500</v>
          </cell>
          <cell r="EQ1097">
            <v>0</v>
          </cell>
          <cell r="FG1097" t="e">
            <v>#N/A</v>
          </cell>
          <cell r="FH1097" t="e">
            <v>#N/A</v>
          </cell>
          <cell r="FI1097" t="e">
            <v>#N/A</v>
          </cell>
        </row>
        <row r="1098">
          <cell r="O1098">
            <v>0</v>
          </cell>
          <cell r="P1098">
            <v>0</v>
          </cell>
          <cell r="R1098">
            <v>0</v>
          </cell>
          <cell r="AS1098">
            <v>43500</v>
          </cell>
          <cell r="AT1098">
            <v>119</v>
          </cell>
          <cell r="BN1098">
            <v>43500</v>
          </cell>
          <cell r="EQ1098">
            <v>0</v>
          </cell>
          <cell r="FG1098" t="e">
            <v>#N/A</v>
          </cell>
          <cell r="FH1098" t="e">
            <v>#N/A</v>
          </cell>
          <cell r="FI1098" t="e">
            <v>#N/A</v>
          </cell>
        </row>
        <row r="1099">
          <cell r="O1099">
            <v>0</v>
          </cell>
          <cell r="P1099">
            <v>0</v>
          </cell>
          <cell r="R1099">
            <v>0</v>
          </cell>
          <cell r="AS1099">
            <v>43500</v>
          </cell>
          <cell r="AT1099">
            <v>119</v>
          </cell>
          <cell r="BN1099">
            <v>43500</v>
          </cell>
          <cell r="EQ1099">
            <v>0</v>
          </cell>
          <cell r="FG1099" t="e">
            <v>#N/A</v>
          </cell>
          <cell r="FH1099" t="e">
            <v>#N/A</v>
          </cell>
          <cell r="FI1099" t="e">
            <v>#N/A</v>
          </cell>
        </row>
        <row r="1100">
          <cell r="O1100">
            <v>0</v>
          </cell>
          <cell r="P1100">
            <v>0</v>
          </cell>
          <cell r="R1100">
            <v>0</v>
          </cell>
          <cell r="AS1100">
            <v>43500</v>
          </cell>
          <cell r="AT1100">
            <v>119</v>
          </cell>
          <cell r="BN1100">
            <v>43500</v>
          </cell>
          <cell r="EQ1100">
            <v>0</v>
          </cell>
          <cell r="FG1100" t="e">
            <v>#N/A</v>
          </cell>
          <cell r="FH1100" t="e">
            <v>#N/A</v>
          </cell>
          <cell r="FI1100" t="e">
            <v>#N/A</v>
          </cell>
        </row>
        <row r="1101">
          <cell r="O1101">
            <v>0</v>
          </cell>
          <cell r="P1101">
            <v>0</v>
          </cell>
          <cell r="R1101">
            <v>0</v>
          </cell>
          <cell r="AS1101">
            <v>43500</v>
          </cell>
          <cell r="AT1101">
            <v>119</v>
          </cell>
          <cell r="BN1101">
            <v>43500</v>
          </cell>
          <cell r="EQ1101">
            <v>0</v>
          </cell>
          <cell r="FG1101" t="e">
            <v>#N/A</v>
          </cell>
          <cell r="FH1101" t="e">
            <v>#N/A</v>
          </cell>
          <cell r="FI1101" t="e">
            <v>#N/A</v>
          </cell>
        </row>
        <row r="1102">
          <cell r="O1102">
            <v>0</v>
          </cell>
          <cell r="P1102">
            <v>0</v>
          </cell>
          <cell r="R1102">
            <v>0</v>
          </cell>
          <cell r="AS1102">
            <v>43500</v>
          </cell>
          <cell r="AT1102">
            <v>119</v>
          </cell>
          <cell r="BN1102">
            <v>43500</v>
          </cell>
          <cell r="EQ1102">
            <v>0</v>
          </cell>
          <cell r="FG1102" t="e">
            <v>#N/A</v>
          </cell>
          <cell r="FH1102" t="e">
            <v>#N/A</v>
          </cell>
          <cell r="FI1102" t="e">
            <v>#N/A</v>
          </cell>
        </row>
        <row r="1103">
          <cell r="O1103">
            <v>0</v>
          </cell>
          <cell r="P1103">
            <v>0</v>
          </cell>
          <cell r="R1103">
            <v>0</v>
          </cell>
          <cell r="AS1103">
            <v>43500</v>
          </cell>
          <cell r="AT1103">
            <v>119</v>
          </cell>
          <cell r="BN1103">
            <v>43500</v>
          </cell>
          <cell r="EQ1103">
            <v>0</v>
          </cell>
          <cell r="FG1103" t="e">
            <v>#N/A</v>
          </cell>
          <cell r="FH1103" t="e">
            <v>#N/A</v>
          </cell>
          <cell r="FI1103" t="e">
            <v>#N/A</v>
          </cell>
        </row>
        <row r="1104">
          <cell r="O1104">
            <v>0</v>
          </cell>
          <cell r="P1104">
            <v>0</v>
          </cell>
          <cell r="R1104">
            <v>0</v>
          </cell>
          <cell r="AS1104">
            <v>43500</v>
          </cell>
          <cell r="AT1104">
            <v>119</v>
          </cell>
          <cell r="BN1104">
            <v>43500</v>
          </cell>
          <cell r="EQ1104">
            <v>0</v>
          </cell>
          <cell r="FG1104" t="e">
            <v>#N/A</v>
          </cell>
          <cell r="FH1104" t="e">
            <v>#N/A</v>
          </cell>
          <cell r="FI1104" t="e">
            <v>#N/A</v>
          </cell>
        </row>
        <row r="1105">
          <cell r="O1105">
            <v>0</v>
          </cell>
          <cell r="P1105">
            <v>0</v>
          </cell>
          <cell r="R1105">
            <v>0</v>
          </cell>
          <cell r="AS1105">
            <v>43500</v>
          </cell>
          <cell r="AT1105">
            <v>119</v>
          </cell>
          <cell r="BN1105">
            <v>43500</v>
          </cell>
          <cell r="EQ1105">
            <v>0</v>
          </cell>
          <cell r="FG1105" t="e">
            <v>#N/A</v>
          </cell>
          <cell r="FH1105" t="e">
            <v>#N/A</v>
          </cell>
          <cell r="FI1105" t="e">
            <v>#N/A</v>
          </cell>
        </row>
        <row r="1106">
          <cell r="O1106">
            <v>0</v>
          </cell>
          <cell r="P1106">
            <v>0</v>
          </cell>
          <cell r="R1106">
            <v>0</v>
          </cell>
          <cell r="AS1106">
            <v>43500</v>
          </cell>
          <cell r="AT1106">
            <v>119</v>
          </cell>
          <cell r="BN1106">
            <v>43500</v>
          </cell>
          <cell r="EQ1106">
            <v>0</v>
          </cell>
          <cell r="FG1106" t="e">
            <v>#N/A</v>
          </cell>
          <cell r="FH1106" t="e">
            <v>#N/A</v>
          </cell>
          <cell r="FI1106" t="e">
            <v>#N/A</v>
          </cell>
        </row>
        <row r="1107">
          <cell r="O1107">
            <v>0</v>
          </cell>
          <cell r="P1107">
            <v>0</v>
          </cell>
          <cell r="R1107">
            <v>0</v>
          </cell>
          <cell r="AS1107">
            <v>43500</v>
          </cell>
          <cell r="AT1107">
            <v>119</v>
          </cell>
          <cell r="BN1107">
            <v>43500</v>
          </cell>
          <cell r="EQ1107">
            <v>0</v>
          </cell>
          <cell r="FG1107" t="e">
            <v>#N/A</v>
          </cell>
          <cell r="FH1107" t="e">
            <v>#N/A</v>
          </cell>
          <cell r="FI1107" t="e">
            <v>#N/A</v>
          </cell>
        </row>
        <row r="1108">
          <cell r="O1108">
            <v>0</v>
          </cell>
          <cell r="P1108">
            <v>0</v>
          </cell>
          <cell r="R1108">
            <v>0</v>
          </cell>
          <cell r="AS1108">
            <v>43500</v>
          </cell>
          <cell r="AT1108">
            <v>119</v>
          </cell>
          <cell r="BN1108">
            <v>43500</v>
          </cell>
          <cell r="EQ1108">
            <v>0</v>
          </cell>
          <cell r="FG1108" t="e">
            <v>#N/A</v>
          </cell>
          <cell r="FH1108" t="e">
            <v>#N/A</v>
          </cell>
          <cell r="FI1108" t="e">
            <v>#N/A</v>
          </cell>
        </row>
        <row r="1109">
          <cell r="O1109">
            <v>0</v>
          </cell>
          <cell r="P1109">
            <v>0</v>
          </cell>
          <cell r="R1109">
            <v>0</v>
          </cell>
          <cell r="AS1109">
            <v>43500</v>
          </cell>
          <cell r="AT1109">
            <v>119</v>
          </cell>
          <cell r="BN1109">
            <v>43500</v>
          </cell>
          <cell r="EQ1109">
            <v>0</v>
          </cell>
          <cell r="FG1109" t="e">
            <v>#N/A</v>
          </cell>
          <cell r="FH1109" t="e">
            <v>#N/A</v>
          </cell>
          <cell r="FI1109" t="e">
            <v>#N/A</v>
          </cell>
        </row>
        <row r="1110">
          <cell r="O1110">
            <v>0</v>
          </cell>
          <cell r="P1110">
            <v>0</v>
          </cell>
          <cell r="R1110">
            <v>0</v>
          </cell>
          <cell r="AS1110">
            <v>43500</v>
          </cell>
          <cell r="AT1110">
            <v>119</v>
          </cell>
          <cell r="BN1110">
            <v>43500</v>
          </cell>
          <cell r="EQ1110">
            <v>0</v>
          </cell>
          <cell r="FG1110" t="e">
            <v>#N/A</v>
          </cell>
          <cell r="FH1110" t="e">
            <v>#N/A</v>
          </cell>
          <cell r="FI1110" t="e">
            <v>#N/A</v>
          </cell>
        </row>
        <row r="1111">
          <cell r="O1111">
            <v>0</v>
          </cell>
          <cell r="P1111">
            <v>0</v>
          </cell>
          <cell r="R1111">
            <v>0</v>
          </cell>
          <cell r="AS1111">
            <v>43500</v>
          </cell>
          <cell r="AT1111">
            <v>119</v>
          </cell>
          <cell r="BN1111">
            <v>43500</v>
          </cell>
          <cell r="EQ1111">
            <v>0</v>
          </cell>
          <cell r="FG1111" t="e">
            <v>#N/A</v>
          </cell>
          <cell r="FH1111" t="e">
            <v>#N/A</v>
          </cell>
          <cell r="FI1111" t="e">
            <v>#N/A</v>
          </cell>
        </row>
        <row r="1112">
          <cell r="O1112">
            <v>0</v>
          </cell>
          <cell r="P1112">
            <v>0</v>
          </cell>
          <cell r="R1112">
            <v>0</v>
          </cell>
          <cell r="AS1112">
            <v>43500</v>
          </cell>
          <cell r="AT1112">
            <v>119</v>
          </cell>
          <cell r="BN1112">
            <v>43500</v>
          </cell>
          <cell r="EQ1112">
            <v>0</v>
          </cell>
          <cell r="FG1112" t="e">
            <v>#N/A</v>
          </cell>
          <cell r="FH1112" t="e">
            <v>#N/A</v>
          </cell>
          <cell r="FI1112" t="e">
            <v>#N/A</v>
          </cell>
        </row>
        <row r="1113">
          <cell r="O1113">
            <v>0</v>
          </cell>
          <cell r="P1113">
            <v>0</v>
          </cell>
          <cell r="R1113">
            <v>0</v>
          </cell>
          <cell r="AS1113">
            <v>43500</v>
          </cell>
          <cell r="AT1113">
            <v>119</v>
          </cell>
          <cell r="BN1113">
            <v>43500</v>
          </cell>
          <cell r="EQ1113">
            <v>0</v>
          </cell>
          <cell r="FG1113" t="e">
            <v>#N/A</v>
          </cell>
          <cell r="FH1113" t="e">
            <v>#N/A</v>
          </cell>
          <cell r="FI1113" t="e">
            <v>#N/A</v>
          </cell>
        </row>
        <row r="1114">
          <cell r="O1114">
            <v>0</v>
          </cell>
          <cell r="P1114">
            <v>0</v>
          </cell>
          <cell r="R1114">
            <v>0</v>
          </cell>
          <cell r="AS1114">
            <v>43500</v>
          </cell>
          <cell r="AT1114">
            <v>119</v>
          </cell>
          <cell r="BN1114">
            <v>43500</v>
          </cell>
          <cell r="EQ1114">
            <v>0</v>
          </cell>
          <cell r="FG1114" t="e">
            <v>#N/A</v>
          </cell>
          <cell r="FH1114" t="e">
            <v>#N/A</v>
          </cell>
          <cell r="FI1114" t="e">
            <v>#N/A</v>
          </cell>
        </row>
        <row r="1115">
          <cell r="O1115">
            <v>0</v>
          </cell>
          <cell r="P1115">
            <v>0</v>
          </cell>
          <cell r="R1115">
            <v>0</v>
          </cell>
          <cell r="AS1115">
            <v>43500</v>
          </cell>
          <cell r="AT1115">
            <v>119</v>
          </cell>
          <cell r="BN1115">
            <v>43500</v>
          </cell>
          <cell r="EQ1115">
            <v>0</v>
          </cell>
          <cell r="FG1115" t="e">
            <v>#N/A</v>
          </cell>
          <cell r="FH1115" t="e">
            <v>#N/A</v>
          </cell>
          <cell r="FI1115" t="e">
            <v>#N/A</v>
          </cell>
        </row>
        <row r="1116">
          <cell r="O1116">
            <v>0</v>
          </cell>
          <cell r="P1116">
            <v>0</v>
          </cell>
          <cell r="R1116">
            <v>0</v>
          </cell>
          <cell r="AS1116">
            <v>43500</v>
          </cell>
          <cell r="AT1116">
            <v>119</v>
          </cell>
          <cell r="BN1116">
            <v>43500</v>
          </cell>
          <cell r="EQ1116">
            <v>0</v>
          </cell>
          <cell r="FG1116" t="e">
            <v>#N/A</v>
          </cell>
          <cell r="FH1116" t="e">
            <v>#N/A</v>
          </cell>
          <cell r="FI1116" t="e">
            <v>#N/A</v>
          </cell>
        </row>
        <row r="1117">
          <cell r="O1117">
            <v>0</v>
          </cell>
          <cell r="P1117">
            <v>0</v>
          </cell>
          <cell r="R1117">
            <v>0</v>
          </cell>
          <cell r="AS1117">
            <v>43500</v>
          </cell>
          <cell r="AT1117">
            <v>119</v>
          </cell>
          <cell r="BN1117">
            <v>43500</v>
          </cell>
          <cell r="EQ1117">
            <v>0</v>
          </cell>
          <cell r="FG1117" t="e">
            <v>#N/A</v>
          </cell>
          <cell r="FH1117" t="e">
            <v>#N/A</v>
          </cell>
          <cell r="FI1117" t="e">
            <v>#N/A</v>
          </cell>
        </row>
        <row r="1118">
          <cell r="O1118">
            <v>0</v>
          </cell>
          <cell r="P1118">
            <v>0</v>
          </cell>
          <cell r="R1118">
            <v>0</v>
          </cell>
          <cell r="AS1118">
            <v>43500</v>
          </cell>
          <cell r="AT1118">
            <v>119</v>
          </cell>
          <cell r="BN1118">
            <v>43500</v>
          </cell>
          <cell r="EQ1118">
            <v>0</v>
          </cell>
          <cell r="FG1118" t="e">
            <v>#N/A</v>
          </cell>
          <cell r="FH1118" t="e">
            <v>#N/A</v>
          </cell>
          <cell r="FI1118" t="e">
            <v>#N/A</v>
          </cell>
        </row>
        <row r="1119">
          <cell r="O1119">
            <v>0</v>
          </cell>
          <cell r="P1119">
            <v>0</v>
          </cell>
          <cell r="R1119">
            <v>0</v>
          </cell>
          <cell r="AS1119">
            <v>43500</v>
          </cell>
          <cell r="AT1119">
            <v>119</v>
          </cell>
          <cell r="BN1119">
            <v>43500</v>
          </cell>
          <cell r="EQ1119">
            <v>0</v>
          </cell>
          <cell r="FG1119" t="e">
            <v>#N/A</v>
          </cell>
          <cell r="FH1119" t="e">
            <v>#N/A</v>
          </cell>
          <cell r="FI1119" t="e">
            <v>#N/A</v>
          </cell>
        </row>
        <row r="1120">
          <cell r="O1120">
            <v>0</v>
          </cell>
          <cell r="P1120">
            <v>0</v>
          </cell>
          <cell r="R1120">
            <v>0</v>
          </cell>
          <cell r="AS1120">
            <v>43500</v>
          </cell>
          <cell r="AT1120">
            <v>119</v>
          </cell>
          <cell r="BN1120">
            <v>43500</v>
          </cell>
          <cell r="EQ1120">
            <v>0</v>
          </cell>
          <cell r="FG1120" t="e">
            <v>#N/A</v>
          </cell>
          <cell r="FH1120" t="e">
            <v>#N/A</v>
          </cell>
          <cell r="FI1120" t="e">
            <v>#N/A</v>
          </cell>
        </row>
        <row r="1121">
          <cell r="O1121">
            <v>0</v>
          </cell>
          <cell r="P1121">
            <v>0</v>
          </cell>
          <cell r="R1121">
            <v>0</v>
          </cell>
          <cell r="AS1121">
            <v>43500</v>
          </cell>
          <cell r="AT1121">
            <v>119</v>
          </cell>
          <cell r="BN1121">
            <v>43500</v>
          </cell>
          <cell r="EQ1121">
            <v>0</v>
          </cell>
          <cell r="FG1121" t="e">
            <v>#N/A</v>
          </cell>
          <cell r="FH1121" t="e">
            <v>#N/A</v>
          </cell>
          <cell r="FI1121" t="e">
            <v>#N/A</v>
          </cell>
        </row>
        <row r="1122">
          <cell r="O1122">
            <v>0</v>
          </cell>
          <cell r="P1122">
            <v>0</v>
          </cell>
          <cell r="R1122">
            <v>0</v>
          </cell>
          <cell r="AS1122">
            <v>43500</v>
          </cell>
          <cell r="AT1122">
            <v>119</v>
          </cell>
          <cell r="BN1122">
            <v>43500</v>
          </cell>
          <cell r="EQ1122">
            <v>0</v>
          </cell>
          <cell r="FG1122" t="e">
            <v>#N/A</v>
          </cell>
          <cell r="FH1122" t="e">
            <v>#N/A</v>
          </cell>
          <cell r="FI1122" t="e">
            <v>#N/A</v>
          </cell>
        </row>
        <row r="1123">
          <cell r="O1123">
            <v>0</v>
          </cell>
          <cell r="P1123">
            <v>0</v>
          </cell>
          <cell r="R1123">
            <v>0</v>
          </cell>
          <cell r="AS1123">
            <v>43500</v>
          </cell>
          <cell r="AT1123">
            <v>119</v>
          </cell>
          <cell r="BN1123">
            <v>43500</v>
          </cell>
          <cell r="EQ1123">
            <v>0</v>
          </cell>
          <cell r="FG1123" t="e">
            <v>#N/A</v>
          </cell>
          <cell r="FH1123" t="e">
            <v>#N/A</v>
          </cell>
          <cell r="FI1123" t="e">
            <v>#N/A</v>
          </cell>
        </row>
        <row r="1124">
          <cell r="O1124">
            <v>0</v>
          </cell>
          <cell r="P1124">
            <v>0</v>
          </cell>
          <cell r="R1124">
            <v>0</v>
          </cell>
          <cell r="AS1124">
            <v>43500</v>
          </cell>
          <cell r="AT1124">
            <v>119</v>
          </cell>
          <cell r="BN1124">
            <v>43500</v>
          </cell>
          <cell r="EQ1124">
            <v>0</v>
          </cell>
          <cell r="FG1124" t="e">
            <v>#N/A</v>
          </cell>
          <cell r="FH1124" t="e">
            <v>#N/A</v>
          </cell>
          <cell r="FI1124" t="e">
            <v>#N/A</v>
          </cell>
        </row>
        <row r="1125">
          <cell r="O1125">
            <v>0</v>
          </cell>
          <cell r="P1125">
            <v>0</v>
          </cell>
          <cell r="R1125">
            <v>0</v>
          </cell>
          <cell r="AS1125">
            <v>43500</v>
          </cell>
          <cell r="AT1125">
            <v>119</v>
          </cell>
          <cell r="BN1125">
            <v>43500</v>
          </cell>
          <cell r="EQ1125">
            <v>0</v>
          </cell>
          <cell r="FG1125" t="e">
            <v>#N/A</v>
          </cell>
          <cell r="FH1125" t="e">
            <v>#N/A</v>
          </cell>
          <cell r="FI1125" t="e">
            <v>#N/A</v>
          </cell>
        </row>
        <row r="1126">
          <cell r="O1126">
            <v>0</v>
          </cell>
          <cell r="P1126">
            <v>0</v>
          </cell>
          <cell r="R1126">
            <v>0</v>
          </cell>
          <cell r="AS1126">
            <v>43500</v>
          </cell>
          <cell r="AT1126">
            <v>119</v>
          </cell>
          <cell r="BN1126">
            <v>43500</v>
          </cell>
          <cell r="EQ1126">
            <v>0</v>
          </cell>
          <cell r="FG1126" t="e">
            <v>#N/A</v>
          </cell>
          <cell r="FH1126" t="e">
            <v>#N/A</v>
          </cell>
          <cell r="FI1126" t="e">
            <v>#N/A</v>
          </cell>
        </row>
        <row r="1127">
          <cell r="O1127">
            <v>0</v>
          </cell>
          <cell r="P1127">
            <v>0</v>
          </cell>
          <cell r="R1127">
            <v>0</v>
          </cell>
          <cell r="AS1127">
            <v>43500</v>
          </cell>
          <cell r="AT1127">
            <v>119</v>
          </cell>
          <cell r="BN1127">
            <v>43500</v>
          </cell>
          <cell r="EQ1127">
            <v>0</v>
          </cell>
          <cell r="FG1127" t="e">
            <v>#N/A</v>
          </cell>
          <cell r="FH1127" t="e">
            <v>#N/A</v>
          </cell>
          <cell r="FI1127" t="e">
            <v>#N/A</v>
          </cell>
        </row>
        <row r="1128">
          <cell r="O1128">
            <v>0</v>
          </cell>
          <cell r="P1128">
            <v>0</v>
          </cell>
          <cell r="R1128">
            <v>0</v>
          </cell>
          <cell r="AS1128">
            <v>43500</v>
          </cell>
          <cell r="AT1128">
            <v>119</v>
          </cell>
          <cell r="BN1128">
            <v>43500</v>
          </cell>
          <cell r="EQ1128">
            <v>0</v>
          </cell>
          <cell r="FG1128" t="e">
            <v>#N/A</v>
          </cell>
          <cell r="FH1128" t="e">
            <v>#N/A</v>
          </cell>
          <cell r="FI1128" t="e">
            <v>#N/A</v>
          </cell>
        </row>
        <row r="1129">
          <cell r="O1129">
            <v>0</v>
          </cell>
          <cell r="P1129">
            <v>0</v>
          </cell>
          <cell r="R1129">
            <v>0</v>
          </cell>
          <cell r="AS1129">
            <v>43500</v>
          </cell>
          <cell r="AT1129">
            <v>119</v>
          </cell>
          <cell r="BN1129">
            <v>43500</v>
          </cell>
          <cell r="EQ1129">
            <v>0</v>
          </cell>
          <cell r="FG1129" t="e">
            <v>#N/A</v>
          </cell>
          <cell r="FH1129" t="e">
            <v>#N/A</v>
          </cell>
          <cell r="FI1129" t="e">
            <v>#N/A</v>
          </cell>
        </row>
        <row r="1130">
          <cell r="O1130">
            <v>0</v>
          </cell>
          <cell r="P1130">
            <v>0</v>
          </cell>
          <cell r="R1130">
            <v>0</v>
          </cell>
          <cell r="AS1130">
            <v>43500</v>
          </cell>
          <cell r="AT1130">
            <v>119</v>
          </cell>
          <cell r="BN1130">
            <v>43500</v>
          </cell>
          <cell r="EQ1130">
            <v>0</v>
          </cell>
          <cell r="FG1130" t="e">
            <v>#N/A</v>
          </cell>
          <cell r="FH1130" t="e">
            <v>#N/A</v>
          </cell>
          <cell r="FI1130" t="e">
            <v>#N/A</v>
          </cell>
        </row>
        <row r="1131">
          <cell r="O1131">
            <v>0</v>
          </cell>
          <cell r="P1131">
            <v>0</v>
          </cell>
          <cell r="R1131">
            <v>0</v>
          </cell>
          <cell r="AS1131">
            <v>43500</v>
          </cell>
          <cell r="AT1131">
            <v>119</v>
          </cell>
          <cell r="BN1131">
            <v>43500</v>
          </cell>
          <cell r="EQ1131">
            <v>0</v>
          </cell>
          <cell r="FG1131" t="e">
            <v>#N/A</v>
          </cell>
          <cell r="FH1131" t="e">
            <v>#N/A</v>
          </cell>
          <cell r="FI1131" t="e">
            <v>#N/A</v>
          </cell>
        </row>
        <row r="1132">
          <cell r="O1132">
            <v>0</v>
          </cell>
          <cell r="P1132">
            <v>0</v>
          </cell>
          <cell r="R1132">
            <v>0</v>
          </cell>
          <cell r="AS1132">
            <v>43500</v>
          </cell>
          <cell r="AT1132">
            <v>119</v>
          </cell>
          <cell r="BN1132">
            <v>43500</v>
          </cell>
          <cell r="EQ1132">
            <v>0</v>
          </cell>
          <cell r="FG1132" t="e">
            <v>#N/A</v>
          </cell>
          <cell r="FH1132" t="e">
            <v>#N/A</v>
          </cell>
          <cell r="FI1132" t="e">
            <v>#N/A</v>
          </cell>
        </row>
        <row r="1133">
          <cell r="O1133">
            <v>0</v>
          </cell>
          <cell r="P1133">
            <v>0</v>
          </cell>
          <cell r="R1133">
            <v>0</v>
          </cell>
          <cell r="AS1133">
            <v>43500</v>
          </cell>
          <cell r="AT1133">
            <v>119</v>
          </cell>
          <cell r="BN1133">
            <v>43500</v>
          </cell>
          <cell r="EQ1133">
            <v>0</v>
          </cell>
          <cell r="FG1133" t="e">
            <v>#N/A</v>
          </cell>
          <cell r="FH1133" t="e">
            <v>#N/A</v>
          </cell>
          <cell r="FI1133" t="e">
            <v>#N/A</v>
          </cell>
        </row>
        <row r="1134">
          <cell r="O1134">
            <v>0</v>
          </cell>
          <cell r="P1134">
            <v>0</v>
          </cell>
          <cell r="R1134">
            <v>0</v>
          </cell>
          <cell r="AS1134">
            <v>43500</v>
          </cell>
          <cell r="AT1134">
            <v>119</v>
          </cell>
          <cell r="BN1134">
            <v>43500</v>
          </cell>
          <cell r="EQ1134">
            <v>0</v>
          </cell>
          <cell r="FG1134" t="e">
            <v>#N/A</v>
          </cell>
          <cell r="FH1134" t="e">
            <v>#N/A</v>
          </cell>
          <cell r="FI1134" t="e">
            <v>#N/A</v>
          </cell>
        </row>
        <row r="1135">
          <cell r="O1135">
            <v>0</v>
          </cell>
          <cell r="P1135">
            <v>0</v>
          </cell>
          <cell r="R1135">
            <v>0</v>
          </cell>
          <cell r="AS1135">
            <v>43500</v>
          </cell>
          <cell r="AT1135">
            <v>119</v>
          </cell>
          <cell r="BN1135">
            <v>43500</v>
          </cell>
          <cell r="EQ1135">
            <v>0</v>
          </cell>
          <cell r="FG1135" t="e">
            <v>#N/A</v>
          </cell>
          <cell r="FH1135" t="e">
            <v>#N/A</v>
          </cell>
          <cell r="FI1135" t="e">
            <v>#N/A</v>
          </cell>
        </row>
        <row r="1136">
          <cell r="O1136">
            <v>0</v>
          </cell>
          <cell r="P1136">
            <v>0</v>
          </cell>
          <cell r="R1136">
            <v>0</v>
          </cell>
          <cell r="AS1136">
            <v>43500</v>
          </cell>
          <cell r="AT1136">
            <v>119</v>
          </cell>
          <cell r="BN1136">
            <v>43500</v>
          </cell>
          <cell r="EQ1136">
            <v>0</v>
          </cell>
          <cell r="FG1136" t="e">
            <v>#N/A</v>
          </cell>
          <cell r="FH1136" t="e">
            <v>#N/A</v>
          </cell>
          <cell r="FI1136" t="e">
            <v>#N/A</v>
          </cell>
        </row>
        <row r="1137">
          <cell r="O1137">
            <v>0</v>
          </cell>
          <cell r="P1137">
            <v>0</v>
          </cell>
          <cell r="R1137">
            <v>0</v>
          </cell>
          <cell r="AS1137">
            <v>43500</v>
          </cell>
          <cell r="AT1137">
            <v>119</v>
          </cell>
          <cell r="BN1137">
            <v>43500</v>
          </cell>
          <cell r="EQ1137">
            <v>0</v>
          </cell>
          <cell r="FG1137" t="e">
            <v>#N/A</v>
          </cell>
          <cell r="FH1137" t="e">
            <v>#N/A</v>
          </cell>
          <cell r="FI1137" t="e">
            <v>#N/A</v>
          </cell>
        </row>
        <row r="1138">
          <cell r="O1138">
            <v>0</v>
          </cell>
          <cell r="P1138">
            <v>0</v>
          </cell>
          <cell r="R1138">
            <v>0</v>
          </cell>
          <cell r="AS1138">
            <v>43500</v>
          </cell>
          <cell r="AT1138">
            <v>119</v>
          </cell>
          <cell r="BN1138">
            <v>43500</v>
          </cell>
          <cell r="EQ1138">
            <v>0</v>
          </cell>
          <cell r="FG1138" t="e">
            <v>#N/A</v>
          </cell>
          <cell r="FH1138" t="e">
            <v>#N/A</v>
          </cell>
          <cell r="FI1138" t="e">
            <v>#N/A</v>
          </cell>
        </row>
        <row r="1139">
          <cell r="O1139">
            <v>0</v>
          </cell>
          <cell r="P1139">
            <v>0</v>
          </cell>
          <cell r="R1139">
            <v>0</v>
          </cell>
          <cell r="AS1139">
            <v>43500</v>
          </cell>
          <cell r="AT1139">
            <v>119</v>
          </cell>
          <cell r="BN1139">
            <v>43500</v>
          </cell>
          <cell r="EQ1139">
            <v>0</v>
          </cell>
          <cell r="FG1139" t="e">
            <v>#N/A</v>
          </cell>
          <cell r="FH1139" t="e">
            <v>#N/A</v>
          </cell>
          <cell r="FI1139" t="e">
            <v>#N/A</v>
          </cell>
        </row>
        <row r="1140">
          <cell r="O1140">
            <v>0</v>
          </cell>
          <cell r="P1140">
            <v>0</v>
          </cell>
          <cell r="R1140">
            <v>0</v>
          </cell>
          <cell r="AS1140">
            <v>43500</v>
          </cell>
          <cell r="AT1140">
            <v>119</v>
          </cell>
          <cell r="BN1140">
            <v>43500</v>
          </cell>
          <cell r="EQ1140">
            <v>0</v>
          </cell>
          <cell r="FG1140" t="e">
            <v>#N/A</v>
          </cell>
          <cell r="FH1140" t="e">
            <v>#N/A</v>
          </cell>
          <cell r="FI1140" t="e">
            <v>#N/A</v>
          </cell>
        </row>
        <row r="1141">
          <cell r="O1141">
            <v>0</v>
          </cell>
          <cell r="P1141">
            <v>0</v>
          </cell>
          <cell r="R1141">
            <v>0</v>
          </cell>
          <cell r="AS1141">
            <v>43500</v>
          </cell>
          <cell r="AT1141">
            <v>119</v>
          </cell>
          <cell r="BN1141">
            <v>43500</v>
          </cell>
          <cell r="EQ1141">
            <v>0</v>
          </cell>
          <cell r="FG1141" t="e">
            <v>#N/A</v>
          </cell>
          <cell r="FH1141" t="e">
            <v>#N/A</v>
          </cell>
          <cell r="FI1141" t="e">
            <v>#N/A</v>
          </cell>
        </row>
        <row r="1142">
          <cell r="O1142">
            <v>0</v>
          </cell>
          <cell r="P1142">
            <v>0</v>
          </cell>
          <cell r="R1142">
            <v>0</v>
          </cell>
          <cell r="AS1142">
            <v>43500</v>
          </cell>
          <cell r="AT1142">
            <v>119</v>
          </cell>
          <cell r="BN1142">
            <v>43500</v>
          </cell>
          <cell r="EQ1142">
            <v>0</v>
          </cell>
          <cell r="FG1142" t="e">
            <v>#N/A</v>
          </cell>
          <cell r="FH1142" t="e">
            <v>#N/A</v>
          </cell>
          <cell r="FI1142" t="e">
            <v>#N/A</v>
          </cell>
        </row>
        <row r="1143">
          <cell r="O1143">
            <v>0</v>
          </cell>
          <cell r="P1143">
            <v>0</v>
          </cell>
          <cell r="R1143">
            <v>0</v>
          </cell>
          <cell r="AS1143">
            <v>43500</v>
          </cell>
          <cell r="AT1143">
            <v>119</v>
          </cell>
          <cell r="BN1143">
            <v>43500</v>
          </cell>
          <cell r="EQ1143">
            <v>0</v>
          </cell>
          <cell r="FG1143" t="e">
            <v>#N/A</v>
          </cell>
          <cell r="FH1143" t="e">
            <v>#N/A</v>
          </cell>
          <cell r="FI1143" t="e">
            <v>#N/A</v>
          </cell>
        </row>
        <row r="1144">
          <cell r="O1144">
            <v>0</v>
          </cell>
          <cell r="P1144">
            <v>0</v>
          </cell>
          <cell r="R1144">
            <v>0</v>
          </cell>
          <cell r="AS1144">
            <v>43500</v>
          </cell>
          <cell r="AT1144">
            <v>119</v>
          </cell>
          <cell r="BN1144">
            <v>43500</v>
          </cell>
          <cell r="EQ1144">
            <v>0</v>
          </cell>
          <cell r="FG1144" t="e">
            <v>#N/A</v>
          </cell>
          <cell r="FH1144" t="e">
            <v>#N/A</v>
          </cell>
          <cell r="FI1144" t="e">
            <v>#N/A</v>
          </cell>
        </row>
        <row r="1145">
          <cell r="O1145">
            <v>0</v>
          </cell>
          <cell r="P1145">
            <v>0</v>
          </cell>
          <cell r="R1145">
            <v>0</v>
          </cell>
          <cell r="AS1145">
            <v>43500</v>
          </cell>
          <cell r="AT1145">
            <v>119</v>
          </cell>
          <cell r="BN1145">
            <v>43500</v>
          </cell>
          <cell r="EQ1145">
            <v>0</v>
          </cell>
          <cell r="FG1145" t="e">
            <v>#N/A</v>
          </cell>
          <cell r="FH1145" t="e">
            <v>#N/A</v>
          </cell>
          <cell r="FI1145" t="e">
            <v>#N/A</v>
          </cell>
        </row>
        <row r="1146">
          <cell r="O1146">
            <v>0</v>
          </cell>
          <cell r="P1146">
            <v>0</v>
          </cell>
          <cell r="R1146">
            <v>0</v>
          </cell>
          <cell r="AS1146">
            <v>43500</v>
          </cell>
          <cell r="AT1146">
            <v>119</v>
          </cell>
          <cell r="BN1146">
            <v>43500</v>
          </cell>
          <cell r="EQ1146">
            <v>0</v>
          </cell>
          <cell r="FG1146" t="e">
            <v>#N/A</v>
          </cell>
          <cell r="FH1146" t="e">
            <v>#N/A</v>
          </cell>
          <cell r="FI1146" t="e">
            <v>#N/A</v>
          </cell>
        </row>
        <row r="1147">
          <cell r="O1147">
            <v>0</v>
          </cell>
          <cell r="P1147">
            <v>0</v>
          </cell>
          <cell r="R1147">
            <v>0</v>
          </cell>
          <cell r="AS1147">
            <v>43500</v>
          </cell>
          <cell r="AT1147">
            <v>119</v>
          </cell>
          <cell r="BN1147">
            <v>43500</v>
          </cell>
          <cell r="EQ1147">
            <v>0</v>
          </cell>
          <cell r="FG1147" t="e">
            <v>#N/A</v>
          </cell>
          <cell r="FH1147" t="e">
            <v>#N/A</v>
          </cell>
          <cell r="FI1147" t="e">
            <v>#N/A</v>
          </cell>
        </row>
        <row r="1148">
          <cell r="O1148">
            <v>0</v>
          </cell>
          <cell r="P1148">
            <v>0</v>
          </cell>
          <cell r="R1148">
            <v>0</v>
          </cell>
          <cell r="AS1148">
            <v>43500</v>
          </cell>
          <cell r="AT1148">
            <v>119</v>
          </cell>
          <cell r="BN1148">
            <v>43500</v>
          </cell>
          <cell r="EQ1148">
            <v>0</v>
          </cell>
          <cell r="FG1148" t="e">
            <v>#N/A</v>
          </cell>
          <cell r="FH1148" t="e">
            <v>#N/A</v>
          </cell>
          <cell r="FI1148" t="e">
            <v>#N/A</v>
          </cell>
        </row>
        <row r="1149">
          <cell r="O1149">
            <v>0</v>
          </cell>
          <cell r="P1149">
            <v>0</v>
          </cell>
          <cell r="R1149">
            <v>0</v>
          </cell>
          <cell r="AS1149">
            <v>43500</v>
          </cell>
          <cell r="AT1149">
            <v>119</v>
          </cell>
          <cell r="BN1149">
            <v>43500</v>
          </cell>
          <cell r="EQ1149">
            <v>0</v>
          </cell>
          <cell r="FG1149" t="e">
            <v>#N/A</v>
          </cell>
          <cell r="FH1149" t="e">
            <v>#N/A</v>
          </cell>
          <cell r="FI1149" t="e">
            <v>#N/A</v>
          </cell>
        </row>
        <row r="1150">
          <cell r="O1150">
            <v>0</v>
          </cell>
          <cell r="P1150">
            <v>0</v>
          </cell>
          <cell r="R1150">
            <v>0</v>
          </cell>
          <cell r="AS1150">
            <v>43500</v>
          </cell>
          <cell r="AT1150">
            <v>119</v>
          </cell>
          <cell r="BN1150">
            <v>43500</v>
          </cell>
          <cell r="EQ1150">
            <v>0</v>
          </cell>
          <cell r="FG1150" t="e">
            <v>#N/A</v>
          </cell>
          <cell r="FH1150" t="e">
            <v>#N/A</v>
          </cell>
          <cell r="FI1150" t="e">
            <v>#N/A</v>
          </cell>
        </row>
        <row r="1151">
          <cell r="O1151">
            <v>0</v>
          </cell>
          <cell r="P1151">
            <v>0</v>
          </cell>
          <cell r="R1151">
            <v>0</v>
          </cell>
          <cell r="AS1151">
            <v>43500</v>
          </cell>
          <cell r="AT1151">
            <v>119</v>
          </cell>
          <cell r="BN1151">
            <v>43500</v>
          </cell>
          <cell r="EQ1151">
            <v>0</v>
          </cell>
          <cell r="FG1151" t="e">
            <v>#N/A</v>
          </cell>
          <cell r="FH1151" t="e">
            <v>#N/A</v>
          </cell>
          <cell r="FI1151" t="e">
            <v>#N/A</v>
          </cell>
        </row>
        <row r="1152">
          <cell r="O1152">
            <v>0</v>
          </cell>
          <cell r="P1152">
            <v>0</v>
          </cell>
          <cell r="R1152">
            <v>0</v>
          </cell>
          <cell r="AS1152">
            <v>43500</v>
          </cell>
          <cell r="AT1152">
            <v>119</v>
          </cell>
          <cell r="BN1152">
            <v>43500</v>
          </cell>
          <cell r="EQ1152">
            <v>0</v>
          </cell>
          <cell r="FG1152" t="e">
            <v>#N/A</v>
          </cell>
          <cell r="FH1152" t="e">
            <v>#N/A</v>
          </cell>
          <cell r="FI1152" t="e">
            <v>#N/A</v>
          </cell>
        </row>
        <row r="1153">
          <cell r="O1153">
            <v>0</v>
          </cell>
          <cell r="P1153">
            <v>0</v>
          </cell>
          <cell r="R1153">
            <v>0</v>
          </cell>
          <cell r="AS1153">
            <v>43500</v>
          </cell>
          <cell r="AT1153">
            <v>119</v>
          </cell>
          <cell r="BN1153">
            <v>43500</v>
          </cell>
          <cell r="EQ1153">
            <v>0</v>
          </cell>
          <cell r="FG1153" t="e">
            <v>#N/A</v>
          </cell>
          <cell r="FH1153" t="e">
            <v>#N/A</v>
          </cell>
          <cell r="FI1153" t="e">
            <v>#N/A</v>
          </cell>
        </row>
        <row r="1154">
          <cell r="O1154">
            <v>0</v>
          </cell>
          <cell r="P1154">
            <v>0</v>
          </cell>
          <cell r="R1154">
            <v>0</v>
          </cell>
          <cell r="AS1154">
            <v>43500</v>
          </cell>
          <cell r="AT1154">
            <v>119</v>
          </cell>
          <cell r="BN1154">
            <v>43500</v>
          </cell>
          <cell r="EQ1154">
            <v>0</v>
          </cell>
          <cell r="FG1154" t="e">
            <v>#N/A</v>
          </cell>
          <cell r="FH1154" t="e">
            <v>#N/A</v>
          </cell>
          <cell r="FI1154" t="e">
            <v>#N/A</v>
          </cell>
        </row>
        <row r="1155">
          <cell r="O1155">
            <v>0</v>
          </cell>
          <cell r="P1155">
            <v>0</v>
          </cell>
          <cell r="R1155">
            <v>0</v>
          </cell>
          <cell r="AS1155">
            <v>43500</v>
          </cell>
          <cell r="AT1155">
            <v>119</v>
          </cell>
          <cell r="BN1155">
            <v>43500</v>
          </cell>
          <cell r="EQ1155">
            <v>0</v>
          </cell>
          <cell r="FG1155" t="e">
            <v>#N/A</v>
          </cell>
          <cell r="FH1155" t="e">
            <v>#N/A</v>
          </cell>
          <cell r="FI1155" t="e">
            <v>#N/A</v>
          </cell>
        </row>
        <row r="1156">
          <cell r="O1156">
            <v>0</v>
          </cell>
          <cell r="P1156">
            <v>0</v>
          </cell>
          <cell r="R1156">
            <v>0</v>
          </cell>
          <cell r="AS1156">
            <v>43500</v>
          </cell>
          <cell r="AT1156">
            <v>119</v>
          </cell>
          <cell r="BN1156">
            <v>43500</v>
          </cell>
          <cell r="EQ1156">
            <v>0</v>
          </cell>
          <cell r="FG1156" t="e">
            <v>#N/A</v>
          </cell>
          <cell r="FH1156" t="e">
            <v>#N/A</v>
          </cell>
          <cell r="FI1156" t="e">
            <v>#N/A</v>
          </cell>
        </row>
        <row r="1157">
          <cell r="O1157">
            <v>0</v>
          </cell>
          <cell r="P1157">
            <v>0</v>
          </cell>
          <cell r="R1157">
            <v>0</v>
          </cell>
          <cell r="AS1157">
            <v>43500</v>
          </cell>
          <cell r="AT1157">
            <v>119</v>
          </cell>
          <cell r="BN1157">
            <v>43500</v>
          </cell>
          <cell r="EQ1157">
            <v>0</v>
          </cell>
          <cell r="FG1157" t="e">
            <v>#N/A</v>
          </cell>
          <cell r="FH1157" t="e">
            <v>#N/A</v>
          </cell>
          <cell r="FI1157" t="e">
            <v>#N/A</v>
          </cell>
        </row>
        <row r="1158">
          <cell r="O1158">
            <v>0</v>
          </cell>
          <cell r="P1158">
            <v>0</v>
          </cell>
          <cell r="R1158">
            <v>0</v>
          </cell>
          <cell r="AS1158">
            <v>43500</v>
          </cell>
          <cell r="AT1158">
            <v>119</v>
          </cell>
          <cell r="BN1158">
            <v>43500</v>
          </cell>
          <cell r="EQ1158">
            <v>0</v>
          </cell>
          <cell r="FG1158" t="e">
            <v>#N/A</v>
          </cell>
          <cell r="FH1158" t="e">
            <v>#N/A</v>
          </cell>
          <cell r="FI1158" t="e">
            <v>#N/A</v>
          </cell>
        </row>
        <row r="1159">
          <cell r="O1159">
            <v>0</v>
          </cell>
          <cell r="P1159">
            <v>0</v>
          </cell>
          <cell r="R1159">
            <v>0</v>
          </cell>
          <cell r="AS1159">
            <v>43500</v>
          </cell>
          <cell r="AT1159">
            <v>119</v>
          </cell>
          <cell r="BN1159">
            <v>43500</v>
          </cell>
          <cell r="EQ1159">
            <v>0</v>
          </cell>
          <cell r="FG1159" t="e">
            <v>#N/A</v>
          </cell>
          <cell r="FH1159" t="e">
            <v>#N/A</v>
          </cell>
          <cell r="FI1159" t="e">
            <v>#N/A</v>
          </cell>
        </row>
        <row r="1160">
          <cell r="O1160">
            <v>0</v>
          </cell>
          <cell r="P1160">
            <v>0</v>
          </cell>
          <cell r="R1160">
            <v>0</v>
          </cell>
          <cell r="AS1160">
            <v>43500</v>
          </cell>
          <cell r="AT1160">
            <v>119</v>
          </cell>
          <cell r="BN1160">
            <v>43500</v>
          </cell>
          <cell r="EQ1160">
            <v>0</v>
          </cell>
          <cell r="FG1160" t="e">
            <v>#N/A</v>
          </cell>
          <cell r="FH1160" t="e">
            <v>#N/A</v>
          </cell>
          <cell r="FI1160" t="e">
            <v>#N/A</v>
          </cell>
        </row>
        <row r="1161">
          <cell r="O1161">
            <v>0</v>
          </cell>
          <cell r="P1161">
            <v>0</v>
          </cell>
          <cell r="R1161">
            <v>0</v>
          </cell>
          <cell r="AS1161">
            <v>43500</v>
          </cell>
          <cell r="AT1161">
            <v>119</v>
          </cell>
          <cell r="BN1161">
            <v>43500</v>
          </cell>
          <cell r="EQ1161">
            <v>0</v>
          </cell>
          <cell r="FG1161" t="e">
            <v>#N/A</v>
          </cell>
          <cell r="FH1161" t="e">
            <v>#N/A</v>
          </cell>
          <cell r="FI1161" t="e">
            <v>#N/A</v>
          </cell>
        </row>
        <row r="1162">
          <cell r="O1162">
            <v>0</v>
          </cell>
          <cell r="P1162">
            <v>0</v>
          </cell>
          <cell r="R1162">
            <v>0</v>
          </cell>
          <cell r="AS1162">
            <v>43500</v>
          </cell>
          <cell r="AT1162">
            <v>119</v>
          </cell>
          <cell r="BN1162">
            <v>43500</v>
          </cell>
          <cell r="EQ1162">
            <v>0</v>
          </cell>
          <cell r="FG1162" t="e">
            <v>#N/A</v>
          </cell>
          <cell r="FH1162" t="e">
            <v>#N/A</v>
          </cell>
          <cell r="FI1162" t="e">
            <v>#N/A</v>
          </cell>
        </row>
        <row r="1163">
          <cell r="O1163">
            <v>0</v>
          </cell>
          <cell r="P1163">
            <v>0</v>
          </cell>
          <cell r="R1163">
            <v>0</v>
          </cell>
          <cell r="AS1163">
            <v>43500</v>
          </cell>
          <cell r="AT1163">
            <v>119</v>
          </cell>
          <cell r="BN1163">
            <v>43500</v>
          </cell>
          <cell r="EQ1163">
            <v>0</v>
          </cell>
          <cell r="FG1163" t="e">
            <v>#N/A</v>
          </cell>
          <cell r="FH1163" t="e">
            <v>#N/A</v>
          </cell>
          <cell r="FI1163" t="e">
            <v>#N/A</v>
          </cell>
        </row>
        <row r="1164">
          <cell r="O1164">
            <v>0</v>
          </cell>
          <cell r="P1164">
            <v>0</v>
          </cell>
          <cell r="R1164">
            <v>0</v>
          </cell>
          <cell r="AS1164">
            <v>43500</v>
          </cell>
          <cell r="AT1164">
            <v>119</v>
          </cell>
          <cell r="BN1164">
            <v>43500</v>
          </cell>
          <cell r="EQ1164">
            <v>0</v>
          </cell>
          <cell r="FG1164" t="e">
            <v>#N/A</v>
          </cell>
          <cell r="FH1164" t="e">
            <v>#N/A</v>
          </cell>
          <cell r="FI1164" t="e">
            <v>#N/A</v>
          </cell>
        </row>
        <row r="1165">
          <cell r="O1165">
            <v>0</v>
          </cell>
          <cell r="P1165">
            <v>0</v>
          </cell>
          <cell r="R1165">
            <v>0</v>
          </cell>
          <cell r="AS1165">
            <v>43500</v>
          </cell>
          <cell r="AT1165">
            <v>119</v>
          </cell>
          <cell r="BN1165">
            <v>43500</v>
          </cell>
          <cell r="EQ1165">
            <v>0</v>
          </cell>
          <cell r="FG1165" t="e">
            <v>#N/A</v>
          </cell>
          <cell r="FH1165" t="e">
            <v>#N/A</v>
          </cell>
          <cell r="FI1165" t="e">
            <v>#N/A</v>
          </cell>
        </row>
        <row r="1166">
          <cell r="O1166">
            <v>0</v>
          </cell>
          <cell r="P1166">
            <v>0</v>
          </cell>
          <cell r="R1166">
            <v>0</v>
          </cell>
          <cell r="AG1166">
            <v>9</v>
          </cell>
          <cell r="AH1166">
            <v>1</v>
          </cell>
          <cell r="AS1166">
            <v>43500</v>
          </cell>
          <cell r="AT1166">
            <v>119</v>
          </cell>
          <cell r="BN1166">
            <v>43500</v>
          </cell>
          <cell r="EQ1166">
            <v>0</v>
          </cell>
          <cell r="FG1166" t="e">
            <v>#N/A</v>
          </cell>
          <cell r="FH1166" t="e">
            <v>#N/A</v>
          </cell>
          <cell r="FI1166" t="e">
            <v>#N/A</v>
          </cell>
        </row>
        <row r="1167">
          <cell r="O1167">
            <v>0</v>
          </cell>
          <cell r="P1167">
            <v>0</v>
          </cell>
          <cell r="R1167">
            <v>0</v>
          </cell>
          <cell r="AG1167">
            <v>9</v>
          </cell>
          <cell r="AH1167">
            <v>1</v>
          </cell>
          <cell r="AS1167">
            <v>43500</v>
          </cell>
          <cell r="AT1167">
            <v>119</v>
          </cell>
          <cell r="BN1167">
            <v>43500</v>
          </cell>
          <cell r="EQ1167">
            <v>0</v>
          </cell>
          <cell r="FG1167" t="e">
            <v>#N/A</v>
          </cell>
          <cell r="FH1167" t="e">
            <v>#N/A</v>
          </cell>
          <cell r="FI1167" t="e">
            <v>#N/A</v>
          </cell>
        </row>
        <row r="1168">
          <cell r="O1168">
            <v>0</v>
          </cell>
          <cell r="P1168">
            <v>0</v>
          </cell>
          <cell r="R1168">
            <v>0</v>
          </cell>
          <cell r="AG1168">
            <v>9</v>
          </cell>
          <cell r="AH1168">
            <v>1</v>
          </cell>
          <cell r="AS1168">
            <v>43500</v>
          </cell>
          <cell r="AT1168">
            <v>119</v>
          </cell>
          <cell r="BN1168">
            <v>43500</v>
          </cell>
          <cell r="EQ1168">
            <v>0</v>
          </cell>
          <cell r="FG1168" t="e">
            <v>#N/A</v>
          </cell>
          <cell r="FH1168" t="e">
            <v>#N/A</v>
          </cell>
          <cell r="FI1168" t="e">
            <v>#N/A</v>
          </cell>
        </row>
        <row r="1169">
          <cell r="O1169">
            <v>0</v>
          </cell>
          <cell r="P1169">
            <v>0</v>
          </cell>
          <cell r="R1169">
            <v>0</v>
          </cell>
          <cell r="AS1169">
            <v>43500</v>
          </cell>
          <cell r="AT1169">
            <v>119</v>
          </cell>
          <cell r="BN1169">
            <v>43500</v>
          </cell>
          <cell r="EQ1169">
            <v>0</v>
          </cell>
          <cell r="FG1169" t="e">
            <v>#N/A</v>
          </cell>
          <cell r="FH1169" t="e">
            <v>#N/A</v>
          </cell>
          <cell r="FI1169" t="e">
            <v>#N/A</v>
          </cell>
        </row>
        <row r="1170">
          <cell r="O1170">
            <v>0</v>
          </cell>
          <cell r="P1170">
            <v>0</v>
          </cell>
          <cell r="R1170">
            <v>0</v>
          </cell>
          <cell r="AS1170">
            <v>43500</v>
          </cell>
          <cell r="AT1170">
            <v>119</v>
          </cell>
          <cell r="BN1170">
            <v>43500</v>
          </cell>
          <cell r="EQ1170">
            <v>0</v>
          </cell>
          <cell r="FG1170" t="e">
            <v>#N/A</v>
          </cell>
          <cell r="FH1170" t="e">
            <v>#N/A</v>
          </cell>
          <cell r="FI1170" t="e">
            <v>#N/A</v>
          </cell>
        </row>
        <row r="1171">
          <cell r="O1171">
            <v>0</v>
          </cell>
          <cell r="P1171">
            <v>0</v>
          </cell>
          <cell r="R1171">
            <v>0</v>
          </cell>
          <cell r="AS1171">
            <v>43500</v>
          </cell>
          <cell r="AT1171">
            <v>119</v>
          </cell>
          <cell r="BN1171">
            <v>43500</v>
          </cell>
          <cell r="EQ1171">
            <v>0</v>
          </cell>
          <cell r="FG1171" t="e">
            <v>#N/A</v>
          </cell>
          <cell r="FH1171" t="e">
            <v>#N/A</v>
          </cell>
          <cell r="FI1171" t="e">
            <v>#N/A</v>
          </cell>
        </row>
        <row r="1172">
          <cell r="O1172">
            <v>0</v>
          </cell>
          <cell r="P1172">
            <v>0</v>
          </cell>
          <cell r="R1172">
            <v>0</v>
          </cell>
          <cell r="AS1172">
            <v>43500</v>
          </cell>
          <cell r="AT1172">
            <v>119</v>
          </cell>
          <cell r="BN1172">
            <v>43500</v>
          </cell>
          <cell r="EQ1172">
            <v>0</v>
          </cell>
          <cell r="FG1172" t="e">
            <v>#N/A</v>
          </cell>
          <cell r="FH1172" t="e">
            <v>#N/A</v>
          </cell>
          <cell r="FI1172" t="e">
            <v>#N/A</v>
          </cell>
        </row>
        <row r="1173">
          <cell r="O1173">
            <v>0</v>
          </cell>
          <cell r="P1173">
            <v>0</v>
          </cell>
          <cell r="R1173">
            <v>0</v>
          </cell>
          <cell r="AS1173">
            <v>43500</v>
          </cell>
          <cell r="AT1173">
            <v>119</v>
          </cell>
          <cell r="BN1173">
            <v>43500</v>
          </cell>
          <cell r="EQ1173">
            <v>0</v>
          </cell>
          <cell r="FG1173" t="e">
            <v>#N/A</v>
          </cell>
          <cell r="FH1173" t="e">
            <v>#N/A</v>
          </cell>
          <cell r="FI1173" t="e">
            <v>#N/A</v>
          </cell>
        </row>
        <row r="1174">
          <cell r="O1174">
            <v>0</v>
          </cell>
          <cell r="P1174">
            <v>0</v>
          </cell>
          <cell r="R1174">
            <v>0</v>
          </cell>
          <cell r="AS1174">
            <v>43500</v>
          </cell>
          <cell r="AT1174">
            <v>119</v>
          </cell>
          <cell r="BN1174">
            <v>43500</v>
          </cell>
          <cell r="EQ1174">
            <v>0</v>
          </cell>
          <cell r="FG1174" t="e">
            <v>#N/A</v>
          </cell>
          <cell r="FH1174" t="e">
            <v>#N/A</v>
          </cell>
          <cell r="FI1174" t="e">
            <v>#N/A</v>
          </cell>
        </row>
        <row r="1175">
          <cell r="O1175">
            <v>0</v>
          </cell>
          <cell r="P1175">
            <v>0</v>
          </cell>
          <cell r="R1175">
            <v>0</v>
          </cell>
          <cell r="AS1175">
            <v>43500</v>
          </cell>
          <cell r="AT1175">
            <v>119</v>
          </cell>
          <cell r="BN1175">
            <v>43500</v>
          </cell>
          <cell r="EQ1175">
            <v>0</v>
          </cell>
          <cell r="FG1175" t="e">
            <v>#N/A</v>
          </cell>
          <cell r="FH1175" t="e">
            <v>#N/A</v>
          </cell>
          <cell r="FI1175" t="e">
            <v>#N/A</v>
          </cell>
        </row>
        <row r="1176">
          <cell r="O1176">
            <v>0</v>
          </cell>
          <cell r="P1176">
            <v>0</v>
          </cell>
          <cell r="R1176">
            <v>0</v>
          </cell>
          <cell r="AS1176">
            <v>43500</v>
          </cell>
          <cell r="AT1176">
            <v>119</v>
          </cell>
          <cell r="BN1176">
            <v>43500</v>
          </cell>
          <cell r="EQ1176">
            <v>0</v>
          </cell>
          <cell r="FG1176" t="e">
            <v>#N/A</v>
          </cell>
          <cell r="FH1176" t="e">
            <v>#N/A</v>
          </cell>
          <cell r="FI1176" t="e">
            <v>#N/A</v>
          </cell>
        </row>
        <row r="1177">
          <cell r="O1177">
            <v>0</v>
          </cell>
          <cell r="P1177">
            <v>0</v>
          </cell>
          <cell r="R1177">
            <v>0</v>
          </cell>
          <cell r="AS1177">
            <v>43500</v>
          </cell>
          <cell r="AT1177">
            <v>119</v>
          </cell>
          <cell r="BN1177">
            <v>43500</v>
          </cell>
          <cell r="EQ1177">
            <v>0</v>
          </cell>
          <cell r="FG1177" t="e">
            <v>#N/A</v>
          </cell>
          <cell r="FH1177" t="e">
            <v>#N/A</v>
          </cell>
          <cell r="FI1177" t="e">
            <v>#N/A</v>
          </cell>
        </row>
        <row r="1178">
          <cell r="O1178">
            <v>0</v>
          </cell>
          <cell r="P1178">
            <v>0</v>
          </cell>
          <cell r="R1178">
            <v>0</v>
          </cell>
          <cell r="AS1178">
            <v>43500</v>
          </cell>
          <cell r="AT1178">
            <v>119</v>
          </cell>
          <cell r="BN1178">
            <v>43500</v>
          </cell>
          <cell r="EQ1178">
            <v>0</v>
          </cell>
          <cell r="FG1178" t="e">
            <v>#N/A</v>
          </cell>
          <cell r="FH1178" t="e">
            <v>#N/A</v>
          </cell>
          <cell r="FI1178" t="e">
            <v>#N/A</v>
          </cell>
        </row>
        <row r="1179">
          <cell r="O1179">
            <v>0</v>
          </cell>
          <cell r="P1179">
            <v>0</v>
          </cell>
          <cell r="R1179">
            <v>0</v>
          </cell>
          <cell r="AS1179">
            <v>43500</v>
          </cell>
          <cell r="AT1179">
            <v>119</v>
          </cell>
          <cell r="BN1179">
            <v>43500</v>
          </cell>
          <cell r="EQ1179">
            <v>0</v>
          </cell>
          <cell r="FG1179" t="e">
            <v>#N/A</v>
          </cell>
          <cell r="FH1179" t="e">
            <v>#N/A</v>
          </cell>
          <cell r="FI1179" t="e">
            <v>#N/A</v>
          </cell>
        </row>
        <row r="1180">
          <cell r="O1180">
            <v>0</v>
          </cell>
          <cell r="P1180">
            <v>0</v>
          </cell>
          <cell r="R1180">
            <v>0</v>
          </cell>
          <cell r="AS1180">
            <v>43500</v>
          </cell>
          <cell r="AT1180">
            <v>119</v>
          </cell>
          <cell r="BN1180">
            <v>43500</v>
          </cell>
          <cell r="EQ1180">
            <v>0</v>
          </cell>
          <cell r="FG1180" t="e">
            <v>#N/A</v>
          </cell>
          <cell r="FH1180" t="e">
            <v>#N/A</v>
          </cell>
          <cell r="FI1180" t="e">
            <v>#N/A</v>
          </cell>
        </row>
        <row r="1181">
          <cell r="O1181">
            <v>0</v>
          </cell>
          <cell r="P1181">
            <v>0</v>
          </cell>
          <cell r="R1181">
            <v>0</v>
          </cell>
          <cell r="AS1181">
            <v>43500</v>
          </cell>
          <cell r="AT1181">
            <v>119</v>
          </cell>
          <cell r="BN1181">
            <v>43500</v>
          </cell>
          <cell r="EQ1181">
            <v>0</v>
          </cell>
          <cell r="FG1181" t="e">
            <v>#N/A</v>
          </cell>
          <cell r="FH1181" t="e">
            <v>#N/A</v>
          </cell>
          <cell r="FI1181" t="e">
            <v>#N/A</v>
          </cell>
        </row>
        <row r="1182">
          <cell r="O1182">
            <v>0</v>
          </cell>
          <cell r="P1182">
            <v>0</v>
          </cell>
          <cell r="R1182">
            <v>0</v>
          </cell>
          <cell r="AS1182">
            <v>43500</v>
          </cell>
          <cell r="AT1182">
            <v>119</v>
          </cell>
          <cell r="BN1182">
            <v>43500</v>
          </cell>
          <cell r="EQ1182">
            <v>0</v>
          </cell>
          <cell r="FG1182" t="e">
            <v>#N/A</v>
          </cell>
          <cell r="FH1182" t="e">
            <v>#N/A</v>
          </cell>
          <cell r="FI1182" t="e">
            <v>#N/A</v>
          </cell>
        </row>
        <row r="1183">
          <cell r="O1183">
            <v>0</v>
          </cell>
          <cell r="P1183">
            <v>0</v>
          </cell>
          <cell r="R1183">
            <v>0</v>
          </cell>
          <cell r="AS1183">
            <v>43500</v>
          </cell>
          <cell r="AT1183">
            <v>119</v>
          </cell>
          <cell r="BN1183">
            <v>43500</v>
          </cell>
          <cell r="EQ1183">
            <v>0</v>
          </cell>
          <cell r="FG1183" t="e">
            <v>#N/A</v>
          </cell>
          <cell r="FH1183" t="e">
            <v>#N/A</v>
          </cell>
          <cell r="FI1183" t="e">
            <v>#N/A</v>
          </cell>
        </row>
        <row r="1184">
          <cell r="O1184">
            <v>0</v>
          </cell>
          <cell r="P1184">
            <v>0</v>
          </cell>
          <cell r="R1184">
            <v>0</v>
          </cell>
          <cell r="AS1184">
            <v>43500</v>
          </cell>
          <cell r="AT1184">
            <v>119</v>
          </cell>
          <cell r="BN1184">
            <v>43500</v>
          </cell>
          <cell r="EQ1184">
            <v>0</v>
          </cell>
          <cell r="FG1184" t="e">
            <v>#N/A</v>
          </cell>
          <cell r="FH1184" t="e">
            <v>#N/A</v>
          </cell>
          <cell r="FI1184" t="e">
            <v>#N/A</v>
          </cell>
        </row>
        <row r="1185">
          <cell r="O1185">
            <v>0</v>
          </cell>
          <cell r="P1185">
            <v>0</v>
          </cell>
          <cell r="R1185">
            <v>0</v>
          </cell>
          <cell r="AS1185">
            <v>43500</v>
          </cell>
          <cell r="AT1185">
            <v>119</v>
          </cell>
          <cell r="BN1185">
            <v>43500</v>
          </cell>
          <cell r="EQ1185">
            <v>0</v>
          </cell>
          <cell r="FG1185" t="e">
            <v>#N/A</v>
          </cell>
          <cell r="FH1185" t="e">
            <v>#N/A</v>
          </cell>
          <cell r="FI1185" t="e">
            <v>#N/A</v>
          </cell>
        </row>
        <row r="1186">
          <cell r="O1186">
            <v>0</v>
          </cell>
          <cell r="P1186">
            <v>0</v>
          </cell>
          <cell r="R1186">
            <v>0</v>
          </cell>
          <cell r="AS1186">
            <v>43500</v>
          </cell>
          <cell r="AT1186">
            <v>119</v>
          </cell>
          <cell r="BN1186">
            <v>43500</v>
          </cell>
          <cell r="EQ1186">
            <v>0</v>
          </cell>
          <cell r="FG1186" t="e">
            <v>#N/A</v>
          </cell>
          <cell r="FH1186" t="e">
            <v>#N/A</v>
          </cell>
          <cell r="FI1186" t="e">
            <v>#N/A</v>
          </cell>
        </row>
        <row r="1187">
          <cell r="O1187">
            <v>0</v>
          </cell>
          <cell r="P1187">
            <v>0</v>
          </cell>
          <cell r="R1187">
            <v>0</v>
          </cell>
          <cell r="AS1187">
            <v>43500</v>
          </cell>
          <cell r="AT1187">
            <v>119</v>
          </cell>
          <cell r="BN1187">
            <v>43500</v>
          </cell>
          <cell r="EQ1187">
            <v>0</v>
          </cell>
          <cell r="FG1187" t="e">
            <v>#N/A</v>
          </cell>
          <cell r="FH1187" t="e">
            <v>#N/A</v>
          </cell>
          <cell r="FI1187" t="e">
            <v>#N/A</v>
          </cell>
        </row>
        <row r="1188">
          <cell r="A1188" t="str">
            <v>Total</v>
          </cell>
          <cell r="B1188">
            <v>652</v>
          </cell>
          <cell r="G1188">
            <v>644</v>
          </cell>
          <cell r="BK1188">
            <v>913626697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بالخص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الرقم الوظيفى</v>
          </cell>
          <cell r="C1" t="str">
            <v>الاسم</v>
          </cell>
          <cell r="D1" t="str">
            <v>المنشأه</v>
          </cell>
          <cell r="E1" t="str">
            <v>القسم</v>
          </cell>
          <cell r="F1" t="str">
            <v>الوحده</v>
          </cell>
          <cell r="G1" t="str">
            <v>الوظيفه</v>
          </cell>
          <cell r="H1" t="str">
            <v>تاريخ التعيين</v>
          </cell>
          <cell r="I1" t="str">
            <v xml:space="preserve">الترصيد حتى </v>
          </cell>
          <cell r="J1" t="str">
            <v>المستحقه</v>
          </cell>
          <cell r="K1">
            <v>42736</v>
          </cell>
          <cell r="L1">
            <v>42767</v>
          </cell>
          <cell r="M1">
            <v>42795</v>
          </cell>
          <cell r="N1">
            <v>42826</v>
          </cell>
          <cell r="O1">
            <v>42856</v>
          </cell>
          <cell r="P1">
            <v>42887</v>
          </cell>
          <cell r="Q1">
            <v>42917</v>
          </cell>
          <cell r="R1">
            <v>42948</v>
          </cell>
          <cell r="S1">
            <v>42979</v>
          </cell>
          <cell r="T1">
            <v>43009</v>
          </cell>
          <cell r="U1">
            <v>43040</v>
          </cell>
          <cell r="V1">
            <v>43070</v>
          </cell>
          <cell r="W1" t="str">
            <v>المأخوذ فى 2017</v>
          </cell>
          <cell r="X1" t="str">
            <v>الماخوذ في 2017</v>
          </cell>
          <cell r="Y1">
            <v>43101</v>
          </cell>
          <cell r="Z1">
            <v>43132</v>
          </cell>
          <cell r="AA1">
            <v>43160</v>
          </cell>
          <cell r="AB1">
            <v>43191</v>
          </cell>
          <cell r="AC1">
            <v>43221</v>
          </cell>
          <cell r="AD1">
            <v>43252</v>
          </cell>
          <cell r="AE1">
            <v>43282</v>
          </cell>
          <cell r="AF1">
            <v>43313</v>
          </cell>
          <cell r="AG1">
            <v>43344</v>
          </cell>
          <cell r="AH1">
            <v>43374</v>
          </cell>
          <cell r="AI1">
            <v>43405</v>
          </cell>
          <cell r="AJ1">
            <v>43435</v>
          </cell>
          <cell r="AK1" t="str">
            <v>ملاحظات</v>
          </cell>
        </row>
        <row r="2">
          <cell r="B2">
            <v>1</v>
          </cell>
          <cell r="C2" t="str">
            <v>احمد عبدالرحيم ابوبكر محمد</v>
          </cell>
          <cell r="D2" t="str">
            <v>المصنع</v>
          </cell>
          <cell r="E2" t="str">
            <v>الاداره</v>
          </cell>
          <cell r="F2" t="str">
            <v>الاداره</v>
          </cell>
          <cell r="G2" t="str">
            <v>المدير الادارى</v>
          </cell>
          <cell r="H2">
            <v>39083</v>
          </cell>
          <cell r="I2">
            <v>43498</v>
          </cell>
          <cell r="J2">
            <v>352.5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1</v>
          </cell>
          <cell r="U2">
            <v>0</v>
          </cell>
          <cell r="V2">
            <v>0</v>
          </cell>
          <cell r="W2">
            <v>1</v>
          </cell>
          <cell r="X2">
            <v>1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</row>
        <row r="3">
          <cell r="B3">
            <v>2</v>
          </cell>
          <cell r="C3" t="str">
            <v>cancil</v>
          </cell>
          <cell r="D3" t="str">
            <v>cancil</v>
          </cell>
          <cell r="E3" t="str">
            <v>cancil</v>
          </cell>
          <cell r="F3">
            <v>0</v>
          </cell>
          <cell r="G3">
            <v>0</v>
          </cell>
          <cell r="H3">
            <v>43498</v>
          </cell>
          <cell r="I3">
            <v>43498</v>
          </cell>
          <cell r="J3">
            <v>0</v>
          </cell>
          <cell r="K3">
            <v>0</v>
          </cell>
          <cell r="L3">
            <v>1</v>
          </cell>
          <cell r="M3">
            <v>1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2</v>
          </cell>
          <cell r="X3">
            <v>2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</row>
        <row r="4">
          <cell r="B4">
            <v>3</v>
          </cell>
          <cell r="C4" t="str">
            <v>حسين محمد حسن قاسم</v>
          </cell>
          <cell r="D4" t="str">
            <v>المصنع</v>
          </cell>
          <cell r="E4" t="str">
            <v>الاداره</v>
          </cell>
          <cell r="F4" t="str">
            <v>الاداره</v>
          </cell>
          <cell r="G4" t="str">
            <v>مدير المجموعه الصناعيه</v>
          </cell>
          <cell r="H4">
            <v>40909</v>
          </cell>
          <cell r="I4">
            <v>42719</v>
          </cell>
          <cell r="J4">
            <v>147.5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</row>
        <row r="5">
          <cell r="B5">
            <v>4</v>
          </cell>
          <cell r="C5" t="str">
            <v>عبدالمنعم موسي ادريس الياس</v>
          </cell>
          <cell r="D5" t="str">
            <v>م الاداره</v>
          </cell>
          <cell r="E5" t="str">
            <v>الاداره</v>
          </cell>
          <cell r="F5">
            <v>0</v>
          </cell>
          <cell r="G5">
            <v>0</v>
          </cell>
          <cell r="H5">
            <v>39063</v>
          </cell>
          <cell r="I5">
            <v>43498</v>
          </cell>
          <cell r="J5">
            <v>352.5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B6">
            <v>5</v>
          </cell>
          <cell r="C6" t="str">
            <v>محمد بابكر محمد الامين</v>
          </cell>
          <cell r="D6" t="str">
            <v>المصنع</v>
          </cell>
          <cell r="E6" t="str">
            <v>المستودعات</v>
          </cell>
          <cell r="F6" t="str">
            <v>قطع الغيار</v>
          </cell>
          <cell r="G6" t="str">
            <v>امين مستودع ق غ</v>
          </cell>
          <cell r="H6">
            <v>39052</v>
          </cell>
          <cell r="I6">
            <v>43498</v>
          </cell>
          <cell r="J6">
            <v>355</v>
          </cell>
          <cell r="K6">
            <v>0</v>
          </cell>
          <cell r="L6">
            <v>3</v>
          </cell>
          <cell r="M6">
            <v>0</v>
          </cell>
          <cell r="N6">
            <v>0</v>
          </cell>
          <cell r="O6">
            <v>2</v>
          </cell>
          <cell r="P6">
            <v>0</v>
          </cell>
          <cell r="Q6">
            <v>2</v>
          </cell>
          <cell r="R6">
            <v>4</v>
          </cell>
          <cell r="S6">
            <v>1</v>
          </cell>
          <cell r="T6">
            <v>1</v>
          </cell>
          <cell r="U6">
            <v>0</v>
          </cell>
          <cell r="V6">
            <v>14</v>
          </cell>
          <cell r="W6">
            <v>27</v>
          </cell>
          <cell r="X6">
            <v>27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</row>
        <row r="7">
          <cell r="B7">
            <v>6</v>
          </cell>
          <cell r="C7" t="str">
            <v>كمال عبدالمجيد عبدون طه</v>
          </cell>
          <cell r="D7" t="str">
            <v>المصنع</v>
          </cell>
          <cell r="E7" t="str">
            <v>المستودعات</v>
          </cell>
          <cell r="F7" t="str">
            <v>قطع الغيار</v>
          </cell>
          <cell r="G7" t="str">
            <v>امين مستودع ق غ</v>
          </cell>
          <cell r="H7">
            <v>39114</v>
          </cell>
          <cell r="I7">
            <v>43498</v>
          </cell>
          <cell r="J7">
            <v>350</v>
          </cell>
          <cell r="K7">
            <v>0</v>
          </cell>
          <cell r="L7">
            <v>0</v>
          </cell>
          <cell r="M7">
            <v>0</v>
          </cell>
          <cell r="N7">
            <v>4</v>
          </cell>
          <cell r="O7">
            <v>0</v>
          </cell>
          <cell r="P7">
            <v>0</v>
          </cell>
          <cell r="Q7">
            <v>1</v>
          </cell>
          <cell r="R7">
            <v>0</v>
          </cell>
          <cell r="S7">
            <v>3</v>
          </cell>
          <cell r="T7">
            <v>0</v>
          </cell>
          <cell r="U7">
            <v>0</v>
          </cell>
          <cell r="V7">
            <v>7</v>
          </cell>
          <cell r="W7">
            <v>15</v>
          </cell>
          <cell r="X7">
            <v>15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</row>
        <row r="8">
          <cell r="B8">
            <v>7</v>
          </cell>
          <cell r="C8" t="str">
            <v>إبراهيم احمد إبراهيم محمد</v>
          </cell>
          <cell r="D8" t="str">
            <v>المصنع</v>
          </cell>
          <cell r="E8" t="str">
            <v>الماليه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</row>
        <row r="9">
          <cell r="B9">
            <v>8</v>
          </cell>
          <cell r="C9" t="str">
            <v>مصطفى قمرالدوله ابراهيم إدريس</v>
          </cell>
          <cell r="D9" t="str">
            <v>المصنع</v>
          </cell>
          <cell r="E9" t="str">
            <v>المستودعات</v>
          </cell>
          <cell r="F9" t="str">
            <v>الخام</v>
          </cell>
          <cell r="G9" t="str">
            <v>مسئول مستودع الخام</v>
          </cell>
          <cell r="H9">
            <v>39130</v>
          </cell>
          <cell r="I9">
            <v>43498</v>
          </cell>
          <cell r="J9">
            <v>347.5</v>
          </cell>
          <cell r="K9">
            <v>0</v>
          </cell>
          <cell r="L9">
            <v>0</v>
          </cell>
          <cell r="M9">
            <v>2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1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</v>
          </cell>
          <cell r="X9">
            <v>3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</row>
        <row r="10">
          <cell r="B10">
            <v>9</v>
          </cell>
          <cell r="C10" t="str">
            <v>على احمد على بابكر</v>
          </cell>
          <cell r="D10" t="str">
            <v>المصنع</v>
          </cell>
          <cell r="E10" t="str">
            <v>المستودعات</v>
          </cell>
          <cell r="F10" t="str">
            <v>مدير قسم</v>
          </cell>
          <cell r="G10" t="str">
            <v>مدير المستودعات</v>
          </cell>
          <cell r="H10">
            <v>39097</v>
          </cell>
          <cell r="I10">
            <v>43498</v>
          </cell>
          <cell r="J10">
            <v>350</v>
          </cell>
          <cell r="K10">
            <v>1</v>
          </cell>
          <cell r="L10">
            <v>0</v>
          </cell>
          <cell r="M10">
            <v>0</v>
          </cell>
          <cell r="N10">
            <v>2</v>
          </cell>
          <cell r="O10">
            <v>3</v>
          </cell>
          <cell r="P10">
            <v>30</v>
          </cell>
          <cell r="Q10">
            <v>2</v>
          </cell>
          <cell r="R10">
            <v>0</v>
          </cell>
          <cell r="S10">
            <v>1</v>
          </cell>
          <cell r="T10">
            <v>1</v>
          </cell>
          <cell r="U10">
            <v>0</v>
          </cell>
          <cell r="V10">
            <v>0</v>
          </cell>
          <cell r="W10">
            <v>40</v>
          </cell>
          <cell r="X10">
            <v>40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</row>
        <row r="11">
          <cell r="B11">
            <v>10</v>
          </cell>
          <cell r="C11" t="str">
            <v>محمد حسن خليل يوسف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</row>
        <row r="12">
          <cell r="B12">
            <v>11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</row>
        <row r="13">
          <cell r="B13">
            <v>12</v>
          </cell>
          <cell r="C13" t="str">
            <v>قاسم عبدالرازق عثمان مرزوق</v>
          </cell>
          <cell r="D13" t="str">
            <v>المصنع</v>
          </cell>
          <cell r="E13" t="str">
            <v>الامن و الحركه</v>
          </cell>
          <cell r="F13" t="str">
            <v>الامن</v>
          </cell>
          <cell r="G13" t="str">
            <v>فرد امن</v>
          </cell>
          <cell r="H13">
            <v>43425</v>
          </cell>
          <cell r="I13">
            <v>43498</v>
          </cell>
          <cell r="J13">
            <v>-5</v>
          </cell>
          <cell r="K13">
            <v>0</v>
          </cell>
          <cell r="L13">
            <v>0</v>
          </cell>
          <cell r="M13">
            <v>2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30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32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</row>
        <row r="14">
          <cell r="B14">
            <v>13</v>
          </cell>
          <cell r="C14" t="str">
            <v>فارس حمدان عبدالله فارس</v>
          </cell>
          <cell r="D14" t="str">
            <v>المصنع</v>
          </cell>
          <cell r="E14" t="str">
            <v>الامن و الحركه</v>
          </cell>
          <cell r="F14" t="str">
            <v xml:space="preserve">مدير قسم </v>
          </cell>
          <cell r="G14" t="str">
            <v>مدير الامن و الحركه</v>
          </cell>
          <cell r="H14">
            <v>39091</v>
          </cell>
          <cell r="I14">
            <v>43498</v>
          </cell>
          <cell r="J14">
            <v>350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2</v>
          </cell>
          <cell r="T14">
            <v>0</v>
          </cell>
          <cell r="U14">
            <v>0</v>
          </cell>
          <cell r="V14">
            <v>0</v>
          </cell>
          <cell r="W14">
            <v>2</v>
          </cell>
          <cell r="X14">
            <v>32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</row>
        <row r="15">
          <cell r="B15">
            <v>14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2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</row>
        <row r="16">
          <cell r="B16">
            <v>15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</row>
        <row r="17">
          <cell r="B17">
            <v>16</v>
          </cell>
          <cell r="C17" t="str">
            <v>هشام عيسى محمد عبدالكريم</v>
          </cell>
          <cell r="D17" t="str">
            <v>المصنع</v>
          </cell>
          <cell r="E17" t="str">
            <v>الانتاج</v>
          </cell>
          <cell r="F17" t="str">
            <v>مدير قسم</v>
          </cell>
          <cell r="G17" t="str">
            <v xml:space="preserve"> مدير الانتاج</v>
          </cell>
          <cell r="H17">
            <v>39063</v>
          </cell>
          <cell r="I17">
            <v>43498</v>
          </cell>
          <cell r="J17">
            <v>352.5</v>
          </cell>
          <cell r="K17">
            <v>0</v>
          </cell>
          <cell r="L17">
            <v>1</v>
          </cell>
          <cell r="M17">
            <v>0</v>
          </cell>
          <cell r="N17">
            <v>1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2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</row>
        <row r="18">
          <cell r="B18">
            <v>17</v>
          </cell>
          <cell r="C18" t="str">
            <v>محمد الياس حسين فضل</v>
          </cell>
          <cell r="D18" t="str">
            <v>المصنع</v>
          </cell>
          <cell r="E18" t="str">
            <v>الانتاج</v>
          </cell>
          <cell r="F18" t="str">
            <v>الاشراف</v>
          </cell>
          <cell r="G18" t="str">
            <v>مشرف ورديه</v>
          </cell>
          <cell r="H18">
            <v>39052</v>
          </cell>
          <cell r="I18">
            <v>43498</v>
          </cell>
          <cell r="J18">
            <v>355</v>
          </cell>
          <cell r="K18">
            <v>0</v>
          </cell>
          <cell r="L18">
            <v>0</v>
          </cell>
          <cell r="M18">
            <v>2</v>
          </cell>
          <cell r="N18">
            <v>1</v>
          </cell>
          <cell r="O18">
            <v>0</v>
          </cell>
          <cell r="P18">
            <v>1</v>
          </cell>
          <cell r="Q18">
            <v>1</v>
          </cell>
          <cell r="R18">
            <v>1</v>
          </cell>
          <cell r="S18">
            <v>6</v>
          </cell>
          <cell r="T18">
            <v>1</v>
          </cell>
          <cell r="U18">
            <v>0</v>
          </cell>
          <cell r="V18">
            <v>0</v>
          </cell>
          <cell r="W18">
            <v>13</v>
          </cell>
          <cell r="X18">
            <v>2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</row>
        <row r="19">
          <cell r="B19">
            <v>18</v>
          </cell>
          <cell r="C19" t="str">
            <v>على يحى بن يحى عبدالله</v>
          </cell>
          <cell r="D19" t="str">
            <v>المصنع</v>
          </cell>
          <cell r="E19" t="str">
            <v>الانتاج</v>
          </cell>
          <cell r="F19" t="str">
            <v>المواسير</v>
          </cell>
          <cell r="G19" t="str">
            <v>مشغل</v>
          </cell>
          <cell r="H19">
            <v>39052</v>
          </cell>
          <cell r="I19">
            <v>43498</v>
          </cell>
          <cell r="J19">
            <v>355</v>
          </cell>
          <cell r="K19">
            <v>2</v>
          </cell>
          <cell r="L19">
            <v>1</v>
          </cell>
          <cell r="M19">
            <v>2</v>
          </cell>
          <cell r="N19">
            <v>2</v>
          </cell>
          <cell r="O19">
            <v>5</v>
          </cell>
          <cell r="P19">
            <v>3</v>
          </cell>
          <cell r="Q19">
            <v>1</v>
          </cell>
          <cell r="R19">
            <v>1</v>
          </cell>
          <cell r="S19">
            <v>5</v>
          </cell>
          <cell r="T19">
            <v>1</v>
          </cell>
          <cell r="U19">
            <v>0</v>
          </cell>
          <cell r="V19">
            <v>7</v>
          </cell>
          <cell r="W19">
            <v>30</v>
          </cell>
          <cell r="X19">
            <v>13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</row>
        <row r="20">
          <cell r="B20">
            <v>19</v>
          </cell>
          <cell r="C20" t="str">
            <v xml:space="preserve">زهير محمد محمد صالح </v>
          </cell>
          <cell r="D20" t="str">
            <v>المصنع</v>
          </cell>
          <cell r="E20" t="str">
            <v>الانتاج</v>
          </cell>
          <cell r="F20" t="str">
            <v>المواسير</v>
          </cell>
          <cell r="G20" t="str">
            <v>فورمان</v>
          </cell>
          <cell r="H20">
            <v>39063</v>
          </cell>
          <cell r="I20">
            <v>43498</v>
          </cell>
          <cell r="J20">
            <v>352.5</v>
          </cell>
          <cell r="K20">
            <v>4</v>
          </cell>
          <cell r="L20">
            <v>0</v>
          </cell>
          <cell r="M20">
            <v>8</v>
          </cell>
          <cell r="N20">
            <v>0</v>
          </cell>
          <cell r="O20">
            <v>0</v>
          </cell>
          <cell r="P20">
            <v>1</v>
          </cell>
          <cell r="Q20">
            <v>3</v>
          </cell>
          <cell r="R20">
            <v>1</v>
          </cell>
          <cell r="S20">
            <v>2</v>
          </cell>
          <cell r="T20">
            <v>3</v>
          </cell>
          <cell r="U20">
            <v>1</v>
          </cell>
          <cell r="V20">
            <v>1</v>
          </cell>
          <cell r="W20">
            <v>24</v>
          </cell>
          <cell r="X20">
            <v>30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</row>
        <row r="21">
          <cell r="B21">
            <v>20</v>
          </cell>
          <cell r="C21" t="str">
            <v>حسن سند احمد بليله</v>
          </cell>
          <cell r="D21" t="str">
            <v>المصنع</v>
          </cell>
          <cell r="E21" t="str">
            <v>الانتاج</v>
          </cell>
          <cell r="F21" t="str">
            <v>المواسير</v>
          </cell>
          <cell r="G21" t="str">
            <v>مشغل</v>
          </cell>
          <cell r="H21">
            <v>39052</v>
          </cell>
          <cell r="I21">
            <v>43498</v>
          </cell>
          <cell r="J21">
            <v>355</v>
          </cell>
          <cell r="K21">
            <v>0</v>
          </cell>
          <cell r="L21">
            <v>2</v>
          </cell>
          <cell r="M21">
            <v>2</v>
          </cell>
          <cell r="N21">
            <v>0</v>
          </cell>
          <cell r="O21">
            <v>4</v>
          </cell>
          <cell r="P21">
            <v>1</v>
          </cell>
          <cell r="Q21">
            <v>2</v>
          </cell>
          <cell r="R21">
            <v>2</v>
          </cell>
          <cell r="S21">
            <v>4</v>
          </cell>
          <cell r="T21">
            <v>1</v>
          </cell>
          <cell r="U21">
            <v>0</v>
          </cell>
          <cell r="V21">
            <v>1</v>
          </cell>
          <cell r="W21">
            <v>19</v>
          </cell>
          <cell r="X21">
            <v>24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</row>
        <row r="22">
          <cell r="B22">
            <v>21</v>
          </cell>
          <cell r="C22" t="str">
            <v>اسحق محمد عبدالله محمد</v>
          </cell>
          <cell r="D22" t="str">
            <v>المصنع</v>
          </cell>
          <cell r="E22" t="str">
            <v>الميكانيكا</v>
          </cell>
          <cell r="F22" t="str">
            <v>صيانه عامه</v>
          </cell>
          <cell r="G22" t="str">
            <v>فنى ميكانيكا</v>
          </cell>
          <cell r="H22">
            <v>39064</v>
          </cell>
          <cell r="I22">
            <v>43498</v>
          </cell>
          <cell r="J22">
            <v>352.5</v>
          </cell>
          <cell r="K22">
            <v>0</v>
          </cell>
          <cell r="L22">
            <v>0</v>
          </cell>
          <cell r="M22">
            <v>0</v>
          </cell>
          <cell r="N22">
            <v>2</v>
          </cell>
          <cell r="O22">
            <v>1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</v>
          </cell>
          <cell r="V22">
            <v>30</v>
          </cell>
          <cell r="W22">
            <v>34</v>
          </cell>
          <cell r="X22">
            <v>19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</row>
        <row r="23">
          <cell r="B23">
            <v>22</v>
          </cell>
          <cell r="C23" t="str">
            <v>عبدالجبار ابكر عبدالله احمد</v>
          </cell>
          <cell r="D23" t="str">
            <v>المصنع</v>
          </cell>
          <cell r="E23" t="str">
            <v>الانتاج</v>
          </cell>
          <cell r="F23" t="str">
            <v>الزوايا</v>
          </cell>
          <cell r="G23" t="str">
            <v>مشغل</v>
          </cell>
          <cell r="H23">
            <v>39052</v>
          </cell>
          <cell r="I23">
            <v>43498</v>
          </cell>
          <cell r="J23">
            <v>355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5</v>
          </cell>
          <cell r="R23">
            <v>1</v>
          </cell>
          <cell r="S23">
            <v>0</v>
          </cell>
          <cell r="T23">
            <v>1</v>
          </cell>
          <cell r="U23">
            <v>0</v>
          </cell>
          <cell r="V23">
            <v>0</v>
          </cell>
          <cell r="W23">
            <v>10</v>
          </cell>
          <cell r="X23">
            <v>34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</row>
        <row r="24">
          <cell r="B24">
            <v>23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10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</row>
        <row r="25">
          <cell r="B25">
            <v>24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</row>
        <row r="26">
          <cell r="B26">
            <v>25</v>
          </cell>
          <cell r="C26" t="str">
            <v>صبرى الهادى الامين محمد</v>
          </cell>
          <cell r="D26" t="str">
            <v>المصنع</v>
          </cell>
          <cell r="E26" t="str">
            <v>الاداره</v>
          </cell>
          <cell r="F26" t="str">
            <v>مكلف</v>
          </cell>
          <cell r="G26" t="str">
            <v>علاقات عامه</v>
          </cell>
          <cell r="H26">
            <v>38729</v>
          </cell>
          <cell r="I26">
            <v>43498</v>
          </cell>
          <cell r="J26">
            <v>380</v>
          </cell>
          <cell r="K26">
            <v>0</v>
          </cell>
          <cell r="L26">
            <v>1</v>
          </cell>
          <cell r="M26">
            <v>6</v>
          </cell>
          <cell r="N26">
            <v>2</v>
          </cell>
          <cell r="O26">
            <v>0</v>
          </cell>
          <cell r="P26">
            <v>1</v>
          </cell>
          <cell r="Q26">
            <v>3</v>
          </cell>
          <cell r="R26">
            <v>2</v>
          </cell>
          <cell r="S26">
            <v>0</v>
          </cell>
          <cell r="T26">
            <v>2</v>
          </cell>
          <cell r="U26">
            <v>0</v>
          </cell>
          <cell r="V26">
            <v>0</v>
          </cell>
          <cell r="W26">
            <v>17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</row>
        <row r="27">
          <cell r="B27">
            <v>26</v>
          </cell>
          <cell r="C27" t="str">
            <v>ابكر اسحق ابكر فضل</v>
          </cell>
          <cell r="D27" t="str">
            <v>المصنع</v>
          </cell>
          <cell r="E27" t="str">
            <v>الانتاج</v>
          </cell>
          <cell r="F27" t="str">
            <v>المواسير</v>
          </cell>
          <cell r="G27" t="str">
            <v>مشغل مميز</v>
          </cell>
          <cell r="H27">
            <v>39062</v>
          </cell>
          <cell r="I27">
            <v>43190</v>
          </cell>
          <cell r="J27">
            <v>327.5</v>
          </cell>
          <cell r="K27">
            <v>0</v>
          </cell>
          <cell r="L27">
            <v>1</v>
          </cell>
          <cell r="M27">
            <v>0</v>
          </cell>
          <cell r="N27">
            <v>2</v>
          </cell>
          <cell r="O27">
            <v>2</v>
          </cell>
          <cell r="P27">
            <v>0</v>
          </cell>
          <cell r="Q27">
            <v>6</v>
          </cell>
          <cell r="R27">
            <v>4</v>
          </cell>
          <cell r="S27">
            <v>4</v>
          </cell>
          <cell r="T27">
            <v>0</v>
          </cell>
          <cell r="U27">
            <v>0</v>
          </cell>
          <cell r="V27">
            <v>0</v>
          </cell>
          <cell r="W27">
            <v>19</v>
          </cell>
          <cell r="X27">
            <v>17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</row>
        <row r="28">
          <cell r="B28">
            <v>27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19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</row>
        <row r="29">
          <cell r="B29">
            <v>28</v>
          </cell>
          <cell r="C29" t="str">
            <v>عبدالظاهر الرشيد محمد عثمان</v>
          </cell>
          <cell r="D29" t="str">
            <v>المصنع</v>
          </cell>
          <cell r="E29" t="str">
            <v>الانتاج</v>
          </cell>
          <cell r="F29" t="str">
            <v>المواسير</v>
          </cell>
          <cell r="G29" t="str">
            <v>مساعد مشغل</v>
          </cell>
          <cell r="H29">
            <v>39052</v>
          </cell>
          <cell r="I29">
            <v>43498</v>
          </cell>
          <cell r="J29">
            <v>355</v>
          </cell>
          <cell r="K29">
            <v>0</v>
          </cell>
          <cell r="L29">
            <v>1</v>
          </cell>
          <cell r="M29">
            <v>2</v>
          </cell>
          <cell r="N29">
            <v>2</v>
          </cell>
          <cell r="O29">
            <v>1</v>
          </cell>
          <cell r="P29">
            <v>0</v>
          </cell>
          <cell r="Q29">
            <v>1</v>
          </cell>
          <cell r="R29">
            <v>2</v>
          </cell>
          <cell r="S29">
            <v>12</v>
          </cell>
          <cell r="T29">
            <v>0</v>
          </cell>
          <cell r="U29">
            <v>1</v>
          </cell>
          <cell r="V29">
            <v>0</v>
          </cell>
          <cell r="W29">
            <v>22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</row>
        <row r="30">
          <cell r="B30">
            <v>29</v>
          </cell>
          <cell r="C30" t="str">
            <v>قمر يحى محمد مهدى</v>
          </cell>
          <cell r="D30" t="str">
            <v>المصنع</v>
          </cell>
          <cell r="E30" t="str">
            <v>المستودعات</v>
          </cell>
          <cell r="F30" t="str">
            <v>التحميل</v>
          </cell>
          <cell r="G30" t="str">
            <v>مشغل كرين</v>
          </cell>
          <cell r="H30">
            <v>39120</v>
          </cell>
          <cell r="I30">
            <v>43498</v>
          </cell>
          <cell r="J30">
            <v>347.5</v>
          </cell>
          <cell r="K30">
            <v>2</v>
          </cell>
          <cell r="L30">
            <v>0</v>
          </cell>
          <cell r="M30">
            <v>1</v>
          </cell>
          <cell r="N30">
            <v>3</v>
          </cell>
          <cell r="O30">
            <v>4</v>
          </cell>
          <cell r="P30">
            <v>0</v>
          </cell>
          <cell r="Q30">
            <v>2</v>
          </cell>
          <cell r="R30">
            <v>0</v>
          </cell>
          <cell r="S30">
            <v>0</v>
          </cell>
          <cell r="T30">
            <v>1</v>
          </cell>
          <cell r="U30">
            <v>2</v>
          </cell>
          <cell r="V30">
            <v>1</v>
          </cell>
          <cell r="W30">
            <v>16</v>
          </cell>
          <cell r="X30">
            <v>22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</row>
        <row r="31">
          <cell r="B31">
            <v>30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16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</row>
        <row r="32">
          <cell r="B32">
            <v>31</v>
          </cell>
          <cell r="C32" t="str">
            <v>عبدالسلام عيسى محمد عبدالكريم</v>
          </cell>
          <cell r="D32" t="str">
            <v>المصنع</v>
          </cell>
          <cell r="E32" t="str">
            <v>الانتاج</v>
          </cell>
          <cell r="F32" t="str">
            <v>المواسير</v>
          </cell>
          <cell r="G32" t="str">
            <v>فورمان</v>
          </cell>
          <cell r="H32">
            <v>39088</v>
          </cell>
          <cell r="I32">
            <v>43498</v>
          </cell>
          <cell r="J32">
            <v>350</v>
          </cell>
          <cell r="K32">
            <v>0</v>
          </cell>
          <cell r="L32">
            <v>1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1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</row>
        <row r="33">
          <cell r="B33">
            <v>32</v>
          </cell>
          <cell r="C33" t="str">
            <v>على عبدالرحيم العاقب احمد</v>
          </cell>
          <cell r="D33" t="str">
            <v>المصنع</v>
          </cell>
          <cell r="E33" t="str">
            <v>الميكانيكا</v>
          </cell>
          <cell r="F33" t="str">
            <v>المخارط</v>
          </cell>
          <cell r="G33" t="str">
            <v>خراط</v>
          </cell>
          <cell r="H33">
            <v>39125</v>
          </cell>
          <cell r="I33">
            <v>43498</v>
          </cell>
          <cell r="J33">
            <v>347.5</v>
          </cell>
          <cell r="K33">
            <v>0</v>
          </cell>
          <cell r="L33">
            <v>7</v>
          </cell>
          <cell r="M33">
            <v>1</v>
          </cell>
          <cell r="N33">
            <v>0</v>
          </cell>
          <cell r="O33">
            <v>2</v>
          </cell>
          <cell r="P33">
            <v>0</v>
          </cell>
          <cell r="Q33">
            <v>4</v>
          </cell>
          <cell r="R33">
            <v>3</v>
          </cell>
          <cell r="S33">
            <v>6</v>
          </cell>
          <cell r="T33">
            <v>0</v>
          </cell>
          <cell r="U33">
            <v>1</v>
          </cell>
          <cell r="V33">
            <v>30</v>
          </cell>
          <cell r="W33">
            <v>54</v>
          </cell>
          <cell r="X33">
            <v>1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</row>
        <row r="34">
          <cell r="B34">
            <v>33</v>
          </cell>
          <cell r="C34" t="str">
            <v>ادريس موسى عثمان موسى</v>
          </cell>
          <cell r="D34" t="str">
            <v>المصنع</v>
          </cell>
          <cell r="E34" t="str">
            <v>الميكانيكا</v>
          </cell>
          <cell r="F34" t="str">
            <v>صيانه عامه</v>
          </cell>
          <cell r="G34" t="str">
            <v>تقنى ميكانيكا</v>
          </cell>
          <cell r="H34">
            <v>39095</v>
          </cell>
          <cell r="I34">
            <v>43498</v>
          </cell>
          <cell r="J34">
            <v>350</v>
          </cell>
          <cell r="K34">
            <v>3</v>
          </cell>
          <cell r="L34">
            <v>1</v>
          </cell>
          <cell r="M34">
            <v>0</v>
          </cell>
          <cell r="N34">
            <v>5</v>
          </cell>
          <cell r="O34">
            <v>3</v>
          </cell>
          <cell r="P34">
            <v>1</v>
          </cell>
          <cell r="Q34">
            <v>5</v>
          </cell>
          <cell r="R34">
            <v>3</v>
          </cell>
          <cell r="S34">
            <v>3</v>
          </cell>
          <cell r="T34">
            <v>4</v>
          </cell>
          <cell r="U34">
            <v>5</v>
          </cell>
          <cell r="V34">
            <v>3</v>
          </cell>
          <cell r="W34">
            <v>36</v>
          </cell>
          <cell r="X34">
            <v>54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</row>
        <row r="35">
          <cell r="B35">
            <v>34</v>
          </cell>
          <cell r="C35" t="str">
            <v>الفاتح على عبدالله الامين</v>
          </cell>
          <cell r="D35" t="str">
            <v>المصنع</v>
          </cell>
          <cell r="E35" t="str">
            <v>الانتاج</v>
          </cell>
          <cell r="F35" t="str">
            <v>الزوايا</v>
          </cell>
          <cell r="G35" t="str">
            <v>مساعد مشغل</v>
          </cell>
          <cell r="H35">
            <v>39098</v>
          </cell>
          <cell r="I35">
            <v>43498</v>
          </cell>
          <cell r="J35">
            <v>350</v>
          </cell>
          <cell r="K35">
            <v>1</v>
          </cell>
          <cell r="L35">
            <v>3</v>
          </cell>
          <cell r="M35">
            <v>1</v>
          </cell>
          <cell r="N35">
            <v>4</v>
          </cell>
          <cell r="O35">
            <v>0</v>
          </cell>
          <cell r="P35">
            <v>0</v>
          </cell>
          <cell r="Q35">
            <v>3</v>
          </cell>
          <cell r="R35">
            <v>0</v>
          </cell>
          <cell r="S35">
            <v>4</v>
          </cell>
          <cell r="T35">
            <v>6</v>
          </cell>
          <cell r="U35">
            <v>0</v>
          </cell>
          <cell r="V35">
            <v>0</v>
          </cell>
          <cell r="W35">
            <v>22</v>
          </cell>
          <cell r="X35">
            <v>36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</row>
        <row r="36">
          <cell r="B36">
            <v>35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22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</row>
        <row r="37">
          <cell r="B37">
            <v>36</v>
          </cell>
          <cell r="C37" t="str">
            <v>نصرالدين صديق ادم محمد</v>
          </cell>
          <cell r="D37" t="str">
            <v>المصنع</v>
          </cell>
          <cell r="E37" t="str">
            <v>الميكانيكا</v>
          </cell>
          <cell r="F37" t="str">
            <v>صيانه عامه</v>
          </cell>
          <cell r="G37" t="str">
            <v>فنى ميكانيكا</v>
          </cell>
          <cell r="H37">
            <v>39120</v>
          </cell>
          <cell r="I37">
            <v>43498</v>
          </cell>
          <cell r="J37">
            <v>347.5</v>
          </cell>
          <cell r="K37">
            <v>0</v>
          </cell>
          <cell r="L37">
            <v>0</v>
          </cell>
          <cell r="M37">
            <v>0</v>
          </cell>
          <cell r="N37">
            <v>2</v>
          </cell>
          <cell r="O37">
            <v>0</v>
          </cell>
          <cell r="P37">
            <v>0</v>
          </cell>
          <cell r="Q37">
            <v>1</v>
          </cell>
          <cell r="R37">
            <v>1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4</v>
          </cell>
          <cell r="X37">
            <v>0</v>
          </cell>
          <cell r="Y37">
            <v>0</v>
          </cell>
          <cell r="Z37">
            <v>2</v>
          </cell>
          <cell r="AA37">
            <v>0</v>
          </cell>
          <cell r="AB37">
            <v>2</v>
          </cell>
          <cell r="AC37">
            <v>1</v>
          </cell>
          <cell r="AD37">
            <v>1</v>
          </cell>
          <cell r="AE37">
            <v>1</v>
          </cell>
          <cell r="AF37">
            <v>2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</row>
        <row r="38">
          <cell r="B38">
            <v>37</v>
          </cell>
          <cell r="C38" t="str">
            <v>محمد احمد محمد سليمان</v>
          </cell>
          <cell r="D38" t="str">
            <v>المصنع</v>
          </cell>
          <cell r="E38" t="str">
            <v>الميكانيكا</v>
          </cell>
          <cell r="F38" t="str">
            <v>مدير قسم</v>
          </cell>
          <cell r="G38" t="str">
            <v>مدير الصيانه الميكانيكيه</v>
          </cell>
          <cell r="H38">
            <v>39142</v>
          </cell>
          <cell r="I38">
            <v>43498</v>
          </cell>
          <cell r="J38">
            <v>347.5</v>
          </cell>
          <cell r="K38">
            <v>1</v>
          </cell>
          <cell r="L38">
            <v>13</v>
          </cell>
          <cell r="M38">
            <v>1</v>
          </cell>
          <cell r="N38">
            <v>1</v>
          </cell>
          <cell r="O38">
            <v>4</v>
          </cell>
          <cell r="P38">
            <v>0</v>
          </cell>
          <cell r="Q38">
            <v>3</v>
          </cell>
          <cell r="R38">
            <v>3</v>
          </cell>
          <cell r="S38">
            <v>0</v>
          </cell>
          <cell r="T38">
            <v>12</v>
          </cell>
          <cell r="U38">
            <v>0</v>
          </cell>
          <cell r="V38">
            <v>0</v>
          </cell>
          <cell r="W38">
            <v>38</v>
          </cell>
          <cell r="X38">
            <v>4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</row>
        <row r="39">
          <cell r="B39">
            <v>38</v>
          </cell>
          <cell r="C39" t="str">
            <v>ماهر ضيف الله سليمان جابر</v>
          </cell>
          <cell r="D39" t="str">
            <v>المصنع</v>
          </cell>
          <cell r="E39" t="str">
            <v>الكهرباء</v>
          </cell>
          <cell r="F39" t="str">
            <v>مدير قسم</v>
          </cell>
          <cell r="G39" t="str">
            <v>مدير الصيانه الكهربائيه</v>
          </cell>
          <cell r="H39">
            <v>39052</v>
          </cell>
          <cell r="I39">
            <v>43498</v>
          </cell>
          <cell r="J39">
            <v>355</v>
          </cell>
          <cell r="K39">
            <v>0</v>
          </cell>
          <cell r="L39">
            <v>0</v>
          </cell>
          <cell r="M39">
            <v>0</v>
          </cell>
          <cell r="N39">
            <v>1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1</v>
          </cell>
          <cell r="X39">
            <v>38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</row>
        <row r="40">
          <cell r="B40">
            <v>39</v>
          </cell>
          <cell r="C40" t="str">
            <v>ابوالقاسم محمد احمد جبريل</v>
          </cell>
          <cell r="D40" t="str">
            <v>المصنع</v>
          </cell>
          <cell r="E40" t="str">
            <v>الكهرباء</v>
          </cell>
          <cell r="F40" t="str">
            <v>كهرباء عامه</v>
          </cell>
          <cell r="G40" t="str">
            <v>فنى كهرباء</v>
          </cell>
          <cell r="H40">
            <v>39052</v>
          </cell>
          <cell r="I40">
            <v>43498</v>
          </cell>
          <cell r="J40">
            <v>355</v>
          </cell>
          <cell r="K40">
            <v>0</v>
          </cell>
          <cell r="L40">
            <v>1</v>
          </cell>
          <cell r="M40">
            <v>0</v>
          </cell>
          <cell r="N40">
            <v>3</v>
          </cell>
          <cell r="O40">
            <v>0</v>
          </cell>
          <cell r="P40">
            <v>3</v>
          </cell>
          <cell r="Q40">
            <v>3</v>
          </cell>
          <cell r="R40">
            <v>0</v>
          </cell>
          <cell r="S40">
            <v>5</v>
          </cell>
          <cell r="T40">
            <v>1</v>
          </cell>
          <cell r="U40">
            <v>0</v>
          </cell>
          <cell r="V40">
            <v>1</v>
          </cell>
          <cell r="W40">
            <v>17</v>
          </cell>
          <cell r="X40">
            <v>1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</row>
        <row r="41">
          <cell r="B41">
            <v>40</v>
          </cell>
          <cell r="C41" t="str">
            <v>تاج الدين على عبداللطيف سعيد</v>
          </cell>
          <cell r="D41" t="str">
            <v>المصنع</v>
          </cell>
          <cell r="E41" t="str">
            <v>الكهرباء</v>
          </cell>
          <cell r="F41" t="str">
            <v>كهرباء عامه</v>
          </cell>
          <cell r="G41" t="str">
            <v>فنى كهرباء</v>
          </cell>
          <cell r="H41">
            <v>39052</v>
          </cell>
          <cell r="I41">
            <v>43498</v>
          </cell>
          <cell r="J41">
            <v>355</v>
          </cell>
          <cell r="K41">
            <v>2</v>
          </cell>
          <cell r="L41">
            <v>1</v>
          </cell>
          <cell r="M41">
            <v>1</v>
          </cell>
          <cell r="N41">
            <v>3</v>
          </cell>
          <cell r="O41">
            <v>8</v>
          </cell>
          <cell r="P41">
            <v>7</v>
          </cell>
          <cell r="Q41">
            <v>2</v>
          </cell>
          <cell r="R41">
            <v>9</v>
          </cell>
          <cell r="S41">
            <v>2</v>
          </cell>
          <cell r="T41">
            <v>0</v>
          </cell>
          <cell r="U41">
            <v>4</v>
          </cell>
          <cell r="V41">
            <v>2</v>
          </cell>
          <cell r="W41">
            <v>41</v>
          </cell>
          <cell r="X41">
            <v>17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</row>
        <row r="42">
          <cell r="B42">
            <v>41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41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</row>
        <row r="43">
          <cell r="B43">
            <v>42</v>
          </cell>
          <cell r="C43" t="str">
            <v>المهل العوض مبارك على</v>
          </cell>
          <cell r="D43" t="str">
            <v>المصنع</v>
          </cell>
          <cell r="E43" t="str">
            <v>الخدمات</v>
          </cell>
          <cell r="F43" t="str">
            <v>الكافتريا</v>
          </cell>
          <cell r="G43" t="str">
            <v>عامل</v>
          </cell>
          <cell r="H43">
            <v>39088</v>
          </cell>
          <cell r="I43">
            <v>43498</v>
          </cell>
          <cell r="J43">
            <v>350</v>
          </cell>
          <cell r="K43">
            <v>0</v>
          </cell>
          <cell r="L43">
            <v>0</v>
          </cell>
          <cell r="M43">
            <v>1</v>
          </cell>
          <cell r="N43">
            <v>1</v>
          </cell>
          <cell r="O43">
            <v>1</v>
          </cell>
          <cell r="P43">
            <v>0</v>
          </cell>
          <cell r="Q43">
            <v>1</v>
          </cell>
          <cell r="R43">
            <v>0</v>
          </cell>
          <cell r="S43">
            <v>0</v>
          </cell>
          <cell r="T43">
            <v>0</v>
          </cell>
          <cell r="U43">
            <v>1</v>
          </cell>
          <cell r="V43">
            <v>30</v>
          </cell>
          <cell r="W43">
            <v>35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</row>
        <row r="44">
          <cell r="B44">
            <v>43</v>
          </cell>
          <cell r="C44" t="str">
            <v>عبدالرحمن عبدالله عبدالكبير ابراهيم</v>
          </cell>
          <cell r="D44" t="str">
            <v>المصنع</v>
          </cell>
          <cell r="E44" t="str">
            <v>الخدمات</v>
          </cell>
          <cell r="F44" t="str">
            <v>البوفيه</v>
          </cell>
          <cell r="G44" t="str">
            <v>عامل</v>
          </cell>
          <cell r="H44">
            <v>42045</v>
          </cell>
          <cell r="I44">
            <v>43498</v>
          </cell>
          <cell r="J44">
            <v>117.5</v>
          </cell>
          <cell r="K44">
            <v>0</v>
          </cell>
          <cell r="L44">
            <v>0</v>
          </cell>
          <cell r="M44">
            <v>2</v>
          </cell>
          <cell r="N44">
            <v>30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1</v>
          </cell>
          <cell r="T44">
            <v>0</v>
          </cell>
          <cell r="U44">
            <v>1</v>
          </cell>
          <cell r="V44">
            <v>0</v>
          </cell>
          <cell r="W44">
            <v>34</v>
          </cell>
          <cell r="X44">
            <v>35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</row>
        <row r="45">
          <cell r="B45">
            <v>44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34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</row>
        <row r="46">
          <cell r="B46">
            <v>45</v>
          </cell>
          <cell r="C46" t="str">
            <v>طه احمد محمد ابراهيم</v>
          </cell>
          <cell r="D46" t="str">
            <v>المصنع</v>
          </cell>
          <cell r="E46" t="str">
            <v>الخدمات</v>
          </cell>
          <cell r="F46" t="str">
            <v>الكافتريا</v>
          </cell>
          <cell r="G46" t="str">
            <v>عامل</v>
          </cell>
          <cell r="H46">
            <v>39120</v>
          </cell>
          <cell r="I46">
            <v>43498</v>
          </cell>
          <cell r="J46">
            <v>347.5</v>
          </cell>
          <cell r="K46">
            <v>0</v>
          </cell>
          <cell r="L46">
            <v>0</v>
          </cell>
          <cell r="M46">
            <v>3</v>
          </cell>
          <cell r="N46">
            <v>0</v>
          </cell>
          <cell r="O46">
            <v>0</v>
          </cell>
          <cell r="P46">
            <v>0</v>
          </cell>
          <cell r="Q46">
            <v>1</v>
          </cell>
          <cell r="R46">
            <v>0</v>
          </cell>
          <cell r="S46">
            <v>2</v>
          </cell>
          <cell r="T46">
            <v>1</v>
          </cell>
          <cell r="U46">
            <v>5</v>
          </cell>
          <cell r="V46">
            <v>1</v>
          </cell>
          <cell r="W46">
            <v>13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</row>
        <row r="47">
          <cell r="B47">
            <v>46</v>
          </cell>
          <cell r="C47" t="str">
            <v>السر على النذير عبدالعليم</v>
          </cell>
          <cell r="D47" t="str">
            <v>المصنع</v>
          </cell>
          <cell r="E47" t="str">
            <v>الوحده العلاجيه</v>
          </cell>
          <cell r="F47">
            <v>0</v>
          </cell>
          <cell r="G47" t="str">
            <v>مسئول الوحدة الصحية</v>
          </cell>
          <cell r="H47">
            <v>43428</v>
          </cell>
          <cell r="I47">
            <v>0</v>
          </cell>
          <cell r="J47" t="e">
            <v>#NUM!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13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</row>
        <row r="48">
          <cell r="B48">
            <v>47</v>
          </cell>
          <cell r="C48" t="str">
            <v>نزار خيرى حسن صالح</v>
          </cell>
          <cell r="D48" t="str">
            <v>المصنع</v>
          </cell>
          <cell r="E48" t="str">
            <v>الانتاج</v>
          </cell>
          <cell r="F48" t="str">
            <v>الاشراف</v>
          </cell>
          <cell r="G48" t="str">
            <v>مشرف ورديه</v>
          </cell>
          <cell r="H48">
            <v>39486</v>
          </cell>
          <cell r="I48">
            <v>43498</v>
          </cell>
          <cell r="J48">
            <v>322.5</v>
          </cell>
          <cell r="K48">
            <v>0</v>
          </cell>
          <cell r="L48">
            <v>0</v>
          </cell>
          <cell r="M48">
            <v>0</v>
          </cell>
          <cell r="N48">
            <v>3</v>
          </cell>
          <cell r="O48">
            <v>0</v>
          </cell>
          <cell r="P48">
            <v>0</v>
          </cell>
          <cell r="Q48">
            <v>0</v>
          </cell>
          <cell r="R48">
            <v>1</v>
          </cell>
          <cell r="S48">
            <v>8</v>
          </cell>
          <cell r="T48">
            <v>1</v>
          </cell>
          <cell r="U48">
            <v>0</v>
          </cell>
          <cell r="V48">
            <v>0</v>
          </cell>
          <cell r="W48">
            <v>13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</row>
        <row r="49">
          <cell r="B49">
            <v>48</v>
          </cell>
          <cell r="C49" t="str">
            <v>علاء الدين عبدالله خالد فضل</v>
          </cell>
          <cell r="D49" t="str">
            <v>المصنع</v>
          </cell>
          <cell r="E49" t="str">
            <v>الانتاج</v>
          </cell>
          <cell r="F49">
            <v>0</v>
          </cell>
          <cell r="G49" t="str">
            <v>عامل</v>
          </cell>
          <cell r="H49">
            <v>39578</v>
          </cell>
          <cell r="I49">
            <v>0</v>
          </cell>
          <cell r="J49" t="e">
            <v>#NUM!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13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</row>
        <row r="50">
          <cell r="B50">
            <v>49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</row>
        <row r="51">
          <cell r="B51">
            <v>50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</row>
        <row r="52">
          <cell r="B52">
            <v>51</v>
          </cell>
          <cell r="C52" t="str">
            <v>عاصم محمد فضل ابراهيم</v>
          </cell>
          <cell r="D52" t="str">
            <v>المصنع</v>
          </cell>
          <cell r="E52" t="str">
            <v>الماليه</v>
          </cell>
          <cell r="F52" t="str">
            <v>الخزنه</v>
          </cell>
          <cell r="G52" t="str">
            <v>محاسب</v>
          </cell>
          <cell r="H52">
            <v>39753</v>
          </cell>
          <cell r="I52">
            <v>43498</v>
          </cell>
          <cell r="J52">
            <v>307.5</v>
          </cell>
          <cell r="K52">
            <v>2</v>
          </cell>
          <cell r="L52">
            <v>0</v>
          </cell>
          <cell r="M52">
            <v>0</v>
          </cell>
          <cell r="N52">
            <v>2</v>
          </cell>
          <cell r="O52">
            <v>8</v>
          </cell>
          <cell r="P52">
            <v>0</v>
          </cell>
          <cell r="Q52">
            <v>1</v>
          </cell>
          <cell r="R52">
            <v>0</v>
          </cell>
          <cell r="S52">
            <v>4</v>
          </cell>
          <cell r="T52">
            <v>7</v>
          </cell>
          <cell r="U52">
            <v>1</v>
          </cell>
          <cell r="V52">
            <v>0</v>
          </cell>
          <cell r="W52">
            <v>25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</row>
        <row r="53">
          <cell r="B53">
            <v>52</v>
          </cell>
          <cell r="C53" t="str">
            <v>عبدالمنعم مصطفى ابراهيم محمد</v>
          </cell>
          <cell r="D53" t="str">
            <v>المصنع</v>
          </cell>
          <cell r="E53" t="str">
            <v>الانتاج</v>
          </cell>
          <cell r="F53" t="str">
            <v>الزوايا</v>
          </cell>
          <cell r="G53" t="str">
            <v>مساعد مشغل</v>
          </cell>
          <cell r="H53">
            <v>39965</v>
          </cell>
          <cell r="I53">
            <v>43498</v>
          </cell>
          <cell r="J53">
            <v>290</v>
          </cell>
          <cell r="K53">
            <v>0</v>
          </cell>
          <cell r="L53">
            <v>3</v>
          </cell>
          <cell r="M53">
            <v>1</v>
          </cell>
          <cell r="N53">
            <v>1</v>
          </cell>
          <cell r="O53">
            <v>7</v>
          </cell>
          <cell r="P53">
            <v>0</v>
          </cell>
          <cell r="Q53">
            <v>3</v>
          </cell>
          <cell r="R53">
            <v>1</v>
          </cell>
          <cell r="S53">
            <v>2</v>
          </cell>
          <cell r="T53">
            <v>1</v>
          </cell>
          <cell r="U53">
            <v>0</v>
          </cell>
          <cell r="V53">
            <v>15</v>
          </cell>
          <cell r="W53">
            <v>34</v>
          </cell>
          <cell r="X53">
            <v>25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</row>
        <row r="54">
          <cell r="B54">
            <v>53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34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</row>
        <row r="55">
          <cell r="B55">
            <v>54</v>
          </cell>
          <cell r="C55" t="str">
            <v>زاهر سراج عوض على</v>
          </cell>
          <cell r="D55" t="str">
            <v>المصنع</v>
          </cell>
          <cell r="E55" t="str">
            <v>المستودعات</v>
          </cell>
          <cell r="F55" t="str">
            <v>الاسكراب</v>
          </cell>
          <cell r="G55" t="str">
            <v>مسئول مستودع الاسكراب</v>
          </cell>
          <cell r="H55">
            <v>39968</v>
          </cell>
          <cell r="I55">
            <v>43498</v>
          </cell>
          <cell r="J55">
            <v>287.5</v>
          </cell>
          <cell r="K55">
            <v>2</v>
          </cell>
          <cell r="L55">
            <v>2</v>
          </cell>
          <cell r="M55">
            <v>2</v>
          </cell>
          <cell r="N55">
            <v>2</v>
          </cell>
          <cell r="O55">
            <v>5</v>
          </cell>
          <cell r="P55">
            <v>2</v>
          </cell>
          <cell r="Q55">
            <v>5</v>
          </cell>
          <cell r="R55">
            <v>9</v>
          </cell>
          <cell r="S55">
            <v>4</v>
          </cell>
          <cell r="T55">
            <v>2</v>
          </cell>
          <cell r="U55">
            <v>1</v>
          </cell>
          <cell r="V55">
            <v>3</v>
          </cell>
          <cell r="W55">
            <v>39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3</v>
          </cell>
          <cell r="AK55">
            <v>0</v>
          </cell>
        </row>
        <row r="56">
          <cell r="B56">
            <v>55</v>
          </cell>
          <cell r="C56" t="str">
            <v>الرفاعى الصادق بشير اسحق</v>
          </cell>
          <cell r="D56" t="str">
            <v>المصنع</v>
          </cell>
          <cell r="E56" t="str">
            <v>الانتاج</v>
          </cell>
          <cell r="F56" t="str">
            <v>اليات</v>
          </cell>
          <cell r="G56" t="str">
            <v>سائق اليات</v>
          </cell>
          <cell r="H56">
            <v>39979</v>
          </cell>
          <cell r="I56">
            <v>43498</v>
          </cell>
          <cell r="J56">
            <v>287.5</v>
          </cell>
          <cell r="K56">
            <v>2</v>
          </cell>
          <cell r="L56">
            <v>0</v>
          </cell>
          <cell r="M56">
            <v>0</v>
          </cell>
          <cell r="N56">
            <v>2</v>
          </cell>
          <cell r="O56">
            <v>3</v>
          </cell>
          <cell r="P56">
            <v>0</v>
          </cell>
          <cell r="Q56">
            <v>2</v>
          </cell>
          <cell r="R56">
            <v>1</v>
          </cell>
          <cell r="S56">
            <v>1</v>
          </cell>
          <cell r="T56">
            <v>2</v>
          </cell>
          <cell r="U56">
            <v>0</v>
          </cell>
          <cell r="V56">
            <v>0</v>
          </cell>
          <cell r="W56">
            <v>13</v>
          </cell>
          <cell r="X56">
            <v>39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</row>
        <row r="57">
          <cell r="B57">
            <v>56</v>
          </cell>
          <cell r="C57" t="str">
            <v>عاطف مصطفى محمد عبدالله</v>
          </cell>
          <cell r="D57" t="str">
            <v>المصنع</v>
          </cell>
          <cell r="E57" t="str">
            <v>الميكانيكا</v>
          </cell>
          <cell r="F57">
            <v>0</v>
          </cell>
          <cell r="G57" t="str">
            <v>حداد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13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</row>
        <row r="58">
          <cell r="B58">
            <v>57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</row>
        <row r="59">
          <cell r="B59">
            <v>58</v>
          </cell>
          <cell r="C59" t="str">
            <v>محمد على عبدالرحيم ابوبكر</v>
          </cell>
          <cell r="D59" t="str">
            <v>المصنع</v>
          </cell>
          <cell r="E59" t="str">
            <v>الموارد البشريه</v>
          </cell>
          <cell r="F59" t="str">
            <v>موظف</v>
          </cell>
          <cell r="G59" t="str">
            <v>نائب مدير الموارد المكلف</v>
          </cell>
          <cell r="H59">
            <v>40013</v>
          </cell>
          <cell r="I59">
            <v>43498</v>
          </cell>
          <cell r="J59">
            <v>285</v>
          </cell>
          <cell r="K59">
            <v>0</v>
          </cell>
          <cell r="L59">
            <v>0</v>
          </cell>
          <cell r="M59">
            <v>0</v>
          </cell>
          <cell r="N59">
            <v>5</v>
          </cell>
          <cell r="O59">
            <v>0</v>
          </cell>
          <cell r="P59">
            <v>2</v>
          </cell>
          <cell r="Q59">
            <v>4</v>
          </cell>
          <cell r="R59">
            <v>0</v>
          </cell>
          <cell r="S59">
            <v>1</v>
          </cell>
          <cell r="T59">
            <v>0</v>
          </cell>
          <cell r="U59">
            <v>0</v>
          </cell>
          <cell r="V59">
            <v>12</v>
          </cell>
          <cell r="W59">
            <v>24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</row>
        <row r="60">
          <cell r="B60">
            <v>59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24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</row>
        <row r="61">
          <cell r="B61">
            <v>60</v>
          </cell>
          <cell r="C61" t="str">
            <v>جعفر مصطفى على محمد</v>
          </cell>
          <cell r="D61" t="str">
            <v>المصنع</v>
          </cell>
          <cell r="E61" t="str">
            <v>الانتاج</v>
          </cell>
          <cell r="F61" t="str">
            <v>الزوايا</v>
          </cell>
          <cell r="G61" t="str">
            <v>مشغل</v>
          </cell>
          <cell r="H61">
            <v>40028</v>
          </cell>
          <cell r="I61">
            <v>43498</v>
          </cell>
          <cell r="J61">
            <v>282.5</v>
          </cell>
          <cell r="K61">
            <v>1</v>
          </cell>
          <cell r="L61">
            <v>1</v>
          </cell>
          <cell r="M61">
            <v>1</v>
          </cell>
          <cell r="N61">
            <v>0</v>
          </cell>
          <cell r="O61">
            <v>2</v>
          </cell>
          <cell r="P61">
            <v>1</v>
          </cell>
          <cell r="Q61">
            <v>0</v>
          </cell>
          <cell r="R61">
            <v>1</v>
          </cell>
          <cell r="S61">
            <v>1</v>
          </cell>
          <cell r="T61">
            <v>1</v>
          </cell>
          <cell r="U61">
            <v>0</v>
          </cell>
          <cell r="V61">
            <v>0</v>
          </cell>
          <cell r="W61">
            <v>9</v>
          </cell>
          <cell r="X61">
            <v>0</v>
          </cell>
          <cell r="Y61">
            <v>0</v>
          </cell>
          <cell r="Z61">
            <v>1</v>
          </cell>
          <cell r="AA61">
            <v>0</v>
          </cell>
          <cell r="AB61">
            <v>0</v>
          </cell>
          <cell r="AC61">
            <v>1</v>
          </cell>
          <cell r="AD61">
            <v>0</v>
          </cell>
          <cell r="AE61">
            <v>1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</row>
        <row r="62">
          <cell r="B62">
            <v>61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9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</row>
        <row r="63">
          <cell r="B63">
            <v>62</v>
          </cell>
          <cell r="C63" t="str">
            <v>زكى الصديق محمد مصطفى</v>
          </cell>
          <cell r="D63" t="str">
            <v>المصنع</v>
          </cell>
          <cell r="E63" t="str">
            <v>المستودعات</v>
          </cell>
          <cell r="F63" t="str">
            <v>قطع الغيار</v>
          </cell>
          <cell r="G63" t="str">
            <v>مسئول مستودع ق غ</v>
          </cell>
          <cell r="H63">
            <v>40105</v>
          </cell>
          <cell r="I63">
            <v>43498</v>
          </cell>
          <cell r="J63">
            <v>277.5</v>
          </cell>
          <cell r="K63">
            <v>1</v>
          </cell>
          <cell r="L63">
            <v>2</v>
          </cell>
          <cell r="M63">
            <v>1</v>
          </cell>
          <cell r="N63">
            <v>2</v>
          </cell>
          <cell r="O63">
            <v>6</v>
          </cell>
          <cell r="P63">
            <v>1</v>
          </cell>
          <cell r="Q63">
            <v>0</v>
          </cell>
          <cell r="R63">
            <v>2</v>
          </cell>
          <cell r="S63">
            <v>1</v>
          </cell>
          <cell r="T63">
            <v>1</v>
          </cell>
          <cell r="U63">
            <v>3</v>
          </cell>
          <cell r="V63">
            <v>1</v>
          </cell>
          <cell r="W63">
            <v>21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</row>
        <row r="64">
          <cell r="B64">
            <v>63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21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</row>
        <row r="65">
          <cell r="B65">
            <v>64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</row>
        <row r="66">
          <cell r="B66">
            <v>65</v>
          </cell>
          <cell r="C66" t="str">
            <v>عاطف محمد احمد عثمان</v>
          </cell>
          <cell r="D66" t="str">
            <v>المصنع</v>
          </cell>
          <cell r="E66" t="str">
            <v>المستودعات</v>
          </cell>
          <cell r="F66" t="str">
            <v>المنتج الجاهز</v>
          </cell>
          <cell r="G66" t="str">
            <v>امين مستودع م ج</v>
          </cell>
          <cell r="H66">
            <v>41626</v>
          </cell>
          <cell r="I66">
            <v>43498</v>
          </cell>
          <cell r="J66">
            <v>152.5</v>
          </cell>
          <cell r="K66">
            <v>11</v>
          </cell>
          <cell r="L66">
            <v>22</v>
          </cell>
          <cell r="M66">
            <v>0</v>
          </cell>
          <cell r="N66">
            <v>2</v>
          </cell>
          <cell r="O66">
            <v>5</v>
          </cell>
          <cell r="P66">
            <v>1</v>
          </cell>
          <cell r="Q66">
            <v>2</v>
          </cell>
          <cell r="R66">
            <v>0</v>
          </cell>
          <cell r="S66">
            <v>4</v>
          </cell>
          <cell r="T66">
            <v>5</v>
          </cell>
          <cell r="U66">
            <v>0</v>
          </cell>
          <cell r="V66">
            <v>3</v>
          </cell>
          <cell r="W66">
            <v>55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</row>
        <row r="67">
          <cell r="B67">
            <v>66</v>
          </cell>
          <cell r="C67" t="str">
            <v>عباس عبدالله على بابكر</v>
          </cell>
          <cell r="D67" t="str">
            <v>المصنع</v>
          </cell>
          <cell r="E67" t="str">
            <v>الانتاج</v>
          </cell>
          <cell r="F67" t="str">
            <v>الاشراف</v>
          </cell>
          <cell r="G67" t="str">
            <v>مشرف ورديه</v>
          </cell>
          <cell r="H67">
            <v>40430</v>
          </cell>
          <cell r="I67">
            <v>43498</v>
          </cell>
          <cell r="J67">
            <v>250</v>
          </cell>
          <cell r="K67">
            <v>2</v>
          </cell>
          <cell r="L67">
            <v>0</v>
          </cell>
          <cell r="M67">
            <v>0</v>
          </cell>
          <cell r="N67">
            <v>1</v>
          </cell>
          <cell r="O67">
            <v>0</v>
          </cell>
          <cell r="P67">
            <v>0</v>
          </cell>
          <cell r="Q67">
            <v>2</v>
          </cell>
          <cell r="R67">
            <v>1</v>
          </cell>
          <cell r="S67">
            <v>3</v>
          </cell>
          <cell r="T67">
            <v>0</v>
          </cell>
          <cell r="U67">
            <v>0</v>
          </cell>
          <cell r="V67">
            <v>0</v>
          </cell>
          <cell r="W67">
            <v>9</v>
          </cell>
          <cell r="X67">
            <v>55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</row>
        <row r="68">
          <cell r="B68">
            <v>67</v>
          </cell>
          <cell r="C68" t="str">
            <v>عبدالمعز على عبدالرحمن محمد على</v>
          </cell>
          <cell r="D68" t="str">
            <v>المصنع</v>
          </cell>
          <cell r="E68" t="str">
            <v>الانتاج</v>
          </cell>
          <cell r="F68">
            <v>0</v>
          </cell>
          <cell r="G68" t="str">
            <v>عامل</v>
          </cell>
          <cell r="H68">
            <v>40453</v>
          </cell>
          <cell r="I68">
            <v>0</v>
          </cell>
          <cell r="J68" t="e">
            <v>#NUM!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9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</row>
        <row r="69">
          <cell r="B69">
            <v>68</v>
          </cell>
          <cell r="C69" t="str">
            <v>على الامين محمد على</v>
          </cell>
          <cell r="D69" t="str">
            <v>المصنع</v>
          </cell>
          <cell r="E69" t="str">
            <v>الانتاج</v>
          </cell>
          <cell r="F69" t="str">
            <v>الصاج والزنك</v>
          </cell>
          <cell r="G69" t="str">
            <v>مساعد مشغل</v>
          </cell>
          <cell r="H69">
            <v>40422</v>
          </cell>
          <cell r="I69">
            <v>43498</v>
          </cell>
          <cell r="J69">
            <v>252.5</v>
          </cell>
          <cell r="K69">
            <v>0</v>
          </cell>
          <cell r="L69">
            <v>0</v>
          </cell>
          <cell r="M69">
            <v>1</v>
          </cell>
          <cell r="N69">
            <v>0</v>
          </cell>
          <cell r="O69">
            <v>0</v>
          </cell>
          <cell r="P69">
            <v>0</v>
          </cell>
          <cell r="Q69">
            <v>6</v>
          </cell>
          <cell r="R69">
            <v>2</v>
          </cell>
          <cell r="S69">
            <v>0</v>
          </cell>
          <cell r="T69">
            <v>1</v>
          </cell>
          <cell r="U69">
            <v>0</v>
          </cell>
          <cell r="V69">
            <v>30</v>
          </cell>
          <cell r="W69">
            <v>40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</row>
        <row r="70">
          <cell r="B70">
            <v>69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40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</row>
        <row r="71">
          <cell r="B71">
            <v>70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</row>
        <row r="72">
          <cell r="B72">
            <v>71</v>
          </cell>
          <cell r="C72" t="str">
            <v>حسب الرسول عبدالرحمن الطيب الحسن</v>
          </cell>
          <cell r="D72" t="str">
            <v>المصنع</v>
          </cell>
          <cell r="E72" t="str">
            <v>المستودعات</v>
          </cell>
          <cell r="F72" t="str">
            <v>المنتج الجاهز</v>
          </cell>
          <cell r="G72" t="str">
            <v>امين مستودع م ج</v>
          </cell>
          <cell r="H72">
            <v>40458</v>
          </cell>
          <cell r="I72">
            <v>43498</v>
          </cell>
          <cell r="J72">
            <v>247.5</v>
          </cell>
          <cell r="K72">
            <v>2</v>
          </cell>
          <cell r="L72">
            <v>1</v>
          </cell>
          <cell r="M72">
            <v>3</v>
          </cell>
          <cell r="N72">
            <v>0</v>
          </cell>
          <cell r="O72">
            <v>2</v>
          </cell>
          <cell r="P72">
            <v>0</v>
          </cell>
          <cell r="Q72">
            <v>2</v>
          </cell>
          <cell r="R72">
            <v>4</v>
          </cell>
          <cell r="S72">
            <v>1</v>
          </cell>
          <cell r="T72">
            <v>2</v>
          </cell>
          <cell r="U72">
            <v>4</v>
          </cell>
          <cell r="V72">
            <v>1</v>
          </cell>
          <cell r="W72">
            <v>22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</row>
        <row r="73">
          <cell r="B73">
            <v>72</v>
          </cell>
          <cell r="C73" t="str">
            <v>محمد عثمان عبدالله محمد</v>
          </cell>
          <cell r="D73" t="str">
            <v>المصنع</v>
          </cell>
          <cell r="E73" t="str">
            <v>الموارد البشريه</v>
          </cell>
          <cell r="F73" t="str">
            <v>موظف</v>
          </cell>
          <cell r="G73" t="str">
            <v>موظف موارد بشريه</v>
          </cell>
          <cell r="H73">
            <v>40471</v>
          </cell>
          <cell r="I73">
            <v>43498</v>
          </cell>
          <cell r="J73">
            <v>247.5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1</v>
          </cell>
          <cell r="R73">
            <v>0</v>
          </cell>
          <cell r="S73">
            <v>4</v>
          </cell>
          <cell r="T73">
            <v>0</v>
          </cell>
          <cell r="U73">
            <v>0</v>
          </cell>
          <cell r="V73">
            <v>1</v>
          </cell>
          <cell r="W73">
            <v>6</v>
          </cell>
          <cell r="X73">
            <v>22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</row>
        <row r="74">
          <cell r="B74">
            <v>73</v>
          </cell>
          <cell r="C74" t="str">
            <v>ابوبكر على نعمان على</v>
          </cell>
          <cell r="D74" t="str">
            <v>المصنع</v>
          </cell>
          <cell r="E74" t="str">
            <v>الماليه</v>
          </cell>
          <cell r="F74">
            <v>0</v>
          </cell>
          <cell r="G74" t="str">
            <v>محاسب</v>
          </cell>
          <cell r="H74">
            <v>40475</v>
          </cell>
          <cell r="I74">
            <v>43498</v>
          </cell>
          <cell r="J74">
            <v>247.5</v>
          </cell>
          <cell r="K74">
            <v>0</v>
          </cell>
          <cell r="L74">
            <v>0</v>
          </cell>
          <cell r="M74">
            <v>0</v>
          </cell>
          <cell r="N74">
            <v>2</v>
          </cell>
          <cell r="O74">
            <v>1</v>
          </cell>
          <cell r="P74">
            <v>2</v>
          </cell>
          <cell r="Q74">
            <v>3</v>
          </cell>
          <cell r="R74">
            <v>1</v>
          </cell>
          <cell r="S74">
            <v>3</v>
          </cell>
          <cell r="T74">
            <v>2</v>
          </cell>
          <cell r="U74">
            <v>0</v>
          </cell>
          <cell r="V74">
            <v>1</v>
          </cell>
          <cell r="W74">
            <v>15</v>
          </cell>
          <cell r="X74">
            <v>6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</row>
        <row r="75">
          <cell r="B75">
            <v>74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15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</row>
        <row r="76">
          <cell r="B76">
            <v>75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</row>
        <row r="77">
          <cell r="B77">
            <v>76</v>
          </cell>
          <cell r="C77" t="str">
            <v>ادم الحسن محمد نور ابراهيم</v>
          </cell>
          <cell r="D77" t="str">
            <v>المصنع</v>
          </cell>
          <cell r="E77" t="str">
            <v>الانتاج</v>
          </cell>
          <cell r="F77" t="str">
            <v>المواسير</v>
          </cell>
          <cell r="G77" t="str">
            <v>فورمان</v>
          </cell>
          <cell r="H77">
            <v>40526</v>
          </cell>
          <cell r="I77">
            <v>43498</v>
          </cell>
          <cell r="J77">
            <v>242.5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1</v>
          </cell>
          <cell r="U77">
            <v>0</v>
          </cell>
          <cell r="V77">
            <v>0</v>
          </cell>
          <cell r="W77">
            <v>2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</row>
        <row r="78">
          <cell r="B78">
            <v>77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2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</row>
        <row r="79">
          <cell r="B79">
            <v>78</v>
          </cell>
          <cell r="C79" t="str">
            <v>عبدالعظيم موسى نورالجليل تهور</v>
          </cell>
          <cell r="D79" t="str">
            <v>المصنع</v>
          </cell>
          <cell r="E79" t="str">
            <v>المستودعات</v>
          </cell>
          <cell r="F79" t="str">
            <v>التحميل</v>
          </cell>
          <cell r="G79" t="str">
            <v>مشغل كرين</v>
          </cell>
          <cell r="H79">
            <v>40561</v>
          </cell>
          <cell r="I79">
            <v>43498</v>
          </cell>
          <cell r="J79">
            <v>240</v>
          </cell>
          <cell r="K79">
            <v>1</v>
          </cell>
          <cell r="L79">
            <v>1</v>
          </cell>
          <cell r="M79">
            <v>0</v>
          </cell>
          <cell r="N79">
            <v>1</v>
          </cell>
          <cell r="O79">
            <v>1</v>
          </cell>
          <cell r="P79">
            <v>0</v>
          </cell>
          <cell r="Q79">
            <v>0</v>
          </cell>
          <cell r="R79">
            <v>1</v>
          </cell>
          <cell r="S79">
            <v>4</v>
          </cell>
          <cell r="T79">
            <v>1</v>
          </cell>
          <cell r="U79">
            <v>0</v>
          </cell>
          <cell r="V79">
            <v>20</v>
          </cell>
          <cell r="W79">
            <v>30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</row>
        <row r="80">
          <cell r="B80">
            <v>79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30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</row>
        <row r="81">
          <cell r="B81">
            <v>80</v>
          </cell>
          <cell r="C81" t="str">
            <v>صلاح جلال حسن عبدالله</v>
          </cell>
          <cell r="D81" t="str">
            <v>المصنع</v>
          </cell>
          <cell r="E81" t="str">
            <v>المستودعات</v>
          </cell>
          <cell r="F81" t="str">
            <v>التحميل</v>
          </cell>
          <cell r="G81" t="str">
            <v xml:space="preserve"> مشغل كرين</v>
          </cell>
          <cell r="H81">
            <v>40576</v>
          </cell>
          <cell r="I81">
            <v>43498</v>
          </cell>
          <cell r="J81">
            <v>240</v>
          </cell>
          <cell r="K81">
            <v>0</v>
          </cell>
          <cell r="L81">
            <v>0</v>
          </cell>
          <cell r="M81">
            <v>0</v>
          </cell>
          <cell r="N81">
            <v>9</v>
          </cell>
          <cell r="O81">
            <v>0</v>
          </cell>
          <cell r="P81">
            <v>1</v>
          </cell>
          <cell r="Q81">
            <v>1</v>
          </cell>
          <cell r="R81">
            <v>1</v>
          </cell>
          <cell r="S81">
            <v>2</v>
          </cell>
          <cell r="T81">
            <v>6</v>
          </cell>
          <cell r="U81">
            <v>0</v>
          </cell>
          <cell r="V81">
            <v>2</v>
          </cell>
          <cell r="W81">
            <v>22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B82">
            <v>81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22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</row>
        <row r="83">
          <cell r="B83">
            <v>82</v>
          </cell>
          <cell r="C83" t="str">
            <v>المهل محمد المهل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</row>
        <row r="84">
          <cell r="B84">
            <v>83</v>
          </cell>
          <cell r="C84" t="str">
            <v>عبدالخالق شيخ الدين محمد فضل</v>
          </cell>
          <cell r="D84" t="str">
            <v>المصنع</v>
          </cell>
          <cell r="E84" t="str">
            <v>المستودعات</v>
          </cell>
          <cell r="F84">
            <v>0</v>
          </cell>
          <cell r="G84" t="str">
            <v>عامل</v>
          </cell>
          <cell r="H84">
            <v>40586</v>
          </cell>
          <cell r="I84">
            <v>0</v>
          </cell>
          <cell r="J84" t="e">
            <v>#NUM!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</row>
        <row r="85">
          <cell r="B85">
            <v>84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</row>
        <row r="86">
          <cell r="B86">
            <v>85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</row>
        <row r="87">
          <cell r="B87">
            <v>86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</row>
        <row r="88">
          <cell r="B88">
            <v>87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</row>
        <row r="89">
          <cell r="B89">
            <v>88</v>
          </cell>
          <cell r="C89" t="str">
            <v xml:space="preserve">عمار عوض النور حسين </v>
          </cell>
          <cell r="D89" t="str">
            <v>المصنع</v>
          </cell>
          <cell r="E89" t="str">
            <v>المستودعات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</row>
        <row r="90">
          <cell r="B90">
            <v>89</v>
          </cell>
          <cell r="C90" t="str">
            <v>عماد الدين حمزه ادريس فضل</v>
          </cell>
          <cell r="D90" t="str">
            <v>المصنع</v>
          </cell>
          <cell r="E90" t="str">
            <v>المستودعات</v>
          </cell>
          <cell r="F90" t="str">
            <v>التحميل</v>
          </cell>
          <cell r="G90" t="str">
            <v xml:space="preserve"> مشغل كرين</v>
          </cell>
          <cell r="H90">
            <v>40654</v>
          </cell>
          <cell r="I90">
            <v>43498</v>
          </cell>
          <cell r="J90">
            <v>232.5</v>
          </cell>
          <cell r="K90">
            <v>0</v>
          </cell>
          <cell r="L90">
            <v>1</v>
          </cell>
          <cell r="M90">
            <v>8</v>
          </cell>
          <cell r="N90">
            <v>0</v>
          </cell>
          <cell r="O90">
            <v>0</v>
          </cell>
          <cell r="P90">
            <v>3</v>
          </cell>
          <cell r="Q90">
            <v>1</v>
          </cell>
          <cell r="R90">
            <v>0</v>
          </cell>
          <cell r="S90">
            <v>11</v>
          </cell>
          <cell r="T90">
            <v>0</v>
          </cell>
          <cell r="U90">
            <v>2</v>
          </cell>
          <cell r="V90">
            <v>16</v>
          </cell>
          <cell r="W90">
            <v>42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</row>
        <row r="91">
          <cell r="B91">
            <v>90</v>
          </cell>
          <cell r="C91" t="str">
            <v xml:space="preserve">وليد عيسى عبدالله عثمان </v>
          </cell>
          <cell r="D91" t="str">
            <v>المصنع</v>
          </cell>
          <cell r="E91" t="str">
            <v>المستودعات</v>
          </cell>
          <cell r="F91" t="str">
            <v>التحميل</v>
          </cell>
          <cell r="G91" t="str">
            <v>مشغل كرين</v>
          </cell>
          <cell r="H91">
            <v>40654</v>
          </cell>
          <cell r="I91">
            <v>43498</v>
          </cell>
          <cell r="J91">
            <v>232.5</v>
          </cell>
          <cell r="K91">
            <v>3</v>
          </cell>
          <cell r="L91">
            <v>6</v>
          </cell>
          <cell r="M91">
            <v>0</v>
          </cell>
          <cell r="N91">
            <v>1</v>
          </cell>
          <cell r="O91">
            <v>2</v>
          </cell>
          <cell r="P91">
            <v>0</v>
          </cell>
          <cell r="Q91">
            <v>1</v>
          </cell>
          <cell r="R91">
            <v>0</v>
          </cell>
          <cell r="S91">
            <v>11</v>
          </cell>
          <cell r="T91">
            <v>1</v>
          </cell>
          <cell r="U91">
            <v>0</v>
          </cell>
          <cell r="V91">
            <v>10</v>
          </cell>
          <cell r="W91">
            <v>35</v>
          </cell>
          <cell r="X91">
            <v>42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</row>
        <row r="92">
          <cell r="B92">
            <v>91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35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</row>
        <row r="93">
          <cell r="B93">
            <v>92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</row>
        <row r="94">
          <cell r="B94">
            <v>93</v>
          </cell>
          <cell r="C94" t="str">
            <v>ميسره ابراهيم المبارك محمد</v>
          </cell>
          <cell r="D94" t="str">
            <v>المصنع</v>
          </cell>
          <cell r="E94" t="str">
            <v>الانتاج</v>
          </cell>
          <cell r="F94" t="str">
            <v>المواسير</v>
          </cell>
          <cell r="G94" t="str">
            <v>مشغل</v>
          </cell>
          <cell r="H94">
            <v>40685</v>
          </cell>
          <cell r="I94">
            <v>43498</v>
          </cell>
          <cell r="J94">
            <v>230</v>
          </cell>
          <cell r="K94">
            <v>2</v>
          </cell>
          <cell r="L94">
            <v>2</v>
          </cell>
          <cell r="M94">
            <v>2</v>
          </cell>
          <cell r="N94">
            <v>3</v>
          </cell>
          <cell r="O94">
            <v>3</v>
          </cell>
          <cell r="P94">
            <v>4</v>
          </cell>
          <cell r="Q94">
            <v>3</v>
          </cell>
          <cell r="R94">
            <v>3</v>
          </cell>
          <cell r="S94">
            <v>5</v>
          </cell>
          <cell r="T94">
            <v>5</v>
          </cell>
          <cell r="U94">
            <v>1</v>
          </cell>
          <cell r="V94">
            <v>9</v>
          </cell>
          <cell r="W94">
            <v>42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</row>
        <row r="95">
          <cell r="B95">
            <v>94</v>
          </cell>
          <cell r="C95" t="str">
            <v>احمد حسن باباى حامد</v>
          </cell>
          <cell r="D95" t="str">
            <v>المصنع</v>
          </cell>
          <cell r="E95" t="str">
            <v>المستودعات</v>
          </cell>
          <cell r="F95" t="str">
            <v>قطع الغيار</v>
          </cell>
          <cell r="G95" t="str">
            <v>امين مسودع ق غ</v>
          </cell>
          <cell r="H95">
            <v>40712</v>
          </cell>
          <cell r="I95">
            <v>43498</v>
          </cell>
          <cell r="J95">
            <v>227.5</v>
          </cell>
          <cell r="K95">
            <v>0</v>
          </cell>
          <cell r="L95">
            <v>1</v>
          </cell>
          <cell r="M95">
            <v>1</v>
          </cell>
          <cell r="N95">
            <v>0</v>
          </cell>
          <cell r="O95">
            <v>0</v>
          </cell>
          <cell r="P95">
            <v>1</v>
          </cell>
          <cell r="Q95">
            <v>2</v>
          </cell>
          <cell r="R95">
            <v>2</v>
          </cell>
          <cell r="S95">
            <v>0</v>
          </cell>
          <cell r="T95">
            <v>1</v>
          </cell>
          <cell r="U95">
            <v>0</v>
          </cell>
          <cell r="V95">
            <v>13</v>
          </cell>
          <cell r="W95">
            <v>21</v>
          </cell>
          <cell r="X95">
            <v>42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</row>
        <row r="96">
          <cell r="B96">
            <v>95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21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</row>
        <row r="97">
          <cell r="B97">
            <v>96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</row>
        <row r="98">
          <cell r="B98">
            <v>97</v>
          </cell>
          <cell r="C98" t="str">
            <v>محمد إدريس عبدالله</v>
          </cell>
          <cell r="D98" t="str">
            <v>المصنع</v>
          </cell>
          <cell r="E98" t="str">
            <v>الانتاج</v>
          </cell>
          <cell r="F98">
            <v>0</v>
          </cell>
          <cell r="G98" t="str">
            <v>عامل</v>
          </cell>
          <cell r="H98">
            <v>40740</v>
          </cell>
          <cell r="I98">
            <v>0</v>
          </cell>
          <cell r="J98" t="e">
            <v>#NUM!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</row>
        <row r="99">
          <cell r="B99">
            <v>98</v>
          </cell>
          <cell r="C99" t="str">
            <v>على احمد موسى محمد</v>
          </cell>
          <cell r="D99" t="str">
            <v>المصنع</v>
          </cell>
          <cell r="E99" t="str">
            <v>الانتاج</v>
          </cell>
          <cell r="F99" t="str">
            <v>المواسير</v>
          </cell>
          <cell r="G99" t="str">
            <v>مشغل</v>
          </cell>
          <cell r="H99">
            <v>41594</v>
          </cell>
          <cell r="I99">
            <v>43498</v>
          </cell>
          <cell r="J99">
            <v>155</v>
          </cell>
          <cell r="K99">
            <v>3</v>
          </cell>
          <cell r="L99">
            <v>0</v>
          </cell>
          <cell r="M99">
            <v>6</v>
          </cell>
          <cell r="N99">
            <v>1</v>
          </cell>
          <cell r="O99">
            <v>1</v>
          </cell>
          <cell r="P99">
            <v>4</v>
          </cell>
          <cell r="Q99">
            <v>0</v>
          </cell>
          <cell r="R99">
            <v>4</v>
          </cell>
          <cell r="S99">
            <v>5</v>
          </cell>
          <cell r="T99">
            <v>1</v>
          </cell>
          <cell r="U99">
            <v>2</v>
          </cell>
          <cell r="V99">
            <v>0</v>
          </cell>
          <cell r="W99">
            <v>27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</row>
        <row r="100">
          <cell r="B100">
            <v>99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27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</row>
        <row r="101">
          <cell r="B101">
            <v>100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</row>
        <row r="102">
          <cell r="B102">
            <v>101</v>
          </cell>
          <cell r="C102" t="str">
            <v>الطيب امبلى احمد محمد</v>
          </cell>
          <cell r="D102" t="str">
            <v>الرئاسه</v>
          </cell>
          <cell r="E102" t="str">
            <v>الماليه</v>
          </cell>
          <cell r="F102">
            <v>0</v>
          </cell>
          <cell r="G102" t="str">
            <v>رئيس حسابات المصنع</v>
          </cell>
          <cell r="H102">
            <v>40483</v>
          </cell>
          <cell r="I102">
            <v>43498</v>
          </cell>
          <cell r="J102">
            <v>247.5</v>
          </cell>
          <cell r="K102">
            <v>0</v>
          </cell>
          <cell r="L102">
            <v>1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1</v>
          </cell>
          <cell r="V102">
            <v>0</v>
          </cell>
          <cell r="W102">
            <v>4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</row>
        <row r="103">
          <cell r="B103">
            <v>102</v>
          </cell>
          <cell r="C103" t="str">
            <v>محمد عمر محمد الامين</v>
          </cell>
          <cell r="D103" t="str">
            <v>المصنع</v>
          </cell>
          <cell r="E103" t="str">
            <v>الميكانيكا</v>
          </cell>
          <cell r="F103" t="str">
            <v>صيانه عامه</v>
          </cell>
          <cell r="G103" t="str">
            <v>تقنى ميكانيكا</v>
          </cell>
          <cell r="H103">
            <v>42470</v>
          </cell>
          <cell r="I103">
            <v>43498</v>
          </cell>
          <cell r="J103">
            <v>82.5</v>
          </cell>
          <cell r="K103">
            <v>0</v>
          </cell>
          <cell r="L103">
            <v>30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30</v>
          </cell>
          <cell r="X103">
            <v>4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</row>
        <row r="104">
          <cell r="B104">
            <v>103</v>
          </cell>
          <cell r="C104" t="str">
            <v>يوسف عوض ابراهيم محمد</v>
          </cell>
          <cell r="D104" t="str">
            <v>المصنع</v>
          </cell>
          <cell r="E104" t="str">
            <v>الكهرباء</v>
          </cell>
          <cell r="F104" t="str">
            <v>كهرباء عامه</v>
          </cell>
          <cell r="G104" t="str">
            <v>تقنى كهرباء</v>
          </cell>
          <cell r="H104">
            <v>40759</v>
          </cell>
          <cell r="I104">
            <v>43498</v>
          </cell>
          <cell r="J104">
            <v>222.5</v>
          </cell>
          <cell r="K104">
            <v>5</v>
          </cell>
          <cell r="L104">
            <v>4</v>
          </cell>
          <cell r="M104">
            <v>0</v>
          </cell>
          <cell r="N104">
            <v>1</v>
          </cell>
          <cell r="O104">
            <v>4</v>
          </cell>
          <cell r="P104">
            <v>1</v>
          </cell>
          <cell r="Q104">
            <v>6</v>
          </cell>
          <cell r="R104">
            <v>0</v>
          </cell>
          <cell r="S104">
            <v>7</v>
          </cell>
          <cell r="T104">
            <v>2</v>
          </cell>
          <cell r="U104">
            <v>4</v>
          </cell>
          <cell r="V104">
            <v>0</v>
          </cell>
          <cell r="W104">
            <v>34</v>
          </cell>
          <cell r="X104">
            <v>30</v>
          </cell>
          <cell r="Y104">
            <v>9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B105">
            <v>104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34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</row>
        <row r="106">
          <cell r="B106">
            <v>105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</row>
        <row r="107">
          <cell r="B107">
            <v>106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B108">
            <v>107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B109">
            <v>108</v>
          </cell>
          <cell r="C109" t="str">
            <v>خلف الله عبدالصادق محمد احمد</v>
          </cell>
          <cell r="D109" t="str">
            <v>المصنع</v>
          </cell>
          <cell r="E109" t="str">
            <v>الانتاج</v>
          </cell>
          <cell r="F109" t="str">
            <v>المواسير</v>
          </cell>
          <cell r="G109" t="str">
            <v>مساعد مشغل</v>
          </cell>
          <cell r="H109">
            <v>40825</v>
          </cell>
          <cell r="I109">
            <v>43498</v>
          </cell>
          <cell r="J109">
            <v>217.5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1</v>
          </cell>
          <cell r="S109">
            <v>4</v>
          </cell>
          <cell r="T109">
            <v>6</v>
          </cell>
          <cell r="U109">
            <v>2</v>
          </cell>
          <cell r="V109">
            <v>13</v>
          </cell>
          <cell r="W109">
            <v>26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</row>
        <row r="110">
          <cell r="B110">
            <v>109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26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B111">
            <v>110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B112">
            <v>111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B113">
            <v>112</v>
          </cell>
          <cell r="C113" t="str">
            <v>محمد الامين حامد الامين</v>
          </cell>
          <cell r="D113" t="str">
            <v>المصنع</v>
          </cell>
          <cell r="E113" t="str">
            <v>الانتاج</v>
          </cell>
          <cell r="F113" t="str">
            <v>المواسير</v>
          </cell>
          <cell r="G113" t="str">
            <v>مساعد مشغل</v>
          </cell>
          <cell r="H113">
            <v>41706</v>
          </cell>
          <cell r="I113">
            <v>43498</v>
          </cell>
          <cell r="J113">
            <v>145</v>
          </cell>
          <cell r="K113">
            <v>0</v>
          </cell>
          <cell r="L113">
            <v>2</v>
          </cell>
          <cell r="M113">
            <v>1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7</v>
          </cell>
          <cell r="T113">
            <v>7</v>
          </cell>
          <cell r="U113">
            <v>2</v>
          </cell>
          <cell r="V113">
            <v>6</v>
          </cell>
          <cell r="W113">
            <v>26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6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</row>
        <row r="114">
          <cell r="B114">
            <v>113</v>
          </cell>
          <cell r="C114" t="str">
            <v>على ابراهيم النعيم الحاج</v>
          </cell>
          <cell r="D114" t="str">
            <v>المصنع</v>
          </cell>
          <cell r="E114" t="str">
            <v>الكهرباء</v>
          </cell>
          <cell r="F114" t="str">
            <v>كهرباء عامه</v>
          </cell>
          <cell r="G114" t="str">
            <v>فنى كهرباء</v>
          </cell>
          <cell r="H114">
            <v>42476</v>
          </cell>
          <cell r="I114">
            <v>43498</v>
          </cell>
          <cell r="J114">
            <v>82.5</v>
          </cell>
          <cell r="K114">
            <v>0</v>
          </cell>
          <cell r="L114">
            <v>0</v>
          </cell>
          <cell r="M114">
            <v>0</v>
          </cell>
          <cell r="N114">
            <v>6</v>
          </cell>
          <cell r="O114">
            <v>10</v>
          </cell>
          <cell r="P114">
            <v>1</v>
          </cell>
          <cell r="Q114">
            <v>1</v>
          </cell>
          <cell r="R114">
            <v>3</v>
          </cell>
          <cell r="S114">
            <v>8</v>
          </cell>
          <cell r="T114">
            <v>0</v>
          </cell>
          <cell r="U114">
            <v>5</v>
          </cell>
          <cell r="V114">
            <v>3</v>
          </cell>
          <cell r="W114">
            <v>37</v>
          </cell>
          <cell r="X114">
            <v>26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B115">
            <v>114</v>
          </cell>
          <cell r="C115" t="str">
            <v>فتحى عبدالوهاب الطيب محمد</v>
          </cell>
          <cell r="D115" t="str">
            <v>المصنع</v>
          </cell>
          <cell r="E115" t="str">
            <v>الانتاج</v>
          </cell>
          <cell r="F115" t="str">
            <v>الصاج والزنك</v>
          </cell>
          <cell r="G115" t="str">
            <v>مساعد مشغل</v>
          </cell>
          <cell r="H115">
            <v>40817</v>
          </cell>
          <cell r="I115">
            <v>43498</v>
          </cell>
          <cell r="J115">
            <v>220</v>
          </cell>
          <cell r="K115">
            <v>0</v>
          </cell>
          <cell r="L115">
            <v>3</v>
          </cell>
          <cell r="M115">
            <v>0</v>
          </cell>
          <cell r="N115">
            <v>10</v>
          </cell>
          <cell r="O115">
            <v>2</v>
          </cell>
          <cell r="P115">
            <v>1</v>
          </cell>
          <cell r="Q115">
            <v>1</v>
          </cell>
          <cell r="R115">
            <v>2</v>
          </cell>
          <cell r="S115">
            <v>5</v>
          </cell>
          <cell r="T115">
            <v>2</v>
          </cell>
          <cell r="U115">
            <v>3</v>
          </cell>
          <cell r="V115">
            <v>7</v>
          </cell>
          <cell r="W115">
            <v>36</v>
          </cell>
          <cell r="X115">
            <v>37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B116">
            <v>115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36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B117">
            <v>116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B118">
            <v>117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B119">
            <v>118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</row>
        <row r="120">
          <cell r="B120">
            <v>119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</row>
        <row r="121">
          <cell r="B121">
            <v>120</v>
          </cell>
          <cell r="C121" t="str">
            <v>عبدالكريم عبدالله عبدالكريم</v>
          </cell>
          <cell r="D121" t="str">
            <v>المصنع</v>
          </cell>
          <cell r="E121" t="str">
            <v>الانتاج</v>
          </cell>
          <cell r="F121">
            <v>0</v>
          </cell>
          <cell r="G121" t="str">
            <v>فني كهرباء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</row>
        <row r="122">
          <cell r="B122">
            <v>121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B123">
            <v>122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B124">
            <v>123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</row>
        <row r="125">
          <cell r="B125">
            <v>124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</row>
        <row r="126">
          <cell r="B126">
            <v>125</v>
          </cell>
          <cell r="C126" t="str">
            <v>هشام بشري محمد احمد</v>
          </cell>
          <cell r="D126" t="str">
            <v>المصنع</v>
          </cell>
          <cell r="E126" t="str">
            <v>الانتاج</v>
          </cell>
          <cell r="F126">
            <v>0</v>
          </cell>
          <cell r="G126" t="str">
            <v>عامل</v>
          </cell>
          <cell r="H126">
            <v>43359</v>
          </cell>
          <cell r="I126">
            <v>0</v>
          </cell>
          <cell r="J126" t="e">
            <v>#NUM!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2</v>
          </cell>
          <cell r="AI126">
            <v>0</v>
          </cell>
          <cell r="AJ126">
            <v>0</v>
          </cell>
          <cell r="AK126">
            <v>0</v>
          </cell>
        </row>
        <row r="127">
          <cell r="B127">
            <v>126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</row>
        <row r="128">
          <cell r="B128">
            <v>127</v>
          </cell>
          <cell r="C128" t="str">
            <v>الامين صباح الخير محمد احمد</v>
          </cell>
          <cell r="D128" t="str">
            <v>المصنع</v>
          </cell>
          <cell r="E128" t="str">
            <v>الانتاج</v>
          </cell>
          <cell r="F128" t="str">
            <v>المواسير</v>
          </cell>
          <cell r="G128" t="str">
            <v>مشغل</v>
          </cell>
          <cell r="H128">
            <v>40919</v>
          </cell>
          <cell r="I128">
            <v>43498</v>
          </cell>
          <cell r="J128">
            <v>210</v>
          </cell>
          <cell r="K128">
            <v>0</v>
          </cell>
          <cell r="L128">
            <v>1</v>
          </cell>
          <cell r="M128">
            <v>6</v>
          </cell>
          <cell r="N128">
            <v>0</v>
          </cell>
          <cell r="O128">
            <v>3</v>
          </cell>
          <cell r="P128">
            <v>0</v>
          </cell>
          <cell r="Q128">
            <v>5</v>
          </cell>
          <cell r="R128">
            <v>1</v>
          </cell>
          <cell r="S128">
            <v>6</v>
          </cell>
          <cell r="T128">
            <v>5</v>
          </cell>
          <cell r="U128">
            <v>0</v>
          </cell>
          <cell r="V128">
            <v>0</v>
          </cell>
          <cell r="W128">
            <v>27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B129">
            <v>128</v>
          </cell>
          <cell r="C129" t="str">
            <v>عثمان سليمان محمد احمد</v>
          </cell>
          <cell r="D129" t="str">
            <v>المصنع</v>
          </cell>
          <cell r="E129" t="str">
            <v>الانتاج</v>
          </cell>
          <cell r="F129" t="str">
            <v>الصاج والزنك</v>
          </cell>
          <cell r="G129" t="str">
            <v>مشغل</v>
          </cell>
          <cell r="H129">
            <v>40919</v>
          </cell>
          <cell r="I129">
            <v>43498</v>
          </cell>
          <cell r="J129">
            <v>210</v>
          </cell>
          <cell r="K129">
            <v>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1</v>
          </cell>
          <cell r="R129">
            <v>2</v>
          </cell>
          <cell r="S129">
            <v>18</v>
          </cell>
          <cell r="T129">
            <v>0</v>
          </cell>
          <cell r="U129">
            <v>1</v>
          </cell>
          <cell r="V129">
            <v>0</v>
          </cell>
          <cell r="W129">
            <v>23</v>
          </cell>
          <cell r="X129">
            <v>27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</row>
        <row r="130">
          <cell r="B130">
            <v>129</v>
          </cell>
          <cell r="C130" t="str">
            <v>قريب الله صلاح على إبراهيم</v>
          </cell>
          <cell r="D130" t="str">
            <v>المصنع</v>
          </cell>
          <cell r="E130" t="str">
            <v>الانتاج</v>
          </cell>
          <cell r="F130">
            <v>0</v>
          </cell>
          <cell r="G130">
            <v>0</v>
          </cell>
          <cell r="H130">
            <v>42948</v>
          </cell>
          <cell r="I130">
            <v>43030</v>
          </cell>
          <cell r="J130">
            <v>5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2</v>
          </cell>
          <cell r="U130">
            <v>0</v>
          </cell>
          <cell r="V130">
            <v>0</v>
          </cell>
          <cell r="W130">
            <v>2</v>
          </cell>
          <cell r="X130">
            <v>23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B131">
            <v>130</v>
          </cell>
          <cell r="C131" t="str">
            <v>الامين الحاج محمد الطيب</v>
          </cell>
          <cell r="D131" t="str">
            <v>المصنع</v>
          </cell>
          <cell r="E131" t="str">
            <v>المستودعات</v>
          </cell>
          <cell r="F131">
            <v>0</v>
          </cell>
          <cell r="G131" t="str">
            <v>امين مستودع ق غ</v>
          </cell>
          <cell r="H131">
            <v>43041</v>
          </cell>
          <cell r="I131">
            <v>43498</v>
          </cell>
          <cell r="J131">
            <v>37.5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2</v>
          </cell>
          <cell r="Y131">
            <v>0</v>
          </cell>
          <cell r="Z131">
            <v>0</v>
          </cell>
          <cell r="AA131">
            <v>0</v>
          </cell>
          <cell r="AB131">
            <v>1</v>
          </cell>
          <cell r="AC131">
            <v>1</v>
          </cell>
          <cell r="AD131">
            <v>4</v>
          </cell>
          <cell r="AE131">
            <v>1</v>
          </cell>
          <cell r="AF131">
            <v>0</v>
          </cell>
          <cell r="AG131">
            <v>0</v>
          </cell>
          <cell r="AH131">
            <v>1</v>
          </cell>
          <cell r="AI131">
            <v>0</v>
          </cell>
          <cell r="AJ131">
            <v>0</v>
          </cell>
          <cell r="AK131">
            <v>0</v>
          </cell>
        </row>
        <row r="132">
          <cell r="B132">
            <v>131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</row>
        <row r="133">
          <cell r="B133">
            <v>132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</row>
        <row r="134">
          <cell r="B134">
            <v>133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</row>
        <row r="135">
          <cell r="B135">
            <v>134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</row>
        <row r="136">
          <cell r="B136">
            <v>135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</row>
        <row r="137">
          <cell r="B137">
            <v>136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</row>
        <row r="138">
          <cell r="B138">
            <v>137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</row>
        <row r="139">
          <cell r="B139">
            <v>138</v>
          </cell>
          <cell r="C139" t="str">
            <v>المبارك محمد ابراهيم عبدالله</v>
          </cell>
          <cell r="D139" t="str">
            <v>المصنع</v>
          </cell>
          <cell r="E139" t="str">
            <v>الجوده</v>
          </cell>
          <cell r="F139">
            <v>0</v>
          </cell>
          <cell r="G139" t="str">
            <v>مسئول قسم الجوده</v>
          </cell>
          <cell r="H139">
            <v>40925</v>
          </cell>
          <cell r="I139">
            <v>43498</v>
          </cell>
          <cell r="J139">
            <v>210</v>
          </cell>
          <cell r="K139">
            <v>2</v>
          </cell>
          <cell r="L139">
            <v>3</v>
          </cell>
          <cell r="M139">
            <v>3</v>
          </cell>
          <cell r="N139">
            <v>0</v>
          </cell>
          <cell r="O139">
            <v>2</v>
          </cell>
          <cell r="P139">
            <v>2</v>
          </cell>
          <cell r="Q139">
            <v>2</v>
          </cell>
          <cell r="R139">
            <v>3</v>
          </cell>
          <cell r="S139">
            <v>1</v>
          </cell>
          <cell r="T139">
            <v>3</v>
          </cell>
          <cell r="U139">
            <v>0</v>
          </cell>
          <cell r="V139">
            <v>2</v>
          </cell>
          <cell r="W139">
            <v>23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</row>
        <row r="140">
          <cell r="B140">
            <v>139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23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</row>
        <row r="141">
          <cell r="B141">
            <v>140</v>
          </cell>
          <cell r="C141" t="str">
            <v>ادم عبدالشافع امام محمد</v>
          </cell>
          <cell r="D141" t="str">
            <v>المصنع</v>
          </cell>
          <cell r="E141" t="str">
            <v>الانتاج</v>
          </cell>
          <cell r="F141" t="str">
            <v>المواسير</v>
          </cell>
          <cell r="G141" t="str">
            <v>مشغل</v>
          </cell>
          <cell r="H141">
            <v>40926</v>
          </cell>
          <cell r="I141">
            <v>43498</v>
          </cell>
          <cell r="J141">
            <v>210</v>
          </cell>
          <cell r="K141">
            <v>0</v>
          </cell>
          <cell r="L141">
            <v>2</v>
          </cell>
          <cell r="M141">
            <v>0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2</v>
          </cell>
          <cell r="S141">
            <v>1</v>
          </cell>
          <cell r="T141">
            <v>2</v>
          </cell>
          <cell r="U141">
            <v>1</v>
          </cell>
          <cell r="V141">
            <v>2</v>
          </cell>
          <cell r="W141">
            <v>16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</row>
        <row r="142">
          <cell r="B142">
            <v>141</v>
          </cell>
          <cell r="C142" t="str">
            <v>مزمل عبدالله مزمل عبدالله</v>
          </cell>
          <cell r="D142" t="str">
            <v>المصنع</v>
          </cell>
          <cell r="E142" t="str">
            <v>الرقابه الداخليه</v>
          </cell>
          <cell r="F142">
            <v>0</v>
          </cell>
          <cell r="G142" t="str">
            <v>مراجع</v>
          </cell>
          <cell r="H142">
            <v>40892</v>
          </cell>
          <cell r="I142">
            <v>43498</v>
          </cell>
          <cell r="J142">
            <v>212.5</v>
          </cell>
          <cell r="K142">
            <v>4</v>
          </cell>
          <cell r="L142">
            <v>0</v>
          </cell>
          <cell r="M142">
            <v>0</v>
          </cell>
          <cell r="N142">
            <v>0</v>
          </cell>
          <cell r="O142">
            <v>7</v>
          </cell>
          <cell r="P142">
            <v>0</v>
          </cell>
          <cell r="Q142">
            <v>0</v>
          </cell>
          <cell r="R142">
            <v>0</v>
          </cell>
          <cell r="S142">
            <v>4</v>
          </cell>
          <cell r="T142">
            <v>1</v>
          </cell>
          <cell r="U142">
            <v>2</v>
          </cell>
          <cell r="V142">
            <v>0</v>
          </cell>
          <cell r="W142">
            <v>18</v>
          </cell>
          <cell r="X142">
            <v>16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</row>
        <row r="143">
          <cell r="B143">
            <v>142</v>
          </cell>
          <cell r="C143" t="str">
            <v>امير عبدالله مزمل عبدالله</v>
          </cell>
          <cell r="D143" t="str">
            <v>المصنع</v>
          </cell>
          <cell r="E143" t="str">
            <v>الانتاج</v>
          </cell>
          <cell r="F143">
            <v>0</v>
          </cell>
          <cell r="G143" t="str">
            <v>عامل</v>
          </cell>
          <cell r="H143">
            <v>42983</v>
          </cell>
          <cell r="I143">
            <v>43498</v>
          </cell>
          <cell r="J143">
            <v>40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1</v>
          </cell>
          <cell r="U143">
            <v>0</v>
          </cell>
          <cell r="V143">
            <v>0</v>
          </cell>
          <cell r="W143">
            <v>1</v>
          </cell>
          <cell r="X143">
            <v>18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</row>
        <row r="144">
          <cell r="B144">
            <v>143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1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</row>
        <row r="145">
          <cell r="B145">
            <v>144</v>
          </cell>
          <cell r="C145" t="str">
            <v>محمد عبدالرحمن قرشى ناصر</v>
          </cell>
          <cell r="D145" t="str">
            <v>المصنع</v>
          </cell>
          <cell r="E145" t="str">
            <v>الجوده</v>
          </cell>
          <cell r="F145">
            <v>0</v>
          </cell>
          <cell r="G145" t="str">
            <v>مراقب انتاج</v>
          </cell>
          <cell r="H145">
            <v>40936</v>
          </cell>
          <cell r="I145">
            <v>43498</v>
          </cell>
          <cell r="J145">
            <v>210</v>
          </cell>
          <cell r="K145">
            <v>0</v>
          </cell>
          <cell r="L145">
            <v>0</v>
          </cell>
          <cell r="M145">
            <v>0</v>
          </cell>
          <cell r="N145">
            <v>2</v>
          </cell>
          <cell r="O145">
            <v>1</v>
          </cell>
          <cell r="P145">
            <v>6</v>
          </cell>
          <cell r="Q145">
            <v>5</v>
          </cell>
          <cell r="R145">
            <v>3</v>
          </cell>
          <cell r="S145">
            <v>1</v>
          </cell>
          <cell r="T145">
            <v>1</v>
          </cell>
          <cell r="U145">
            <v>1</v>
          </cell>
          <cell r="V145">
            <v>20</v>
          </cell>
          <cell r="W145">
            <v>40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</row>
        <row r="146">
          <cell r="B146">
            <v>145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40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</row>
        <row r="147">
          <cell r="B147">
            <v>146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</row>
        <row r="148">
          <cell r="B148">
            <v>147</v>
          </cell>
          <cell r="C148" t="str">
            <v>عبد الله عبد الكريم عبد الله عبدالكريم</v>
          </cell>
          <cell r="D148" t="str">
            <v>المصنع</v>
          </cell>
          <cell r="E148" t="str">
            <v>الكهرباء</v>
          </cell>
          <cell r="F148">
            <v>0</v>
          </cell>
          <cell r="G148" t="str">
            <v>فنى كهرباء</v>
          </cell>
          <cell r="H148">
            <v>42583</v>
          </cell>
          <cell r="I148">
            <v>43498</v>
          </cell>
          <cell r="J148">
            <v>75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12</v>
          </cell>
          <cell r="S148">
            <v>4</v>
          </cell>
          <cell r="T148">
            <v>4</v>
          </cell>
          <cell r="U148">
            <v>3</v>
          </cell>
          <cell r="V148">
            <v>7</v>
          </cell>
          <cell r="W148">
            <v>30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</v>
          </cell>
          <cell r="AI148">
            <v>0</v>
          </cell>
          <cell r="AJ148">
            <v>0</v>
          </cell>
          <cell r="AK148">
            <v>0</v>
          </cell>
        </row>
        <row r="149">
          <cell r="B149">
            <v>148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30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</row>
        <row r="150">
          <cell r="B150">
            <v>149</v>
          </cell>
          <cell r="C150" t="str">
            <v>عمار فضل الله الطاهر سليمان</v>
          </cell>
          <cell r="D150" t="str">
            <v>المصنع</v>
          </cell>
          <cell r="E150" t="str">
            <v>الميكانيكا</v>
          </cell>
          <cell r="F150">
            <v>0</v>
          </cell>
          <cell r="G150" t="str">
            <v>سباك</v>
          </cell>
          <cell r="H150">
            <v>41534</v>
          </cell>
          <cell r="I150">
            <v>0</v>
          </cell>
          <cell r="J150" t="e">
            <v>#NUM!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</row>
        <row r="151">
          <cell r="B151">
            <v>150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</row>
        <row r="152">
          <cell r="B152">
            <v>151</v>
          </cell>
          <cell r="C152" t="str">
            <v>عيدالله احمد الضيف عبدالله</v>
          </cell>
          <cell r="D152" t="str">
            <v>المصنع</v>
          </cell>
          <cell r="E152" t="str">
            <v>الجوده</v>
          </cell>
          <cell r="F152">
            <v>0</v>
          </cell>
          <cell r="G152" t="str">
            <v>مراقب انتاج</v>
          </cell>
          <cell r="H152">
            <v>40947</v>
          </cell>
          <cell r="I152">
            <v>43498</v>
          </cell>
          <cell r="J152">
            <v>207.5</v>
          </cell>
          <cell r="K152">
            <v>0</v>
          </cell>
          <cell r="L152">
            <v>0</v>
          </cell>
          <cell r="M152">
            <v>2</v>
          </cell>
          <cell r="N152">
            <v>0</v>
          </cell>
          <cell r="O152">
            <v>0</v>
          </cell>
          <cell r="P152">
            <v>0</v>
          </cell>
          <cell r="Q152">
            <v>1</v>
          </cell>
          <cell r="R152">
            <v>3</v>
          </cell>
          <cell r="S152">
            <v>0</v>
          </cell>
          <cell r="T152">
            <v>2</v>
          </cell>
          <cell r="U152">
            <v>1</v>
          </cell>
          <cell r="V152">
            <v>16</v>
          </cell>
          <cell r="W152">
            <v>25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</row>
        <row r="153">
          <cell r="B153">
            <v>152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25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</row>
        <row r="154">
          <cell r="B154">
            <v>153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</row>
        <row r="155">
          <cell r="B155">
            <v>154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</row>
        <row r="156">
          <cell r="B156">
            <v>155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</row>
        <row r="157">
          <cell r="B157">
            <v>156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</row>
        <row r="158">
          <cell r="B158">
            <v>157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</row>
        <row r="159">
          <cell r="B159">
            <v>158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</row>
        <row r="160">
          <cell r="B160">
            <v>159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</row>
        <row r="161">
          <cell r="B161">
            <v>160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</row>
        <row r="162">
          <cell r="B162">
            <v>161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</row>
        <row r="163">
          <cell r="B163">
            <v>162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</row>
        <row r="164">
          <cell r="B164">
            <v>163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</row>
        <row r="165">
          <cell r="B165">
            <v>164</v>
          </cell>
          <cell r="C165" t="str">
            <v>عز الدين بحر عباس النو</v>
          </cell>
          <cell r="D165" t="str">
            <v>المصنع</v>
          </cell>
          <cell r="E165" t="str">
            <v>الخدمات</v>
          </cell>
          <cell r="F165">
            <v>0</v>
          </cell>
          <cell r="G165" t="str">
            <v>جناينى</v>
          </cell>
          <cell r="H165">
            <v>42142</v>
          </cell>
          <cell r="I165">
            <v>0</v>
          </cell>
          <cell r="J165" t="e">
            <v>#NUM!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</row>
        <row r="166">
          <cell r="B166">
            <v>165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</row>
        <row r="167">
          <cell r="B167">
            <v>166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</row>
        <row r="168">
          <cell r="B168">
            <v>167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</row>
        <row r="169">
          <cell r="B169">
            <v>168</v>
          </cell>
          <cell r="C169" t="str">
            <v>عماد الدين ادم محمد عبدالله</v>
          </cell>
          <cell r="D169" t="str">
            <v>المصنع</v>
          </cell>
          <cell r="E169" t="str">
            <v>المستودعات</v>
          </cell>
          <cell r="F169" t="str">
            <v>التحميل</v>
          </cell>
          <cell r="G169" t="str">
            <v>مشغل كرين</v>
          </cell>
          <cell r="H169">
            <v>40982</v>
          </cell>
          <cell r="I169">
            <v>43498</v>
          </cell>
          <cell r="J169">
            <v>205</v>
          </cell>
          <cell r="K169">
            <v>1</v>
          </cell>
          <cell r="L169">
            <v>1</v>
          </cell>
          <cell r="M169">
            <v>3</v>
          </cell>
          <cell r="N169">
            <v>3</v>
          </cell>
          <cell r="O169">
            <v>2</v>
          </cell>
          <cell r="P169">
            <v>0</v>
          </cell>
          <cell r="Q169">
            <v>7</v>
          </cell>
          <cell r="R169">
            <v>2</v>
          </cell>
          <cell r="S169">
            <v>16</v>
          </cell>
          <cell r="T169">
            <v>3</v>
          </cell>
          <cell r="U169">
            <v>1</v>
          </cell>
          <cell r="V169">
            <v>3</v>
          </cell>
          <cell r="W169">
            <v>42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</row>
        <row r="170">
          <cell r="B170">
            <v>169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42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</row>
        <row r="171">
          <cell r="B171">
            <v>170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</row>
        <row r="172">
          <cell r="B172">
            <v>171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</row>
        <row r="173">
          <cell r="B173">
            <v>172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</row>
        <row r="174">
          <cell r="B174">
            <v>173</v>
          </cell>
          <cell r="C174" t="str">
            <v>محمود على محمود ابوحسنيه</v>
          </cell>
          <cell r="D174" t="str">
            <v>أجانب</v>
          </cell>
          <cell r="E174" t="str">
            <v>الميكانيكا</v>
          </cell>
          <cell r="F174">
            <v>0</v>
          </cell>
          <cell r="G174" t="str">
            <v>مهندس ميكانيكا</v>
          </cell>
          <cell r="H174">
            <v>40971</v>
          </cell>
          <cell r="I174">
            <v>43498</v>
          </cell>
          <cell r="J174">
            <v>205</v>
          </cell>
          <cell r="K174">
            <v>0</v>
          </cell>
          <cell r="L174">
            <v>0</v>
          </cell>
          <cell r="M174">
            <v>0</v>
          </cell>
          <cell r="N174">
            <v>20</v>
          </cell>
          <cell r="O174">
            <v>0</v>
          </cell>
          <cell r="P174">
            <v>2</v>
          </cell>
          <cell r="Q174">
            <v>0</v>
          </cell>
          <cell r="R174">
            <v>1</v>
          </cell>
          <cell r="S174">
            <v>1</v>
          </cell>
          <cell r="T174">
            <v>1</v>
          </cell>
          <cell r="U174">
            <v>0</v>
          </cell>
          <cell r="V174">
            <v>18</v>
          </cell>
          <cell r="W174">
            <v>43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</row>
        <row r="175">
          <cell r="B175">
            <v>174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25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</row>
        <row r="176">
          <cell r="B176">
            <v>175</v>
          </cell>
          <cell r="C176" t="str">
            <v>MOHAMMED SAIFUL ISLAM</v>
          </cell>
          <cell r="D176" t="str">
            <v>أجانب</v>
          </cell>
          <cell r="E176" t="str">
            <v>الانتاج</v>
          </cell>
          <cell r="F176">
            <v>0</v>
          </cell>
          <cell r="G176">
            <v>0</v>
          </cell>
          <cell r="H176">
            <v>0</v>
          </cell>
          <cell r="I176">
            <v>43498</v>
          </cell>
          <cell r="J176">
            <v>3572.5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</row>
        <row r="177">
          <cell r="B177">
            <v>176</v>
          </cell>
          <cell r="C177" t="str">
            <v>MOHAMMED RASHEL</v>
          </cell>
          <cell r="D177" t="str">
            <v>أجانب</v>
          </cell>
          <cell r="E177" t="str">
            <v>الانتاج</v>
          </cell>
          <cell r="F177">
            <v>0</v>
          </cell>
          <cell r="G177">
            <v>0</v>
          </cell>
          <cell r="H177">
            <v>0</v>
          </cell>
          <cell r="I177">
            <v>43498</v>
          </cell>
          <cell r="J177">
            <v>3572.5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</row>
        <row r="178">
          <cell r="B178">
            <v>177</v>
          </cell>
          <cell r="C178" t="str">
            <v>SHAFUL ALAM</v>
          </cell>
          <cell r="D178" t="str">
            <v>أجانب</v>
          </cell>
          <cell r="E178" t="str">
            <v>الانتاج</v>
          </cell>
          <cell r="F178">
            <v>0</v>
          </cell>
          <cell r="G178">
            <v>0</v>
          </cell>
          <cell r="H178">
            <v>0</v>
          </cell>
          <cell r="I178">
            <v>43498</v>
          </cell>
          <cell r="J178">
            <v>3572.5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</row>
        <row r="179">
          <cell r="B179">
            <v>178</v>
          </cell>
          <cell r="C179" t="str">
            <v>DULAL MIAH</v>
          </cell>
          <cell r="D179" t="str">
            <v>أجانب</v>
          </cell>
          <cell r="E179" t="str">
            <v>الانتاج</v>
          </cell>
          <cell r="F179">
            <v>0</v>
          </cell>
          <cell r="G179">
            <v>0</v>
          </cell>
          <cell r="H179">
            <v>0</v>
          </cell>
          <cell r="I179">
            <v>43498</v>
          </cell>
          <cell r="J179">
            <v>3572.5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</row>
        <row r="180">
          <cell r="B180">
            <v>179</v>
          </cell>
          <cell r="C180" t="str">
            <v>NURUL HAQUE ASIM UDDIN</v>
          </cell>
          <cell r="D180" t="str">
            <v>أجانب</v>
          </cell>
          <cell r="E180" t="str">
            <v>الانتاج</v>
          </cell>
          <cell r="F180">
            <v>0</v>
          </cell>
          <cell r="G180">
            <v>0</v>
          </cell>
          <cell r="H180">
            <v>0</v>
          </cell>
          <cell r="I180">
            <v>43498</v>
          </cell>
          <cell r="J180">
            <v>3572.5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</row>
        <row r="181">
          <cell r="B181">
            <v>180</v>
          </cell>
          <cell r="C181" t="str">
            <v>MOHAMMED KHABIR MIAH</v>
          </cell>
          <cell r="D181" t="str">
            <v>أجانب</v>
          </cell>
          <cell r="E181" t="str">
            <v>الانتاج</v>
          </cell>
          <cell r="F181">
            <v>0</v>
          </cell>
          <cell r="G181">
            <v>0</v>
          </cell>
          <cell r="H181">
            <v>0</v>
          </cell>
          <cell r="I181">
            <v>43498</v>
          </cell>
          <cell r="J181">
            <v>3572.5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</row>
        <row r="182">
          <cell r="B182">
            <v>181</v>
          </cell>
          <cell r="C182" t="str">
            <v>NURUL ALAM HASHEMKHAN</v>
          </cell>
          <cell r="D182" t="str">
            <v>أجانب</v>
          </cell>
          <cell r="E182" t="str">
            <v>الميكانيكا</v>
          </cell>
          <cell r="F182" t="str">
            <v>المخارط</v>
          </cell>
          <cell r="G182">
            <v>0</v>
          </cell>
          <cell r="H182">
            <v>39057</v>
          </cell>
          <cell r="I182">
            <v>42750</v>
          </cell>
          <cell r="J182">
            <v>302.5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</row>
        <row r="183">
          <cell r="B183">
            <v>182</v>
          </cell>
          <cell r="C183" t="str">
            <v>MAHE ALAM PATAWARI</v>
          </cell>
          <cell r="D183" t="str">
            <v>أجانب</v>
          </cell>
          <cell r="E183" t="str">
            <v>الانتاج</v>
          </cell>
          <cell r="F183">
            <v>0</v>
          </cell>
          <cell r="G183">
            <v>0</v>
          </cell>
          <cell r="H183">
            <v>0</v>
          </cell>
          <cell r="I183">
            <v>43498</v>
          </cell>
          <cell r="J183">
            <v>3572.5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</row>
        <row r="184">
          <cell r="B184">
            <v>183</v>
          </cell>
          <cell r="C184" t="str">
            <v>MOHAMMED HOSSAIN AHMED</v>
          </cell>
          <cell r="D184" t="str">
            <v>أجانب</v>
          </cell>
          <cell r="E184" t="str">
            <v>الانتاج</v>
          </cell>
          <cell r="F184">
            <v>0</v>
          </cell>
          <cell r="G184">
            <v>0</v>
          </cell>
          <cell r="H184">
            <v>0</v>
          </cell>
          <cell r="I184">
            <v>42735</v>
          </cell>
          <cell r="J184">
            <v>3507.5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</row>
        <row r="185">
          <cell r="B185">
            <v>184</v>
          </cell>
          <cell r="C185" t="str">
            <v>SHAWKAT ALI MOHAMMED</v>
          </cell>
          <cell r="D185" t="str">
            <v>أجانب</v>
          </cell>
          <cell r="E185" t="str">
            <v>الانتاج</v>
          </cell>
          <cell r="F185">
            <v>0</v>
          </cell>
          <cell r="G185">
            <v>0</v>
          </cell>
          <cell r="H185">
            <v>0</v>
          </cell>
          <cell r="I185">
            <v>42735</v>
          </cell>
          <cell r="J185">
            <v>3507.5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</row>
        <row r="186">
          <cell r="B186">
            <v>185</v>
          </cell>
          <cell r="C186" t="str">
            <v>MAKSUDUR RAHMAN BAZLUR</v>
          </cell>
          <cell r="D186" t="str">
            <v>أجانب</v>
          </cell>
          <cell r="E186" t="str">
            <v>الانتاج</v>
          </cell>
          <cell r="F186">
            <v>0</v>
          </cell>
          <cell r="G186">
            <v>0</v>
          </cell>
          <cell r="H186">
            <v>0</v>
          </cell>
          <cell r="I186">
            <v>43498</v>
          </cell>
          <cell r="J186">
            <v>3572.5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</row>
        <row r="187">
          <cell r="B187">
            <v>186</v>
          </cell>
          <cell r="C187" t="str">
            <v>ABDUL HAI HURAN</v>
          </cell>
          <cell r="D187" t="str">
            <v>أجانب</v>
          </cell>
          <cell r="E187" t="str">
            <v>الانتاج</v>
          </cell>
          <cell r="F187">
            <v>0</v>
          </cell>
          <cell r="G187">
            <v>0</v>
          </cell>
          <cell r="H187">
            <v>0</v>
          </cell>
          <cell r="I187">
            <v>42735</v>
          </cell>
          <cell r="J187">
            <v>3507.5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</row>
        <row r="188">
          <cell r="B188">
            <v>187</v>
          </cell>
          <cell r="C188" t="str">
            <v>ALA UDDEN HOSSIN</v>
          </cell>
          <cell r="D188" t="str">
            <v>أجانب</v>
          </cell>
          <cell r="E188" t="str">
            <v>الانتاج</v>
          </cell>
          <cell r="F188">
            <v>0</v>
          </cell>
          <cell r="G188">
            <v>0</v>
          </cell>
          <cell r="H188">
            <v>0</v>
          </cell>
          <cell r="I188">
            <v>43498</v>
          </cell>
          <cell r="J188">
            <v>3572.5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</row>
        <row r="189">
          <cell r="B189">
            <v>189</v>
          </cell>
          <cell r="C189" t="str">
            <v>MD SALIM ABUL KASEM</v>
          </cell>
          <cell r="D189" t="str">
            <v>أجانب</v>
          </cell>
          <cell r="E189" t="str">
            <v>الانتاج</v>
          </cell>
          <cell r="F189">
            <v>0</v>
          </cell>
          <cell r="G189">
            <v>0</v>
          </cell>
          <cell r="H189">
            <v>0</v>
          </cell>
          <cell r="I189">
            <v>42735</v>
          </cell>
          <cell r="J189">
            <v>3507.5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</row>
        <row r="190">
          <cell r="B190">
            <v>190</v>
          </cell>
          <cell r="C190" t="str">
            <v>SWAPAN MURSHED</v>
          </cell>
          <cell r="D190" t="str">
            <v>أجانب</v>
          </cell>
          <cell r="E190" t="str">
            <v>الانتاج</v>
          </cell>
          <cell r="F190">
            <v>0</v>
          </cell>
          <cell r="G190">
            <v>0</v>
          </cell>
          <cell r="H190">
            <v>0</v>
          </cell>
          <cell r="I190">
            <v>43498</v>
          </cell>
          <cell r="J190">
            <v>3572.5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</row>
        <row r="191">
          <cell r="B191">
            <v>195</v>
          </cell>
          <cell r="C191" t="str">
            <v>ALI AHMED NURUL HAQUE</v>
          </cell>
          <cell r="D191" t="str">
            <v>أجانب</v>
          </cell>
          <cell r="E191" t="str">
            <v>الانتاج</v>
          </cell>
          <cell r="F191">
            <v>0</v>
          </cell>
          <cell r="G191">
            <v>0</v>
          </cell>
          <cell r="H191">
            <v>0</v>
          </cell>
          <cell r="I191">
            <v>43498</v>
          </cell>
          <cell r="J191">
            <v>3572.5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</row>
        <row r="192">
          <cell r="B192">
            <v>196</v>
          </cell>
          <cell r="C192" t="str">
            <v>SHAHIN ABO TAHIR</v>
          </cell>
          <cell r="D192" t="str">
            <v>أجانب</v>
          </cell>
          <cell r="E192" t="str">
            <v>الانتاج</v>
          </cell>
          <cell r="F192">
            <v>0</v>
          </cell>
          <cell r="G192">
            <v>0</v>
          </cell>
          <cell r="H192">
            <v>0</v>
          </cell>
          <cell r="I192">
            <v>43498</v>
          </cell>
          <cell r="J192">
            <v>3572.5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</row>
        <row r="193">
          <cell r="B193">
            <v>197</v>
          </cell>
          <cell r="C193" t="str">
            <v>ELIAS MOBARK HOSSIN</v>
          </cell>
          <cell r="D193" t="str">
            <v>أجانب</v>
          </cell>
          <cell r="E193" t="str">
            <v>الانتاج</v>
          </cell>
          <cell r="F193">
            <v>0</v>
          </cell>
          <cell r="G193">
            <v>0</v>
          </cell>
          <cell r="H193">
            <v>0</v>
          </cell>
          <cell r="I193">
            <v>43498</v>
          </cell>
          <cell r="J193">
            <v>3572.5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</row>
        <row r="194">
          <cell r="B194">
            <v>198</v>
          </cell>
          <cell r="C194" t="str">
            <v>JAKIR ABDEL JALIL</v>
          </cell>
          <cell r="D194" t="str">
            <v>أجانب</v>
          </cell>
          <cell r="E194" t="str">
            <v>الانتاج</v>
          </cell>
          <cell r="F194">
            <v>0</v>
          </cell>
          <cell r="G194">
            <v>0</v>
          </cell>
          <cell r="H194">
            <v>0</v>
          </cell>
          <cell r="I194">
            <v>43498</v>
          </cell>
          <cell r="J194">
            <v>3572.5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</row>
        <row r="195">
          <cell r="B195">
            <v>199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</row>
        <row r="196">
          <cell r="B196">
            <v>200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</row>
        <row r="197">
          <cell r="B197">
            <v>201</v>
          </cell>
          <cell r="C197" t="str">
            <v>زكرية يحى حسن احمد</v>
          </cell>
          <cell r="D197" t="str">
            <v>المصنع</v>
          </cell>
          <cell r="E197" t="str">
            <v>الانتاج</v>
          </cell>
          <cell r="F197">
            <v>0</v>
          </cell>
          <cell r="G197" t="str">
            <v>فنى تشغيل</v>
          </cell>
          <cell r="H197">
            <v>42562</v>
          </cell>
          <cell r="I197">
            <v>0</v>
          </cell>
          <cell r="J197" t="e">
            <v>#NUM!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</row>
        <row r="198">
          <cell r="B198">
            <v>202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</row>
        <row r="199">
          <cell r="B199">
            <v>203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</row>
        <row r="200">
          <cell r="B200">
            <v>204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</row>
        <row r="201">
          <cell r="B201">
            <v>205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</row>
        <row r="202">
          <cell r="B202">
            <v>206</v>
          </cell>
          <cell r="C202" t="str">
            <v>حسن محمد حسن كرم الله</v>
          </cell>
          <cell r="D202" t="str">
            <v>المصنع</v>
          </cell>
          <cell r="E202" t="str">
            <v>الجوده</v>
          </cell>
          <cell r="F202">
            <v>0</v>
          </cell>
          <cell r="G202" t="str">
            <v>مراقب انتاج</v>
          </cell>
          <cell r="H202">
            <v>41000</v>
          </cell>
          <cell r="I202">
            <v>43498</v>
          </cell>
          <cell r="J202">
            <v>205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1</v>
          </cell>
          <cell r="S202">
            <v>0</v>
          </cell>
          <cell r="T202">
            <v>0</v>
          </cell>
          <cell r="U202">
            <v>2</v>
          </cell>
          <cell r="V202">
            <v>30</v>
          </cell>
          <cell r="W202">
            <v>37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</row>
        <row r="203">
          <cell r="B203">
            <v>207</v>
          </cell>
          <cell r="C203" t="str">
            <v>على محمد على عثمان</v>
          </cell>
          <cell r="D203" t="str">
            <v>المصنع</v>
          </cell>
          <cell r="E203" t="str">
            <v>الانتاج</v>
          </cell>
          <cell r="F203" t="str">
            <v>الخوص</v>
          </cell>
          <cell r="G203" t="str">
            <v>فورمان</v>
          </cell>
          <cell r="H203">
            <v>41000</v>
          </cell>
          <cell r="I203">
            <v>43498</v>
          </cell>
          <cell r="J203">
            <v>205</v>
          </cell>
          <cell r="K203">
            <v>0</v>
          </cell>
          <cell r="L203">
            <v>6</v>
          </cell>
          <cell r="M203">
            <v>0</v>
          </cell>
          <cell r="N203">
            <v>6</v>
          </cell>
          <cell r="O203">
            <v>5</v>
          </cell>
          <cell r="P203">
            <v>2</v>
          </cell>
          <cell r="Q203">
            <v>7</v>
          </cell>
          <cell r="R203">
            <v>0</v>
          </cell>
          <cell r="S203">
            <v>10</v>
          </cell>
          <cell r="T203">
            <v>0</v>
          </cell>
          <cell r="U203">
            <v>0</v>
          </cell>
          <cell r="V203">
            <v>0</v>
          </cell>
          <cell r="W203">
            <v>36</v>
          </cell>
          <cell r="X203">
            <v>37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2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</row>
        <row r="204">
          <cell r="B204">
            <v>208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36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</row>
        <row r="205">
          <cell r="B205">
            <v>209</v>
          </cell>
          <cell r="C205" t="str">
            <v>احمد عوض الله محمد طه</v>
          </cell>
          <cell r="D205" t="str">
            <v>المصنع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</row>
        <row r="206">
          <cell r="B206">
            <v>210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</row>
        <row r="207">
          <cell r="B207">
            <v>211</v>
          </cell>
          <cell r="C207" t="str">
            <v>صلاح إسحق اتيم ابكر عبدالله</v>
          </cell>
          <cell r="D207" t="str">
            <v>المصنع</v>
          </cell>
          <cell r="E207" t="str">
            <v>الانتاج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</row>
        <row r="208">
          <cell r="B208">
            <v>212</v>
          </cell>
          <cell r="C208" t="str">
            <v>ابوبكر السمانى محمد احمد</v>
          </cell>
          <cell r="D208" t="str">
            <v>المصنع</v>
          </cell>
          <cell r="E208" t="str">
            <v>الانتاج</v>
          </cell>
          <cell r="F208">
            <v>0</v>
          </cell>
          <cell r="G208">
            <v>0</v>
          </cell>
          <cell r="H208">
            <v>41730</v>
          </cell>
          <cell r="I208">
            <v>0</v>
          </cell>
          <cell r="J208" t="e">
            <v>#NUM!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</row>
        <row r="209">
          <cell r="B209">
            <v>213</v>
          </cell>
          <cell r="C209" t="str">
            <v>دفع الله سعيد محمد احمد</v>
          </cell>
          <cell r="D209" t="str">
            <v>المصنع</v>
          </cell>
          <cell r="E209" t="str">
            <v>الانتاج</v>
          </cell>
          <cell r="F209" t="str">
            <v>المواسير</v>
          </cell>
          <cell r="G209" t="str">
            <v>مشغل</v>
          </cell>
          <cell r="H209">
            <v>41000</v>
          </cell>
          <cell r="I209">
            <v>43498</v>
          </cell>
          <cell r="J209">
            <v>205</v>
          </cell>
          <cell r="K209">
            <v>0</v>
          </cell>
          <cell r="L209">
            <v>3</v>
          </cell>
          <cell r="M209">
            <v>0</v>
          </cell>
          <cell r="N209">
            <v>3</v>
          </cell>
          <cell r="O209">
            <v>2</v>
          </cell>
          <cell r="P209">
            <v>2</v>
          </cell>
          <cell r="Q209">
            <v>6</v>
          </cell>
          <cell r="R209">
            <v>2</v>
          </cell>
          <cell r="S209">
            <v>3</v>
          </cell>
          <cell r="T209">
            <v>0</v>
          </cell>
          <cell r="U209">
            <v>2</v>
          </cell>
          <cell r="V209">
            <v>30</v>
          </cell>
          <cell r="W209">
            <v>53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</row>
        <row r="210">
          <cell r="B210">
            <v>214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53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</row>
        <row r="211">
          <cell r="B211">
            <v>215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</row>
        <row r="212">
          <cell r="B212">
            <v>216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</row>
        <row r="213">
          <cell r="B213">
            <v>217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</row>
        <row r="214">
          <cell r="B214">
            <v>218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</row>
        <row r="215">
          <cell r="B215">
            <v>219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</row>
        <row r="216">
          <cell r="B216">
            <v>220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</row>
        <row r="217">
          <cell r="B217">
            <v>221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</row>
        <row r="218">
          <cell r="B218">
            <v>222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</row>
        <row r="219">
          <cell r="B219">
            <v>223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</row>
        <row r="220">
          <cell r="B220">
            <v>224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</row>
        <row r="221">
          <cell r="B221">
            <v>225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</row>
        <row r="222">
          <cell r="B222">
            <v>226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</row>
        <row r="223">
          <cell r="B223">
            <v>227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</row>
        <row r="224">
          <cell r="B224">
            <v>228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</row>
        <row r="225">
          <cell r="B225">
            <v>230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</row>
        <row r="226">
          <cell r="B226">
            <v>231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</row>
        <row r="227">
          <cell r="B227">
            <v>232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</row>
        <row r="228">
          <cell r="B228">
            <v>233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</row>
        <row r="229">
          <cell r="B229">
            <v>234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</row>
        <row r="230">
          <cell r="B230">
            <v>235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</row>
        <row r="231">
          <cell r="B231">
            <v>236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</row>
        <row r="232">
          <cell r="B232">
            <v>237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</row>
        <row r="233">
          <cell r="B233">
            <v>238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</row>
        <row r="234">
          <cell r="B234">
            <v>239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</row>
        <row r="235">
          <cell r="B235">
            <v>240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</row>
        <row r="236">
          <cell r="B236">
            <v>241</v>
          </cell>
          <cell r="C236" t="str">
            <v>سفيان يوسف مختار محمد الحاج</v>
          </cell>
          <cell r="D236" t="str">
            <v>المصنع</v>
          </cell>
          <cell r="E236" t="str">
            <v>الانتاج</v>
          </cell>
          <cell r="F236" t="str">
            <v>الزوايا</v>
          </cell>
          <cell r="G236" t="str">
            <v>مساعد مشغل</v>
          </cell>
          <cell r="H236">
            <v>41023</v>
          </cell>
          <cell r="I236">
            <v>43498</v>
          </cell>
          <cell r="J236">
            <v>202.5</v>
          </cell>
          <cell r="K236">
            <v>6</v>
          </cell>
          <cell r="L236">
            <v>3</v>
          </cell>
          <cell r="M236">
            <v>1</v>
          </cell>
          <cell r="N236">
            <v>3</v>
          </cell>
          <cell r="O236">
            <v>5</v>
          </cell>
          <cell r="P236">
            <v>1</v>
          </cell>
          <cell r="Q236">
            <v>5</v>
          </cell>
          <cell r="R236">
            <v>2</v>
          </cell>
          <cell r="S236">
            <v>4</v>
          </cell>
          <cell r="T236">
            <v>2</v>
          </cell>
          <cell r="U236">
            <v>1</v>
          </cell>
          <cell r="V236">
            <v>2</v>
          </cell>
          <cell r="W236">
            <v>35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</row>
        <row r="237">
          <cell r="B237">
            <v>242</v>
          </cell>
          <cell r="C237" t="str">
            <v>عبدالوكيل الجيلانى الختيم حسين</v>
          </cell>
          <cell r="D237" t="str">
            <v>المصنع</v>
          </cell>
          <cell r="E237" t="str">
            <v>الاداره</v>
          </cell>
          <cell r="F237">
            <v>0</v>
          </cell>
          <cell r="G237" t="str">
            <v>موظف مشتروات</v>
          </cell>
          <cell r="H237">
            <v>41022</v>
          </cell>
          <cell r="I237">
            <v>43498</v>
          </cell>
          <cell r="J237">
            <v>202.5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2</v>
          </cell>
          <cell r="S237">
            <v>0</v>
          </cell>
          <cell r="T237">
            <v>0</v>
          </cell>
          <cell r="U237">
            <v>0</v>
          </cell>
          <cell r="V237">
            <v>1</v>
          </cell>
          <cell r="W237">
            <v>3</v>
          </cell>
          <cell r="X237">
            <v>35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</row>
        <row r="238">
          <cell r="B238">
            <v>247</v>
          </cell>
          <cell r="C238" t="str">
            <v>سليمان عبدالهادى سليمان عبد الهادى</v>
          </cell>
          <cell r="D238" t="str">
            <v>المصنع</v>
          </cell>
          <cell r="E238" t="str">
            <v>الامن و الحركه</v>
          </cell>
          <cell r="F238">
            <v>0</v>
          </cell>
          <cell r="G238" t="str">
            <v>فرد امن</v>
          </cell>
          <cell r="H238">
            <v>41024</v>
          </cell>
          <cell r="I238">
            <v>0</v>
          </cell>
          <cell r="J238" t="e">
            <v>#NUM!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3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</row>
        <row r="239">
          <cell r="B239">
            <v>250</v>
          </cell>
          <cell r="C239" t="str">
            <v>عبدالكريم الخير الحاج عبدالكريم</v>
          </cell>
          <cell r="D239" t="str">
            <v>المصنع</v>
          </cell>
          <cell r="E239" t="str">
            <v>الميكانيكا</v>
          </cell>
          <cell r="F239">
            <v>0</v>
          </cell>
          <cell r="G239" t="str">
            <v>حداد</v>
          </cell>
          <cell r="H239">
            <v>41042</v>
          </cell>
          <cell r="I239">
            <v>0</v>
          </cell>
          <cell r="J239" t="e">
            <v>#NUM!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</row>
        <row r="240">
          <cell r="B240">
            <v>253</v>
          </cell>
          <cell r="C240" t="str">
            <v>ياسر سلمان القاسم</v>
          </cell>
          <cell r="D240" t="str">
            <v>المصنع</v>
          </cell>
          <cell r="E240" t="str">
            <v>الوحده العلاجيه</v>
          </cell>
          <cell r="F240">
            <v>0</v>
          </cell>
          <cell r="G240" t="str">
            <v>فنى معمل</v>
          </cell>
          <cell r="H240">
            <v>41041</v>
          </cell>
          <cell r="I240">
            <v>42810</v>
          </cell>
          <cell r="J240">
            <v>145</v>
          </cell>
          <cell r="K240">
            <v>3</v>
          </cell>
          <cell r="L240">
            <v>3</v>
          </cell>
          <cell r="M240">
            <v>1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7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</row>
        <row r="241">
          <cell r="B241">
            <v>260</v>
          </cell>
          <cell r="C241" t="str">
            <v>محمد عبدالمنعم عطا الفضيل خليفه</v>
          </cell>
          <cell r="D241" t="str">
            <v>المصنع</v>
          </cell>
          <cell r="E241" t="str">
            <v>الانتاج</v>
          </cell>
          <cell r="F241" t="str">
            <v>الاكسبنده</v>
          </cell>
          <cell r="G241" t="str">
            <v>مشغل</v>
          </cell>
          <cell r="H241">
            <v>42312</v>
          </cell>
          <cell r="I241">
            <v>43498</v>
          </cell>
          <cell r="J241">
            <v>95</v>
          </cell>
          <cell r="K241">
            <v>2</v>
          </cell>
          <cell r="L241">
            <v>2</v>
          </cell>
          <cell r="M241">
            <v>1</v>
          </cell>
          <cell r="N241">
            <v>3</v>
          </cell>
          <cell r="O241">
            <v>2</v>
          </cell>
          <cell r="P241">
            <v>1</v>
          </cell>
          <cell r="Q241">
            <v>4</v>
          </cell>
          <cell r="R241">
            <v>1</v>
          </cell>
          <cell r="S241">
            <v>4</v>
          </cell>
          <cell r="T241">
            <v>0</v>
          </cell>
          <cell r="U241">
            <v>2</v>
          </cell>
          <cell r="V241">
            <v>13</v>
          </cell>
          <cell r="W241">
            <v>35</v>
          </cell>
          <cell r="X241">
            <v>7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</row>
        <row r="242">
          <cell r="B242">
            <v>262</v>
          </cell>
          <cell r="C242" t="str">
            <v>انس يحيى حسن عبد الله</v>
          </cell>
          <cell r="D242" t="str">
            <v>المصنع</v>
          </cell>
          <cell r="E242" t="str">
            <v>الامن و الحركه</v>
          </cell>
          <cell r="F242">
            <v>0</v>
          </cell>
          <cell r="G242" t="str">
            <v>فرد امن</v>
          </cell>
          <cell r="H242">
            <v>41603</v>
          </cell>
          <cell r="I242">
            <v>0</v>
          </cell>
          <cell r="J242" t="e">
            <v>#NUM!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35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</row>
        <row r="243">
          <cell r="B243">
            <v>265</v>
          </cell>
          <cell r="C243" t="str">
            <v>نصر الدين عبد الحميد عبد الماجد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</row>
        <row r="244">
          <cell r="B244">
            <v>275</v>
          </cell>
          <cell r="C244" t="str">
            <v>ابوبكر موسى محمد ادريس</v>
          </cell>
          <cell r="D244" t="str">
            <v>المصنع</v>
          </cell>
          <cell r="E244" t="str">
            <v>الانتاج</v>
          </cell>
          <cell r="F244" t="str">
            <v>عداد</v>
          </cell>
          <cell r="G244" t="str">
            <v>عامل</v>
          </cell>
          <cell r="H244">
            <v>41074</v>
          </cell>
          <cell r="I244">
            <v>43498</v>
          </cell>
          <cell r="J244">
            <v>197.5</v>
          </cell>
          <cell r="K244">
            <v>1</v>
          </cell>
          <cell r="L244">
            <v>12</v>
          </cell>
          <cell r="M244">
            <v>0</v>
          </cell>
          <cell r="N244">
            <v>0</v>
          </cell>
          <cell r="O244">
            <v>0</v>
          </cell>
          <cell r="P244">
            <v>2</v>
          </cell>
          <cell r="Q244">
            <v>14</v>
          </cell>
          <cell r="R244">
            <v>2</v>
          </cell>
          <cell r="S244">
            <v>3</v>
          </cell>
          <cell r="T244">
            <v>0</v>
          </cell>
          <cell r="U244">
            <v>0</v>
          </cell>
          <cell r="V244">
            <v>0</v>
          </cell>
          <cell r="W244">
            <v>34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</row>
        <row r="245">
          <cell r="B245">
            <v>293</v>
          </cell>
          <cell r="C245" t="str">
            <v>ابراهيم عبدالماجد جاد الله عبدالماجد</v>
          </cell>
          <cell r="D245" t="str">
            <v>المصنع</v>
          </cell>
          <cell r="E245" t="str">
            <v>الانتاج</v>
          </cell>
          <cell r="F245" t="str">
            <v>الزوايا</v>
          </cell>
          <cell r="G245" t="str">
            <v>مشغل</v>
          </cell>
          <cell r="H245">
            <v>41100</v>
          </cell>
          <cell r="I245">
            <v>43498</v>
          </cell>
          <cell r="J245">
            <v>195</v>
          </cell>
          <cell r="K245">
            <v>0</v>
          </cell>
          <cell r="L245">
            <v>0</v>
          </cell>
          <cell r="M245">
            <v>0</v>
          </cell>
          <cell r="N245">
            <v>2</v>
          </cell>
          <cell r="O245">
            <v>0</v>
          </cell>
          <cell r="P245">
            <v>0</v>
          </cell>
          <cell r="Q245">
            <v>2</v>
          </cell>
          <cell r="R245">
            <v>2</v>
          </cell>
          <cell r="S245">
            <v>3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34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</row>
        <row r="246">
          <cell r="B246">
            <v>297</v>
          </cell>
          <cell r="C246" t="str">
            <v>مقبول حماد كمريا توتو</v>
          </cell>
          <cell r="D246" t="str">
            <v>المصنع</v>
          </cell>
          <cell r="E246" t="str">
            <v>الانتاج</v>
          </cell>
          <cell r="F246" t="str">
            <v>عداد</v>
          </cell>
          <cell r="G246" t="str">
            <v>مشغل</v>
          </cell>
          <cell r="H246">
            <v>41101</v>
          </cell>
          <cell r="I246">
            <v>43498</v>
          </cell>
          <cell r="J246">
            <v>195</v>
          </cell>
          <cell r="K246">
            <v>2</v>
          </cell>
          <cell r="L246">
            <v>3</v>
          </cell>
          <cell r="M246">
            <v>1</v>
          </cell>
          <cell r="N246">
            <v>2</v>
          </cell>
          <cell r="O246">
            <v>5</v>
          </cell>
          <cell r="P246">
            <v>1</v>
          </cell>
          <cell r="Q246">
            <v>13</v>
          </cell>
          <cell r="R246">
            <v>4</v>
          </cell>
          <cell r="S246">
            <v>5</v>
          </cell>
          <cell r="T246">
            <v>3</v>
          </cell>
          <cell r="U246">
            <v>3</v>
          </cell>
          <cell r="V246">
            <v>1</v>
          </cell>
          <cell r="W246">
            <v>43</v>
          </cell>
          <cell r="X246">
            <v>9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</row>
        <row r="247">
          <cell r="B247">
            <v>301</v>
          </cell>
          <cell r="C247" t="str">
            <v>موسى محمد حماد ماهل</v>
          </cell>
          <cell r="D247" t="str">
            <v>المصنع</v>
          </cell>
          <cell r="E247" t="str">
            <v>الانتاج</v>
          </cell>
          <cell r="F247" t="str">
            <v>الزوايا</v>
          </cell>
          <cell r="G247" t="str">
            <v>مساعد مشغل</v>
          </cell>
          <cell r="H247">
            <v>41692</v>
          </cell>
          <cell r="I247">
            <v>43498</v>
          </cell>
          <cell r="J247">
            <v>147.5</v>
          </cell>
          <cell r="K247">
            <v>6</v>
          </cell>
          <cell r="L247">
            <v>1</v>
          </cell>
          <cell r="M247">
            <v>3</v>
          </cell>
          <cell r="N247">
            <v>10</v>
          </cell>
          <cell r="O247">
            <v>9</v>
          </cell>
          <cell r="P247">
            <v>0</v>
          </cell>
          <cell r="Q247">
            <v>5</v>
          </cell>
          <cell r="R247">
            <v>3</v>
          </cell>
          <cell r="S247">
            <v>7</v>
          </cell>
          <cell r="T247">
            <v>4</v>
          </cell>
          <cell r="U247">
            <v>1</v>
          </cell>
          <cell r="V247">
            <v>1</v>
          </cell>
          <cell r="W247">
            <v>50</v>
          </cell>
          <cell r="X247">
            <v>43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</row>
        <row r="248">
          <cell r="B248">
            <v>317</v>
          </cell>
          <cell r="C248" t="str">
            <v>تسفاى دسو ابلى</v>
          </cell>
          <cell r="D248" t="str">
            <v>المصنع</v>
          </cell>
          <cell r="E248" t="str">
            <v>الانتاج</v>
          </cell>
          <cell r="F248">
            <v>0</v>
          </cell>
          <cell r="G248" t="str">
            <v>عامل</v>
          </cell>
          <cell r="H248">
            <v>41153</v>
          </cell>
          <cell r="I248">
            <v>42667</v>
          </cell>
          <cell r="J248">
            <v>122.5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2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2</v>
          </cell>
          <cell r="X248">
            <v>50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</row>
        <row r="249">
          <cell r="B249">
            <v>322</v>
          </cell>
          <cell r="C249" t="str">
            <v>نزار عوض حسين محمد</v>
          </cell>
          <cell r="D249" t="str">
            <v>المصنع</v>
          </cell>
          <cell r="E249" t="str">
            <v>الانتاج</v>
          </cell>
          <cell r="F249" t="str">
            <v>الاكسبنده</v>
          </cell>
          <cell r="G249" t="str">
            <v>مساعد مشغل</v>
          </cell>
          <cell r="H249">
            <v>41161</v>
          </cell>
          <cell r="I249">
            <v>43498</v>
          </cell>
          <cell r="J249">
            <v>190</v>
          </cell>
          <cell r="K249">
            <v>5</v>
          </cell>
          <cell r="L249">
            <v>0</v>
          </cell>
          <cell r="M249">
            <v>0</v>
          </cell>
          <cell r="N249">
            <v>3</v>
          </cell>
          <cell r="O249">
            <v>2</v>
          </cell>
          <cell r="P249">
            <v>2</v>
          </cell>
          <cell r="Q249">
            <v>2</v>
          </cell>
          <cell r="R249">
            <v>1</v>
          </cell>
          <cell r="S249">
            <v>5</v>
          </cell>
          <cell r="T249">
            <v>1</v>
          </cell>
          <cell r="U249">
            <v>1</v>
          </cell>
          <cell r="V249">
            <v>0</v>
          </cell>
          <cell r="W249">
            <v>22</v>
          </cell>
          <cell r="X249">
            <v>2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</row>
        <row r="250">
          <cell r="B250">
            <v>326</v>
          </cell>
          <cell r="C250" t="str">
            <v>الطيب يونس عطيه</v>
          </cell>
          <cell r="D250" t="str">
            <v>المصنع</v>
          </cell>
          <cell r="E250" t="str">
            <v>الانتاج</v>
          </cell>
          <cell r="F250" t="str">
            <v>الاكسبنده</v>
          </cell>
          <cell r="G250" t="str">
            <v>مشغل</v>
          </cell>
          <cell r="H250">
            <v>41153</v>
          </cell>
          <cell r="I250">
            <v>42865</v>
          </cell>
          <cell r="J250">
            <v>140</v>
          </cell>
          <cell r="K250">
            <v>1</v>
          </cell>
          <cell r="L250">
            <v>3</v>
          </cell>
          <cell r="M250">
            <v>1</v>
          </cell>
          <cell r="N250">
            <v>5</v>
          </cell>
          <cell r="O250">
            <v>4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14</v>
          </cell>
          <cell r="X250">
            <v>22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</row>
        <row r="251">
          <cell r="B251">
            <v>329</v>
          </cell>
          <cell r="C251" t="str">
            <v>فاطمة الامين محمد على</v>
          </cell>
          <cell r="D251" t="str">
            <v>المصنع</v>
          </cell>
          <cell r="E251" t="str">
            <v>الكهرباء</v>
          </cell>
          <cell r="F251">
            <v>0</v>
          </cell>
          <cell r="G251" t="str">
            <v>مهندس كهرباء</v>
          </cell>
          <cell r="H251">
            <v>41175</v>
          </cell>
          <cell r="I251">
            <v>0</v>
          </cell>
          <cell r="J251" t="e">
            <v>#NUM!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14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</row>
        <row r="252">
          <cell r="B252">
            <v>330</v>
          </cell>
          <cell r="C252" t="str">
            <v>سلافه يونس حسن وقيع الله</v>
          </cell>
          <cell r="D252" t="str">
            <v>الرئاسه</v>
          </cell>
          <cell r="E252" t="str">
            <v>الاداره</v>
          </cell>
          <cell r="F252">
            <v>0</v>
          </cell>
          <cell r="G252" t="str">
            <v>سكرتيرة</v>
          </cell>
          <cell r="H252">
            <v>41177</v>
          </cell>
          <cell r="I252">
            <v>43498</v>
          </cell>
          <cell r="J252">
            <v>190</v>
          </cell>
          <cell r="K252">
            <v>0</v>
          </cell>
          <cell r="L252">
            <v>0</v>
          </cell>
          <cell r="M252">
            <v>1</v>
          </cell>
          <cell r="N252">
            <v>0</v>
          </cell>
          <cell r="O252">
            <v>0</v>
          </cell>
          <cell r="P252">
            <v>2</v>
          </cell>
          <cell r="Q252">
            <v>2</v>
          </cell>
          <cell r="R252">
            <v>1</v>
          </cell>
          <cell r="S252">
            <v>2</v>
          </cell>
          <cell r="T252">
            <v>1</v>
          </cell>
          <cell r="U252">
            <v>2</v>
          </cell>
          <cell r="V252">
            <v>0</v>
          </cell>
          <cell r="W252">
            <v>11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</row>
        <row r="253">
          <cell r="B253">
            <v>346</v>
          </cell>
          <cell r="C253" t="str">
            <v>حمزه جاد الله ادريس جاد الله</v>
          </cell>
          <cell r="D253" t="str">
            <v>المصنع</v>
          </cell>
          <cell r="E253" t="str">
            <v>الوحده العلاجيه</v>
          </cell>
          <cell r="F253" t="str">
            <v>العياده</v>
          </cell>
          <cell r="G253" t="str">
            <v>ممرض</v>
          </cell>
          <cell r="H253">
            <v>41197</v>
          </cell>
          <cell r="I253">
            <v>43498</v>
          </cell>
          <cell r="J253">
            <v>187.5</v>
          </cell>
          <cell r="K253">
            <v>1</v>
          </cell>
          <cell r="L253">
            <v>0</v>
          </cell>
          <cell r="M253">
            <v>0</v>
          </cell>
          <cell r="N253">
            <v>6</v>
          </cell>
          <cell r="O253">
            <v>0</v>
          </cell>
          <cell r="P253">
            <v>0</v>
          </cell>
          <cell r="Q253">
            <v>32</v>
          </cell>
          <cell r="R253">
            <v>0</v>
          </cell>
          <cell r="S253">
            <v>0</v>
          </cell>
          <cell r="T253">
            <v>1</v>
          </cell>
          <cell r="U253">
            <v>0</v>
          </cell>
          <cell r="V253">
            <v>0</v>
          </cell>
          <cell r="W253">
            <v>40</v>
          </cell>
          <cell r="X253">
            <v>11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</row>
        <row r="254">
          <cell r="B254">
            <v>363</v>
          </cell>
          <cell r="C254" t="str">
            <v>محمد عبدالله محمد الطاهر</v>
          </cell>
          <cell r="D254" t="str">
            <v>المصنع</v>
          </cell>
          <cell r="E254" t="str">
            <v>الانتاج</v>
          </cell>
          <cell r="F254" t="str">
            <v>المواسير</v>
          </cell>
          <cell r="G254" t="str">
            <v>مساعد مشغل</v>
          </cell>
          <cell r="H254">
            <v>41232</v>
          </cell>
          <cell r="I254">
            <v>43498</v>
          </cell>
          <cell r="J254">
            <v>185</v>
          </cell>
          <cell r="K254">
            <v>4</v>
          </cell>
          <cell r="L254">
            <v>1</v>
          </cell>
          <cell r="M254">
            <v>2</v>
          </cell>
          <cell r="N254">
            <v>1</v>
          </cell>
          <cell r="O254">
            <v>2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1</v>
          </cell>
          <cell r="V254">
            <v>0</v>
          </cell>
          <cell r="W254">
            <v>15</v>
          </cell>
          <cell r="X254">
            <v>40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</row>
        <row r="255">
          <cell r="B255">
            <v>372</v>
          </cell>
          <cell r="C255" t="str">
            <v>معتز عوض مساعد محمد على</v>
          </cell>
          <cell r="D255" t="str">
            <v>المصنع</v>
          </cell>
          <cell r="E255" t="str">
            <v>الجوده</v>
          </cell>
          <cell r="F255">
            <v>0</v>
          </cell>
          <cell r="G255" t="str">
            <v>مراقب انتاج</v>
          </cell>
          <cell r="H255">
            <v>43144</v>
          </cell>
          <cell r="I255">
            <v>43498</v>
          </cell>
          <cell r="J255">
            <v>27.5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15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1</v>
          </cell>
          <cell r="AD255">
            <v>4</v>
          </cell>
          <cell r="AE255">
            <v>1</v>
          </cell>
          <cell r="AF255">
            <v>3</v>
          </cell>
          <cell r="AG255">
            <v>2</v>
          </cell>
          <cell r="AH255">
            <v>0</v>
          </cell>
          <cell r="AI255">
            <v>0</v>
          </cell>
          <cell r="AJ255">
            <v>1</v>
          </cell>
          <cell r="AK255">
            <v>0</v>
          </cell>
        </row>
        <row r="256">
          <cell r="B256">
            <v>373</v>
          </cell>
          <cell r="C256" t="str">
            <v>عبدالحليم صالح احمد موسى</v>
          </cell>
          <cell r="D256" t="str">
            <v>المصنع</v>
          </cell>
          <cell r="E256" t="str">
            <v>الانتاج</v>
          </cell>
          <cell r="F256" t="str">
            <v>المواسير</v>
          </cell>
          <cell r="G256" t="str">
            <v>مشغل</v>
          </cell>
          <cell r="H256">
            <v>41214</v>
          </cell>
          <cell r="I256">
            <v>43498</v>
          </cell>
          <cell r="J256">
            <v>187.5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1</v>
          </cell>
          <cell r="P256">
            <v>0</v>
          </cell>
          <cell r="Q256">
            <v>1</v>
          </cell>
          <cell r="R256">
            <v>2</v>
          </cell>
          <cell r="S256">
            <v>4</v>
          </cell>
          <cell r="T256">
            <v>0</v>
          </cell>
          <cell r="U256">
            <v>1</v>
          </cell>
          <cell r="V256">
            <v>28</v>
          </cell>
          <cell r="W256">
            <v>37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</row>
        <row r="257">
          <cell r="B257">
            <v>374</v>
          </cell>
          <cell r="C257" t="str">
            <v>علم الدين ابراهيم النور اسحق</v>
          </cell>
          <cell r="D257" t="str">
            <v>المصنع</v>
          </cell>
          <cell r="E257" t="str">
            <v>الامن و الحركه</v>
          </cell>
          <cell r="F257" t="str">
            <v>الامن</v>
          </cell>
          <cell r="G257" t="str">
            <v>فرد امن</v>
          </cell>
          <cell r="H257">
            <v>41247</v>
          </cell>
          <cell r="I257">
            <v>43498</v>
          </cell>
          <cell r="J257">
            <v>182.5</v>
          </cell>
          <cell r="K257">
            <v>0</v>
          </cell>
          <cell r="L257">
            <v>0</v>
          </cell>
          <cell r="M257">
            <v>0</v>
          </cell>
          <cell r="N257">
            <v>7</v>
          </cell>
          <cell r="O257">
            <v>0</v>
          </cell>
          <cell r="P257">
            <v>0</v>
          </cell>
          <cell r="Q257">
            <v>1</v>
          </cell>
          <cell r="R257">
            <v>5</v>
          </cell>
          <cell r="S257">
            <v>0</v>
          </cell>
          <cell r="T257">
            <v>0</v>
          </cell>
          <cell r="U257">
            <v>15</v>
          </cell>
          <cell r="V257">
            <v>0</v>
          </cell>
          <cell r="W257">
            <v>28</v>
          </cell>
          <cell r="X257">
            <v>37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</row>
        <row r="258">
          <cell r="B258">
            <v>376</v>
          </cell>
          <cell r="C258" t="str">
            <v>خضر ابراهيم خضر محمد</v>
          </cell>
          <cell r="D258" t="str">
            <v>المصنع</v>
          </cell>
          <cell r="E258" t="str">
            <v>الانتاج</v>
          </cell>
          <cell r="F258" t="str">
            <v>الاكسبنده</v>
          </cell>
          <cell r="G258" t="str">
            <v>عامل</v>
          </cell>
          <cell r="H258">
            <v>41249</v>
          </cell>
          <cell r="I258">
            <v>43498</v>
          </cell>
          <cell r="J258">
            <v>182.5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</v>
          </cell>
          <cell r="P258">
            <v>2</v>
          </cell>
          <cell r="Q258">
            <v>4</v>
          </cell>
          <cell r="R258">
            <v>3</v>
          </cell>
          <cell r="S258">
            <v>21</v>
          </cell>
          <cell r="T258">
            <v>0</v>
          </cell>
          <cell r="U258">
            <v>0</v>
          </cell>
          <cell r="V258">
            <v>0</v>
          </cell>
          <cell r="W258">
            <v>33</v>
          </cell>
          <cell r="X258">
            <v>28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</row>
        <row r="259">
          <cell r="B259">
            <v>386</v>
          </cell>
          <cell r="C259" t="str">
            <v>محمد ادم محمد عريف</v>
          </cell>
          <cell r="D259" t="str">
            <v>المصنع</v>
          </cell>
          <cell r="E259" t="str">
            <v>الانتاج</v>
          </cell>
          <cell r="F259">
            <v>0</v>
          </cell>
          <cell r="G259" t="str">
            <v>عامل</v>
          </cell>
          <cell r="H259">
            <v>41609</v>
          </cell>
          <cell r="I259">
            <v>0</v>
          </cell>
          <cell r="J259" t="e">
            <v>#NUM!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33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</row>
        <row r="260">
          <cell r="B260">
            <v>388</v>
          </cell>
          <cell r="C260" t="str">
            <v>MOHAMMED HAFEZ ULLAH</v>
          </cell>
          <cell r="D260" t="str">
            <v>أجانب</v>
          </cell>
          <cell r="E260" t="str">
            <v>الانتاج</v>
          </cell>
          <cell r="F260">
            <v>0</v>
          </cell>
          <cell r="G260">
            <v>0</v>
          </cell>
          <cell r="H260">
            <v>0</v>
          </cell>
          <cell r="I260">
            <v>43498</v>
          </cell>
          <cell r="J260">
            <v>3572.5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</row>
        <row r="261">
          <cell r="B261">
            <v>389</v>
          </cell>
          <cell r="C261" t="str">
            <v>JASHIM UDDIN</v>
          </cell>
          <cell r="D261" t="str">
            <v>أجانب</v>
          </cell>
          <cell r="E261" t="str">
            <v>الانتاج</v>
          </cell>
          <cell r="F261">
            <v>0</v>
          </cell>
          <cell r="G261">
            <v>0</v>
          </cell>
          <cell r="H261">
            <v>0</v>
          </cell>
          <cell r="I261">
            <v>43498</v>
          </cell>
          <cell r="J261">
            <v>3572.5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</row>
        <row r="262">
          <cell r="B262">
            <v>390</v>
          </cell>
          <cell r="C262" t="str">
            <v>MD SAZU MIAH</v>
          </cell>
          <cell r="D262" t="str">
            <v>أجانب</v>
          </cell>
          <cell r="E262" t="str">
            <v>الانتاج</v>
          </cell>
          <cell r="F262">
            <v>0</v>
          </cell>
          <cell r="G262">
            <v>0</v>
          </cell>
          <cell r="H262">
            <v>0</v>
          </cell>
          <cell r="I262">
            <v>43498</v>
          </cell>
          <cell r="J262">
            <v>3572.5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</row>
        <row r="263">
          <cell r="B263">
            <v>391</v>
          </cell>
          <cell r="C263" t="str">
            <v>PRADIP CHANDRA</v>
          </cell>
          <cell r="D263" t="str">
            <v>أجانب</v>
          </cell>
          <cell r="E263" t="str">
            <v>الانتاج</v>
          </cell>
          <cell r="F263">
            <v>0</v>
          </cell>
          <cell r="G263">
            <v>0</v>
          </cell>
          <cell r="H263">
            <v>0</v>
          </cell>
          <cell r="I263">
            <v>43498</v>
          </cell>
          <cell r="J263">
            <v>3572.5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</row>
        <row r="264">
          <cell r="B264">
            <v>393</v>
          </cell>
          <cell r="C264" t="str">
            <v>SHAJAHAN HOSSAIN</v>
          </cell>
          <cell r="D264" t="str">
            <v>أجانب</v>
          </cell>
          <cell r="E264" t="str">
            <v>الانتاج</v>
          </cell>
          <cell r="F264">
            <v>0</v>
          </cell>
          <cell r="G264">
            <v>0</v>
          </cell>
          <cell r="H264">
            <v>0</v>
          </cell>
          <cell r="I264">
            <v>43498</v>
          </cell>
          <cell r="J264">
            <v>3572.5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</row>
        <row r="265">
          <cell r="B265">
            <v>403</v>
          </cell>
          <cell r="C265" t="str">
            <v>محمد صلاح جعفر حمد</v>
          </cell>
          <cell r="D265" t="str">
            <v>المصنع</v>
          </cell>
          <cell r="E265" t="str">
            <v>المستودعات</v>
          </cell>
          <cell r="F265" t="str">
            <v>الخام</v>
          </cell>
          <cell r="G265" t="str">
            <v>امين مستودع خام</v>
          </cell>
          <cell r="H265">
            <v>42472</v>
          </cell>
          <cell r="I265">
            <v>43498</v>
          </cell>
          <cell r="J265">
            <v>82.5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2</v>
          </cell>
          <cell r="P265">
            <v>0</v>
          </cell>
          <cell r="Q265">
            <v>1</v>
          </cell>
          <cell r="R265">
            <v>3</v>
          </cell>
          <cell r="S265">
            <v>0</v>
          </cell>
          <cell r="T265">
            <v>30</v>
          </cell>
          <cell r="U265">
            <v>5</v>
          </cell>
          <cell r="V265">
            <v>0</v>
          </cell>
          <cell r="W265">
            <v>41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</row>
        <row r="266">
          <cell r="B266">
            <v>404</v>
          </cell>
          <cell r="C266" t="str">
            <v>NASER UDDIN</v>
          </cell>
          <cell r="D266" t="str">
            <v>أجانب</v>
          </cell>
          <cell r="E266" t="str">
            <v>الانتاج</v>
          </cell>
          <cell r="F266">
            <v>0</v>
          </cell>
          <cell r="G266">
            <v>0</v>
          </cell>
          <cell r="H266">
            <v>0</v>
          </cell>
          <cell r="I266">
            <v>43498</v>
          </cell>
          <cell r="J266">
            <v>3572.5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41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</row>
        <row r="267">
          <cell r="B267">
            <v>405</v>
          </cell>
          <cell r="C267" t="str">
            <v>ABDUL MOTALIB</v>
          </cell>
          <cell r="D267" t="str">
            <v>أجانب</v>
          </cell>
          <cell r="E267" t="str">
            <v>الانتاج</v>
          </cell>
          <cell r="F267">
            <v>0</v>
          </cell>
          <cell r="G267">
            <v>0</v>
          </cell>
          <cell r="H267">
            <v>0</v>
          </cell>
          <cell r="I267">
            <v>43498</v>
          </cell>
          <cell r="J267">
            <v>3572.5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</row>
        <row r="268">
          <cell r="B268">
            <v>407</v>
          </cell>
          <cell r="C268" t="str">
            <v>احمد محمد سليمان محمد على</v>
          </cell>
          <cell r="D268" t="str">
            <v>الرئاسه</v>
          </cell>
          <cell r="E268" t="str">
            <v>المشتريات</v>
          </cell>
          <cell r="F268">
            <v>0</v>
          </cell>
          <cell r="G268" t="str">
            <v>موظف مشتروات</v>
          </cell>
          <cell r="H268">
            <v>41281</v>
          </cell>
          <cell r="I268">
            <v>43498</v>
          </cell>
          <cell r="J268">
            <v>180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</row>
        <row r="269">
          <cell r="B269">
            <v>408</v>
          </cell>
          <cell r="C269" t="str">
            <v>احمد محمد موسى حسن</v>
          </cell>
          <cell r="D269" t="str">
            <v>المصنع</v>
          </cell>
          <cell r="E269" t="str">
            <v>الانتاج</v>
          </cell>
          <cell r="F269" t="str">
            <v>اليات</v>
          </cell>
          <cell r="G269" t="str">
            <v>سائق اليات</v>
          </cell>
          <cell r="H269">
            <v>41282</v>
          </cell>
          <cell r="I269">
            <v>43498</v>
          </cell>
          <cell r="J269">
            <v>180</v>
          </cell>
          <cell r="K269">
            <v>0</v>
          </cell>
          <cell r="L269">
            <v>0</v>
          </cell>
          <cell r="M269">
            <v>39</v>
          </cell>
          <cell r="N269">
            <v>0</v>
          </cell>
          <cell r="O269">
            <v>6</v>
          </cell>
          <cell r="P269">
            <v>0</v>
          </cell>
          <cell r="Q269">
            <v>1</v>
          </cell>
          <cell r="R269">
            <v>2</v>
          </cell>
          <cell r="S269">
            <v>5</v>
          </cell>
          <cell r="T269">
            <v>1</v>
          </cell>
          <cell r="U269">
            <v>0</v>
          </cell>
          <cell r="V269">
            <v>0</v>
          </cell>
          <cell r="W269">
            <v>54</v>
          </cell>
          <cell r="X269">
            <v>54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</row>
        <row r="270">
          <cell r="B270">
            <v>410</v>
          </cell>
          <cell r="C270" t="str">
            <v>امير احمد البشرى عبدالرحيم</v>
          </cell>
          <cell r="D270" t="str">
            <v>المصنع</v>
          </cell>
          <cell r="E270" t="str">
            <v>الكمبيوتر</v>
          </cell>
          <cell r="F270" t="str">
            <v>الكمبيوتر</v>
          </cell>
          <cell r="G270" t="str">
            <v>مهندس كمبيوتر</v>
          </cell>
          <cell r="H270">
            <v>41275</v>
          </cell>
          <cell r="I270">
            <v>43498</v>
          </cell>
          <cell r="J270">
            <v>182.5</v>
          </cell>
          <cell r="K270">
            <v>0</v>
          </cell>
          <cell r="L270">
            <v>0</v>
          </cell>
          <cell r="M270">
            <v>1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1</v>
          </cell>
          <cell r="X270">
            <v>1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</row>
        <row r="271">
          <cell r="B271">
            <v>411</v>
          </cell>
          <cell r="C271" t="str">
            <v>الحاج بليله عمر بليله</v>
          </cell>
          <cell r="D271" t="str">
            <v>المصنع</v>
          </cell>
          <cell r="E271" t="str">
            <v>الانتاج</v>
          </cell>
          <cell r="F271">
            <v>0</v>
          </cell>
          <cell r="G271" t="str">
            <v>مشغل كرين</v>
          </cell>
          <cell r="H271">
            <v>41296</v>
          </cell>
          <cell r="I271">
            <v>43498</v>
          </cell>
          <cell r="J271">
            <v>180</v>
          </cell>
          <cell r="K271">
            <v>2</v>
          </cell>
          <cell r="L271">
            <v>2</v>
          </cell>
          <cell r="M271">
            <v>0</v>
          </cell>
          <cell r="N271">
            <v>2</v>
          </cell>
          <cell r="O271">
            <v>0</v>
          </cell>
          <cell r="P271">
            <v>0</v>
          </cell>
          <cell r="Q271">
            <v>0</v>
          </cell>
          <cell r="R271">
            <v>8</v>
          </cell>
          <cell r="S271">
            <v>6</v>
          </cell>
          <cell r="T271">
            <v>0</v>
          </cell>
          <cell r="U271">
            <v>0</v>
          </cell>
          <cell r="V271">
            <v>0</v>
          </cell>
          <cell r="W271">
            <v>20</v>
          </cell>
          <cell r="X271">
            <v>20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</row>
        <row r="272">
          <cell r="B272">
            <v>413</v>
          </cell>
          <cell r="C272" t="str">
            <v xml:space="preserve">محمد الشفيع محمد </v>
          </cell>
          <cell r="D272" t="str">
            <v>المصنع</v>
          </cell>
          <cell r="E272" t="str">
            <v>المستودعات</v>
          </cell>
          <cell r="F272" t="str">
            <v>الميزان</v>
          </cell>
          <cell r="G272" t="str">
            <v>امين ميزان</v>
          </cell>
          <cell r="H272">
            <v>41307</v>
          </cell>
          <cell r="I272">
            <v>42705</v>
          </cell>
          <cell r="J272">
            <v>112.5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</row>
        <row r="273">
          <cell r="B273">
            <v>415</v>
          </cell>
          <cell r="C273" t="str">
            <v>عبدالخالق حسن محمد ابراهيم</v>
          </cell>
          <cell r="D273" t="str">
            <v>المصنع</v>
          </cell>
          <cell r="E273" t="str">
            <v>الميكانيكا</v>
          </cell>
          <cell r="F273" t="str">
            <v>الميكانيكا</v>
          </cell>
          <cell r="G273" t="str">
            <v>تقنى ميكانيكا</v>
          </cell>
          <cell r="H273">
            <v>41312</v>
          </cell>
          <cell r="I273">
            <v>43498</v>
          </cell>
          <cell r="J273">
            <v>177.5</v>
          </cell>
          <cell r="K273">
            <v>0</v>
          </cell>
          <cell r="L273">
            <v>0</v>
          </cell>
          <cell r="M273">
            <v>7</v>
          </cell>
          <cell r="N273">
            <v>1</v>
          </cell>
          <cell r="O273">
            <v>0</v>
          </cell>
          <cell r="P273">
            <v>7</v>
          </cell>
          <cell r="Q273">
            <v>1</v>
          </cell>
          <cell r="R273">
            <v>6</v>
          </cell>
          <cell r="S273">
            <v>4</v>
          </cell>
          <cell r="T273">
            <v>0</v>
          </cell>
          <cell r="U273">
            <v>5</v>
          </cell>
          <cell r="V273">
            <v>0</v>
          </cell>
          <cell r="W273">
            <v>31</v>
          </cell>
          <cell r="X273">
            <v>31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</row>
        <row r="274">
          <cell r="B274">
            <v>418</v>
          </cell>
          <cell r="C274" t="str">
            <v>معتز موسى وجين دارموس</v>
          </cell>
          <cell r="D274" t="str">
            <v>المصنع</v>
          </cell>
          <cell r="E274" t="str">
            <v>الجوده</v>
          </cell>
          <cell r="F274">
            <v>0</v>
          </cell>
          <cell r="G274" t="str">
            <v>مراقب انتاج</v>
          </cell>
          <cell r="H274">
            <v>43193</v>
          </cell>
          <cell r="I274">
            <v>43498</v>
          </cell>
          <cell r="J274">
            <v>22.5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1</v>
          </cell>
          <cell r="AC274">
            <v>2</v>
          </cell>
          <cell r="AD274">
            <v>1</v>
          </cell>
          <cell r="AE274">
            <v>2</v>
          </cell>
          <cell r="AF274">
            <v>5</v>
          </cell>
          <cell r="AG274">
            <v>12</v>
          </cell>
          <cell r="AH274">
            <v>1</v>
          </cell>
          <cell r="AI274">
            <v>4</v>
          </cell>
          <cell r="AJ274">
            <v>3</v>
          </cell>
          <cell r="AK274">
            <v>0</v>
          </cell>
        </row>
        <row r="275">
          <cell r="B275">
            <v>420</v>
          </cell>
          <cell r="C275" t="str">
            <v>صلاح احمد الهادى</v>
          </cell>
          <cell r="D275" t="str">
            <v>المصنع</v>
          </cell>
          <cell r="E275" t="str">
            <v>الانتاج</v>
          </cell>
          <cell r="F275">
            <v>0</v>
          </cell>
          <cell r="G275" t="str">
            <v>عامل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28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</row>
        <row r="276">
          <cell r="B276">
            <v>425</v>
          </cell>
          <cell r="C276" t="str">
            <v>الفاتح محمد عامر سليمان</v>
          </cell>
          <cell r="D276" t="str">
            <v>المصنع</v>
          </cell>
          <cell r="E276" t="str">
            <v>الميكانيكا</v>
          </cell>
          <cell r="F276" t="str">
            <v>مشرف صيانه</v>
          </cell>
          <cell r="G276" t="str">
            <v>مشرف صيانه</v>
          </cell>
          <cell r="H276">
            <v>41334</v>
          </cell>
          <cell r="I276">
            <v>43498</v>
          </cell>
          <cell r="J276">
            <v>177.5</v>
          </cell>
          <cell r="K276">
            <v>2</v>
          </cell>
          <cell r="L276">
            <v>6</v>
          </cell>
          <cell r="M276">
            <v>5</v>
          </cell>
          <cell r="N276">
            <v>4</v>
          </cell>
          <cell r="O276">
            <v>1</v>
          </cell>
          <cell r="P276">
            <v>2</v>
          </cell>
          <cell r="Q276">
            <v>0</v>
          </cell>
          <cell r="R276">
            <v>1</v>
          </cell>
          <cell r="S276">
            <v>0</v>
          </cell>
          <cell r="T276">
            <v>0</v>
          </cell>
          <cell r="U276">
            <v>2</v>
          </cell>
          <cell r="V276">
            <v>5</v>
          </cell>
          <cell r="W276">
            <v>28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</row>
        <row r="277">
          <cell r="B277">
            <v>431</v>
          </cell>
          <cell r="C277" t="str">
            <v>عصمت الزبير عمر الحسين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15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</row>
        <row r="278">
          <cell r="B278">
            <v>434</v>
          </cell>
          <cell r="C278" t="str">
            <v>معاذ مجزوب بشير محمد</v>
          </cell>
          <cell r="D278" t="str">
            <v>المصنع</v>
          </cell>
          <cell r="E278" t="str">
            <v>الانتاج</v>
          </cell>
          <cell r="F278" t="str">
            <v>المواسير</v>
          </cell>
          <cell r="G278" t="str">
            <v>مساعد مشغل</v>
          </cell>
          <cell r="H278">
            <v>41352</v>
          </cell>
          <cell r="I278">
            <v>43498</v>
          </cell>
          <cell r="J278">
            <v>175</v>
          </cell>
          <cell r="K278">
            <v>0</v>
          </cell>
          <cell r="L278">
            <v>0</v>
          </cell>
          <cell r="M278">
            <v>0</v>
          </cell>
          <cell r="N278">
            <v>1</v>
          </cell>
          <cell r="O278">
            <v>2</v>
          </cell>
          <cell r="P278">
            <v>3</v>
          </cell>
          <cell r="Q278">
            <v>2</v>
          </cell>
          <cell r="R278">
            <v>1</v>
          </cell>
          <cell r="S278">
            <v>3</v>
          </cell>
          <cell r="T278">
            <v>0</v>
          </cell>
          <cell r="U278">
            <v>0</v>
          </cell>
          <cell r="V278">
            <v>3</v>
          </cell>
          <cell r="W278">
            <v>15</v>
          </cell>
          <cell r="X278">
            <v>49</v>
          </cell>
          <cell r="Y278">
            <v>0</v>
          </cell>
          <cell r="Z278">
            <v>1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</row>
        <row r="279">
          <cell r="B279">
            <v>436</v>
          </cell>
          <cell r="C279" t="str">
            <v>يوسف دفع الله الحسين بابكر</v>
          </cell>
          <cell r="D279" t="str">
            <v>المصنع</v>
          </cell>
          <cell r="E279" t="str">
            <v>الانتاج</v>
          </cell>
          <cell r="F279" t="str">
            <v>المواسير</v>
          </cell>
          <cell r="G279" t="str">
            <v>مساعد مشغل</v>
          </cell>
          <cell r="H279">
            <v>41356</v>
          </cell>
          <cell r="I279">
            <v>43498</v>
          </cell>
          <cell r="J279">
            <v>175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0</v>
          </cell>
          <cell r="P279">
            <v>2</v>
          </cell>
          <cell r="Q279">
            <v>3</v>
          </cell>
          <cell r="R279">
            <v>2</v>
          </cell>
          <cell r="S279">
            <v>4</v>
          </cell>
          <cell r="T279">
            <v>3</v>
          </cell>
          <cell r="U279">
            <v>0</v>
          </cell>
          <cell r="V279">
            <v>30</v>
          </cell>
          <cell r="W279">
            <v>49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</row>
        <row r="280">
          <cell r="B280">
            <v>437</v>
          </cell>
          <cell r="C280" t="str">
            <v>عبد الاله احمد طه احمد</v>
          </cell>
          <cell r="D280" t="str">
            <v>المصنع</v>
          </cell>
          <cell r="E280" t="str">
            <v>الانتاج</v>
          </cell>
          <cell r="F280">
            <v>0</v>
          </cell>
          <cell r="G280" t="str">
            <v>عامل</v>
          </cell>
          <cell r="H280">
            <v>41356</v>
          </cell>
          <cell r="I280">
            <v>0</v>
          </cell>
          <cell r="J280" t="e">
            <v>#NUM!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7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</row>
        <row r="281">
          <cell r="B281">
            <v>439</v>
          </cell>
          <cell r="C281" t="str">
            <v>مصعب اسماعيل الشيخ محمد</v>
          </cell>
          <cell r="D281" t="str">
            <v>المصنع</v>
          </cell>
          <cell r="E281" t="str">
            <v>الانتاج</v>
          </cell>
          <cell r="F281" t="str">
            <v>عداد</v>
          </cell>
          <cell r="G281" t="str">
            <v>مراجع</v>
          </cell>
          <cell r="H281">
            <v>41356</v>
          </cell>
          <cell r="I281">
            <v>43498</v>
          </cell>
          <cell r="J281">
            <v>175</v>
          </cell>
          <cell r="K281">
            <v>0</v>
          </cell>
          <cell r="L281">
            <v>0</v>
          </cell>
          <cell r="M281">
            <v>1</v>
          </cell>
          <cell r="N281">
            <v>0</v>
          </cell>
          <cell r="O281">
            <v>2</v>
          </cell>
          <cell r="P281">
            <v>0</v>
          </cell>
          <cell r="Q281">
            <v>0</v>
          </cell>
          <cell r="R281">
            <v>3</v>
          </cell>
          <cell r="S281">
            <v>1</v>
          </cell>
          <cell r="T281">
            <v>0</v>
          </cell>
          <cell r="U281">
            <v>0</v>
          </cell>
          <cell r="V281">
            <v>0</v>
          </cell>
          <cell r="W281">
            <v>7</v>
          </cell>
          <cell r="X281">
            <v>12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</row>
        <row r="282">
          <cell r="B282">
            <v>440</v>
          </cell>
          <cell r="C282" t="str">
            <v>عبدالله فيصل بدوى احمد</v>
          </cell>
          <cell r="D282" t="str">
            <v>المصنع</v>
          </cell>
          <cell r="E282" t="str">
            <v>المستودعات</v>
          </cell>
          <cell r="F282" t="str">
            <v>الاسكلبات</v>
          </cell>
          <cell r="G282" t="str">
            <v>امين مستودع ا س</v>
          </cell>
          <cell r="H282">
            <v>41357</v>
          </cell>
          <cell r="I282">
            <v>43498</v>
          </cell>
          <cell r="J282">
            <v>175</v>
          </cell>
          <cell r="K282">
            <v>1</v>
          </cell>
          <cell r="L282">
            <v>0</v>
          </cell>
          <cell r="M282">
            <v>0</v>
          </cell>
          <cell r="N282">
            <v>1</v>
          </cell>
          <cell r="O282">
            <v>2</v>
          </cell>
          <cell r="P282">
            <v>1</v>
          </cell>
          <cell r="Q282">
            <v>3</v>
          </cell>
          <cell r="R282">
            <v>1</v>
          </cell>
          <cell r="S282">
            <v>2</v>
          </cell>
          <cell r="T282">
            <v>0</v>
          </cell>
          <cell r="U282">
            <v>1</v>
          </cell>
          <cell r="V282">
            <v>0</v>
          </cell>
          <cell r="W282">
            <v>12</v>
          </cell>
          <cell r="X282">
            <v>68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</row>
        <row r="283">
          <cell r="B283">
            <v>441</v>
          </cell>
          <cell r="C283" t="str">
            <v>يوسف حمد خالد على</v>
          </cell>
          <cell r="D283" t="str">
            <v>المصنع</v>
          </cell>
          <cell r="E283" t="str">
            <v>الانتاج</v>
          </cell>
          <cell r="F283" t="str">
            <v>عداد</v>
          </cell>
          <cell r="G283" t="str">
            <v>عامل</v>
          </cell>
          <cell r="H283">
            <v>41357</v>
          </cell>
          <cell r="I283">
            <v>43498</v>
          </cell>
          <cell r="J283">
            <v>175</v>
          </cell>
          <cell r="K283">
            <v>9</v>
          </cell>
          <cell r="L283">
            <v>3</v>
          </cell>
          <cell r="M283">
            <v>1</v>
          </cell>
          <cell r="N283">
            <v>13</v>
          </cell>
          <cell r="O283">
            <v>0</v>
          </cell>
          <cell r="P283">
            <v>2</v>
          </cell>
          <cell r="Q283">
            <v>3</v>
          </cell>
          <cell r="R283">
            <v>1</v>
          </cell>
          <cell r="S283">
            <v>3</v>
          </cell>
          <cell r="T283">
            <v>2</v>
          </cell>
          <cell r="U283">
            <v>1</v>
          </cell>
          <cell r="V283">
            <v>30</v>
          </cell>
          <cell r="W283">
            <v>68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</row>
        <row r="284">
          <cell r="B284">
            <v>445</v>
          </cell>
          <cell r="C284" t="str">
            <v>عبد الله ابراهيم عبد القادر</v>
          </cell>
          <cell r="D284" t="str">
            <v>المصنع</v>
          </cell>
          <cell r="E284" t="str">
            <v>الانتاج</v>
          </cell>
          <cell r="F284">
            <v>0</v>
          </cell>
          <cell r="G284" t="str">
            <v>عامل</v>
          </cell>
          <cell r="H284">
            <v>41710</v>
          </cell>
          <cell r="I284">
            <v>0</v>
          </cell>
          <cell r="J284" t="e">
            <v>#NUM!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</row>
        <row r="285">
          <cell r="B285">
            <v>449</v>
          </cell>
          <cell r="C285" t="str">
            <v>معاويه بابكر احمد على</v>
          </cell>
          <cell r="D285" t="str">
            <v>المصنع</v>
          </cell>
          <cell r="E285" t="str">
            <v>المستودعات</v>
          </cell>
          <cell r="F285">
            <v>0</v>
          </cell>
          <cell r="G285" t="str">
            <v>عامل</v>
          </cell>
          <cell r="H285">
            <v>41363</v>
          </cell>
          <cell r="I285">
            <v>0</v>
          </cell>
          <cell r="J285" t="e">
            <v>#NUM!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21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</row>
        <row r="286">
          <cell r="B286">
            <v>453</v>
          </cell>
          <cell r="C286" t="str">
            <v>احمد ابكر على محمد</v>
          </cell>
          <cell r="D286" t="str">
            <v>المصنع</v>
          </cell>
          <cell r="E286" t="str">
            <v>الانتاج</v>
          </cell>
          <cell r="F286" t="str">
            <v>الاكسبنده</v>
          </cell>
          <cell r="G286" t="str">
            <v>مشغل</v>
          </cell>
          <cell r="H286">
            <v>41365</v>
          </cell>
          <cell r="I286">
            <v>43498</v>
          </cell>
          <cell r="J286">
            <v>175</v>
          </cell>
          <cell r="K286">
            <v>4</v>
          </cell>
          <cell r="L286">
            <v>0</v>
          </cell>
          <cell r="M286">
            <v>2</v>
          </cell>
          <cell r="N286">
            <v>0</v>
          </cell>
          <cell r="O286">
            <v>2</v>
          </cell>
          <cell r="P286">
            <v>1</v>
          </cell>
          <cell r="Q286">
            <v>2</v>
          </cell>
          <cell r="R286">
            <v>4</v>
          </cell>
          <cell r="S286">
            <v>3</v>
          </cell>
          <cell r="T286">
            <v>0</v>
          </cell>
          <cell r="U286">
            <v>3</v>
          </cell>
          <cell r="V286">
            <v>0</v>
          </cell>
          <cell r="W286">
            <v>21</v>
          </cell>
          <cell r="X286">
            <v>40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</row>
        <row r="287">
          <cell r="B287">
            <v>455</v>
          </cell>
          <cell r="C287" t="str">
            <v>عصام الامين الحاج البشير</v>
          </cell>
          <cell r="D287" t="str">
            <v>المصنع</v>
          </cell>
          <cell r="E287" t="str">
            <v>الوحده العلاجيه</v>
          </cell>
          <cell r="F287">
            <v>0</v>
          </cell>
          <cell r="G287" t="str">
            <v>ممرض</v>
          </cell>
          <cell r="H287">
            <v>41365</v>
          </cell>
          <cell r="I287">
            <v>43498</v>
          </cell>
          <cell r="J287">
            <v>175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10</v>
          </cell>
          <cell r="V287">
            <v>30</v>
          </cell>
          <cell r="W287">
            <v>40</v>
          </cell>
          <cell r="X287">
            <v>59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</row>
        <row r="288">
          <cell r="B288">
            <v>459</v>
          </cell>
          <cell r="C288" t="str">
            <v>على عمر احمد سبوبه</v>
          </cell>
          <cell r="D288" t="str">
            <v>المصنع</v>
          </cell>
          <cell r="E288" t="str">
            <v>الميكانيكا</v>
          </cell>
          <cell r="F288" t="str">
            <v>المخارط</v>
          </cell>
          <cell r="G288" t="str">
            <v>خراط</v>
          </cell>
          <cell r="H288">
            <v>41368</v>
          </cell>
          <cell r="I288">
            <v>43498</v>
          </cell>
          <cell r="J288">
            <v>172.5</v>
          </cell>
          <cell r="K288">
            <v>0</v>
          </cell>
          <cell r="L288">
            <v>3</v>
          </cell>
          <cell r="M288">
            <v>0</v>
          </cell>
          <cell r="N288">
            <v>2</v>
          </cell>
          <cell r="O288">
            <v>3</v>
          </cell>
          <cell r="P288">
            <v>1</v>
          </cell>
          <cell r="Q288">
            <v>1</v>
          </cell>
          <cell r="R288">
            <v>8</v>
          </cell>
          <cell r="S288">
            <v>2</v>
          </cell>
          <cell r="T288">
            <v>7</v>
          </cell>
          <cell r="U288">
            <v>2</v>
          </cell>
          <cell r="V288">
            <v>30</v>
          </cell>
          <cell r="W288">
            <v>59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</row>
        <row r="289">
          <cell r="B289">
            <v>461</v>
          </cell>
          <cell r="C289" t="str">
            <v>عادل احمد تاج الدين محمد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13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</row>
        <row r="290">
          <cell r="B290">
            <v>470</v>
          </cell>
          <cell r="C290" t="str">
            <v>بشرى الطيب حسب الله ضوالبيت</v>
          </cell>
          <cell r="D290" t="str">
            <v>المصنع</v>
          </cell>
          <cell r="E290" t="str">
            <v>الانتاج</v>
          </cell>
          <cell r="F290" t="str">
            <v>الزوايا</v>
          </cell>
          <cell r="G290" t="str">
            <v>مشغل</v>
          </cell>
          <cell r="H290">
            <v>41365</v>
          </cell>
          <cell r="I290">
            <v>43498</v>
          </cell>
          <cell r="J290">
            <v>175</v>
          </cell>
          <cell r="K290">
            <v>0</v>
          </cell>
          <cell r="L290">
            <v>0</v>
          </cell>
          <cell r="M290">
            <v>0</v>
          </cell>
          <cell r="N290">
            <v>2</v>
          </cell>
          <cell r="O290">
            <v>0</v>
          </cell>
          <cell r="P290">
            <v>0</v>
          </cell>
          <cell r="Q290">
            <v>0</v>
          </cell>
          <cell r="R290">
            <v>4</v>
          </cell>
          <cell r="S290">
            <v>4</v>
          </cell>
          <cell r="T290">
            <v>3</v>
          </cell>
          <cell r="U290">
            <v>0</v>
          </cell>
          <cell r="V290">
            <v>0</v>
          </cell>
          <cell r="W290">
            <v>13</v>
          </cell>
          <cell r="X290">
            <v>25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</row>
        <row r="291">
          <cell r="B291">
            <v>478</v>
          </cell>
          <cell r="C291" t="str">
            <v>على بشير الزين بشير</v>
          </cell>
          <cell r="D291" t="str">
            <v>المصنع</v>
          </cell>
          <cell r="E291" t="str">
            <v>الانتاج</v>
          </cell>
          <cell r="F291" t="str">
            <v>الاكسبنده</v>
          </cell>
          <cell r="G291" t="str">
            <v>فورمان</v>
          </cell>
          <cell r="H291">
            <v>41370</v>
          </cell>
          <cell r="I291">
            <v>43498</v>
          </cell>
          <cell r="J291">
            <v>172.5</v>
          </cell>
          <cell r="K291">
            <v>3</v>
          </cell>
          <cell r="L291">
            <v>0</v>
          </cell>
          <cell r="M291">
            <v>0</v>
          </cell>
          <cell r="N291">
            <v>0</v>
          </cell>
          <cell r="O291">
            <v>5</v>
          </cell>
          <cell r="P291">
            <v>0</v>
          </cell>
          <cell r="Q291">
            <v>6</v>
          </cell>
          <cell r="R291">
            <v>2</v>
          </cell>
          <cell r="S291">
            <v>1</v>
          </cell>
          <cell r="T291">
            <v>3</v>
          </cell>
          <cell r="U291">
            <v>5</v>
          </cell>
          <cell r="V291">
            <v>0</v>
          </cell>
          <cell r="W291">
            <v>25</v>
          </cell>
          <cell r="X291">
            <v>52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</row>
        <row r="292">
          <cell r="B292">
            <v>479</v>
          </cell>
          <cell r="C292" t="str">
            <v>الهادى محى الدين احمد النزير</v>
          </cell>
          <cell r="D292" t="str">
            <v>المصنع</v>
          </cell>
          <cell r="E292" t="str">
            <v>الانتاج</v>
          </cell>
          <cell r="F292" t="str">
            <v>الزوايا</v>
          </cell>
          <cell r="G292" t="str">
            <v>عامل</v>
          </cell>
          <cell r="H292">
            <v>41377</v>
          </cell>
          <cell r="I292">
            <v>43498</v>
          </cell>
          <cell r="J292">
            <v>172.5</v>
          </cell>
          <cell r="K292">
            <v>1</v>
          </cell>
          <cell r="L292">
            <v>1</v>
          </cell>
          <cell r="M292">
            <v>2</v>
          </cell>
          <cell r="N292">
            <v>0</v>
          </cell>
          <cell r="O292">
            <v>1</v>
          </cell>
          <cell r="P292">
            <v>5</v>
          </cell>
          <cell r="Q292">
            <v>4</v>
          </cell>
          <cell r="R292">
            <v>4</v>
          </cell>
          <cell r="S292">
            <v>3</v>
          </cell>
          <cell r="T292">
            <v>1</v>
          </cell>
          <cell r="U292">
            <v>0</v>
          </cell>
          <cell r="V292">
            <v>30</v>
          </cell>
          <cell r="W292">
            <v>52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</row>
        <row r="293">
          <cell r="B293">
            <v>482</v>
          </cell>
          <cell r="C293" t="str">
            <v>سليمان حسين زياده فضل المولى</v>
          </cell>
          <cell r="D293" t="str">
            <v>المصنع</v>
          </cell>
          <cell r="E293" t="str">
            <v>الامن و الحركه</v>
          </cell>
          <cell r="F293">
            <v>0</v>
          </cell>
          <cell r="G293" t="str">
            <v>فرد امن</v>
          </cell>
          <cell r="H293">
            <v>41377</v>
          </cell>
          <cell r="I293">
            <v>0</v>
          </cell>
          <cell r="J293" t="e">
            <v>#NUM!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</row>
        <row r="294">
          <cell r="B294">
            <v>484</v>
          </cell>
          <cell r="C294" t="str">
            <v>عبدالباقى تميم الدار محمد الحسين</v>
          </cell>
          <cell r="D294" t="str">
            <v>المصنع</v>
          </cell>
          <cell r="E294" t="str">
            <v>الانتاج</v>
          </cell>
          <cell r="F294">
            <v>0</v>
          </cell>
          <cell r="G294" t="str">
            <v>عداد</v>
          </cell>
          <cell r="H294">
            <v>41378</v>
          </cell>
          <cell r="I294">
            <v>0</v>
          </cell>
          <cell r="J294" t="e">
            <v>#NUM!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46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</row>
        <row r="295">
          <cell r="B295">
            <v>491</v>
          </cell>
          <cell r="C295" t="str">
            <v>محمد محمود محمد الطيب</v>
          </cell>
          <cell r="D295" t="str">
            <v>المصنع</v>
          </cell>
          <cell r="E295" t="str">
            <v>الكهرباء</v>
          </cell>
          <cell r="F295" t="str">
            <v>المواسير</v>
          </cell>
          <cell r="G295" t="str">
            <v>فنى كهرباء</v>
          </cell>
          <cell r="H295">
            <v>41401</v>
          </cell>
          <cell r="I295">
            <v>43498</v>
          </cell>
          <cell r="J295">
            <v>170</v>
          </cell>
          <cell r="K295">
            <v>0</v>
          </cell>
          <cell r="L295">
            <v>2</v>
          </cell>
          <cell r="M295">
            <v>1</v>
          </cell>
          <cell r="N295">
            <v>4</v>
          </cell>
          <cell r="O295">
            <v>0</v>
          </cell>
          <cell r="P295">
            <v>1</v>
          </cell>
          <cell r="Q295">
            <v>0</v>
          </cell>
          <cell r="R295">
            <v>3</v>
          </cell>
          <cell r="S295">
            <v>3</v>
          </cell>
          <cell r="T295">
            <v>3</v>
          </cell>
          <cell r="U295">
            <v>0</v>
          </cell>
          <cell r="V295">
            <v>29</v>
          </cell>
          <cell r="W295">
            <v>46</v>
          </cell>
          <cell r="X295">
            <v>0</v>
          </cell>
          <cell r="Y295">
            <v>24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</row>
        <row r="296">
          <cell r="B296">
            <v>494</v>
          </cell>
          <cell r="C296" t="str">
            <v>امير عثمان محمد احمد</v>
          </cell>
          <cell r="D296" t="str">
            <v>المصنع</v>
          </cell>
          <cell r="E296" t="str">
            <v>الخدمات</v>
          </cell>
          <cell r="F296">
            <v>0</v>
          </cell>
          <cell r="G296" t="str">
            <v>عامل</v>
          </cell>
          <cell r="H296">
            <v>41410</v>
          </cell>
          <cell r="I296">
            <v>0</v>
          </cell>
          <cell r="J296" t="e">
            <v>#NUM!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46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</row>
        <row r="297">
          <cell r="B297">
            <v>495</v>
          </cell>
          <cell r="C297" t="str">
            <v>عاطف ابراهيم محمد احمد</v>
          </cell>
          <cell r="D297" t="str">
            <v>المصنع</v>
          </cell>
          <cell r="E297" t="str">
            <v>الانتاج</v>
          </cell>
          <cell r="F297" t="str">
            <v>الزوايا</v>
          </cell>
          <cell r="G297" t="str">
            <v>عامل</v>
          </cell>
          <cell r="H297">
            <v>41411</v>
          </cell>
          <cell r="I297">
            <v>43498</v>
          </cell>
          <cell r="J297">
            <v>170</v>
          </cell>
          <cell r="K297">
            <v>1</v>
          </cell>
          <cell r="L297">
            <v>0</v>
          </cell>
          <cell r="M297">
            <v>3</v>
          </cell>
          <cell r="N297">
            <v>1</v>
          </cell>
          <cell r="O297">
            <v>0</v>
          </cell>
          <cell r="P297">
            <v>1</v>
          </cell>
          <cell r="Q297">
            <v>1</v>
          </cell>
          <cell r="R297">
            <v>4</v>
          </cell>
          <cell r="S297">
            <v>4</v>
          </cell>
          <cell r="T297">
            <v>0</v>
          </cell>
          <cell r="U297">
            <v>1</v>
          </cell>
          <cell r="V297">
            <v>30</v>
          </cell>
          <cell r="W297">
            <v>46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</row>
        <row r="298">
          <cell r="B298">
            <v>498</v>
          </cell>
          <cell r="C298" t="str">
            <v>الصادق محمد احمد</v>
          </cell>
          <cell r="D298" t="str">
            <v>المصنع</v>
          </cell>
          <cell r="E298" t="str">
            <v>المستودعات</v>
          </cell>
          <cell r="F298">
            <v>0</v>
          </cell>
          <cell r="G298" t="str">
            <v>امين مستودع ق غ</v>
          </cell>
          <cell r="H298">
            <v>41414</v>
          </cell>
          <cell r="I298">
            <v>42498</v>
          </cell>
          <cell r="J298">
            <v>87.5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19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</row>
        <row r="299">
          <cell r="B299">
            <v>503</v>
          </cell>
          <cell r="C299" t="str">
            <v>الحاج العباس الزبير الحاج</v>
          </cell>
          <cell r="D299" t="str">
            <v>المصنع</v>
          </cell>
          <cell r="E299" t="str">
            <v>المستودعات</v>
          </cell>
          <cell r="F299" t="str">
            <v>المنتج الجاهز</v>
          </cell>
          <cell r="G299" t="str">
            <v>امين مستودع م ج</v>
          </cell>
          <cell r="H299">
            <v>41428</v>
          </cell>
          <cell r="I299">
            <v>43498</v>
          </cell>
          <cell r="J299">
            <v>167.5</v>
          </cell>
          <cell r="K299">
            <v>1</v>
          </cell>
          <cell r="L299">
            <v>0</v>
          </cell>
          <cell r="M299">
            <v>2</v>
          </cell>
          <cell r="N299">
            <v>0</v>
          </cell>
          <cell r="O299">
            <v>1</v>
          </cell>
          <cell r="P299">
            <v>1</v>
          </cell>
          <cell r="Q299">
            <v>1</v>
          </cell>
          <cell r="R299">
            <v>0</v>
          </cell>
          <cell r="S299">
            <v>6</v>
          </cell>
          <cell r="T299">
            <v>2</v>
          </cell>
          <cell r="U299">
            <v>2</v>
          </cell>
          <cell r="V299">
            <v>3</v>
          </cell>
          <cell r="W299">
            <v>19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</row>
        <row r="300">
          <cell r="B300">
            <v>506</v>
          </cell>
          <cell r="C300" t="str">
            <v>حامد الامين احمد النور</v>
          </cell>
          <cell r="D300" t="str">
            <v>المصنع</v>
          </cell>
          <cell r="E300" t="str">
            <v>الانتاج</v>
          </cell>
          <cell r="F300">
            <v>0</v>
          </cell>
          <cell r="G300" t="str">
            <v>عامل</v>
          </cell>
          <cell r="H300">
            <v>41433</v>
          </cell>
          <cell r="I300">
            <v>0</v>
          </cell>
          <cell r="J300" t="e">
            <v>#NUM!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</row>
        <row r="301">
          <cell r="B301">
            <v>508</v>
          </cell>
          <cell r="C301" t="str">
            <v>طالب بشير احمد عبده</v>
          </cell>
          <cell r="D301" t="str">
            <v>المصنع</v>
          </cell>
          <cell r="E301" t="str">
            <v>الانتاج</v>
          </cell>
          <cell r="F301">
            <v>0</v>
          </cell>
          <cell r="G301" t="str">
            <v>عامل</v>
          </cell>
          <cell r="H301">
            <v>41435</v>
          </cell>
          <cell r="I301">
            <v>0</v>
          </cell>
          <cell r="J301" t="e">
            <v>#NUM!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46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</row>
        <row r="302">
          <cell r="B302">
            <v>510</v>
          </cell>
          <cell r="C302" t="str">
            <v>عادل ابراهيم محمد احمد</v>
          </cell>
          <cell r="D302" t="str">
            <v>المصنع</v>
          </cell>
          <cell r="E302" t="str">
            <v>الانتاج</v>
          </cell>
          <cell r="F302" t="str">
            <v>الزوايا</v>
          </cell>
          <cell r="G302" t="str">
            <v>عامل</v>
          </cell>
          <cell r="H302">
            <v>41435</v>
          </cell>
          <cell r="I302">
            <v>43498</v>
          </cell>
          <cell r="J302">
            <v>167.5</v>
          </cell>
          <cell r="K302">
            <v>3</v>
          </cell>
          <cell r="L302">
            <v>0</v>
          </cell>
          <cell r="M302">
            <v>2</v>
          </cell>
          <cell r="N302">
            <v>0</v>
          </cell>
          <cell r="O302">
            <v>1</v>
          </cell>
          <cell r="P302">
            <v>1</v>
          </cell>
          <cell r="Q302">
            <v>1</v>
          </cell>
          <cell r="R302">
            <v>2</v>
          </cell>
          <cell r="S302">
            <v>4</v>
          </cell>
          <cell r="T302">
            <v>1</v>
          </cell>
          <cell r="U302">
            <v>1</v>
          </cell>
          <cell r="V302">
            <v>30</v>
          </cell>
          <cell r="W302">
            <v>46</v>
          </cell>
          <cell r="X302">
            <v>42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</row>
        <row r="303">
          <cell r="B303">
            <v>511</v>
          </cell>
          <cell r="C303" t="str">
            <v>احمد البشرى محمد احمد</v>
          </cell>
          <cell r="D303" t="str">
            <v>المصنع</v>
          </cell>
          <cell r="E303" t="str">
            <v>الانتاج</v>
          </cell>
          <cell r="F303" t="str">
            <v>الزوايا</v>
          </cell>
          <cell r="G303" t="str">
            <v>عامل</v>
          </cell>
          <cell r="H303">
            <v>41435</v>
          </cell>
          <cell r="I303">
            <v>43498</v>
          </cell>
          <cell r="J303">
            <v>167.5</v>
          </cell>
          <cell r="K303">
            <v>0</v>
          </cell>
          <cell r="L303">
            <v>0</v>
          </cell>
          <cell r="M303">
            <v>0</v>
          </cell>
          <cell r="N303">
            <v>2</v>
          </cell>
          <cell r="O303">
            <v>0</v>
          </cell>
          <cell r="P303">
            <v>1</v>
          </cell>
          <cell r="Q303">
            <v>0</v>
          </cell>
          <cell r="R303">
            <v>1</v>
          </cell>
          <cell r="S303">
            <v>8</v>
          </cell>
          <cell r="T303">
            <v>0</v>
          </cell>
          <cell r="U303">
            <v>0</v>
          </cell>
          <cell r="V303">
            <v>30</v>
          </cell>
          <cell r="W303">
            <v>42</v>
          </cell>
          <cell r="X303">
            <v>60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</row>
        <row r="304">
          <cell r="B304">
            <v>514</v>
          </cell>
          <cell r="C304" t="str">
            <v>مشاور قسم الله عبدالله قسم الله</v>
          </cell>
          <cell r="D304" t="str">
            <v>المصنع</v>
          </cell>
          <cell r="E304" t="str">
            <v>الانتاج</v>
          </cell>
          <cell r="F304" t="str">
            <v>الاكسبنده</v>
          </cell>
          <cell r="G304" t="str">
            <v>مساعد مشغل</v>
          </cell>
          <cell r="H304">
            <v>41440</v>
          </cell>
          <cell r="I304">
            <v>43498</v>
          </cell>
          <cell r="J304">
            <v>167.5</v>
          </cell>
          <cell r="K304">
            <v>2</v>
          </cell>
          <cell r="L304">
            <v>1</v>
          </cell>
          <cell r="M304">
            <v>2</v>
          </cell>
          <cell r="N304">
            <v>1</v>
          </cell>
          <cell r="O304">
            <v>2</v>
          </cell>
          <cell r="P304">
            <v>0</v>
          </cell>
          <cell r="Q304">
            <v>6</v>
          </cell>
          <cell r="R304">
            <v>2</v>
          </cell>
          <cell r="S304">
            <v>6</v>
          </cell>
          <cell r="T304">
            <v>3</v>
          </cell>
          <cell r="U304">
            <v>5</v>
          </cell>
          <cell r="V304">
            <v>30</v>
          </cell>
          <cell r="W304">
            <v>60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</row>
        <row r="305">
          <cell r="B305">
            <v>518</v>
          </cell>
          <cell r="C305" t="str">
            <v>هيثم عبدالقادر عبدالرحمن احمد</v>
          </cell>
          <cell r="D305" t="str">
            <v>المصنع</v>
          </cell>
          <cell r="E305" t="str">
            <v>المستودعات</v>
          </cell>
          <cell r="F305">
            <v>0</v>
          </cell>
          <cell r="G305">
            <v>0</v>
          </cell>
          <cell r="H305">
            <v>42319</v>
          </cell>
          <cell r="I305">
            <v>0</v>
          </cell>
          <cell r="J305" t="e">
            <v>#NUM!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12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</row>
        <row r="306">
          <cell r="B306">
            <v>525</v>
          </cell>
          <cell r="C306" t="str">
            <v>حافظ يعقوب ادريس عبدالرحيم</v>
          </cell>
          <cell r="D306" t="str">
            <v>المصنع</v>
          </cell>
          <cell r="E306" t="str">
            <v>الانتاج</v>
          </cell>
          <cell r="F306" t="str">
            <v>المواسير</v>
          </cell>
          <cell r="G306" t="str">
            <v>مشغل</v>
          </cell>
          <cell r="H306">
            <v>41451</v>
          </cell>
          <cell r="I306">
            <v>43498</v>
          </cell>
          <cell r="J306">
            <v>167.5</v>
          </cell>
          <cell r="K306">
            <v>3</v>
          </cell>
          <cell r="L306">
            <v>4</v>
          </cell>
          <cell r="M306">
            <v>0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0</v>
          </cell>
          <cell r="S306">
            <v>0</v>
          </cell>
          <cell r="T306">
            <v>1</v>
          </cell>
          <cell r="U306">
            <v>0</v>
          </cell>
          <cell r="V306">
            <v>1</v>
          </cell>
          <cell r="W306">
            <v>12</v>
          </cell>
          <cell r="X306">
            <v>27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</row>
        <row r="307">
          <cell r="B307">
            <v>533</v>
          </cell>
          <cell r="C307" t="str">
            <v>زاهر عبدالله حميد عمر</v>
          </cell>
          <cell r="D307" t="str">
            <v>المصنع</v>
          </cell>
          <cell r="E307" t="str">
            <v>الانتاج</v>
          </cell>
          <cell r="F307" t="str">
            <v>التشريح</v>
          </cell>
          <cell r="G307" t="str">
            <v>مشغل كرين</v>
          </cell>
          <cell r="H307">
            <v>41457</v>
          </cell>
          <cell r="I307">
            <v>43498</v>
          </cell>
          <cell r="J307">
            <v>167.5</v>
          </cell>
          <cell r="K307">
            <v>0</v>
          </cell>
          <cell r="L307">
            <v>0</v>
          </cell>
          <cell r="M307">
            <v>0</v>
          </cell>
          <cell r="N307">
            <v>4</v>
          </cell>
          <cell r="O307">
            <v>4</v>
          </cell>
          <cell r="P307">
            <v>4</v>
          </cell>
          <cell r="Q307">
            <v>4</v>
          </cell>
          <cell r="R307">
            <v>6</v>
          </cell>
          <cell r="S307">
            <v>5</v>
          </cell>
          <cell r="T307">
            <v>0</v>
          </cell>
          <cell r="U307">
            <v>0</v>
          </cell>
          <cell r="V307">
            <v>0</v>
          </cell>
          <cell r="W307">
            <v>27</v>
          </cell>
          <cell r="X307">
            <v>7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</row>
        <row r="308">
          <cell r="B308">
            <v>534</v>
          </cell>
          <cell r="C308" t="str">
            <v>منى محجوب حسن على</v>
          </cell>
          <cell r="D308" t="str">
            <v>المصنع</v>
          </cell>
          <cell r="E308" t="str">
            <v>المستودعات</v>
          </cell>
          <cell r="F308" t="str">
            <v>بيانات</v>
          </cell>
          <cell r="G308" t="str">
            <v>مدخل بيانات</v>
          </cell>
          <cell r="H308">
            <v>41456</v>
          </cell>
          <cell r="I308">
            <v>43498</v>
          </cell>
          <cell r="J308">
            <v>167.5</v>
          </cell>
          <cell r="K308">
            <v>0</v>
          </cell>
          <cell r="L308">
            <v>1</v>
          </cell>
          <cell r="M308">
            <v>0</v>
          </cell>
          <cell r="N308">
            <v>0</v>
          </cell>
          <cell r="O308">
            <v>0</v>
          </cell>
          <cell r="P308">
            <v>2</v>
          </cell>
          <cell r="Q308">
            <v>1</v>
          </cell>
          <cell r="R308">
            <v>0</v>
          </cell>
          <cell r="S308">
            <v>3</v>
          </cell>
          <cell r="T308">
            <v>0</v>
          </cell>
          <cell r="U308">
            <v>0</v>
          </cell>
          <cell r="V308">
            <v>0</v>
          </cell>
          <cell r="W308">
            <v>7</v>
          </cell>
          <cell r="X308">
            <v>48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90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</row>
        <row r="309">
          <cell r="B309">
            <v>535</v>
          </cell>
          <cell r="C309" t="str">
            <v>يوسف فاروق عباس سعيد</v>
          </cell>
          <cell r="D309" t="str">
            <v>المصنع</v>
          </cell>
          <cell r="E309" t="str">
            <v>الكهرباء</v>
          </cell>
          <cell r="F309" t="str">
            <v>كهرباء عامه</v>
          </cell>
          <cell r="G309" t="str">
            <v>فنى كهرباء</v>
          </cell>
          <cell r="H309">
            <v>41458</v>
          </cell>
          <cell r="I309">
            <v>43498</v>
          </cell>
          <cell r="J309">
            <v>165</v>
          </cell>
          <cell r="K309">
            <v>0</v>
          </cell>
          <cell r="L309">
            <v>2</v>
          </cell>
          <cell r="M309">
            <v>1</v>
          </cell>
          <cell r="N309">
            <v>3</v>
          </cell>
          <cell r="O309">
            <v>0</v>
          </cell>
          <cell r="P309">
            <v>0</v>
          </cell>
          <cell r="Q309">
            <v>6</v>
          </cell>
          <cell r="R309">
            <v>0</v>
          </cell>
          <cell r="S309">
            <v>3</v>
          </cell>
          <cell r="T309">
            <v>2</v>
          </cell>
          <cell r="U309">
            <v>31</v>
          </cell>
          <cell r="V309">
            <v>0</v>
          </cell>
          <cell r="W309">
            <v>48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</row>
        <row r="310">
          <cell r="B310">
            <v>539</v>
          </cell>
          <cell r="C310" t="str">
            <v>محمد فضل طمبل فضل</v>
          </cell>
          <cell r="D310" t="str">
            <v>المصنع</v>
          </cell>
          <cell r="E310" t="str">
            <v>الانتاج</v>
          </cell>
          <cell r="F310">
            <v>0</v>
          </cell>
          <cell r="G310" t="str">
            <v>عامل</v>
          </cell>
          <cell r="H310">
            <v>41461</v>
          </cell>
          <cell r="I310">
            <v>0</v>
          </cell>
          <cell r="J310" t="e">
            <v>#NUM!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</row>
        <row r="311">
          <cell r="B311">
            <v>543</v>
          </cell>
          <cell r="C311" t="str">
            <v>ادريس ابراهيم صالح الامين</v>
          </cell>
          <cell r="D311" t="str">
            <v>المصنع</v>
          </cell>
          <cell r="E311" t="str">
            <v>الانتاج</v>
          </cell>
          <cell r="F311">
            <v>0</v>
          </cell>
          <cell r="G311" t="str">
            <v>عامل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</row>
        <row r="312">
          <cell r="B312">
            <v>544</v>
          </cell>
          <cell r="C312" t="str">
            <v>شمس الدين احمد عبدالله محمد</v>
          </cell>
          <cell r="D312" t="str">
            <v>المصنع</v>
          </cell>
          <cell r="E312" t="str">
            <v>الانتاج</v>
          </cell>
          <cell r="F312">
            <v>0</v>
          </cell>
          <cell r="G312" t="str">
            <v>مشغل زاويه</v>
          </cell>
          <cell r="H312">
            <v>41469</v>
          </cell>
          <cell r="I312">
            <v>0</v>
          </cell>
          <cell r="J312" t="e">
            <v>#NUM!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</row>
        <row r="313">
          <cell r="B313">
            <v>545</v>
          </cell>
          <cell r="C313" t="str">
            <v>عاطف محمود عمر محمود</v>
          </cell>
          <cell r="D313" t="str">
            <v>المصنع</v>
          </cell>
          <cell r="E313" t="str">
            <v>الانتاج</v>
          </cell>
          <cell r="F313" t="str">
            <v>الزوايا</v>
          </cell>
          <cell r="G313" t="str">
            <v>عامل</v>
          </cell>
          <cell r="H313">
            <v>41472</v>
          </cell>
          <cell r="I313">
            <v>43498</v>
          </cell>
          <cell r="J313">
            <v>165</v>
          </cell>
          <cell r="K313">
            <v>0</v>
          </cell>
          <cell r="L313">
            <v>2</v>
          </cell>
          <cell r="M313">
            <v>0</v>
          </cell>
          <cell r="N313">
            <v>2</v>
          </cell>
          <cell r="O313">
            <v>1</v>
          </cell>
          <cell r="P313">
            <v>3</v>
          </cell>
          <cell r="Q313">
            <v>6</v>
          </cell>
          <cell r="R313">
            <v>3</v>
          </cell>
          <cell r="S313">
            <v>8</v>
          </cell>
          <cell r="T313">
            <v>0</v>
          </cell>
          <cell r="U313">
            <v>2</v>
          </cell>
          <cell r="V313">
            <v>20</v>
          </cell>
          <cell r="W313">
            <v>47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</row>
        <row r="314">
          <cell r="B314">
            <v>546</v>
          </cell>
          <cell r="C314" t="str">
            <v>مهند عبد الهادى مصطفى حسن</v>
          </cell>
          <cell r="D314" t="str">
            <v>المصنع</v>
          </cell>
          <cell r="E314" t="str">
            <v>الانتاج</v>
          </cell>
          <cell r="F314">
            <v>0</v>
          </cell>
          <cell r="G314" t="str">
            <v>مشرف</v>
          </cell>
          <cell r="H314">
            <v>41531</v>
          </cell>
          <cell r="I314">
            <v>0</v>
          </cell>
          <cell r="J314" t="e">
            <v>#NUM!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47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</row>
        <row r="315">
          <cell r="B315">
            <v>550</v>
          </cell>
          <cell r="C315" t="str">
            <v>محمد الحسن ابراهيم عبد الله</v>
          </cell>
          <cell r="D315" t="str">
            <v>المصنع</v>
          </cell>
          <cell r="E315" t="str">
            <v>الانتاج</v>
          </cell>
          <cell r="F315">
            <v>0</v>
          </cell>
          <cell r="G315" t="str">
            <v>عامل</v>
          </cell>
          <cell r="H315">
            <v>41770</v>
          </cell>
          <cell r="I315">
            <v>0</v>
          </cell>
          <cell r="J315" t="e">
            <v>#NUM!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</row>
        <row r="316">
          <cell r="B316">
            <v>551</v>
          </cell>
          <cell r="C316" t="str">
            <v>طارق حسن احمد عمر</v>
          </cell>
          <cell r="D316" t="str">
            <v>المصنع</v>
          </cell>
          <cell r="E316" t="str">
            <v>الانتاج</v>
          </cell>
          <cell r="F316">
            <v>0</v>
          </cell>
          <cell r="G316" t="str">
            <v>عامل</v>
          </cell>
          <cell r="H316">
            <v>41518</v>
          </cell>
          <cell r="I316">
            <v>0</v>
          </cell>
          <cell r="J316" t="e">
            <v>#NUM!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</row>
        <row r="317">
          <cell r="B317">
            <v>552</v>
          </cell>
          <cell r="C317" t="str">
            <v>اسماعيل عبد الله اسماعيل</v>
          </cell>
          <cell r="D317" t="str">
            <v>المصنع</v>
          </cell>
          <cell r="E317" t="str">
            <v>الانتاج</v>
          </cell>
          <cell r="F317">
            <v>0</v>
          </cell>
          <cell r="G317" t="str">
            <v>عامل</v>
          </cell>
          <cell r="H317">
            <v>41519</v>
          </cell>
          <cell r="I317">
            <v>0</v>
          </cell>
          <cell r="J317" t="e">
            <v>#NUM!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</row>
        <row r="318">
          <cell r="B318">
            <v>557</v>
          </cell>
          <cell r="C318" t="str">
            <v>ياسر ناصر احمد ناصر</v>
          </cell>
          <cell r="D318" t="str">
            <v>المصنع</v>
          </cell>
          <cell r="E318" t="str">
            <v>الانتاج</v>
          </cell>
          <cell r="F318">
            <v>0</v>
          </cell>
          <cell r="G318" t="str">
            <v>عامل</v>
          </cell>
          <cell r="H318">
            <v>41519</v>
          </cell>
          <cell r="I318">
            <v>0</v>
          </cell>
          <cell r="J318" t="e">
            <v>#NUM!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</row>
        <row r="319">
          <cell r="B319">
            <v>558</v>
          </cell>
          <cell r="C319" t="str">
            <v>جمعة عيسى توتو حمدى</v>
          </cell>
          <cell r="D319" t="str">
            <v>المصنع</v>
          </cell>
          <cell r="E319" t="str">
            <v>الانتاج</v>
          </cell>
          <cell r="F319">
            <v>0</v>
          </cell>
          <cell r="G319" t="str">
            <v>عامل</v>
          </cell>
          <cell r="H319">
            <v>41519</v>
          </cell>
          <cell r="I319">
            <v>0</v>
          </cell>
          <cell r="J319" t="e">
            <v>#NUM!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</row>
        <row r="320">
          <cell r="B320">
            <v>563</v>
          </cell>
          <cell r="C320" t="str">
            <v>طارق عبد الوهاب الحبر موسى</v>
          </cell>
          <cell r="D320" t="str">
            <v>المصنع</v>
          </cell>
          <cell r="E320" t="str">
            <v>الانتاج</v>
          </cell>
          <cell r="F320">
            <v>0</v>
          </cell>
          <cell r="G320" t="str">
            <v>مهندس انتاج</v>
          </cell>
          <cell r="H320">
            <v>42127</v>
          </cell>
          <cell r="I320">
            <v>0</v>
          </cell>
          <cell r="J320" t="e">
            <v>#NUM!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</row>
        <row r="321">
          <cell r="B321">
            <v>564</v>
          </cell>
          <cell r="C321" t="str">
            <v>ياسر وداعه الله سعيد قسم الله</v>
          </cell>
          <cell r="D321" t="str">
            <v>المصنع</v>
          </cell>
          <cell r="E321" t="str">
            <v>المستودعات</v>
          </cell>
          <cell r="F321" t="str">
            <v>التحميل</v>
          </cell>
          <cell r="G321" t="str">
            <v>عامل</v>
          </cell>
          <cell r="H321">
            <v>41522</v>
          </cell>
          <cell r="I321">
            <v>43498</v>
          </cell>
          <cell r="J321">
            <v>160</v>
          </cell>
          <cell r="K321">
            <v>1</v>
          </cell>
          <cell r="L321">
            <v>1</v>
          </cell>
          <cell r="M321">
            <v>1</v>
          </cell>
          <cell r="N321">
            <v>0</v>
          </cell>
          <cell r="O321">
            <v>1</v>
          </cell>
          <cell r="P321">
            <v>1</v>
          </cell>
          <cell r="Q321">
            <v>1</v>
          </cell>
          <cell r="R321">
            <v>2</v>
          </cell>
          <cell r="S321">
            <v>1</v>
          </cell>
          <cell r="T321">
            <v>4</v>
          </cell>
          <cell r="U321">
            <v>0</v>
          </cell>
          <cell r="V321">
            <v>16</v>
          </cell>
          <cell r="W321">
            <v>29</v>
          </cell>
          <cell r="X321">
            <v>29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</row>
        <row r="322">
          <cell r="B322">
            <v>566</v>
          </cell>
          <cell r="C322" t="str">
            <v>احمد البدرى الاول</v>
          </cell>
          <cell r="D322" t="str">
            <v>المصنع</v>
          </cell>
          <cell r="E322" t="str">
            <v>الانتاج</v>
          </cell>
          <cell r="F322" t="str">
            <v>خوص</v>
          </cell>
          <cell r="G322" t="str">
            <v>مشغل</v>
          </cell>
          <cell r="H322">
            <v>41521</v>
          </cell>
          <cell r="I322">
            <v>42803</v>
          </cell>
          <cell r="J322">
            <v>105</v>
          </cell>
          <cell r="K322">
            <v>0</v>
          </cell>
          <cell r="L322">
            <v>3</v>
          </cell>
          <cell r="M322">
            <v>2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5</v>
          </cell>
          <cell r="X322">
            <v>5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</row>
        <row r="323">
          <cell r="B323">
            <v>567</v>
          </cell>
          <cell r="C323" t="str">
            <v>محمد فاروق ابراهيم خوجلى</v>
          </cell>
          <cell r="D323" t="str">
            <v>المصنع</v>
          </cell>
          <cell r="E323" t="str">
            <v>الموارد البشريه</v>
          </cell>
          <cell r="F323" t="str">
            <v>موظف</v>
          </cell>
          <cell r="G323" t="str">
            <v>موظف موارد بشريه</v>
          </cell>
          <cell r="H323">
            <v>41526</v>
          </cell>
          <cell r="I323">
            <v>43498</v>
          </cell>
          <cell r="J323">
            <v>160</v>
          </cell>
          <cell r="K323">
            <v>30</v>
          </cell>
          <cell r="L323">
            <v>30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60</v>
          </cell>
          <cell r="X323">
            <v>60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</row>
        <row r="324">
          <cell r="B324">
            <v>568</v>
          </cell>
          <cell r="C324" t="str">
            <v>حيدر ادريس عبدالحفيظ</v>
          </cell>
          <cell r="D324" t="str">
            <v>المصنع</v>
          </cell>
          <cell r="E324" t="str">
            <v>الانتاج</v>
          </cell>
          <cell r="F324" t="str">
            <v>المواسير</v>
          </cell>
          <cell r="G324" t="str">
            <v>كرين</v>
          </cell>
          <cell r="H324">
            <v>41528</v>
          </cell>
          <cell r="I324">
            <v>42680</v>
          </cell>
          <cell r="J324">
            <v>92.5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</row>
        <row r="325">
          <cell r="B325">
            <v>570</v>
          </cell>
          <cell r="C325" t="str">
            <v>محمد ادم عبدالعزيز الحاج</v>
          </cell>
          <cell r="D325" t="str">
            <v>المصنع</v>
          </cell>
          <cell r="E325" t="str">
            <v>الانتاج</v>
          </cell>
          <cell r="F325" t="str">
            <v>كلبسات</v>
          </cell>
          <cell r="G325" t="str">
            <v>عامل</v>
          </cell>
          <cell r="H325">
            <v>41526</v>
          </cell>
          <cell r="I325">
            <v>43498</v>
          </cell>
          <cell r="J325">
            <v>160</v>
          </cell>
          <cell r="K325">
            <v>10</v>
          </cell>
          <cell r="L325">
            <v>0</v>
          </cell>
          <cell r="M325">
            <v>1</v>
          </cell>
          <cell r="N325">
            <v>1</v>
          </cell>
          <cell r="O325">
            <v>5</v>
          </cell>
          <cell r="P325">
            <v>2</v>
          </cell>
          <cell r="Q325">
            <v>2</v>
          </cell>
          <cell r="R325">
            <v>2</v>
          </cell>
          <cell r="S325">
            <v>4</v>
          </cell>
          <cell r="T325">
            <v>5</v>
          </cell>
          <cell r="U325">
            <v>0</v>
          </cell>
          <cell r="V325">
            <v>0</v>
          </cell>
          <cell r="W325">
            <v>32</v>
          </cell>
          <cell r="X325">
            <v>32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</row>
        <row r="326">
          <cell r="B326">
            <v>572</v>
          </cell>
          <cell r="C326" t="str">
            <v>محمد الامين ابراهيم الامين</v>
          </cell>
          <cell r="D326" t="str">
            <v>المصنع</v>
          </cell>
          <cell r="E326" t="str">
            <v>الجوده</v>
          </cell>
          <cell r="F326" t="str">
            <v>عداد</v>
          </cell>
          <cell r="G326" t="str">
            <v>مراقب انتاج</v>
          </cell>
          <cell r="H326">
            <v>41531</v>
          </cell>
          <cell r="I326">
            <v>43498</v>
          </cell>
          <cell r="J326">
            <v>160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1</v>
          </cell>
          <cell r="Q326">
            <v>4</v>
          </cell>
          <cell r="R326">
            <v>7</v>
          </cell>
          <cell r="S326">
            <v>5</v>
          </cell>
          <cell r="T326">
            <v>6</v>
          </cell>
          <cell r="U326">
            <v>2</v>
          </cell>
          <cell r="V326">
            <v>61</v>
          </cell>
          <cell r="W326">
            <v>86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</row>
        <row r="327">
          <cell r="B327">
            <v>574</v>
          </cell>
          <cell r="C327" t="str">
            <v>عاصم محمد سعيد احمد</v>
          </cell>
          <cell r="D327" t="str">
            <v>المصنع</v>
          </cell>
          <cell r="E327" t="str">
            <v>الانتاج</v>
          </cell>
          <cell r="F327">
            <v>0</v>
          </cell>
          <cell r="G327" t="str">
            <v>عامل</v>
          </cell>
          <cell r="H327">
            <v>42110</v>
          </cell>
          <cell r="I327">
            <v>43498</v>
          </cell>
          <cell r="J327">
            <v>112.5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1</v>
          </cell>
          <cell r="Q327">
            <v>1</v>
          </cell>
          <cell r="R327">
            <v>1</v>
          </cell>
          <cell r="S327">
            <v>2</v>
          </cell>
          <cell r="T327">
            <v>3</v>
          </cell>
          <cell r="U327">
            <v>2</v>
          </cell>
          <cell r="V327">
            <v>14</v>
          </cell>
          <cell r="W327">
            <v>24</v>
          </cell>
          <cell r="X327">
            <v>86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</row>
        <row r="328">
          <cell r="B328">
            <v>576</v>
          </cell>
          <cell r="C328" t="str">
            <v>النور خميس سعيد شاكر</v>
          </cell>
          <cell r="D328" t="str">
            <v>المصنع</v>
          </cell>
          <cell r="E328" t="str">
            <v>الخدمات</v>
          </cell>
          <cell r="F328" t="str">
            <v>الورشه</v>
          </cell>
          <cell r="G328" t="str">
            <v>حداد</v>
          </cell>
          <cell r="H328">
            <v>41532</v>
          </cell>
          <cell r="I328">
            <v>43498</v>
          </cell>
          <cell r="J328">
            <v>160</v>
          </cell>
          <cell r="K328">
            <v>2</v>
          </cell>
          <cell r="L328">
            <v>4</v>
          </cell>
          <cell r="M328">
            <v>4</v>
          </cell>
          <cell r="N328">
            <v>2</v>
          </cell>
          <cell r="O328">
            <v>3</v>
          </cell>
          <cell r="P328">
            <v>1</v>
          </cell>
          <cell r="Q328">
            <v>2</v>
          </cell>
          <cell r="R328">
            <v>4</v>
          </cell>
          <cell r="S328">
            <v>8</v>
          </cell>
          <cell r="T328">
            <v>1</v>
          </cell>
          <cell r="U328">
            <v>0</v>
          </cell>
          <cell r="V328">
            <v>2</v>
          </cell>
          <cell r="W328">
            <v>33</v>
          </cell>
          <cell r="X328">
            <v>24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</row>
        <row r="329">
          <cell r="B329">
            <v>577</v>
          </cell>
          <cell r="C329" t="str">
            <v xml:space="preserve">عطا الفضيل محمد عيد محمد </v>
          </cell>
          <cell r="D329" t="str">
            <v>المصنع</v>
          </cell>
          <cell r="E329" t="str">
            <v>الخدمات</v>
          </cell>
          <cell r="F329">
            <v>0</v>
          </cell>
          <cell r="G329" t="str">
            <v>مشرف خدمات</v>
          </cell>
          <cell r="H329">
            <v>41528</v>
          </cell>
          <cell r="I329">
            <v>43498</v>
          </cell>
          <cell r="J329">
            <v>160</v>
          </cell>
          <cell r="K329">
            <v>2</v>
          </cell>
          <cell r="L329">
            <v>3</v>
          </cell>
          <cell r="M329">
            <v>4</v>
          </cell>
          <cell r="N329">
            <v>2</v>
          </cell>
          <cell r="O329">
            <v>1</v>
          </cell>
          <cell r="P329">
            <v>0</v>
          </cell>
          <cell r="Q329">
            <v>6</v>
          </cell>
          <cell r="R329">
            <v>4</v>
          </cell>
          <cell r="S329">
            <v>0</v>
          </cell>
          <cell r="T329">
            <v>2</v>
          </cell>
          <cell r="U329">
            <v>0</v>
          </cell>
          <cell r="V329">
            <v>0</v>
          </cell>
          <cell r="W329">
            <v>24</v>
          </cell>
          <cell r="X329">
            <v>33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</row>
        <row r="330">
          <cell r="B330">
            <v>578</v>
          </cell>
          <cell r="C330" t="str">
            <v>عماد عبدالعزيز قسم السيد سالم</v>
          </cell>
          <cell r="D330" t="str">
            <v>المصنع</v>
          </cell>
          <cell r="E330" t="str">
            <v>الانتاج</v>
          </cell>
          <cell r="F330">
            <v>0</v>
          </cell>
          <cell r="G330" t="str">
            <v>عامل</v>
          </cell>
          <cell r="H330">
            <v>41538</v>
          </cell>
          <cell r="I330">
            <v>0</v>
          </cell>
          <cell r="J330" t="e">
            <v>#NUM!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24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</row>
        <row r="331">
          <cell r="B331">
            <v>581</v>
          </cell>
          <cell r="C331" t="str">
            <v>ابوبكر بركات يوسف</v>
          </cell>
          <cell r="D331" t="str">
            <v>المصنع</v>
          </cell>
          <cell r="E331" t="str">
            <v>الانتاج</v>
          </cell>
          <cell r="F331" t="str">
            <v>المواسير</v>
          </cell>
          <cell r="G331" t="str">
            <v>كرين</v>
          </cell>
          <cell r="H331">
            <v>41681</v>
          </cell>
          <cell r="I331">
            <v>42882</v>
          </cell>
          <cell r="J331">
            <v>97.5</v>
          </cell>
          <cell r="K331">
            <v>3</v>
          </cell>
          <cell r="L331">
            <v>1</v>
          </cell>
          <cell r="M331">
            <v>2</v>
          </cell>
          <cell r="N331">
            <v>7</v>
          </cell>
          <cell r="O331">
            <v>1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14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</row>
        <row r="332">
          <cell r="B332">
            <v>582</v>
          </cell>
          <cell r="C332" t="str">
            <v>ابراهيم عبد الجليل ابو القاسم عبد الجليل</v>
          </cell>
          <cell r="D332" t="str">
            <v>المصنع</v>
          </cell>
          <cell r="E332" t="str">
            <v>الانتاج</v>
          </cell>
          <cell r="F332">
            <v>0</v>
          </cell>
          <cell r="G332" t="str">
            <v>عامل</v>
          </cell>
          <cell r="H332">
            <v>41540</v>
          </cell>
          <cell r="I332">
            <v>0</v>
          </cell>
          <cell r="J332" t="e">
            <v>#NUM!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14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</row>
        <row r="333">
          <cell r="B333">
            <v>583</v>
          </cell>
          <cell r="C333" t="str">
            <v>عمر فريد الشيخ عمر</v>
          </cell>
          <cell r="D333" t="str">
            <v>المصنع</v>
          </cell>
          <cell r="E333" t="str">
            <v>الانتاج</v>
          </cell>
          <cell r="F333">
            <v>0</v>
          </cell>
          <cell r="G333" t="str">
            <v>عامل</v>
          </cell>
          <cell r="H333">
            <v>41540</v>
          </cell>
          <cell r="I333">
            <v>0</v>
          </cell>
          <cell r="J333" t="e">
            <v>#NUM!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</row>
        <row r="334">
          <cell r="B334">
            <v>585</v>
          </cell>
          <cell r="C334" t="str">
            <v>يعقوب السوار محمد ادم</v>
          </cell>
          <cell r="D334" t="str">
            <v>المصنع</v>
          </cell>
          <cell r="E334" t="str">
            <v>الخدمات</v>
          </cell>
          <cell r="F334">
            <v>0</v>
          </cell>
          <cell r="G334" t="str">
            <v>عامل</v>
          </cell>
          <cell r="H334">
            <v>41541</v>
          </cell>
          <cell r="I334">
            <v>43498</v>
          </cell>
          <cell r="J334">
            <v>160</v>
          </cell>
          <cell r="K334">
            <v>2</v>
          </cell>
          <cell r="L334">
            <v>5</v>
          </cell>
          <cell r="M334">
            <v>4</v>
          </cell>
          <cell r="N334">
            <v>2</v>
          </cell>
          <cell r="O334">
            <v>2</v>
          </cell>
          <cell r="P334">
            <v>1</v>
          </cell>
          <cell r="Q334">
            <v>5</v>
          </cell>
          <cell r="R334">
            <v>3</v>
          </cell>
          <cell r="S334">
            <v>4</v>
          </cell>
          <cell r="T334">
            <v>2</v>
          </cell>
          <cell r="U334">
            <v>2</v>
          </cell>
          <cell r="V334">
            <v>1</v>
          </cell>
          <cell r="W334">
            <v>33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</row>
        <row r="335">
          <cell r="B335">
            <v>586</v>
          </cell>
          <cell r="C335" t="str">
            <v>معتز حسين ابراهيم عثمان</v>
          </cell>
          <cell r="D335" t="str">
            <v>المصنع</v>
          </cell>
          <cell r="E335" t="str">
            <v>الانتاج</v>
          </cell>
          <cell r="F335">
            <v>0</v>
          </cell>
          <cell r="G335" t="str">
            <v>عامل</v>
          </cell>
          <cell r="H335">
            <v>41527</v>
          </cell>
          <cell r="I335">
            <v>0</v>
          </cell>
          <cell r="J335" t="e">
            <v>#NUM!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33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</row>
        <row r="336">
          <cell r="B336">
            <v>588</v>
          </cell>
          <cell r="C336" t="str">
            <v>بخيت عيسى على محمد</v>
          </cell>
          <cell r="D336" t="str">
            <v>المصنع</v>
          </cell>
          <cell r="E336" t="str">
            <v>الانتاج</v>
          </cell>
          <cell r="F336">
            <v>0</v>
          </cell>
          <cell r="G336" t="str">
            <v>عامل</v>
          </cell>
          <cell r="H336">
            <v>41543</v>
          </cell>
          <cell r="I336">
            <v>0</v>
          </cell>
          <cell r="J336" t="e">
            <v>#NUM!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</row>
        <row r="337">
          <cell r="B337">
            <v>590</v>
          </cell>
          <cell r="C337" t="str">
            <v>المغيرة محمد عبد الله صالح</v>
          </cell>
          <cell r="D337" t="str">
            <v>المصنع</v>
          </cell>
          <cell r="E337" t="str">
            <v>الميكانيكا</v>
          </cell>
          <cell r="F337">
            <v>0</v>
          </cell>
          <cell r="G337" t="str">
            <v>حداد</v>
          </cell>
          <cell r="H337">
            <v>41553</v>
          </cell>
          <cell r="I337">
            <v>0</v>
          </cell>
          <cell r="J337" t="e">
            <v>#NUM!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</row>
        <row r="338">
          <cell r="B338">
            <v>591</v>
          </cell>
          <cell r="C338" t="str">
            <v>عبدالله زايد اسماعيل توتو</v>
          </cell>
          <cell r="D338" t="str">
            <v>المصنع</v>
          </cell>
          <cell r="E338" t="str">
            <v>الانتاج</v>
          </cell>
          <cell r="F338" t="str">
            <v>الصاج والزنك</v>
          </cell>
          <cell r="G338" t="str">
            <v>عامل</v>
          </cell>
          <cell r="H338">
            <v>41554</v>
          </cell>
          <cell r="I338">
            <v>43498</v>
          </cell>
          <cell r="J338">
            <v>157.5</v>
          </cell>
          <cell r="K338">
            <v>4</v>
          </cell>
          <cell r="L338">
            <v>0</v>
          </cell>
          <cell r="M338">
            <v>2</v>
          </cell>
          <cell r="N338">
            <v>1</v>
          </cell>
          <cell r="O338">
            <v>13</v>
          </cell>
          <cell r="P338">
            <v>0</v>
          </cell>
          <cell r="Q338">
            <v>1</v>
          </cell>
          <cell r="R338">
            <v>0</v>
          </cell>
          <cell r="S338">
            <v>3</v>
          </cell>
          <cell r="T338">
            <v>5</v>
          </cell>
          <cell r="U338">
            <v>1</v>
          </cell>
          <cell r="V338">
            <v>0</v>
          </cell>
          <cell r="W338">
            <v>30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</row>
        <row r="339">
          <cell r="B339">
            <v>592</v>
          </cell>
          <cell r="C339" t="str">
            <v>احمد محمد زين احمد</v>
          </cell>
          <cell r="D339" t="str">
            <v>المصنع</v>
          </cell>
          <cell r="E339" t="str">
            <v>الانتاج</v>
          </cell>
          <cell r="F339" t="str">
            <v>التشريح</v>
          </cell>
          <cell r="G339" t="str">
            <v>فورمان</v>
          </cell>
          <cell r="H339">
            <v>43160</v>
          </cell>
          <cell r="I339">
            <v>42829</v>
          </cell>
          <cell r="J339" t="e">
            <v>#NUM!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30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3</v>
          </cell>
          <cell r="AE339">
            <v>0</v>
          </cell>
          <cell r="AF339">
            <v>1</v>
          </cell>
          <cell r="AG339">
            <v>5</v>
          </cell>
          <cell r="AH339">
            <v>0</v>
          </cell>
          <cell r="AI339">
            <v>4</v>
          </cell>
          <cell r="AJ339">
            <v>0</v>
          </cell>
          <cell r="AK339">
            <v>0</v>
          </cell>
        </row>
        <row r="340">
          <cell r="B340">
            <v>593</v>
          </cell>
          <cell r="C340" t="str">
            <v>عبد العظيم احمد حمد على</v>
          </cell>
          <cell r="D340" t="str">
            <v>المصنع</v>
          </cell>
          <cell r="E340" t="str">
            <v>الميكانيكا</v>
          </cell>
          <cell r="F340">
            <v>0</v>
          </cell>
          <cell r="G340" t="str">
            <v>تقنى ميكانيكا</v>
          </cell>
          <cell r="H340">
            <v>41555</v>
          </cell>
          <cell r="I340">
            <v>0</v>
          </cell>
          <cell r="J340" t="e">
            <v>#NUM!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</row>
        <row r="341">
          <cell r="B341">
            <v>594</v>
          </cell>
          <cell r="C341" t="str">
            <v>مصطفى عبد الرحمن محمد عتبانى</v>
          </cell>
          <cell r="D341" t="str">
            <v>المصنع</v>
          </cell>
          <cell r="E341" t="str">
            <v>الميكانيكا</v>
          </cell>
          <cell r="F341">
            <v>0</v>
          </cell>
          <cell r="G341" t="str">
            <v>فنى صيانة</v>
          </cell>
          <cell r="H341">
            <v>41555</v>
          </cell>
          <cell r="I341">
            <v>0</v>
          </cell>
          <cell r="J341" t="e">
            <v>#NUM!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</row>
        <row r="342">
          <cell r="B342">
            <v>595</v>
          </cell>
          <cell r="C342" t="str">
            <v>ادم إبراهيم محمد داوؤد</v>
          </cell>
          <cell r="D342" t="str">
            <v>المصنع</v>
          </cell>
          <cell r="E342" t="str">
            <v>الميكانيكا</v>
          </cell>
          <cell r="F342">
            <v>0</v>
          </cell>
          <cell r="G342" t="str">
            <v>فنى صيانة</v>
          </cell>
          <cell r="H342">
            <v>41555</v>
          </cell>
          <cell r="I342">
            <v>0</v>
          </cell>
          <cell r="J342" t="e">
            <v>#NUM!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</row>
        <row r="343">
          <cell r="B343">
            <v>596</v>
          </cell>
          <cell r="C343" t="str">
            <v>ماهر محمد الامين العبيد</v>
          </cell>
          <cell r="D343" t="str">
            <v>المصنع</v>
          </cell>
          <cell r="E343" t="str">
            <v>الانتاج</v>
          </cell>
          <cell r="F343" t="str">
            <v>المواسير</v>
          </cell>
          <cell r="G343" t="str">
            <v>كرين</v>
          </cell>
          <cell r="H343">
            <v>41548</v>
          </cell>
          <cell r="I343">
            <v>43498</v>
          </cell>
          <cell r="J343">
            <v>160</v>
          </cell>
          <cell r="K343">
            <v>2</v>
          </cell>
          <cell r="L343">
            <v>4</v>
          </cell>
          <cell r="M343">
            <v>0</v>
          </cell>
          <cell r="N343">
            <v>1</v>
          </cell>
          <cell r="O343">
            <v>4</v>
          </cell>
          <cell r="P343">
            <v>10</v>
          </cell>
          <cell r="Q343">
            <v>4</v>
          </cell>
          <cell r="R343">
            <v>1</v>
          </cell>
          <cell r="S343">
            <v>6</v>
          </cell>
          <cell r="T343">
            <v>1</v>
          </cell>
          <cell r="U343">
            <v>0</v>
          </cell>
          <cell r="V343">
            <v>0</v>
          </cell>
          <cell r="W343">
            <v>33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</row>
        <row r="344">
          <cell r="B344">
            <v>597</v>
          </cell>
          <cell r="C344" t="str">
            <v>محمد حامد عبد الله</v>
          </cell>
          <cell r="D344" t="str">
            <v>المصنع</v>
          </cell>
          <cell r="E344" t="str">
            <v>الانتاج</v>
          </cell>
          <cell r="F344">
            <v>0</v>
          </cell>
          <cell r="G344" t="str">
            <v>عامل</v>
          </cell>
          <cell r="H344">
            <v>41568</v>
          </cell>
          <cell r="I344">
            <v>0</v>
          </cell>
          <cell r="J344" t="e">
            <v>#NUM!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33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</row>
        <row r="345">
          <cell r="B345">
            <v>599</v>
          </cell>
          <cell r="C345" t="str">
            <v>ذوالكفل محمد عثمان</v>
          </cell>
          <cell r="D345" t="str">
            <v>المصنع</v>
          </cell>
          <cell r="E345" t="str">
            <v>الانتاج</v>
          </cell>
          <cell r="F345">
            <v>0</v>
          </cell>
          <cell r="G345" t="str">
            <v>سائق اليات</v>
          </cell>
          <cell r="H345">
            <v>41645</v>
          </cell>
          <cell r="I345">
            <v>0</v>
          </cell>
          <cell r="J345" t="e">
            <v>#NUM!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</row>
        <row r="346">
          <cell r="B346">
            <v>604</v>
          </cell>
          <cell r="C346" t="str">
            <v>مجاهد عبدالرحمن عبد الوهاب الامين</v>
          </cell>
          <cell r="D346" t="str">
            <v>المصنع</v>
          </cell>
          <cell r="E346" t="str">
            <v>الانتاج</v>
          </cell>
          <cell r="F346" t="str">
            <v>المواسير</v>
          </cell>
          <cell r="G346" t="str">
            <v>عامل</v>
          </cell>
          <cell r="H346">
            <v>41580</v>
          </cell>
          <cell r="I346">
            <v>43498</v>
          </cell>
          <cell r="J346">
            <v>157.5</v>
          </cell>
          <cell r="K346">
            <v>1</v>
          </cell>
          <cell r="L346">
            <v>2</v>
          </cell>
          <cell r="M346">
            <v>2</v>
          </cell>
          <cell r="N346">
            <v>4</v>
          </cell>
          <cell r="O346">
            <v>7</v>
          </cell>
          <cell r="P346">
            <v>0</v>
          </cell>
          <cell r="Q346">
            <v>3</v>
          </cell>
          <cell r="R346">
            <v>5</v>
          </cell>
          <cell r="S346">
            <v>10</v>
          </cell>
          <cell r="T346">
            <v>4</v>
          </cell>
          <cell r="U346">
            <v>3</v>
          </cell>
          <cell r="V346">
            <v>0</v>
          </cell>
          <cell r="W346">
            <v>41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2</v>
          </cell>
          <cell r="AF346">
            <v>0</v>
          </cell>
          <cell r="AG346">
            <v>1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</row>
        <row r="347">
          <cell r="B347">
            <v>605</v>
          </cell>
          <cell r="C347" t="str">
            <v>عبد الرحمن محمد صالح عبد الرحمن</v>
          </cell>
          <cell r="D347" t="str">
            <v>المصنع</v>
          </cell>
          <cell r="E347" t="str">
            <v>الانتاج</v>
          </cell>
          <cell r="F347">
            <v>0</v>
          </cell>
          <cell r="G347" t="str">
            <v>عامل</v>
          </cell>
          <cell r="H347">
            <v>41580</v>
          </cell>
          <cell r="I347">
            <v>0</v>
          </cell>
          <cell r="J347" t="e">
            <v>#NUM!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41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</row>
        <row r="348">
          <cell r="B348">
            <v>606</v>
          </cell>
          <cell r="C348" t="str">
            <v>معاذ البشير مصطفى جاد الله</v>
          </cell>
          <cell r="D348" t="str">
            <v>المصنع</v>
          </cell>
          <cell r="E348" t="str">
            <v>الانتاج</v>
          </cell>
          <cell r="F348">
            <v>0</v>
          </cell>
          <cell r="G348" t="str">
            <v>تقنى انتاج</v>
          </cell>
          <cell r="H348">
            <v>41580</v>
          </cell>
          <cell r="I348">
            <v>0</v>
          </cell>
          <cell r="J348" t="e">
            <v>#NUM!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</row>
        <row r="349">
          <cell r="B349">
            <v>608</v>
          </cell>
          <cell r="C349" t="str">
            <v>معاوية سليمان عبد الله على</v>
          </cell>
          <cell r="D349" t="str">
            <v>المصنع</v>
          </cell>
          <cell r="E349" t="str">
            <v>الميكانيكا</v>
          </cell>
          <cell r="F349">
            <v>0</v>
          </cell>
          <cell r="G349" t="str">
            <v>فنى صيانه</v>
          </cell>
          <cell r="H349">
            <v>41580</v>
          </cell>
          <cell r="I349">
            <v>0</v>
          </cell>
          <cell r="J349" t="e">
            <v>#NUM!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</row>
        <row r="350">
          <cell r="B350">
            <v>609</v>
          </cell>
          <cell r="C350" t="str">
            <v>هشام ادم على محمد الحاج</v>
          </cell>
          <cell r="D350" t="str">
            <v>المصنع</v>
          </cell>
          <cell r="E350" t="str">
            <v>الميكانيكا</v>
          </cell>
          <cell r="F350">
            <v>0</v>
          </cell>
          <cell r="G350" t="str">
            <v>حداد صيانه</v>
          </cell>
          <cell r="H350">
            <v>42922</v>
          </cell>
          <cell r="I350">
            <v>43498</v>
          </cell>
          <cell r="J350">
            <v>45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1</v>
          </cell>
          <cell r="Z350">
            <v>2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</row>
        <row r="351">
          <cell r="B351">
            <v>610</v>
          </cell>
          <cell r="C351" t="str">
            <v>محمد الهادى عبدالرحمن</v>
          </cell>
          <cell r="D351" t="str">
            <v>المصنع</v>
          </cell>
          <cell r="E351" t="str">
            <v>الانتاج</v>
          </cell>
          <cell r="F351">
            <v>0</v>
          </cell>
          <cell r="G351" t="str">
            <v>عامل</v>
          </cell>
          <cell r="H351">
            <v>42414</v>
          </cell>
          <cell r="I351">
            <v>43498</v>
          </cell>
          <cell r="J351">
            <v>87.5</v>
          </cell>
          <cell r="K351">
            <v>0</v>
          </cell>
          <cell r="L351">
            <v>0</v>
          </cell>
          <cell r="M351">
            <v>1</v>
          </cell>
          <cell r="N351">
            <v>1</v>
          </cell>
          <cell r="O351">
            <v>2</v>
          </cell>
          <cell r="P351">
            <v>1</v>
          </cell>
          <cell r="Q351">
            <v>1</v>
          </cell>
          <cell r="R351">
            <v>2</v>
          </cell>
          <cell r="S351">
            <v>6</v>
          </cell>
          <cell r="T351">
            <v>0</v>
          </cell>
          <cell r="U351">
            <v>1</v>
          </cell>
          <cell r="V351">
            <v>20</v>
          </cell>
          <cell r="W351">
            <v>35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</row>
        <row r="352">
          <cell r="B352">
            <v>611</v>
          </cell>
          <cell r="C352" t="str">
            <v>عمر عبد الله الصديق محمد احمد</v>
          </cell>
          <cell r="D352" t="str">
            <v>المصنع</v>
          </cell>
          <cell r="E352" t="str">
            <v>الانتاج</v>
          </cell>
          <cell r="F352">
            <v>0</v>
          </cell>
          <cell r="G352" t="str">
            <v>عامل</v>
          </cell>
          <cell r="H352">
            <v>41580</v>
          </cell>
          <cell r="I352">
            <v>0</v>
          </cell>
          <cell r="J352" t="e">
            <v>#NUM!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35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</row>
        <row r="353">
          <cell r="B353">
            <v>614</v>
          </cell>
          <cell r="C353" t="str">
            <v>محمد عيد حمد حران</v>
          </cell>
          <cell r="D353" t="str">
            <v>المصنع</v>
          </cell>
          <cell r="E353" t="str">
            <v>الانتاج</v>
          </cell>
          <cell r="F353">
            <v>0</v>
          </cell>
          <cell r="G353" t="str">
            <v>عامل</v>
          </cell>
          <cell r="H353">
            <v>41581</v>
          </cell>
          <cell r="I353">
            <v>0</v>
          </cell>
          <cell r="J353" t="e">
            <v>#NUM!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</row>
        <row r="354">
          <cell r="B354">
            <v>615</v>
          </cell>
          <cell r="C354" t="str">
            <v>هيثم صالح ابراهيم صالح</v>
          </cell>
          <cell r="D354" t="str">
            <v>المصنع</v>
          </cell>
          <cell r="E354" t="str">
            <v>الميكانيكا</v>
          </cell>
          <cell r="F354" t="str">
            <v>الحداده</v>
          </cell>
          <cell r="G354" t="str">
            <v>حداد صيانه</v>
          </cell>
          <cell r="H354">
            <v>42081</v>
          </cell>
          <cell r="I354">
            <v>42696</v>
          </cell>
          <cell r="J354">
            <v>50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</row>
        <row r="355">
          <cell r="B355">
            <v>616</v>
          </cell>
          <cell r="C355" t="str">
            <v>كمال فضل شرف الدين فضل</v>
          </cell>
          <cell r="D355" t="str">
            <v>المصنع</v>
          </cell>
          <cell r="E355" t="str">
            <v>الامن و الحركه</v>
          </cell>
          <cell r="F355">
            <v>0</v>
          </cell>
          <cell r="G355" t="str">
            <v>فرد امن</v>
          </cell>
          <cell r="H355">
            <v>41582</v>
          </cell>
          <cell r="I355">
            <v>0</v>
          </cell>
          <cell r="J355" t="e">
            <v>#NUM!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</row>
        <row r="356">
          <cell r="B356">
            <v>620</v>
          </cell>
          <cell r="C356" t="str">
            <v>عبد الفتاح نقد خيرى الامين</v>
          </cell>
          <cell r="D356" t="str">
            <v>المصنع</v>
          </cell>
          <cell r="E356" t="str">
            <v>الخدمات</v>
          </cell>
          <cell r="F356">
            <v>0</v>
          </cell>
          <cell r="G356" t="str">
            <v>جناينى</v>
          </cell>
          <cell r="H356">
            <v>41582</v>
          </cell>
          <cell r="I356">
            <v>0</v>
          </cell>
          <cell r="J356" t="e">
            <v>#NUM!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</row>
        <row r="357">
          <cell r="B357">
            <v>623</v>
          </cell>
          <cell r="C357" t="str">
            <v>حسن احمد على احمد</v>
          </cell>
          <cell r="D357" t="str">
            <v>المصنع</v>
          </cell>
          <cell r="E357" t="str">
            <v>الانتاج</v>
          </cell>
          <cell r="F357">
            <v>0</v>
          </cell>
          <cell r="G357" t="str">
            <v>عامل</v>
          </cell>
          <cell r="H357">
            <v>41587</v>
          </cell>
          <cell r="I357">
            <v>0</v>
          </cell>
          <cell r="J357" t="e">
            <v>#NUM!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</row>
        <row r="358">
          <cell r="B358">
            <v>624</v>
          </cell>
          <cell r="C358" t="str">
            <v>محمد عبد الرحمن منصور محمد</v>
          </cell>
          <cell r="D358" t="str">
            <v>المصنع</v>
          </cell>
          <cell r="E358" t="str">
            <v>الميكانيكا</v>
          </cell>
          <cell r="F358">
            <v>0</v>
          </cell>
          <cell r="G358" t="str">
            <v>مهندس</v>
          </cell>
          <cell r="H358">
            <v>41584</v>
          </cell>
          <cell r="I358">
            <v>0</v>
          </cell>
          <cell r="J358" t="e">
            <v>#NUM!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</row>
        <row r="359">
          <cell r="B359">
            <v>625</v>
          </cell>
          <cell r="C359" t="str">
            <v>عابدين بخيت عبدالفضيل اسماعيل</v>
          </cell>
          <cell r="D359" t="str">
            <v>المصنع</v>
          </cell>
          <cell r="E359" t="str">
            <v>الانتاج</v>
          </cell>
          <cell r="F359" t="str">
            <v>الزوايا</v>
          </cell>
          <cell r="G359" t="str">
            <v>عامل</v>
          </cell>
          <cell r="H359">
            <v>41585</v>
          </cell>
          <cell r="I359">
            <v>43498</v>
          </cell>
          <cell r="J359">
            <v>155</v>
          </cell>
          <cell r="K359">
            <v>1</v>
          </cell>
          <cell r="L359">
            <v>0</v>
          </cell>
          <cell r="M359">
            <v>0</v>
          </cell>
          <cell r="N359">
            <v>0</v>
          </cell>
          <cell r="O359">
            <v>2</v>
          </cell>
          <cell r="P359">
            <v>7</v>
          </cell>
          <cell r="Q359">
            <v>6</v>
          </cell>
          <cell r="R359">
            <v>1</v>
          </cell>
          <cell r="S359">
            <v>4</v>
          </cell>
          <cell r="T359">
            <v>1</v>
          </cell>
          <cell r="U359">
            <v>1</v>
          </cell>
          <cell r="V359">
            <v>20</v>
          </cell>
          <cell r="W359">
            <v>43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</row>
        <row r="360">
          <cell r="B360">
            <v>627</v>
          </cell>
          <cell r="C360" t="str">
            <v>رانى عمر الامين محمد احمد</v>
          </cell>
          <cell r="D360" t="str">
            <v>المصنع</v>
          </cell>
          <cell r="E360" t="str">
            <v>الانتاج</v>
          </cell>
          <cell r="F360" t="str">
            <v>التشريح</v>
          </cell>
          <cell r="G360" t="str">
            <v>مشغل كرين</v>
          </cell>
          <cell r="H360">
            <v>41587</v>
          </cell>
          <cell r="I360">
            <v>43498</v>
          </cell>
          <cell r="J360">
            <v>155</v>
          </cell>
          <cell r="K360">
            <v>0</v>
          </cell>
          <cell r="L360">
            <v>3</v>
          </cell>
          <cell r="M360">
            <v>0</v>
          </cell>
          <cell r="N360">
            <v>4</v>
          </cell>
          <cell r="O360">
            <v>0</v>
          </cell>
          <cell r="P360">
            <v>1</v>
          </cell>
          <cell r="Q360">
            <v>3</v>
          </cell>
          <cell r="R360">
            <v>1</v>
          </cell>
          <cell r="S360">
            <v>3</v>
          </cell>
          <cell r="T360">
            <v>1</v>
          </cell>
          <cell r="U360">
            <v>0</v>
          </cell>
          <cell r="V360">
            <v>0</v>
          </cell>
          <cell r="W360">
            <v>16</v>
          </cell>
          <cell r="X360">
            <v>43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</row>
        <row r="361">
          <cell r="B361">
            <v>628</v>
          </cell>
          <cell r="C361" t="str">
            <v>عبد الغفار احمد عمر الحاج</v>
          </cell>
          <cell r="D361" t="str">
            <v>المصنع</v>
          </cell>
          <cell r="E361" t="str">
            <v>الانتاج</v>
          </cell>
          <cell r="F361">
            <v>0</v>
          </cell>
          <cell r="G361">
            <v>0</v>
          </cell>
          <cell r="H361">
            <v>41587</v>
          </cell>
          <cell r="I361">
            <v>0</v>
          </cell>
          <cell r="J361" t="e">
            <v>#NUM!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16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</row>
        <row r="362">
          <cell r="B362">
            <v>631</v>
          </cell>
          <cell r="C362" t="str">
            <v>سعيد احمد محمد سعيد</v>
          </cell>
          <cell r="D362" t="str">
            <v>المصنع</v>
          </cell>
          <cell r="E362" t="str">
            <v>الانتاج</v>
          </cell>
          <cell r="F362" t="str">
            <v>المواسير</v>
          </cell>
          <cell r="G362" t="str">
            <v>مشغل</v>
          </cell>
          <cell r="H362">
            <v>41589</v>
          </cell>
          <cell r="I362">
            <v>43498</v>
          </cell>
          <cell r="J362">
            <v>155</v>
          </cell>
          <cell r="K362">
            <v>0</v>
          </cell>
          <cell r="L362">
            <v>1</v>
          </cell>
          <cell r="M362">
            <v>1</v>
          </cell>
          <cell r="N362">
            <v>3</v>
          </cell>
          <cell r="O362">
            <v>5</v>
          </cell>
          <cell r="P362">
            <v>1</v>
          </cell>
          <cell r="Q362">
            <v>4</v>
          </cell>
          <cell r="R362">
            <v>2</v>
          </cell>
          <cell r="S362">
            <v>3</v>
          </cell>
          <cell r="T362">
            <v>2</v>
          </cell>
          <cell r="U362">
            <v>2</v>
          </cell>
          <cell r="V362">
            <v>2</v>
          </cell>
          <cell r="W362">
            <v>26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</row>
        <row r="363">
          <cell r="B363">
            <v>634</v>
          </cell>
          <cell r="C363" t="str">
            <v>عبد الرحمن سرحان احمد سرحان</v>
          </cell>
          <cell r="D363" t="str">
            <v>المصنع</v>
          </cell>
          <cell r="E363" t="str">
            <v>الميكانيكا</v>
          </cell>
          <cell r="F363">
            <v>0</v>
          </cell>
          <cell r="G363" t="str">
            <v>فنى</v>
          </cell>
          <cell r="H363">
            <v>42298</v>
          </cell>
          <cell r="I363">
            <v>0</v>
          </cell>
          <cell r="J363" t="e">
            <v>#NUM!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26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</row>
        <row r="364">
          <cell r="B364">
            <v>636</v>
          </cell>
          <cell r="C364" t="str">
            <v>احمد محمد عبده بيومى</v>
          </cell>
          <cell r="D364" t="str">
            <v>المصنع</v>
          </cell>
          <cell r="E364" t="str">
            <v>الميكانيكا</v>
          </cell>
          <cell r="F364" t="str">
            <v>صيانه عامه</v>
          </cell>
          <cell r="G364" t="str">
            <v>فنى صيانه عامه</v>
          </cell>
          <cell r="H364">
            <v>41592</v>
          </cell>
          <cell r="I364">
            <v>42717</v>
          </cell>
          <cell r="J364">
            <v>90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</row>
        <row r="365">
          <cell r="B365">
            <v>637</v>
          </cell>
          <cell r="C365" t="str">
            <v>امير محمد احمد على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</row>
        <row r="366">
          <cell r="B366">
            <v>639</v>
          </cell>
          <cell r="C366" t="str">
            <v xml:space="preserve">خالد محمد على اسماعيل </v>
          </cell>
          <cell r="D366" t="str">
            <v>المصنع</v>
          </cell>
          <cell r="E366" t="str">
            <v>الانتاج</v>
          </cell>
          <cell r="F366">
            <v>0</v>
          </cell>
          <cell r="G366" t="str">
            <v>مهندس إنتاج</v>
          </cell>
          <cell r="H366">
            <v>41779</v>
          </cell>
          <cell r="I366">
            <v>0</v>
          </cell>
          <cell r="J366" t="e">
            <v>#NUM!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</row>
        <row r="367">
          <cell r="B367">
            <v>640</v>
          </cell>
          <cell r="C367" t="str">
            <v>يوسف عبدالماجد محمد على</v>
          </cell>
          <cell r="D367" t="str">
            <v>المصنع</v>
          </cell>
          <cell r="E367" t="str">
            <v>المستودعات</v>
          </cell>
          <cell r="F367" t="str">
            <v>المنتج الجاهز</v>
          </cell>
          <cell r="G367" t="str">
            <v>امين مستودع م ج</v>
          </cell>
          <cell r="H367">
            <v>41598</v>
          </cell>
          <cell r="I367">
            <v>42686</v>
          </cell>
          <cell r="J367">
            <v>87.5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</row>
        <row r="368">
          <cell r="B368">
            <v>641</v>
          </cell>
          <cell r="C368" t="str">
            <v>احمد حسن محمد صالح</v>
          </cell>
          <cell r="D368" t="str">
            <v>المصنع</v>
          </cell>
          <cell r="E368" t="str">
            <v>الانتاج</v>
          </cell>
          <cell r="F368">
            <v>0</v>
          </cell>
          <cell r="G368" t="str">
            <v>مهندس إنتاج</v>
          </cell>
          <cell r="H368">
            <v>41598</v>
          </cell>
          <cell r="I368">
            <v>0</v>
          </cell>
          <cell r="J368" t="e">
            <v>#NUM!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</row>
        <row r="369">
          <cell r="B369">
            <v>643</v>
          </cell>
          <cell r="C369" t="str">
            <v>صالح يعقوب محمد ابراهيم</v>
          </cell>
          <cell r="D369" t="str">
            <v>المصنع</v>
          </cell>
          <cell r="E369" t="str">
            <v>الخدمات</v>
          </cell>
          <cell r="F369">
            <v>0</v>
          </cell>
          <cell r="G369" t="str">
            <v>عامل</v>
          </cell>
          <cell r="H369">
            <v>41599</v>
          </cell>
          <cell r="I369">
            <v>43498</v>
          </cell>
          <cell r="J369">
            <v>155</v>
          </cell>
          <cell r="K369">
            <v>1</v>
          </cell>
          <cell r="L369">
            <v>1</v>
          </cell>
          <cell r="M369">
            <v>4</v>
          </cell>
          <cell r="N369">
            <v>1</v>
          </cell>
          <cell r="O369">
            <v>1</v>
          </cell>
          <cell r="P369">
            <v>2</v>
          </cell>
          <cell r="Q369">
            <v>4</v>
          </cell>
          <cell r="R369">
            <v>7</v>
          </cell>
          <cell r="S369">
            <v>0</v>
          </cell>
          <cell r="T369">
            <v>0</v>
          </cell>
          <cell r="U369">
            <v>2</v>
          </cell>
          <cell r="V369">
            <v>1</v>
          </cell>
          <cell r="W369">
            <v>24</v>
          </cell>
          <cell r="X369">
            <v>24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</row>
        <row r="370">
          <cell r="B370">
            <v>644</v>
          </cell>
          <cell r="C370" t="str">
            <v>ايمن حسب الله يعقوب</v>
          </cell>
          <cell r="D370" t="str">
            <v>المصنع</v>
          </cell>
          <cell r="E370" t="str">
            <v>الانتاج</v>
          </cell>
          <cell r="F370" t="str">
            <v>المواسير</v>
          </cell>
          <cell r="G370" t="str">
            <v>مساعد مشغل</v>
          </cell>
          <cell r="H370">
            <v>41601</v>
          </cell>
          <cell r="I370">
            <v>42829</v>
          </cell>
          <cell r="J370">
            <v>100</v>
          </cell>
          <cell r="K370">
            <v>0</v>
          </cell>
          <cell r="L370">
            <v>1</v>
          </cell>
          <cell r="M370">
            <v>5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6</v>
          </cell>
          <cell r="X370">
            <v>6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</row>
        <row r="371">
          <cell r="B371">
            <v>645</v>
          </cell>
          <cell r="C371" t="str">
            <v>محمد سراج الين بابكر احمد</v>
          </cell>
          <cell r="D371" t="str">
            <v>المصنع</v>
          </cell>
          <cell r="E371" t="str">
            <v>الانتاج</v>
          </cell>
          <cell r="F371">
            <v>0</v>
          </cell>
          <cell r="G371" t="str">
            <v>مهندس تشغيل</v>
          </cell>
          <cell r="H371">
            <v>41601</v>
          </cell>
          <cell r="I371">
            <v>0</v>
          </cell>
          <cell r="J371" t="e">
            <v>#NUM!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</row>
        <row r="372">
          <cell r="B372">
            <v>646</v>
          </cell>
          <cell r="C372" t="str">
            <v>التاج معلا يوسف معلا</v>
          </cell>
          <cell r="D372" t="str">
            <v>المصنع</v>
          </cell>
          <cell r="E372" t="str">
            <v>الانتاج</v>
          </cell>
          <cell r="F372">
            <v>0</v>
          </cell>
          <cell r="G372" t="str">
            <v>عامل</v>
          </cell>
          <cell r="H372">
            <v>41594</v>
          </cell>
          <cell r="I372">
            <v>0</v>
          </cell>
          <cell r="J372" t="e">
            <v>#NUM!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</row>
        <row r="373">
          <cell r="B373">
            <v>647</v>
          </cell>
          <cell r="C373" t="str">
            <v>عامر محمد هارون ادم</v>
          </cell>
          <cell r="D373" t="str">
            <v>المصنع</v>
          </cell>
          <cell r="E373" t="str">
            <v>الامن و الحركه</v>
          </cell>
          <cell r="F373">
            <v>0</v>
          </cell>
          <cell r="G373" t="str">
            <v>فرد امن</v>
          </cell>
          <cell r="H373">
            <v>41602</v>
          </cell>
          <cell r="I373">
            <v>0</v>
          </cell>
          <cell r="J373" t="e">
            <v>#NUM!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</row>
        <row r="374">
          <cell r="B374">
            <v>648</v>
          </cell>
          <cell r="C374" t="str">
            <v>احمد محمد سليمان حامد</v>
          </cell>
          <cell r="D374" t="str">
            <v>المصنع</v>
          </cell>
          <cell r="E374" t="str">
            <v>الانتاج</v>
          </cell>
          <cell r="F374">
            <v>0</v>
          </cell>
          <cell r="G374" t="str">
            <v>مشغل</v>
          </cell>
          <cell r="H374">
            <v>42542</v>
          </cell>
          <cell r="I374">
            <v>42829</v>
          </cell>
          <cell r="J374">
            <v>22.5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</row>
        <row r="375">
          <cell r="B375">
            <v>650</v>
          </cell>
          <cell r="C375" t="str">
            <v>ناصر ابراهيم ادريس عشر</v>
          </cell>
          <cell r="D375" t="str">
            <v>المصنع</v>
          </cell>
          <cell r="E375" t="str">
            <v>الانتاج</v>
          </cell>
          <cell r="F375" t="str">
            <v>اليات</v>
          </cell>
          <cell r="G375" t="str">
            <v>سائق اليات</v>
          </cell>
          <cell r="H375">
            <v>41609</v>
          </cell>
          <cell r="I375">
            <v>43498</v>
          </cell>
          <cell r="J375">
            <v>155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</row>
        <row r="376">
          <cell r="B376">
            <v>652</v>
          </cell>
          <cell r="C376" t="str">
            <v>مهدى حامد خضر</v>
          </cell>
          <cell r="D376" t="str">
            <v>المصنع</v>
          </cell>
          <cell r="E376" t="str">
            <v>الانتاج</v>
          </cell>
          <cell r="F376">
            <v>0</v>
          </cell>
          <cell r="G376" t="str">
            <v>عامل</v>
          </cell>
          <cell r="H376">
            <v>41609</v>
          </cell>
          <cell r="I376">
            <v>0</v>
          </cell>
          <cell r="J376" t="e">
            <v>#NUM!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</row>
        <row r="377">
          <cell r="B377">
            <v>653</v>
          </cell>
          <cell r="C377" t="str">
            <v>حسن النور اسماعيل خيرى</v>
          </cell>
          <cell r="D377" t="str">
            <v>المصنع</v>
          </cell>
          <cell r="E377" t="str">
            <v>الكهرباء</v>
          </cell>
          <cell r="F377" t="str">
            <v>موتورات</v>
          </cell>
          <cell r="G377" t="str">
            <v>فنى لف موتورات</v>
          </cell>
          <cell r="H377">
            <v>41609</v>
          </cell>
          <cell r="I377">
            <v>43498</v>
          </cell>
          <cell r="J377">
            <v>155</v>
          </cell>
          <cell r="K377">
            <v>3</v>
          </cell>
          <cell r="L377">
            <v>3</v>
          </cell>
          <cell r="M377">
            <v>1</v>
          </cell>
          <cell r="N377">
            <v>13</v>
          </cell>
          <cell r="O377">
            <v>15</v>
          </cell>
          <cell r="P377">
            <v>0</v>
          </cell>
          <cell r="Q377">
            <v>9</v>
          </cell>
          <cell r="R377">
            <v>5</v>
          </cell>
          <cell r="S377">
            <v>10</v>
          </cell>
          <cell r="T377">
            <v>1</v>
          </cell>
          <cell r="U377">
            <v>2</v>
          </cell>
          <cell r="V377">
            <v>3</v>
          </cell>
          <cell r="W377">
            <v>65</v>
          </cell>
          <cell r="X377">
            <v>65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</row>
        <row r="378">
          <cell r="B378">
            <v>655</v>
          </cell>
          <cell r="C378" t="str">
            <v>موسى محمد محمد نور يوسف</v>
          </cell>
          <cell r="D378" t="str">
            <v>المصنع</v>
          </cell>
          <cell r="E378" t="str">
            <v>الانتاج</v>
          </cell>
          <cell r="F378">
            <v>0</v>
          </cell>
          <cell r="G378" t="str">
            <v>عامل</v>
          </cell>
          <cell r="H378">
            <v>41245</v>
          </cell>
          <cell r="I378">
            <v>0</v>
          </cell>
          <cell r="J378" t="e">
            <v>#NUM!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</row>
        <row r="379">
          <cell r="B379">
            <v>656</v>
          </cell>
          <cell r="C379" t="str">
            <v>اصف نور الدائم بابكر الحسن</v>
          </cell>
          <cell r="D379" t="str">
            <v>المصنع</v>
          </cell>
          <cell r="E379" t="str">
            <v>المستودعات</v>
          </cell>
          <cell r="F379" t="str">
            <v>الزوايا</v>
          </cell>
          <cell r="G379" t="str">
            <v>امين مستودع</v>
          </cell>
          <cell r="H379">
            <v>41610</v>
          </cell>
          <cell r="I379">
            <v>43498</v>
          </cell>
          <cell r="J379">
            <v>155</v>
          </cell>
          <cell r="K379">
            <v>2</v>
          </cell>
          <cell r="L379">
            <v>0</v>
          </cell>
          <cell r="M379">
            <v>1</v>
          </cell>
          <cell r="N379">
            <v>0</v>
          </cell>
          <cell r="O379">
            <v>0</v>
          </cell>
          <cell r="P379">
            <v>0</v>
          </cell>
          <cell r="Q379">
            <v>1</v>
          </cell>
          <cell r="R379">
            <v>1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5</v>
          </cell>
          <cell r="X379">
            <v>5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</row>
        <row r="380">
          <cell r="B380">
            <v>659</v>
          </cell>
          <cell r="C380" t="str">
            <v>محمد محجوب محمد محمد خير</v>
          </cell>
          <cell r="D380" t="str">
            <v>المصنع</v>
          </cell>
          <cell r="E380" t="str">
            <v>الميكانيكا</v>
          </cell>
          <cell r="F380">
            <v>0</v>
          </cell>
          <cell r="G380" t="str">
            <v>حداد</v>
          </cell>
          <cell r="H380">
            <v>41610</v>
          </cell>
          <cell r="I380">
            <v>0</v>
          </cell>
          <cell r="J380" t="e">
            <v>#NUM!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</row>
        <row r="381">
          <cell r="B381">
            <v>662</v>
          </cell>
          <cell r="C381" t="str">
            <v>ابراهيم عثمان الحاج محمد</v>
          </cell>
          <cell r="D381" t="str">
            <v>المصنع</v>
          </cell>
          <cell r="E381" t="str">
            <v>الانتاج</v>
          </cell>
          <cell r="F381" t="str">
            <v>المواسير</v>
          </cell>
          <cell r="G381" t="str">
            <v>مساعد مشغل</v>
          </cell>
          <cell r="H381">
            <v>41612</v>
          </cell>
          <cell r="I381">
            <v>43498</v>
          </cell>
          <cell r="J381">
            <v>152.5</v>
          </cell>
          <cell r="K381">
            <v>1</v>
          </cell>
          <cell r="L381">
            <v>7</v>
          </cell>
          <cell r="M381">
            <v>1</v>
          </cell>
          <cell r="N381">
            <v>2</v>
          </cell>
          <cell r="O381">
            <v>3</v>
          </cell>
          <cell r="P381">
            <v>1</v>
          </cell>
          <cell r="Q381">
            <v>3</v>
          </cell>
          <cell r="R381">
            <v>6</v>
          </cell>
          <cell r="S381">
            <v>5</v>
          </cell>
          <cell r="T381">
            <v>3</v>
          </cell>
          <cell r="U381">
            <v>0</v>
          </cell>
          <cell r="V381">
            <v>2</v>
          </cell>
          <cell r="W381">
            <v>34</v>
          </cell>
          <cell r="X381">
            <v>34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</row>
        <row r="382">
          <cell r="B382">
            <v>666</v>
          </cell>
          <cell r="C382" t="str">
            <v>الضى الساير على جبريل</v>
          </cell>
          <cell r="D382" t="str">
            <v>المصنع</v>
          </cell>
          <cell r="E382" t="str">
            <v>الامن و الحركه</v>
          </cell>
          <cell r="F382" t="str">
            <v>الامن</v>
          </cell>
          <cell r="G382" t="str">
            <v>فرد امن</v>
          </cell>
          <cell r="H382">
            <v>41616</v>
          </cell>
          <cell r="I382">
            <v>43498</v>
          </cell>
          <cell r="J382">
            <v>152.5</v>
          </cell>
          <cell r="K382">
            <v>0</v>
          </cell>
          <cell r="L382">
            <v>4</v>
          </cell>
          <cell r="M382">
            <v>30</v>
          </cell>
          <cell r="N382">
            <v>0</v>
          </cell>
          <cell r="O382">
            <v>2</v>
          </cell>
          <cell r="P382">
            <v>1</v>
          </cell>
          <cell r="Q382">
            <v>0</v>
          </cell>
          <cell r="R382">
            <v>0</v>
          </cell>
          <cell r="S382">
            <v>0</v>
          </cell>
          <cell r="T382">
            <v>12</v>
          </cell>
          <cell r="U382">
            <v>0</v>
          </cell>
          <cell r="V382">
            <v>0</v>
          </cell>
          <cell r="W382">
            <v>49</v>
          </cell>
          <cell r="X382">
            <v>49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</row>
        <row r="383">
          <cell r="B383">
            <v>669</v>
          </cell>
          <cell r="C383" t="str">
            <v>ابوالقاسم احمد عبد الله ابراهيم</v>
          </cell>
          <cell r="D383" t="str">
            <v>المصنع</v>
          </cell>
          <cell r="E383" t="str">
            <v>الميكانيكا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</row>
        <row r="384">
          <cell r="B384">
            <v>670</v>
          </cell>
          <cell r="C384" t="str">
            <v>الحاج محمد الحسن موسى محمد</v>
          </cell>
          <cell r="D384" t="str">
            <v>المصنع</v>
          </cell>
          <cell r="E384" t="str">
            <v>المستودعات</v>
          </cell>
          <cell r="F384" t="str">
            <v>الميزان</v>
          </cell>
          <cell r="G384" t="str">
            <v>امين ميزان</v>
          </cell>
          <cell r="H384">
            <v>41619</v>
          </cell>
          <cell r="I384">
            <v>43498</v>
          </cell>
          <cell r="J384">
            <v>152.5</v>
          </cell>
          <cell r="K384">
            <v>2</v>
          </cell>
          <cell r="L384">
            <v>1</v>
          </cell>
          <cell r="M384">
            <v>1</v>
          </cell>
          <cell r="N384">
            <v>3</v>
          </cell>
          <cell r="O384">
            <v>2</v>
          </cell>
          <cell r="P384">
            <v>1</v>
          </cell>
          <cell r="Q384">
            <v>3</v>
          </cell>
          <cell r="R384">
            <v>4</v>
          </cell>
          <cell r="S384">
            <v>3</v>
          </cell>
          <cell r="T384">
            <v>4</v>
          </cell>
          <cell r="U384">
            <v>2</v>
          </cell>
          <cell r="V384">
            <v>0</v>
          </cell>
          <cell r="W384">
            <v>26</v>
          </cell>
          <cell r="X384">
            <v>26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</row>
        <row r="385">
          <cell r="B385">
            <v>677</v>
          </cell>
          <cell r="C385" t="str">
            <v>فرح محمد ياسين سليمان</v>
          </cell>
          <cell r="D385" t="str">
            <v>المصنع</v>
          </cell>
          <cell r="E385" t="str">
            <v>الجوده</v>
          </cell>
          <cell r="F385">
            <v>0</v>
          </cell>
          <cell r="G385" t="str">
            <v>مراقب انتاج</v>
          </cell>
          <cell r="H385">
            <v>41626</v>
          </cell>
          <cell r="I385">
            <v>43498</v>
          </cell>
          <cell r="J385">
            <v>152.5</v>
          </cell>
          <cell r="K385">
            <v>1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  <cell r="P385">
            <v>1</v>
          </cell>
          <cell r="Q385">
            <v>0</v>
          </cell>
          <cell r="R385">
            <v>0</v>
          </cell>
          <cell r="S385">
            <v>12</v>
          </cell>
          <cell r="T385">
            <v>2</v>
          </cell>
          <cell r="U385">
            <v>0</v>
          </cell>
          <cell r="V385">
            <v>1</v>
          </cell>
          <cell r="W385">
            <v>18</v>
          </cell>
          <cell r="X385">
            <v>18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</row>
        <row r="386">
          <cell r="B386">
            <v>678</v>
          </cell>
          <cell r="C386" t="str">
            <v>موسى عبدالله محمد احمد</v>
          </cell>
          <cell r="D386" t="str">
            <v>المصنع</v>
          </cell>
          <cell r="E386" t="str">
            <v>الانتاج</v>
          </cell>
          <cell r="F386" t="str">
            <v>الزوايا</v>
          </cell>
          <cell r="G386" t="str">
            <v>عامل</v>
          </cell>
          <cell r="H386">
            <v>41626</v>
          </cell>
          <cell r="I386">
            <v>43498</v>
          </cell>
          <cell r="J386">
            <v>152.5</v>
          </cell>
          <cell r="K386">
            <v>1</v>
          </cell>
          <cell r="L386">
            <v>4</v>
          </cell>
          <cell r="M386">
            <v>2</v>
          </cell>
          <cell r="N386">
            <v>2</v>
          </cell>
          <cell r="O386">
            <v>3</v>
          </cell>
          <cell r="P386">
            <v>0</v>
          </cell>
          <cell r="Q386">
            <v>1</v>
          </cell>
          <cell r="R386">
            <v>3</v>
          </cell>
          <cell r="S386">
            <v>0</v>
          </cell>
          <cell r="T386">
            <v>1</v>
          </cell>
          <cell r="U386">
            <v>2</v>
          </cell>
          <cell r="V386">
            <v>0</v>
          </cell>
          <cell r="W386">
            <v>19</v>
          </cell>
          <cell r="X386">
            <v>19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</row>
        <row r="387">
          <cell r="B387">
            <v>679</v>
          </cell>
          <cell r="C387" t="str">
            <v>عبدالفضيل احمد على محمد</v>
          </cell>
          <cell r="D387" t="str">
            <v>المصنع</v>
          </cell>
          <cell r="E387" t="str">
            <v>الانتاج</v>
          </cell>
          <cell r="F387">
            <v>0</v>
          </cell>
          <cell r="G387" t="str">
            <v>عامل</v>
          </cell>
          <cell r="H387">
            <v>42319</v>
          </cell>
          <cell r="I387">
            <v>42658</v>
          </cell>
          <cell r="J387">
            <v>27.5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</row>
        <row r="388">
          <cell r="B388">
            <v>681</v>
          </cell>
          <cell r="C388" t="str">
            <v>محمد المجاهد ادم ابراهيم</v>
          </cell>
          <cell r="D388" t="str">
            <v>المصنع</v>
          </cell>
          <cell r="E388" t="str">
            <v>الكهرباء</v>
          </cell>
          <cell r="F388">
            <v>0</v>
          </cell>
          <cell r="G388" t="str">
            <v>مهندس كهرباء</v>
          </cell>
          <cell r="H388">
            <v>41657</v>
          </cell>
          <cell r="I388">
            <v>0</v>
          </cell>
          <cell r="J388" t="e">
            <v>#NUM!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</row>
        <row r="389">
          <cell r="B389">
            <v>682</v>
          </cell>
          <cell r="C389" t="str">
            <v>عابدين عبدالرحيم مختار احمد</v>
          </cell>
          <cell r="D389" t="str">
            <v>المصنع</v>
          </cell>
          <cell r="E389" t="str">
            <v>المستودعات</v>
          </cell>
          <cell r="F389">
            <v>0</v>
          </cell>
          <cell r="G389" t="str">
            <v>امين مستودع ا س</v>
          </cell>
          <cell r="H389">
            <v>41657</v>
          </cell>
          <cell r="I389">
            <v>0</v>
          </cell>
          <cell r="J389" t="e">
            <v>#NUM!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</row>
        <row r="390">
          <cell r="B390">
            <v>684</v>
          </cell>
          <cell r="C390" t="str">
            <v>خوجلى عبدالنبى عبدالتام طه</v>
          </cell>
          <cell r="D390" t="str">
            <v>المصنع</v>
          </cell>
          <cell r="E390" t="str">
            <v>الانتاج</v>
          </cell>
          <cell r="F390" t="str">
            <v>التشريح</v>
          </cell>
          <cell r="G390" t="str">
            <v>كرين</v>
          </cell>
          <cell r="H390">
            <v>41664</v>
          </cell>
          <cell r="I390">
            <v>42757</v>
          </cell>
          <cell r="J390">
            <v>87.5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</row>
        <row r="391">
          <cell r="B391">
            <v>686</v>
          </cell>
          <cell r="C391" t="str">
            <v>محمد عمر احمد حمد النيل</v>
          </cell>
          <cell r="D391" t="str">
            <v>المصنع</v>
          </cell>
          <cell r="E391" t="str">
            <v>المستودعات</v>
          </cell>
          <cell r="F391" t="str">
            <v>الاسكلبات</v>
          </cell>
          <cell r="G391" t="str">
            <v>مسئول مستوع ا س</v>
          </cell>
          <cell r="H391">
            <v>41671</v>
          </cell>
          <cell r="I391">
            <v>43498</v>
          </cell>
          <cell r="J391">
            <v>150</v>
          </cell>
          <cell r="K391">
            <v>3</v>
          </cell>
          <cell r="L391">
            <v>1</v>
          </cell>
          <cell r="M391">
            <v>5</v>
          </cell>
          <cell r="N391">
            <v>0</v>
          </cell>
          <cell r="O391">
            <v>2</v>
          </cell>
          <cell r="P391">
            <v>6</v>
          </cell>
          <cell r="Q391">
            <v>0</v>
          </cell>
          <cell r="R391">
            <v>1</v>
          </cell>
          <cell r="S391">
            <v>1</v>
          </cell>
          <cell r="T391">
            <v>2</v>
          </cell>
          <cell r="U391">
            <v>1</v>
          </cell>
          <cell r="V391">
            <v>1</v>
          </cell>
          <cell r="W391">
            <v>23</v>
          </cell>
          <cell r="X391">
            <v>23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</row>
        <row r="392">
          <cell r="B392">
            <v>687</v>
          </cell>
          <cell r="C392" t="str">
            <v>سيف اليزل عبد الماجد سليمان محمد</v>
          </cell>
          <cell r="D392" t="str">
            <v>المصنع</v>
          </cell>
          <cell r="E392" t="str">
            <v>الانتاج</v>
          </cell>
          <cell r="F392">
            <v>0</v>
          </cell>
          <cell r="G392" t="str">
            <v>عامل</v>
          </cell>
          <cell r="H392">
            <v>41671</v>
          </cell>
          <cell r="I392">
            <v>0</v>
          </cell>
          <cell r="J392" t="e">
            <v>#NUM!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</row>
        <row r="393">
          <cell r="B393">
            <v>689</v>
          </cell>
          <cell r="C393" t="str">
            <v>عثمان جادين الامين حمد</v>
          </cell>
          <cell r="D393" t="str">
            <v>المصنع</v>
          </cell>
          <cell r="E393" t="str">
            <v>الخدمات</v>
          </cell>
          <cell r="F393">
            <v>0</v>
          </cell>
          <cell r="G393" t="str">
            <v>عامل</v>
          </cell>
          <cell r="H393">
            <v>41671</v>
          </cell>
          <cell r="I393">
            <v>43498</v>
          </cell>
          <cell r="J393">
            <v>150</v>
          </cell>
          <cell r="K393">
            <v>0</v>
          </cell>
          <cell r="L393">
            <v>4</v>
          </cell>
          <cell r="M393">
            <v>3</v>
          </cell>
          <cell r="N393">
            <v>1</v>
          </cell>
          <cell r="O393">
            <v>2</v>
          </cell>
          <cell r="P393">
            <v>1</v>
          </cell>
          <cell r="Q393">
            <v>0</v>
          </cell>
          <cell r="R393">
            <v>5</v>
          </cell>
          <cell r="S393">
            <v>1</v>
          </cell>
          <cell r="T393">
            <v>2</v>
          </cell>
          <cell r="U393">
            <v>4</v>
          </cell>
          <cell r="V393">
            <v>15</v>
          </cell>
          <cell r="W393">
            <v>38</v>
          </cell>
          <cell r="X393">
            <v>38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</row>
        <row r="394">
          <cell r="B394">
            <v>690</v>
          </cell>
          <cell r="C394" t="str">
            <v>الياقوت محمد احمد عبدالله</v>
          </cell>
          <cell r="D394" t="str">
            <v>المصنع</v>
          </cell>
          <cell r="E394" t="str">
            <v>المستودعات</v>
          </cell>
          <cell r="F394" t="str">
            <v>الاسكبات</v>
          </cell>
          <cell r="G394" t="str">
            <v>امين مستودع ا س</v>
          </cell>
          <cell r="H394">
            <v>42322</v>
          </cell>
          <cell r="I394">
            <v>43498</v>
          </cell>
          <cell r="J394">
            <v>95</v>
          </cell>
          <cell r="K394">
            <v>2</v>
          </cell>
          <cell r="L394">
            <v>1</v>
          </cell>
          <cell r="M394">
            <v>2</v>
          </cell>
          <cell r="N394">
            <v>4</v>
          </cell>
          <cell r="O394">
            <v>0</v>
          </cell>
          <cell r="P394">
            <v>0</v>
          </cell>
          <cell r="Q394">
            <v>0</v>
          </cell>
          <cell r="R394">
            <v>6</v>
          </cell>
          <cell r="S394">
            <v>0</v>
          </cell>
          <cell r="T394">
            <v>2</v>
          </cell>
          <cell r="U394">
            <v>1</v>
          </cell>
          <cell r="V394">
            <v>30</v>
          </cell>
          <cell r="W394">
            <v>48</v>
          </cell>
          <cell r="X394">
            <v>48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</row>
        <row r="395">
          <cell r="B395">
            <v>691</v>
          </cell>
          <cell r="C395" t="str">
            <v>عبدالجبار ابراهيم صالح شرف الدين</v>
          </cell>
          <cell r="D395" t="str">
            <v>المصنع</v>
          </cell>
          <cell r="E395" t="str">
            <v>الخدمات</v>
          </cell>
          <cell r="F395">
            <v>0</v>
          </cell>
          <cell r="G395" t="str">
            <v>مشرف خدمات</v>
          </cell>
          <cell r="H395">
            <v>41672</v>
          </cell>
          <cell r="I395">
            <v>43498</v>
          </cell>
          <cell r="J395">
            <v>150</v>
          </cell>
          <cell r="K395">
            <v>0</v>
          </cell>
          <cell r="L395">
            <v>4</v>
          </cell>
          <cell r="M395">
            <v>3</v>
          </cell>
          <cell r="N395">
            <v>12</v>
          </cell>
          <cell r="O395">
            <v>2</v>
          </cell>
          <cell r="P395">
            <v>2</v>
          </cell>
          <cell r="Q395">
            <v>4</v>
          </cell>
          <cell r="R395">
            <v>2</v>
          </cell>
          <cell r="S395">
            <v>2</v>
          </cell>
          <cell r="T395">
            <v>5</v>
          </cell>
          <cell r="U395">
            <v>0</v>
          </cell>
          <cell r="V395">
            <v>4</v>
          </cell>
          <cell r="W395">
            <v>40</v>
          </cell>
          <cell r="X395">
            <v>40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</row>
        <row r="396">
          <cell r="B396">
            <v>694</v>
          </cell>
          <cell r="C396" t="str">
            <v>نجم الدين سالم عبد الله عيسى</v>
          </cell>
          <cell r="D396" t="str">
            <v>المصنع</v>
          </cell>
          <cell r="E396" t="str">
            <v>الانتاج</v>
          </cell>
          <cell r="F396">
            <v>0</v>
          </cell>
          <cell r="G396" t="str">
            <v>عامل</v>
          </cell>
          <cell r="H396">
            <v>41674</v>
          </cell>
          <cell r="I396">
            <v>0</v>
          </cell>
          <cell r="J396" t="e">
            <v>#NUM!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</row>
        <row r="397">
          <cell r="B397">
            <v>695</v>
          </cell>
          <cell r="C397" t="str">
            <v>محمد هارون موسى رحومة</v>
          </cell>
          <cell r="D397" t="str">
            <v>المصنع</v>
          </cell>
          <cell r="E397" t="str">
            <v>الانتاج</v>
          </cell>
          <cell r="F397">
            <v>0</v>
          </cell>
          <cell r="G397" t="str">
            <v>عامل</v>
          </cell>
          <cell r="H397">
            <v>41675</v>
          </cell>
          <cell r="I397">
            <v>0</v>
          </cell>
          <cell r="J397" t="e">
            <v>#NUM!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</row>
        <row r="398">
          <cell r="B398">
            <v>696</v>
          </cell>
          <cell r="C398" t="str">
            <v>السمؤال حسن ميرغنى حمد</v>
          </cell>
          <cell r="D398" t="str">
            <v>المصنع</v>
          </cell>
          <cell r="E398" t="str">
            <v>الانتاج</v>
          </cell>
          <cell r="F398">
            <v>0</v>
          </cell>
          <cell r="G398" t="str">
            <v>تقنى تشغيل</v>
          </cell>
          <cell r="H398">
            <v>41678</v>
          </cell>
          <cell r="I398">
            <v>0</v>
          </cell>
          <cell r="J398" t="e">
            <v>#NUM!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</row>
        <row r="399">
          <cell r="B399">
            <v>697</v>
          </cell>
          <cell r="C399" t="str">
            <v>عبدالعزيز الامين محمد حمدالنيل</v>
          </cell>
          <cell r="D399" t="str">
            <v>المصنع</v>
          </cell>
          <cell r="E399" t="str">
            <v>الميكانيكا</v>
          </cell>
          <cell r="F399" t="str">
            <v>الحداده</v>
          </cell>
          <cell r="G399" t="str">
            <v>حداد صيانه</v>
          </cell>
          <cell r="H399">
            <v>41679</v>
          </cell>
          <cell r="I399">
            <v>43498</v>
          </cell>
          <cell r="J399">
            <v>147.5</v>
          </cell>
          <cell r="K399">
            <v>3</v>
          </cell>
          <cell r="L399">
            <v>1</v>
          </cell>
          <cell r="M399">
            <v>0</v>
          </cell>
          <cell r="N399">
            <v>4</v>
          </cell>
          <cell r="O399">
            <v>4</v>
          </cell>
          <cell r="P399">
            <v>2</v>
          </cell>
          <cell r="Q399">
            <v>6</v>
          </cell>
          <cell r="R399">
            <v>0</v>
          </cell>
          <cell r="S399">
            <v>6</v>
          </cell>
          <cell r="T399">
            <v>4</v>
          </cell>
          <cell r="U399">
            <v>1</v>
          </cell>
          <cell r="V399">
            <v>0</v>
          </cell>
          <cell r="W399">
            <v>31</v>
          </cell>
          <cell r="X399">
            <v>31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</row>
        <row r="400">
          <cell r="B400">
            <v>699</v>
          </cell>
          <cell r="C400" t="str">
            <v>حمدان محمد احمد بلة</v>
          </cell>
          <cell r="D400" t="str">
            <v>المصنع</v>
          </cell>
          <cell r="E400" t="str">
            <v>الانتاج</v>
          </cell>
          <cell r="F400">
            <v>0</v>
          </cell>
          <cell r="G400" t="str">
            <v>عامل</v>
          </cell>
          <cell r="H400">
            <v>41679</v>
          </cell>
          <cell r="I400">
            <v>0</v>
          </cell>
          <cell r="J400" t="e">
            <v>#NUM!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</row>
        <row r="401">
          <cell r="B401">
            <v>702</v>
          </cell>
          <cell r="C401" t="str">
            <v>معتز خليفة سالم برمة</v>
          </cell>
          <cell r="D401" t="str">
            <v>المصنع</v>
          </cell>
          <cell r="E401" t="str">
            <v>الانتاج</v>
          </cell>
          <cell r="F401">
            <v>0</v>
          </cell>
          <cell r="G401" t="str">
            <v>عامل</v>
          </cell>
          <cell r="H401">
            <v>41679</v>
          </cell>
          <cell r="I401">
            <v>0</v>
          </cell>
          <cell r="J401" t="e">
            <v>#NUM!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</row>
        <row r="402">
          <cell r="B402">
            <v>705</v>
          </cell>
          <cell r="C402" t="str">
            <v>محمد عبيد الله على حامد</v>
          </cell>
          <cell r="D402" t="str">
            <v>المصنع</v>
          </cell>
          <cell r="E402" t="str">
            <v>الانتاج</v>
          </cell>
          <cell r="F402" t="str">
            <v>الزوايا</v>
          </cell>
          <cell r="G402" t="str">
            <v>مشغل كرين</v>
          </cell>
          <cell r="H402">
            <v>41681</v>
          </cell>
          <cell r="I402">
            <v>43498</v>
          </cell>
          <cell r="J402">
            <v>147.5</v>
          </cell>
          <cell r="K402">
            <v>0</v>
          </cell>
          <cell r="L402">
            <v>6</v>
          </cell>
          <cell r="M402">
            <v>1</v>
          </cell>
          <cell r="N402">
            <v>3</v>
          </cell>
          <cell r="O402">
            <v>2</v>
          </cell>
          <cell r="P402">
            <v>1</v>
          </cell>
          <cell r="Q402">
            <v>6</v>
          </cell>
          <cell r="R402">
            <v>3</v>
          </cell>
          <cell r="S402">
            <v>4</v>
          </cell>
          <cell r="T402">
            <v>1</v>
          </cell>
          <cell r="U402">
            <v>2</v>
          </cell>
          <cell r="V402">
            <v>0</v>
          </cell>
          <cell r="W402">
            <v>29</v>
          </cell>
          <cell r="X402">
            <v>29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</row>
        <row r="403">
          <cell r="B403">
            <v>706</v>
          </cell>
          <cell r="C403" t="str">
            <v>الطيب ادم عبد الرحمن على</v>
          </cell>
          <cell r="D403" t="str">
            <v>المصنع</v>
          </cell>
          <cell r="E403" t="str">
            <v>الانتاج</v>
          </cell>
          <cell r="F403">
            <v>0</v>
          </cell>
          <cell r="G403" t="str">
            <v>سائق</v>
          </cell>
          <cell r="H403">
            <v>41730</v>
          </cell>
          <cell r="I403">
            <v>0</v>
          </cell>
          <cell r="J403" t="e">
            <v>#NUM!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</row>
        <row r="404">
          <cell r="B404">
            <v>707</v>
          </cell>
          <cell r="C404" t="str">
            <v>عطا المنان الطيب عطا المنان حماد</v>
          </cell>
          <cell r="D404" t="str">
            <v>المصنع</v>
          </cell>
          <cell r="E404" t="str">
            <v>الميكانيكا</v>
          </cell>
          <cell r="F404">
            <v>0</v>
          </cell>
          <cell r="G404" t="str">
            <v>حداد</v>
          </cell>
          <cell r="H404">
            <v>41681</v>
          </cell>
          <cell r="I404">
            <v>0</v>
          </cell>
          <cell r="J404" t="e">
            <v>#NUM!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</row>
        <row r="405">
          <cell r="B405">
            <v>709</v>
          </cell>
          <cell r="C405" t="str">
            <v>خالد ادم محمد صابون</v>
          </cell>
          <cell r="D405" t="str">
            <v>المصنع</v>
          </cell>
          <cell r="E405" t="str">
            <v>الانتاج</v>
          </cell>
          <cell r="F405">
            <v>0</v>
          </cell>
          <cell r="G405" t="str">
            <v>عامل</v>
          </cell>
          <cell r="H405">
            <v>41685</v>
          </cell>
          <cell r="I405">
            <v>0</v>
          </cell>
          <cell r="J405" t="e">
            <v>#NUM!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</row>
        <row r="406">
          <cell r="B406">
            <v>713</v>
          </cell>
          <cell r="C406" t="str">
            <v>لؤى نور الدين الصديق محمد</v>
          </cell>
          <cell r="D406" t="str">
            <v>المصنع</v>
          </cell>
          <cell r="E406" t="str">
            <v>الاليات</v>
          </cell>
          <cell r="F406">
            <v>0</v>
          </cell>
          <cell r="G406" t="str">
            <v>فنى انتاج</v>
          </cell>
          <cell r="H406">
            <v>41685</v>
          </cell>
          <cell r="I406">
            <v>0</v>
          </cell>
          <cell r="J406" t="e">
            <v>#NUM!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</row>
        <row r="407">
          <cell r="B407">
            <v>718</v>
          </cell>
          <cell r="C407" t="str">
            <v>بشرى جبرالله جديد جبر الله</v>
          </cell>
          <cell r="D407" t="str">
            <v>المصنع</v>
          </cell>
          <cell r="E407" t="str">
            <v>الانتاج</v>
          </cell>
          <cell r="F407">
            <v>0</v>
          </cell>
          <cell r="G407" t="str">
            <v>عامل</v>
          </cell>
          <cell r="H407">
            <v>41699</v>
          </cell>
          <cell r="I407">
            <v>0</v>
          </cell>
          <cell r="J407" t="e">
            <v>#NUM!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</row>
        <row r="408">
          <cell r="B408">
            <v>719</v>
          </cell>
          <cell r="C408" t="str">
            <v>حسين محمد إبراهيم حلو</v>
          </cell>
          <cell r="D408" t="str">
            <v>المصنع</v>
          </cell>
          <cell r="E408" t="str">
            <v>الانتاج</v>
          </cell>
          <cell r="F408">
            <v>0</v>
          </cell>
          <cell r="G408" t="str">
            <v>عامل</v>
          </cell>
          <cell r="H408">
            <v>42409</v>
          </cell>
          <cell r="I408">
            <v>0</v>
          </cell>
          <cell r="J408" t="e">
            <v>#NUM!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</row>
        <row r="409">
          <cell r="B409">
            <v>721</v>
          </cell>
          <cell r="C409" t="str">
            <v>الفاتح ابراهيم بابكر عثمان</v>
          </cell>
          <cell r="D409" t="str">
            <v>المصنع</v>
          </cell>
          <cell r="E409" t="str">
            <v>الميكانيكا</v>
          </cell>
          <cell r="F409">
            <v>0</v>
          </cell>
          <cell r="G409" t="str">
            <v>تقنى ميكانيكا</v>
          </cell>
          <cell r="H409">
            <v>41699</v>
          </cell>
          <cell r="I409">
            <v>0</v>
          </cell>
          <cell r="J409" t="e">
            <v>#NUM!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</row>
        <row r="410">
          <cell r="B410">
            <v>722</v>
          </cell>
          <cell r="C410" t="str">
            <v xml:space="preserve">عادل عبد الرحمن ابراهيم محمد </v>
          </cell>
          <cell r="D410" t="str">
            <v>المصنع</v>
          </cell>
          <cell r="E410" t="str">
            <v>الانتاج</v>
          </cell>
          <cell r="F410">
            <v>0</v>
          </cell>
          <cell r="G410" t="str">
            <v>مشرف</v>
          </cell>
          <cell r="H410">
            <v>41700</v>
          </cell>
          <cell r="I410">
            <v>0</v>
          </cell>
          <cell r="J410" t="e">
            <v>#NUM!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</row>
        <row r="411">
          <cell r="B411">
            <v>723</v>
          </cell>
          <cell r="C411" t="str">
            <v>الهادى على مصطفى عجبنا</v>
          </cell>
          <cell r="D411" t="str">
            <v>المصنع</v>
          </cell>
          <cell r="E411" t="str">
            <v>الانتاج</v>
          </cell>
          <cell r="F411" t="str">
            <v>الخوص</v>
          </cell>
          <cell r="G411" t="str">
            <v>مساعد مشغل</v>
          </cell>
          <cell r="H411">
            <v>41699</v>
          </cell>
          <cell r="I411">
            <v>43498</v>
          </cell>
          <cell r="J411">
            <v>147.5</v>
          </cell>
          <cell r="K411">
            <v>0</v>
          </cell>
          <cell r="L411">
            <v>5</v>
          </cell>
          <cell r="M411">
            <v>1</v>
          </cell>
          <cell r="N411">
            <v>8</v>
          </cell>
          <cell r="O411">
            <v>1</v>
          </cell>
          <cell r="P411">
            <v>1</v>
          </cell>
          <cell r="Q411">
            <v>3</v>
          </cell>
          <cell r="R411">
            <v>0</v>
          </cell>
          <cell r="S411">
            <v>3</v>
          </cell>
          <cell r="T411">
            <v>0</v>
          </cell>
          <cell r="U411">
            <v>8</v>
          </cell>
          <cell r="V411">
            <v>1</v>
          </cell>
          <cell r="W411">
            <v>31</v>
          </cell>
          <cell r="X411">
            <v>31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</row>
        <row r="412">
          <cell r="B412">
            <v>725</v>
          </cell>
          <cell r="C412" t="str">
            <v>جلال حسن عبد الرضى حسن</v>
          </cell>
          <cell r="D412" t="str">
            <v>المصنع</v>
          </cell>
          <cell r="E412" t="str">
            <v>الميكانيكا</v>
          </cell>
          <cell r="F412">
            <v>0</v>
          </cell>
          <cell r="G412" t="str">
            <v>مهندس ميكانيكا</v>
          </cell>
          <cell r="H412">
            <v>41706</v>
          </cell>
          <cell r="I412">
            <v>0</v>
          </cell>
          <cell r="J412" t="e">
            <v>#NUM!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</row>
        <row r="413">
          <cell r="B413">
            <v>728</v>
          </cell>
          <cell r="C413" t="str">
            <v>عبد الرحمن عثمان عبد الله حمد</v>
          </cell>
          <cell r="D413" t="str">
            <v>المصنع</v>
          </cell>
          <cell r="E413" t="str">
            <v>الانتاج</v>
          </cell>
          <cell r="F413">
            <v>0</v>
          </cell>
          <cell r="G413" t="str">
            <v>عامل</v>
          </cell>
          <cell r="H413">
            <v>41707</v>
          </cell>
          <cell r="I413">
            <v>0</v>
          </cell>
          <cell r="J413" t="e">
            <v>#NUM!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</row>
        <row r="414">
          <cell r="B414">
            <v>730</v>
          </cell>
          <cell r="C414" t="str">
            <v>نصر الدين داؤود محمد عمر</v>
          </cell>
          <cell r="D414" t="str">
            <v>المصنع</v>
          </cell>
          <cell r="E414" t="str">
            <v>الانتاج</v>
          </cell>
          <cell r="F414">
            <v>0</v>
          </cell>
          <cell r="G414" t="str">
            <v>عامل</v>
          </cell>
          <cell r="H414">
            <v>41707</v>
          </cell>
          <cell r="I414">
            <v>0</v>
          </cell>
          <cell r="J414" t="e">
            <v>#NUM!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</row>
        <row r="415">
          <cell r="B415">
            <v>732</v>
          </cell>
          <cell r="C415" t="str">
            <v>اشرف عبد الحفيظ محمد هارون</v>
          </cell>
          <cell r="D415" t="str">
            <v>المصنع</v>
          </cell>
          <cell r="E415" t="str">
            <v>الميكانيكا</v>
          </cell>
          <cell r="F415">
            <v>0</v>
          </cell>
          <cell r="G415" t="str">
            <v>مهندس ميكانيكا</v>
          </cell>
          <cell r="H415">
            <v>41706</v>
          </cell>
          <cell r="I415">
            <v>0</v>
          </cell>
          <cell r="J415" t="e">
            <v>#NUM!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</row>
        <row r="416">
          <cell r="B416">
            <v>733</v>
          </cell>
          <cell r="C416" t="str">
            <v>الشاذلى احمد  محمد على</v>
          </cell>
          <cell r="D416" t="str">
            <v>المصنع</v>
          </cell>
          <cell r="E416" t="str">
            <v>الالكترونيات</v>
          </cell>
          <cell r="F416">
            <v>0</v>
          </cell>
          <cell r="G416" t="str">
            <v>مدير الصيانه الالكترونيه</v>
          </cell>
          <cell r="H416">
            <v>41671</v>
          </cell>
          <cell r="I416">
            <v>43498</v>
          </cell>
          <cell r="J416">
            <v>150</v>
          </cell>
          <cell r="K416">
            <v>13</v>
          </cell>
          <cell r="L416">
            <v>0</v>
          </cell>
          <cell r="M416">
            <v>2</v>
          </cell>
          <cell r="N416">
            <v>2</v>
          </cell>
          <cell r="O416">
            <v>2</v>
          </cell>
          <cell r="P416">
            <v>0</v>
          </cell>
          <cell r="Q416">
            <v>1</v>
          </cell>
          <cell r="R416">
            <v>3</v>
          </cell>
          <cell r="S416">
            <v>17</v>
          </cell>
          <cell r="T416">
            <v>4</v>
          </cell>
          <cell r="U416">
            <v>0</v>
          </cell>
          <cell r="V416">
            <v>0</v>
          </cell>
          <cell r="W416">
            <v>44</v>
          </cell>
          <cell r="X416">
            <v>44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</row>
        <row r="417">
          <cell r="B417">
            <v>734</v>
          </cell>
          <cell r="C417" t="str">
            <v>عصام يوسف مقبل سوركتى</v>
          </cell>
          <cell r="D417" t="str">
            <v>المصنع</v>
          </cell>
          <cell r="E417" t="str">
            <v>الامن و الحركه</v>
          </cell>
          <cell r="F417" t="str">
            <v>الحركه</v>
          </cell>
          <cell r="G417" t="str">
            <v>سائق</v>
          </cell>
          <cell r="H417">
            <v>41713</v>
          </cell>
          <cell r="I417">
            <v>43498</v>
          </cell>
          <cell r="J417">
            <v>145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2</v>
          </cell>
          <cell r="T417">
            <v>0</v>
          </cell>
          <cell r="U417">
            <v>0</v>
          </cell>
          <cell r="V417">
            <v>0</v>
          </cell>
          <cell r="W417">
            <v>2</v>
          </cell>
          <cell r="X417">
            <v>2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7</v>
          </cell>
          <cell r="AI417">
            <v>2</v>
          </cell>
          <cell r="AJ417">
            <v>6</v>
          </cell>
          <cell r="AK417">
            <v>0</v>
          </cell>
        </row>
        <row r="418">
          <cell r="B418">
            <v>735</v>
          </cell>
          <cell r="C418" t="str">
            <v>الفاضل عثمان عبد الله</v>
          </cell>
          <cell r="D418" t="str">
            <v>المصنع</v>
          </cell>
          <cell r="E418" t="str">
            <v>الميكانيكا</v>
          </cell>
          <cell r="F418">
            <v>0</v>
          </cell>
          <cell r="G418" t="str">
            <v>خراط</v>
          </cell>
          <cell r="H418">
            <v>41713</v>
          </cell>
          <cell r="I418">
            <v>0</v>
          </cell>
          <cell r="J418" t="e">
            <v>#NUM!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</row>
        <row r="419">
          <cell r="B419">
            <v>736</v>
          </cell>
          <cell r="C419" t="str">
            <v>احمد عبد العزيز محمد ابراهيم</v>
          </cell>
          <cell r="D419" t="str">
            <v>المصنع</v>
          </cell>
          <cell r="E419" t="str">
            <v>الميكانيكا</v>
          </cell>
          <cell r="F419">
            <v>0</v>
          </cell>
          <cell r="G419" t="str">
            <v>حداد</v>
          </cell>
          <cell r="H419">
            <v>41713</v>
          </cell>
          <cell r="I419">
            <v>0</v>
          </cell>
          <cell r="J419" t="e">
            <v>#NUM!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</row>
        <row r="420">
          <cell r="B420">
            <v>737</v>
          </cell>
          <cell r="C420" t="str">
            <v>وفاء دفع الله النويرى عبد الرحمن</v>
          </cell>
          <cell r="D420" t="str">
            <v>المصنع</v>
          </cell>
          <cell r="E420" t="str">
            <v>الماليه</v>
          </cell>
          <cell r="F420">
            <v>0</v>
          </cell>
          <cell r="G420" t="str">
            <v>محاسب</v>
          </cell>
          <cell r="H420">
            <v>41710</v>
          </cell>
          <cell r="I420">
            <v>0</v>
          </cell>
          <cell r="J420" t="e">
            <v>#NUM!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</row>
        <row r="421">
          <cell r="B421">
            <v>738</v>
          </cell>
          <cell r="C421" t="str">
            <v>بهاء الدين يوسف مقبل سوركتى</v>
          </cell>
          <cell r="D421" t="str">
            <v>المصنع</v>
          </cell>
          <cell r="E421" t="str">
            <v>الجوده</v>
          </cell>
          <cell r="F421">
            <v>0</v>
          </cell>
          <cell r="G421" t="str">
            <v>مراقب انتاج</v>
          </cell>
          <cell r="H421">
            <v>41731</v>
          </cell>
          <cell r="I421">
            <v>43498</v>
          </cell>
          <cell r="J421">
            <v>145</v>
          </cell>
          <cell r="K421">
            <v>2</v>
          </cell>
          <cell r="L421">
            <v>3</v>
          </cell>
          <cell r="M421">
            <v>2</v>
          </cell>
          <cell r="N421">
            <v>3</v>
          </cell>
          <cell r="O421">
            <v>5</v>
          </cell>
          <cell r="P421">
            <v>1</v>
          </cell>
          <cell r="Q421">
            <v>9</v>
          </cell>
          <cell r="R421">
            <v>3</v>
          </cell>
          <cell r="S421">
            <v>4</v>
          </cell>
          <cell r="T421">
            <v>0</v>
          </cell>
          <cell r="U421">
            <v>0</v>
          </cell>
          <cell r="V421">
            <v>1</v>
          </cell>
          <cell r="W421">
            <v>33</v>
          </cell>
          <cell r="X421">
            <v>33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</row>
        <row r="422">
          <cell r="B422">
            <v>739</v>
          </cell>
          <cell r="C422" t="str">
            <v>مصعب حسن محمد الحسن</v>
          </cell>
          <cell r="D422" t="str">
            <v>المصنع</v>
          </cell>
          <cell r="E422" t="str">
            <v>الانتاج</v>
          </cell>
          <cell r="F422">
            <v>0</v>
          </cell>
          <cell r="G422" t="str">
            <v>عامل</v>
          </cell>
          <cell r="H422">
            <v>41734</v>
          </cell>
          <cell r="I422">
            <v>0</v>
          </cell>
          <cell r="J422" t="e">
            <v>#NUM!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</row>
        <row r="423">
          <cell r="B423">
            <v>742</v>
          </cell>
          <cell r="C423" t="str">
            <v>حيدر ادم حسن الامين</v>
          </cell>
          <cell r="D423" t="str">
            <v>المصنع</v>
          </cell>
          <cell r="E423" t="str">
            <v>الميكانيكا</v>
          </cell>
          <cell r="F423">
            <v>0</v>
          </cell>
          <cell r="G423" t="str">
            <v>فنى ميكانيكا</v>
          </cell>
          <cell r="H423">
            <v>41735</v>
          </cell>
          <cell r="I423">
            <v>0</v>
          </cell>
          <cell r="J423" t="e">
            <v>#NUM!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</row>
        <row r="424">
          <cell r="B424">
            <v>744</v>
          </cell>
          <cell r="C424" t="str">
            <v>فوزى محمد عبده محمد</v>
          </cell>
          <cell r="D424" t="str">
            <v>المصنع</v>
          </cell>
          <cell r="E424" t="str">
            <v>الانتاج</v>
          </cell>
          <cell r="F424">
            <v>0</v>
          </cell>
          <cell r="G424" t="str">
            <v>عامل</v>
          </cell>
          <cell r="H424">
            <v>41746</v>
          </cell>
          <cell r="I424">
            <v>0</v>
          </cell>
          <cell r="J424" t="e">
            <v>#NUM!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</row>
        <row r="425">
          <cell r="B425">
            <v>745</v>
          </cell>
          <cell r="C425" t="str">
            <v>سعد عمر مسعود التوم</v>
          </cell>
          <cell r="D425" t="str">
            <v>المصنع</v>
          </cell>
          <cell r="E425" t="str">
            <v>الانتاج</v>
          </cell>
          <cell r="F425">
            <v>0</v>
          </cell>
          <cell r="G425" t="str">
            <v>عامل</v>
          </cell>
          <cell r="H425">
            <v>42077</v>
          </cell>
          <cell r="I425">
            <v>0</v>
          </cell>
          <cell r="J425" t="e">
            <v>#NUM!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</row>
        <row r="426">
          <cell r="B426">
            <v>746</v>
          </cell>
          <cell r="C426" t="str">
            <v>الشيخ عبد الله محمد موسى</v>
          </cell>
          <cell r="D426" t="str">
            <v>المصنع</v>
          </cell>
          <cell r="E426" t="str">
            <v>الميكانيكا</v>
          </cell>
          <cell r="F426">
            <v>0</v>
          </cell>
          <cell r="G426" t="str">
            <v>فنى ميكانيكا</v>
          </cell>
          <cell r="H426">
            <v>41762</v>
          </cell>
          <cell r="I426">
            <v>0</v>
          </cell>
          <cell r="J426" t="e">
            <v>#NUM!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</row>
        <row r="427">
          <cell r="B427">
            <v>749</v>
          </cell>
          <cell r="C427" t="str">
            <v>حسن الخير هاشم عبدالله</v>
          </cell>
          <cell r="D427" t="str">
            <v>المصنع</v>
          </cell>
          <cell r="E427" t="str">
            <v>الامن و الحركه</v>
          </cell>
          <cell r="F427">
            <v>0</v>
          </cell>
          <cell r="G427" t="str">
            <v>خفير</v>
          </cell>
          <cell r="H427">
            <v>41765</v>
          </cell>
          <cell r="I427">
            <v>0</v>
          </cell>
          <cell r="J427" t="e">
            <v>#NUM!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</row>
        <row r="428">
          <cell r="B428">
            <v>750</v>
          </cell>
          <cell r="C428" t="str">
            <v>قطبى ابراهيم دفع الله احمد</v>
          </cell>
          <cell r="D428" t="str">
            <v>المصنع</v>
          </cell>
          <cell r="E428" t="str">
            <v>الانتاج</v>
          </cell>
          <cell r="F428">
            <v>0</v>
          </cell>
          <cell r="G428" t="str">
            <v>تقنى تشغيل</v>
          </cell>
          <cell r="H428">
            <v>41769</v>
          </cell>
          <cell r="I428">
            <v>0</v>
          </cell>
          <cell r="J428" t="e">
            <v>#NUM!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</row>
        <row r="429">
          <cell r="B429">
            <v>751</v>
          </cell>
          <cell r="C429" t="str">
            <v>سليم الشيخ محمد احمد</v>
          </cell>
          <cell r="D429" t="str">
            <v>المصنع</v>
          </cell>
          <cell r="E429" t="str">
            <v>الكهرباء</v>
          </cell>
          <cell r="F429" t="str">
            <v>كهرباء عامه</v>
          </cell>
          <cell r="G429" t="str">
            <v>تقنى كهرباء</v>
          </cell>
          <cell r="H429">
            <v>41774</v>
          </cell>
          <cell r="I429">
            <v>43498</v>
          </cell>
          <cell r="J429">
            <v>140</v>
          </cell>
          <cell r="K429">
            <v>5</v>
          </cell>
          <cell r="L429">
            <v>0</v>
          </cell>
          <cell r="M429">
            <v>1</v>
          </cell>
          <cell r="N429">
            <v>7</v>
          </cell>
          <cell r="O429">
            <v>3</v>
          </cell>
          <cell r="P429">
            <v>3</v>
          </cell>
          <cell r="Q429">
            <v>3</v>
          </cell>
          <cell r="R429">
            <v>2</v>
          </cell>
          <cell r="S429">
            <v>0</v>
          </cell>
          <cell r="T429">
            <v>1</v>
          </cell>
          <cell r="U429">
            <v>1</v>
          </cell>
          <cell r="V429">
            <v>0</v>
          </cell>
          <cell r="W429">
            <v>26</v>
          </cell>
          <cell r="X429">
            <v>26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</row>
        <row r="430">
          <cell r="B430">
            <v>752</v>
          </cell>
          <cell r="C430" t="str">
            <v>الخطاب محمد عبد الصمد محمد</v>
          </cell>
          <cell r="D430" t="str">
            <v>المصنع</v>
          </cell>
          <cell r="E430" t="str">
            <v>الانتاج</v>
          </cell>
          <cell r="F430">
            <v>0</v>
          </cell>
          <cell r="G430" t="str">
            <v>تقنى تشغيل</v>
          </cell>
          <cell r="H430">
            <v>41778</v>
          </cell>
          <cell r="I430">
            <v>0</v>
          </cell>
          <cell r="J430" t="e">
            <v>#NUM!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</row>
        <row r="431">
          <cell r="B431">
            <v>753</v>
          </cell>
          <cell r="C431" t="str">
            <v>مبارك محمد النور اسماعيل</v>
          </cell>
          <cell r="D431" t="str">
            <v>المصنع</v>
          </cell>
          <cell r="E431" t="str">
            <v>الانتاج</v>
          </cell>
          <cell r="F431">
            <v>0</v>
          </cell>
          <cell r="G431" t="str">
            <v>مشرف</v>
          </cell>
          <cell r="H431">
            <v>41783</v>
          </cell>
          <cell r="I431">
            <v>0</v>
          </cell>
          <cell r="J431" t="e">
            <v>#NUM!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</row>
        <row r="432">
          <cell r="B432">
            <v>754</v>
          </cell>
          <cell r="C432" t="str">
            <v>صابر عبده الجيلى شايب</v>
          </cell>
          <cell r="D432" t="str">
            <v>المصنع</v>
          </cell>
          <cell r="E432" t="str">
            <v>الانتاج</v>
          </cell>
          <cell r="F432" t="str">
            <v>الخوص</v>
          </cell>
          <cell r="G432" t="str">
            <v>مشغل</v>
          </cell>
          <cell r="H432">
            <v>41791</v>
          </cell>
          <cell r="I432">
            <v>43498</v>
          </cell>
          <cell r="J432">
            <v>140</v>
          </cell>
          <cell r="K432">
            <v>0</v>
          </cell>
          <cell r="L432">
            <v>6</v>
          </cell>
          <cell r="M432">
            <v>3</v>
          </cell>
          <cell r="N432">
            <v>0</v>
          </cell>
          <cell r="O432">
            <v>1</v>
          </cell>
          <cell r="P432">
            <v>0</v>
          </cell>
          <cell r="Q432">
            <v>6</v>
          </cell>
          <cell r="R432">
            <v>5</v>
          </cell>
          <cell r="S432">
            <v>3</v>
          </cell>
          <cell r="T432">
            <v>1</v>
          </cell>
          <cell r="U432">
            <v>0</v>
          </cell>
          <cell r="V432">
            <v>4</v>
          </cell>
          <cell r="W432">
            <v>29</v>
          </cell>
          <cell r="X432">
            <v>29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</row>
        <row r="433">
          <cell r="B433">
            <v>756</v>
          </cell>
          <cell r="C433" t="str">
            <v>منتصر سليمان عبد السلام محمد</v>
          </cell>
          <cell r="D433" t="str">
            <v>المصنع</v>
          </cell>
          <cell r="E433" t="str">
            <v>الانتاج</v>
          </cell>
          <cell r="F433">
            <v>0</v>
          </cell>
          <cell r="G433" t="str">
            <v>مهندس تشغيل</v>
          </cell>
          <cell r="H433">
            <v>41794</v>
          </cell>
          <cell r="I433">
            <v>0</v>
          </cell>
          <cell r="J433" t="e">
            <v>#NUM!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</row>
        <row r="434">
          <cell r="B434">
            <v>757</v>
          </cell>
          <cell r="C434" t="str">
            <v>محمد عثمان عمر عبدالقادر</v>
          </cell>
          <cell r="D434" t="str">
            <v>المصنع</v>
          </cell>
          <cell r="E434" t="str">
            <v>المستودعات</v>
          </cell>
          <cell r="F434">
            <v>0</v>
          </cell>
          <cell r="G434" t="str">
            <v>التحميل</v>
          </cell>
          <cell r="H434">
            <v>42127</v>
          </cell>
          <cell r="I434">
            <v>0</v>
          </cell>
          <cell r="J434" t="e">
            <v>#NUM!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</row>
        <row r="435">
          <cell r="B435">
            <v>758</v>
          </cell>
          <cell r="C435" t="str">
            <v>سعيد عز الدين كوكو ازيرق</v>
          </cell>
          <cell r="D435" t="str">
            <v>المصنع</v>
          </cell>
          <cell r="E435" t="str">
            <v>المستودعات</v>
          </cell>
          <cell r="F435">
            <v>0</v>
          </cell>
          <cell r="G435" t="str">
            <v>عامل</v>
          </cell>
          <cell r="H435">
            <v>41800</v>
          </cell>
          <cell r="I435">
            <v>0</v>
          </cell>
          <cell r="J435" t="e">
            <v>#NUM!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</row>
        <row r="436">
          <cell r="B436">
            <v>759</v>
          </cell>
          <cell r="C436" t="str">
            <v>بلال عبد الله صابون بلال</v>
          </cell>
          <cell r="D436" t="str">
            <v>المصنع</v>
          </cell>
          <cell r="E436" t="str">
            <v>الكهرباء</v>
          </cell>
          <cell r="F436">
            <v>0</v>
          </cell>
          <cell r="G436" t="str">
            <v>فنى كهرباء</v>
          </cell>
          <cell r="H436">
            <v>41804</v>
          </cell>
          <cell r="I436">
            <v>0</v>
          </cell>
          <cell r="J436" t="e">
            <v>#NUM!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</row>
        <row r="437">
          <cell r="B437">
            <v>760</v>
          </cell>
          <cell r="C437" t="str">
            <v xml:space="preserve">اسعد الطيب مصطفى عباس </v>
          </cell>
          <cell r="D437" t="str">
            <v>المصنع</v>
          </cell>
          <cell r="E437" t="str">
            <v>الميكانيكا</v>
          </cell>
          <cell r="F437">
            <v>0</v>
          </cell>
          <cell r="G437" t="str">
            <v>تقنى صيانة</v>
          </cell>
          <cell r="H437">
            <v>43146</v>
          </cell>
          <cell r="I437">
            <v>0</v>
          </cell>
          <cell r="J437" t="e">
            <v>#NUM!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1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1</v>
          </cell>
          <cell r="AF437">
            <v>1</v>
          </cell>
          <cell r="AG437">
            <v>0</v>
          </cell>
          <cell r="AH437">
            <v>0</v>
          </cell>
          <cell r="AI437">
            <v>1</v>
          </cell>
          <cell r="AJ437">
            <v>1</v>
          </cell>
          <cell r="AK437">
            <v>0</v>
          </cell>
        </row>
        <row r="438">
          <cell r="B438">
            <v>761</v>
          </cell>
          <cell r="C438" t="str">
            <v>عثمان ادم ابكر حسن</v>
          </cell>
          <cell r="D438" t="str">
            <v>المصنع</v>
          </cell>
          <cell r="E438" t="str">
            <v>الانتاج</v>
          </cell>
          <cell r="F438">
            <v>0</v>
          </cell>
          <cell r="G438" t="str">
            <v>سائق رافعة</v>
          </cell>
          <cell r="H438">
            <v>41804</v>
          </cell>
          <cell r="I438">
            <v>0</v>
          </cell>
          <cell r="J438" t="e">
            <v>#NUM!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</row>
        <row r="439">
          <cell r="B439">
            <v>762</v>
          </cell>
          <cell r="C439" t="str">
            <v>عبد الجليل عثمان الصادق احمد</v>
          </cell>
          <cell r="D439" t="str">
            <v>المصنع</v>
          </cell>
          <cell r="E439" t="str">
            <v>الامن و الحركه</v>
          </cell>
          <cell r="F439">
            <v>0</v>
          </cell>
          <cell r="G439" t="str">
            <v>فرد امن</v>
          </cell>
          <cell r="H439">
            <v>41806</v>
          </cell>
          <cell r="I439">
            <v>0</v>
          </cell>
          <cell r="J439" t="e">
            <v>#NUM!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</row>
        <row r="440">
          <cell r="B440">
            <v>763</v>
          </cell>
          <cell r="C440" t="str">
            <v>مزاهر ابراهيم بشاره محمد</v>
          </cell>
          <cell r="D440" t="str">
            <v>المصنع</v>
          </cell>
          <cell r="E440" t="str">
            <v>الانتاج</v>
          </cell>
          <cell r="F440" t="str">
            <v>بيانات</v>
          </cell>
          <cell r="G440" t="str">
            <v>مدخل بيانات</v>
          </cell>
          <cell r="H440">
            <v>41806</v>
          </cell>
          <cell r="I440">
            <v>43498</v>
          </cell>
          <cell r="J440">
            <v>137.5</v>
          </cell>
          <cell r="K440">
            <v>0</v>
          </cell>
          <cell r="L440">
            <v>3</v>
          </cell>
          <cell r="M440">
            <v>2</v>
          </cell>
          <cell r="N440">
            <v>1</v>
          </cell>
          <cell r="O440">
            <v>0</v>
          </cell>
          <cell r="P440">
            <v>2</v>
          </cell>
          <cell r="Q440">
            <v>3</v>
          </cell>
          <cell r="R440">
            <v>0</v>
          </cell>
          <cell r="S440">
            <v>4</v>
          </cell>
          <cell r="T440">
            <v>5</v>
          </cell>
          <cell r="U440">
            <v>0</v>
          </cell>
          <cell r="V440">
            <v>1</v>
          </cell>
          <cell r="W440">
            <v>21</v>
          </cell>
          <cell r="X440">
            <v>21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1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</row>
        <row r="441">
          <cell r="B441">
            <v>764</v>
          </cell>
          <cell r="C441" t="str">
            <v>بشير حسين احمد على</v>
          </cell>
          <cell r="D441" t="str">
            <v>المصنع</v>
          </cell>
          <cell r="E441" t="str">
            <v>الانتاج</v>
          </cell>
          <cell r="F441">
            <v>0</v>
          </cell>
          <cell r="G441" t="str">
            <v>عامل</v>
          </cell>
          <cell r="H441">
            <v>41807</v>
          </cell>
          <cell r="I441">
            <v>0</v>
          </cell>
          <cell r="J441" t="e">
            <v>#NUM!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</row>
        <row r="442">
          <cell r="B442">
            <v>765</v>
          </cell>
          <cell r="C442" t="str">
            <v>محمد حماد صالح خالد</v>
          </cell>
          <cell r="D442" t="str">
            <v>المصنع</v>
          </cell>
          <cell r="E442" t="str">
            <v>الكهرباء</v>
          </cell>
          <cell r="F442">
            <v>0</v>
          </cell>
          <cell r="G442" t="str">
            <v>تقنى كهرباء</v>
          </cell>
          <cell r="H442">
            <v>41808</v>
          </cell>
          <cell r="I442">
            <v>0</v>
          </cell>
          <cell r="J442" t="e">
            <v>#NUM!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</row>
        <row r="443">
          <cell r="B443">
            <v>767</v>
          </cell>
          <cell r="C443" t="str">
            <v xml:space="preserve">ناجى عبد الكريم نعمان على </v>
          </cell>
          <cell r="D443" t="str">
            <v>المصنع</v>
          </cell>
          <cell r="E443" t="str">
            <v>الانتاج</v>
          </cell>
          <cell r="F443">
            <v>0</v>
          </cell>
          <cell r="G443" t="str">
            <v>عامل</v>
          </cell>
          <cell r="H443">
            <v>41812</v>
          </cell>
          <cell r="I443">
            <v>0</v>
          </cell>
          <cell r="J443" t="e">
            <v>#NUM!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</row>
        <row r="444">
          <cell r="B444">
            <v>768</v>
          </cell>
          <cell r="C444" t="str">
            <v>احمد عيسى معلا مراد</v>
          </cell>
          <cell r="D444" t="str">
            <v>المصنع</v>
          </cell>
          <cell r="E444" t="str">
            <v>الكهرباء</v>
          </cell>
          <cell r="F444">
            <v>0</v>
          </cell>
          <cell r="G444" t="str">
            <v>فنى كهرباء</v>
          </cell>
          <cell r="H444">
            <v>41813</v>
          </cell>
          <cell r="I444">
            <v>0</v>
          </cell>
          <cell r="J444" t="e">
            <v>#NUM!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</row>
        <row r="445">
          <cell r="B445">
            <v>771</v>
          </cell>
          <cell r="C445" t="str">
            <v>محمد عمر محمد اوسطة</v>
          </cell>
          <cell r="D445" t="str">
            <v>المصنع</v>
          </cell>
          <cell r="E445" t="str">
            <v>الميكانيكا</v>
          </cell>
          <cell r="F445">
            <v>0</v>
          </cell>
          <cell r="G445" t="str">
            <v>حداد</v>
          </cell>
          <cell r="H445">
            <v>41825</v>
          </cell>
          <cell r="I445">
            <v>0</v>
          </cell>
          <cell r="J445" t="e">
            <v>#NUM!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</row>
        <row r="446">
          <cell r="B446">
            <v>772</v>
          </cell>
          <cell r="C446" t="str">
            <v>احمد ابراهيم حامد عوض السيد</v>
          </cell>
          <cell r="D446" t="str">
            <v>المصنع</v>
          </cell>
          <cell r="E446" t="str">
            <v>الكهرباء</v>
          </cell>
          <cell r="F446">
            <v>0</v>
          </cell>
          <cell r="G446" t="str">
            <v>فنى كهرباء</v>
          </cell>
          <cell r="H446">
            <v>41821</v>
          </cell>
          <cell r="I446">
            <v>0</v>
          </cell>
          <cell r="J446" t="e">
            <v>#NUM!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</row>
        <row r="447">
          <cell r="B447">
            <v>773</v>
          </cell>
          <cell r="C447" t="str">
            <v>وداعه احمد محمد جبريل</v>
          </cell>
          <cell r="D447" t="str">
            <v>المصنع</v>
          </cell>
          <cell r="E447" t="str">
            <v>الميكانيكا</v>
          </cell>
          <cell r="F447">
            <v>0</v>
          </cell>
          <cell r="G447" t="str">
            <v>مهندس صيانه</v>
          </cell>
          <cell r="H447">
            <v>41826</v>
          </cell>
          <cell r="I447">
            <v>0</v>
          </cell>
          <cell r="J447" t="e">
            <v>#NUM!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</row>
        <row r="448">
          <cell r="B448">
            <v>774</v>
          </cell>
          <cell r="C448" t="str">
            <v>ابوعبيدة السر صالح عبد الرحمن</v>
          </cell>
          <cell r="D448" t="str">
            <v>المصنع</v>
          </cell>
          <cell r="E448" t="str">
            <v>الانتاج</v>
          </cell>
          <cell r="F448">
            <v>0</v>
          </cell>
          <cell r="G448" t="str">
            <v>عامل</v>
          </cell>
          <cell r="H448">
            <v>41826</v>
          </cell>
          <cell r="I448">
            <v>0</v>
          </cell>
          <cell r="J448" t="e">
            <v>#NUM!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</row>
        <row r="449">
          <cell r="B449">
            <v>775</v>
          </cell>
          <cell r="C449" t="str">
            <v>عفيف محمد على بخيت</v>
          </cell>
          <cell r="D449" t="str">
            <v>المصنع</v>
          </cell>
          <cell r="E449" t="str">
            <v>الانتاج</v>
          </cell>
          <cell r="F449">
            <v>0</v>
          </cell>
          <cell r="G449" t="str">
            <v>عامل</v>
          </cell>
          <cell r="H449">
            <v>41857</v>
          </cell>
          <cell r="I449">
            <v>0</v>
          </cell>
          <cell r="J449" t="e">
            <v>#NUM!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</row>
        <row r="450">
          <cell r="B450">
            <v>776</v>
          </cell>
          <cell r="C450" t="str">
            <v>ابراهيم جمعة البخيت الصديق</v>
          </cell>
          <cell r="D450" t="str">
            <v>المصنع</v>
          </cell>
          <cell r="E450" t="str">
            <v>الماليه</v>
          </cell>
          <cell r="F450">
            <v>0</v>
          </cell>
          <cell r="G450" t="str">
            <v>محاسب</v>
          </cell>
          <cell r="H450">
            <v>41869</v>
          </cell>
          <cell r="I450">
            <v>0</v>
          </cell>
          <cell r="J450" t="e">
            <v>#NUM!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</row>
        <row r="451">
          <cell r="B451">
            <v>777</v>
          </cell>
          <cell r="C451" t="str">
            <v>طارق عبد الرحيم المقبول شيخ ادريس</v>
          </cell>
          <cell r="D451" t="str">
            <v>المصنع</v>
          </cell>
          <cell r="E451" t="str">
            <v>الانتاج</v>
          </cell>
          <cell r="F451">
            <v>0</v>
          </cell>
          <cell r="G451" t="str">
            <v>تقنى تشغيل</v>
          </cell>
          <cell r="H451">
            <v>41883</v>
          </cell>
          <cell r="I451">
            <v>0</v>
          </cell>
          <cell r="J451" t="e">
            <v>#NUM!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</row>
        <row r="452">
          <cell r="B452">
            <v>780</v>
          </cell>
          <cell r="C452" t="str">
            <v>صبرى بخيت عباس على</v>
          </cell>
          <cell r="D452" t="str">
            <v>المصنع</v>
          </cell>
          <cell r="E452" t="str">
            <v>الميكانيكا</v>
          </cell>
          <cell r="F452">
            <v>0</v>
          </cell>
          <cell r="G452" t="str">
            <v>تقنى صيانة</v>
          </cell>
          <cell r="H452">
            <v>41925</v>
          </cell>
          <cell r="I452">
            <v>0</v>
          </cell>
          <cell r="J452" t="e">
            <v>#NUM!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</row>
        <row r="453">
          <cell r="B453">
            <v>783</v>
          </cell>
          <cell r="C453" t="str">
            <v>ضياء الدين قسم السيد الصديق ازرق</v>
          </cell>
          <cell r="D453" t="str">
            <v>المصنع</v>
          </cell>
          <cell r="E453" t="str">
            <v>الانتاج</v>
          </cell>
          <cell r="F453">
            <v>0</v>
          </cell>
          <cell r="G453" t="str">
            <v>تقنى تشغيل</v>
          </cell>
          <cell r="H453">
            <v>41933</v>
          </cell>
          <cell r="I453">
            <v>0</v>
          </cell>
          <cell r="J453" t="e">
            <v>#NUM!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</row>
        <row r="454">
          <cell r="B454">
            <v>784</v>
          </cell>
          <cell r="C454" t="str">
            <v>مؤيد على محمد طيب الاسماء</v>
          </cell>
          <cell r="D454" t="str">
            <v>المصنع</v>
          </cell>
          <cell r="E454" t="str">
            <v>الانتاج</v>
          </cell>
          <cell r="F454">
            <v>0</v>
          </cell>
          <cell r="G454" t="str">
            <v>عامل</v>
          </cell>
          <cell r="H454">
            <v>41933</v>
          </cell>
          <cell r="I454">
            <v>0</v>
          </cell>
          <cell r="J454" t="e">
            <v>#NUM!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</row>
        <row r="455">
          <cell r="B455">
            <v>785</v>
          </cell>
          <cell r="C455" t="str">
            <v>محمد عبد الرسول الخولانى محمد</v>
          </cell>
          <cell r="D455" t="str">
            <v>المصنع</v>
          </cell>
          <cell r="E455" t="str">
            <v>الانتاج</v>
          </cell>
          <cell r="F455">
            <v>0</v>
          </cell>
          <cell r="G455" t="str">
            <v>تقنى إنتاج</v>
          </cell>
          <cell r="H455">
            <v>41933</v>
          </cell>
          <cell r="I455">
            <v>0</v>
          </cell>
          <cell r="J455" t="e">
            <v>#NUM!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</row>
        <row r="456">
          <cell r="B456">
            <v>790</v>
          </cell>
          <cell r="C456" t="str">
            <v>معمر القذافى حسن احمد</v>
          </cell>
          <cell r="D456" t="str">
            <v>المصنع</v>
          </cell>
          <cell r="E456" t="str">
            <v>الاليات</v>
          </cell>
          <cell r="F456" t="str">
            <v>صيانه اليات</v>
          </cell>
          <cell r="G456" t="str">
            <v>فنى اليات</v>
          </cell>
          <cell r="H456">
            <v>41974</v>
          </cell>
          <cell r="I456">
            <v>42852</v>
          </cell>
          <cell r="J456">
            <v>70</v>
          </cell>
          <cell r="K456">
            <v>1</v>
          </cell>
          <cell r="L456">
            <v>3</v>
          </cell>
          <cell r="M456">
            <v>5</v>
          </cell>
          <cell r="N456">
            <v>1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10</v>
          </cell>
          <cell r="X456">
            <v>10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</row>
        <row r="457">
          <cell r="B457">
            <v>791</v>
          </cell>
          <cell r="C457" t="str">
            <v>مجاهد حسن عكاشة خضر</v>
          </cell>
          <cell r="D457" t="str">
            <v>المصنع</v>
          </cell>
          <cell r="E457" t="str">
            <v>الامن و الحركه</v>
          </cell>
          <cell r="F457">
            <v>0</v>
          </cell>
          <cell r="G457" t="str">
            <v>فرد امن</v>
          </cell>
          <cell r="H457">
            <v>41994</v>
          </cell>
          <cell r="I457">
            <v>0</v>
          </cell>
          <cell r="J457" t="e">
            <v>#NUM!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</row>
        <row r="458">
          <cell r="B458">
            <v>792</v>
          </cell>
          <cell r="C458" t="str">
            <v>فيصل الجيلى محمد احمد</v>
          </cell>
          <cell r="D458" t="str">
            <v>المصنع</v>
          </cell>
          <cell r="E458" t="str">
            <v>الامن و الحركه</v>
          </cell>
          <cell r="F458">
            <v>0</v>
          </cell>
          <cell r="G458" t="str">
            <v>فرد امن</v>
          </cell>
          <cell r="H458">
            <v>41994</v>
          </cell>
          <cell r="I458">
            <v>0</v>
          </cell>
          <cell r="J458" t="e">
            <v>#NUM!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</row>
        <row r="459">
          <cell r="B459">
            <v>793</v>
          </cell>
          <cell r="C459" t="str">
            <v xml:space="preserve">عاصميه احمد محمد بابكر </v>
          </cell>
          <cell r="D459" t="str">
            <v>المصنع</v>
          </cell>
          <cell r="E459" t="str">
            <v>الخدمات</v>
          </cell>
          <cell r="F459">
            <v>0</v>
          </cell>
          <cell r="G459" t="str">
            <v>عامل</v>
          </cell>
          <cell r="H459">
            <v>42015</v>
          </cell>
          <cell r="I459">
            <v>0</v>
          </cell>
          <cell r="J459" t="e">
            <v>#NUM!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</row>
        <row r="460">
          <cell r="B460">
            <v>802</v>
          </cell>
          <cell r="C460" t="str">
            <v>احمد هارون احمد عبدالكريم</v>
          </cell>
          <cell r="D460" t="str">
            <v>المصنع</v>
          </cell>
          <cell r="E460" t="str">
            <v>الانتاج</v>
          </cell>
          <cell r="F460">
            <v>0</v>
          </cell>
          <cell r="G460" t="str">
            <v>عامل</v>
          </cell>
          <cell r="H460">
            <v>42096</v>
          </cell>
          <cell r="I460">
            <v>0</v>
          </cell>
          <cell r="J460" t="e">
            <v>#NUM!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</row>
        <row r="461">
          <cell r="B461">
            <v>804</v>
          </cell>
          <cell r="C461" t="str">
            <v>يونس احمد حسن احمد</v>
          </cell>
          <cell r="D461" t="str">
            <v>المصنع</v>
          </cell>
          <cell r="E461" t="str">
            <v>الامن و الحركه</v>
          </cell>
          <cell r="F461">
            <v>0</v>
          </cell>
          <cell r="G461" t="str">
            <v>فرد امن</v>
          </cell>
          <cell r="H461">
            <v>42098</v>
          </cell>
          <cell r="I461">
            <v>0</v>
          </cell>
          <cell r="J461" t="e">
            <v>#NUM!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</row>
        <row r="462">
          <cell r="B462">
            <v>805</v>
          </cell>
          <cell r="C462" t="str">
            <v>عمر عبدالرحمن البشير عمر</v>
          </cell>
          <cell r="D462" t="str">
            <v>المصنع</v>
          </cell>
          <cell r="E462" t="str">
            <v>الوحده العلاجيه</v>
          </cell>
          <cell r="F462">
            <v>0</v>
          </cell>
          <cell r="G462" t="str">
            <v>ممرض</v>
          </cell>
          <cell r="H462">
            <v>42104</v>
          </cell>
          <cell r="I462">
            <v>43498</v>
          </cell>
          <cell r="J462">
            <v>112.5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1</v>
          </cell>
          <cell r="P462">
            <v>1</v>
          </cell>
          <cell r="Q462">
            <v>2</v>
          </cell>
          <cell r="R462">
            <v>7</v>
          </cell>
          <cell r="S462">
            <v>0</v>
          </cell>
          <cell r="T462">
            <v>0</v>
          </cell>
          <cell r="U462">
            <v>0</v>
          </cell>
          <cell r="V462">
            <v>30</v>
          </cell>
          <cell r="W462">
            <v>41</v>
          </cell>
          <cell r="X462">
            <v>41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</row>
        <row r="463">
          <cell r="B463">
            <v>808</v>
          </cell>
          <cell r="C463" t="str">
            <v>سامى بلال سعيد</v>
          </cell>
          <cell r="D463" t="str">
            <v>المصنع</v>
          </cell>
          <cell r="E463" t="str">
            <v>الميكانيكا</v>
          </cell>
          <cell r="F463" t="str">
            <v>صيانه عامه</v>
          </cell>
          <cell r="G463" t="str">
            <v>فنى</v>
          </cell>
          <cell r="H463">
            <v>42119</v>
          </cell>
          <cell r="I463">
            <v>42726</v>
          </cell>
          <cell r="J463">
            <v>47.5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</row>
        <row r="464">
          <cell r="B464">
            <v>809</v>
          </cell>
          <cell r="C464" t="str">
            <v>عبدالله الريح عبدالله ابوعاقله</v>
          </cell>
          <cell r="D464" t="str">
            <v>المصنع</v>
          </cell>
          <cell r="E464" t="str">
            <v>الميكانيكا</v>
          </cell>
          <cell r="F464">
            <v>0</v>
          </cell>
          <cell r="G464" t="str">
            <v>خراط</v>
          </cell>
          <cell r="H464">
            <v>42119</v>
          </cell>
          <cell r="I464">
            <v>0</v>
          </cell>
          <cell r="J464" t="e">
            <v>#NUM!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</row>
        <row r="465">
          <cell r="B465">
            <v>811</v>
          </cell>
          <cell r="C465" t="str">
            <v>احمد مبارك احمد عبدالله</v>
          </cell>
          <cell r="D465" t="str">
            <v>المصنع</v>
          </cell>
          <cell r="E465" t="str">
            <v>الكهرباء</v>
          </cell>
          <cell r="F465" t="str">
            <v>كهرباء عامه</v>
          </cell>
          <cell r="G465" t="str">
            <v>تقنى كهرباء</v>
          </cell>
          <cell r="H465">
            <v>42125</v>
          </cell>
          <cell r="I465">
            <v>43498</v>
          </cell>
          <cell r="J465">
            <v>112.5</v>
          </cell>
          <cell r="K465">
            <v>0</v>
          </cell>
          <cell r="L465">
            <v>1</v>
          </cell>
          <cell r="M465">
            <v>1</v>
          </cell>
          <cell r="N465">
            <v>0</v>
          </cell>
          <cell r="O465">
            <v>0</v>
          </cell>
          <cell r="P465">
            <v>0</v>
          </cell>
          <cell r="Q465">
            <v>4</v>
          </cell>
          <cell r="R465">
            <v>3</v>
          </cell>
          <cell r="S465">
            <v>0</v>
          </cell>
          <cell r="T465">
            <v>2</v>
          </cell>
          <cell r="U465">
            <v>1</v>
          </cell>
          <cell r="V465">
            <v>4</v>
          </cell>
          <cell r="W465">
            <v>16</v>
          </cell>
          <cell r="X465">
            <v>16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</row>
        <row r="466">
          <cell r="B466">
            <v>812</v>
          </cell>
          <cell r="C466" t="str">
            <v>خالد احمد قنديل خلف الله</v>
          </cell>
          <cell r="D466" t="str">
            <v>المصنع</v>
          </cell>
          <cell r="E466" t="str">
            <v>الانتاج</v>
          </cell>
          <cell r="F466">
            <v>0</v>
          </cell>
          <cell r="G466" t="str">
            <v>عامل</v>
          </cell>
          <cell r="H466">
            <v>42127</v>
          </cell>
          <cell r="I466">
            <v>43498</v>
          </cell>
          <cell r="J466">
            <v>110</v>
          </cell>
          <cell r="K466">
            <v>0</v>
          </cell>
          <cell r="L466">
            <v>0</v>
          </cell>
          <cell r="M466">
            <v>1</v>
          </cell>
          <cell r="N466">
            <v>1</v>
          </cell>
          <cell r="O466">
            <v>1</v>
          </cell>
          <cell r="P466">
            <v>2</v>
          </cell>
          <cell r="Q466">
            <v>1</v>
          </cell>
          <cell r="R466">
            <v>1</v>
          </cell>
          <cell r="S466">
            <v>0</v>
          </cell>
          <cell r="T466">
            <v>0</v>
          </cell>
          <cell r="U466">
            <v>0</v>
          </cell>
          <cell r="V466">
            <v>30</v>
          </cell>
          <cell r="W466">
            <v>37</v>
          </cell>
          <cell r="X466">
            <v>37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</row>
        <row r="467">
          <cell r="B467">
            <v>814</v>
          </cell>
          <cell r="C467" t="str">
            <v>التجانى محمد زين احمد محمد</v>
          </cell>
          <cell r="D467" t="str">
            <v>المصنع</v>
          </cell>
          <cell r="E467" t="str">
            <v>الانتاج</v>
          </cell>
          <cell r="F467">
            <v>0</v>
          </cell>
          <cell r="G467" t="str">
            <v>مشرف ورديه</v>
          </cell>
          <cell r="H467">
            <v>42140</v>
          </cell>
          <cell r="I467">
            <v>43498</v>
          </cell>
          <cell r="J467">
            <v>110</v>
          </cell>
          <cell r="K467">
            <v>0</v>
          </cell>
          <cell r="L467">
            <v>1</v>
          </cell>
          <cell r="M467">
            <v>0</v>
          </cell>
          <cell r="N467">
            <v>0</v>
          </cell>
          <cell r="O467">
            <v>3</v>
          </cell>
          <cell r="P467">
            <v>1</v>
          </cell>
          <cell r="Q467">
            <v>2</v>
          </cell>
          <cell r="R467">
            <v>3</v>
          </cell>
          <cell r="S467">
            <v>4</v>
          </cell>
          <cell r="T467">
            <v>3</v>
          </cell>
          <cell r="U467">
            <v>0</v>
          </cell>
          <cell r="V467">
            <v>30</v>
          </cell>
          <cell r="W467">
            <v>47</v>
          </cell>
          <cell r="X467">
            <v>47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</row>
        <row r="468">
          <cell r="B468">
            <v>816</v>
          </cell>
          <cell r="C468" t="str">
            <v>عبدالمحمود محمد ربيع عبدالوهاب</v>
          </cell>
          <cell r="D468" t="str">
            <v>المصنع</v>
          </cell>
          <cell r="E468" t="str">
            <v>الامن و الحركه</v>
          </cell>
          <cell r="F468">
            <v>0</v>
          </cell>
          <cell r="G468" t="str">
            <v>سائق</v>
          </cell>
          <cell r="H468">
            <v>42179</v>
          </cell>
          <cell r="I468">
            <v>0</v>
          </cell>
          <cell r="J468" t="e">
            <v>#NUM!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</row>
        <row r="469">
          <cell r="B469">
            <v>817</v>
          </cell>
          <cell r="C469" t="str">
            <v>سراج الدين محمد خميس ادم</v>
          </cell>
          <cell r="D469" t="str">
            <v>المصنع</v>
          </cell>
          <cell r="E469" t="str">
            <v>الانتاج</v>
          </cell>
          <cell r="F469" t="str">
            <v>المواسير</v>
          </cell>
          <cell r="G469" t="str">
            <v>مساعد مشغل</v>
          </cell>
          <cell r="H469">
            <v>42156</v>
          </cell>
          <cell r="I469">
            <v>43498</v>
          </cell>
          <cell r="J469">
            <v>110</v>
          </cell>
          <cell r="K469">
            <v>2</v>
          </cell>
          <cell r="L469">
            <v>1</v>
          </cell>
          <cell r="M469">
            <v>3</v>
          </cell>
          <cell r="N469">
            <v>1</v>
          </cell>
          <cell r="O469">
            <v>5</v>
          </cell>
          <cell r="P469">
            <v>0</v>
          </cell>
          <cell r="Q469">
            <v>0</v>
          </cell>
          <cell r="R469">
            <v>3</v>
          </cell>
          <cell r="S469">
            <v>4</v>
          </cell>
          <cell r="T469">
            <v>25</v>
          </cell>
          <cell r="U469">
            <v>0</v>
          </cell>
          <cell r="V469">
            <v>0</v>
          </cell>
          <cell r="W469">
            <v>44</v>
          </cell>
          <cell r="X469">
            <v>44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</row>
        <row r="470">
          <cell r="B470">
            <v>818</v>
          </cell>
          <cell r="C470" t="str">
            <v>بدر الدين محمد ابراهيم</v>
          </cell>
          <cell r="D470" t="str">
            <v>المصنع</v>
          </cell>
          <cell r="E470" t="str">
            <v>الكهرباء</v>
          </cell>
          <cell r="F470" t="str">
            <v>كهرباء عامه</v>
          </cell>
          <cell r="G470" t="str">
            <v>تقنى كهرباء</v>
          </cell>
          <cell r="H470">
            <v>42158</v>
          </cell>
          <cell r="I470">
            <v>42643</v>
          </cell>
          <cell r="J470">
            <v>37.5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</row>
        <row r="471">
          <cell r="B471">
            <v>823</v>
          </cell>
          <cell r="C471" t="str">
            <v>ابوبكر فاروق عوض الله عوض السيد</v>
          </cell>
          <cell r="D471" t="str">
            <v>المصنع</v>
          </cell>
          <cell r="E471" t="str">
            <v>الاليات</v>
          </cell>
          <cell r="F471">
            <v>0</v>
          </cell>
          <cell r="G471" t="str">
            <v>تقنى ميكانيكا اليات</v>
          </cell>
          <cell r="H471">
            <v>42173</v>
          </cell>
          <cell r="I471">
            <v>43498</v>
          </cell>
          <cell r="J471">
            <v>107.5</v>
          </cell>
          <cell r="K471">
            <v>0</v>
          </cell>
          <cell r="L471">
            <v>2</v>
          </cell>
          <cell r="M471">
            <v>0</v>
          </cell>
          <cell r="N471">
            <v>8</v>
          </cell>
          <cell r="O471">
            <v>2</v>
          </cell>
          <cell r="P471">
            <v>0</v>
          </cell>
          <cell r="Q471">
            <v>1</v>
          </cell>
          <cell r="R471">
            <v>0</v>
          </cell>
          <cell r="S471">
            <v>0</v>
          </cell>
          <cell r="T471">
            <v>3</v>
          </cell>
          <cell r="U471">
            <v>1</v>
          </cell>
          <cell r="V471">
            <v>2</v>
          </cell>
          <cell r="W471">
            <v>19</v>
          </cell>
          <cell r="X471">
            <v>19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</row>
        <row r="472">
          <cell r="B472">
            <v>825</v>
          </cell>
          <cell r="C472" t="str">
            <v>يحى عطيه حلوف حماد</v>
          </cell>
          <cell r="D472" t="str">
            <v>المصنع</v>
          </cell>
          <cell r="E472" t="str">
            <v>الميكانيكا</v>
          </cell>
          <cell r="F472" t="str">
            <v>الحداده</v>
          </cell>
          <cell r="G472" t="str">
            <v>حداد صيانه</v>
          </cell>
          <cell r="H472">
            <v>42186</v>
          </cell>
          <cell r="I472">
            <v>43498</v>
          </cell>
          <cell r="J472">
            <v>107.5</v>
          </cell>
          <cell r="K472">
            <v>0</v>
          </cell>
          <cell r="L472">
            <v>1</v>
          </cell>
          <cell r="M472">
            <v>1</v>
          </cell>
          <cell r="N472">
            <v>0</v>
          </cell>
          <cell r="O472">
            <v>1</v>
          </cell>
          <cell r="P472">
            <v>34</v>
          </cell>
          <cell r="Q472">
            <v>0</v>
          </cell>
          <cell r="R472">
            <v>8</v>
          </cell>
          <cell r="S472">
            <v>15</v>
          </cell>
          <cell r="T472">
            <v>3</v>
          </cell>
          <cell r="U472">
            <v>1</v>
          </cell>
          <cell r="V472">
            <v>1</v>
          </cell>
          <cell r="W472">
            <v>65</v>
          </cell>
          <cell r="X472">
            <v>65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</row>
        <row r="473">
          <cell r="B473">
            <v>827</v>
          </cell>
          <cell r="C473" t="str">
            <v>انور سليمان ادم محمد</v>
          </cell>
          <cell r="D473" t="str">
            <v>المصنع</v>
          </cell>
          <cell r="E473" t="str">
            <v>الانتاج</v>
          </cell>
          <cell r="F473">
            <v>0</v>
          </cell>
          <cell r="G473" t="str">
            <v>عامل</v>
          </cell>
          <cell r="H473">
            <v>43359</v>
          </cell>
          <cell r="I473">
            <v>0</v>
          </cell>
          <cell r="J473" t="e">
            <v>#NUM!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1</v>
          </cell>
          <cell r="AJ473">
            <v>0</v>
          </cell>
          <cell r="AK473">
            <v>0</v>
          </cell>
        </row>
        <row r="474">
          <cell r="B474">
            <v>828</v>
          </cell>
          <cell r="C474" t="str">
            <v>عيسي احمد المهدى عبدالعزيز</v>
          </cell>
          <cell r="D474" t="str">
            <v>المصنع</v>
          </cell>
          <cell r="E474" t="str">
            <v>الانتاج</v>
          </cell>
          <cell r="F474">
            <v>0</v>
          </cell>
          <cell r="G474" t="str">
            <v>مشغل كرين</v>
          </cell>
          <cell r="H474">
            <v>42187</v>
          </cell>
          <cell r="I474">
            <v>43498</v>
          </cell>
          <cell r="J474">
            <v>107.5</v>
          </cell>
          <cell r="K474">
            <v>0</v>
          </cell>
          <cell r="L474">
            <v>0</v>
          </cell>
          <cell r="M474">
            <v>1</v>
          </cell>
          <cell r="N474">
            <v>5</v>
          </cell>
          <cell r="O474">
            <v>2</v>
          </cell>
          <cell r="P474">
            <v>0</v>
          </cell>
          <cell r="Q474">
            <v>3</v>
          </cell>
          <cell r="R474">
            <v>0</v>
          </cell>
          <cell r="S474">
            <v>7</v>
          </cell>
          <cell r="T474">
            <v>0</v>
          </cell>
          <cell r="U474">
            <v>0</v>
          </cell>
          <cell r="V474">
            <v>0</v>
          </cell>
          <cell r="W474">
            <v>18</v>
          </cell>
          <cell r="X474">
            <v>18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</row>
        <row r="475">
          <cell r="B475">
            <v>830</v>
          </cell>
          <cell r="C475" t="str">
            <v>سماح محمد تيراب احمد</v>
          </cell>
          <cell r="D475" t="str">
            <v>المصنع</v>
          </cell>
          <cell r="E475" t="str">
            <v>المستودعات</v>
          </cell>
          <cell r="F475" t="str">
            <v>قطع الغيار</v>
          </cell>
          <cell r="G475" t="str">
            <v>مدخل بيانات</v>
          </cell>
          <cell r="H475">
            <v>42217</v>
          </cell>
          <cell r="I475">
            <v>43498</v>
          </cell>
          <cell r="J475">
            <v>105</v>
          </cell>
          <cell r="K475">
            <v>2</v>
          </cell>
          <cell r="L475">
            <v>0</v>
          </cell>
          <cell r="M475">
            <v>2</v>
          </cell>
          <cell r="N475">
            <v>1</v>
          </cell>
          <cell r="O475">
            <v>1</v>
          </cell>
          <cell r="P475">
            <v>3</v>
          </cell>
          <cell r="Q475">
            <v>1</v>
          </cell>
          <cell r="R475">
            <v>4</v>
          </cell>
          <cell r="S475">
            <v>3</v>
          </cell>
          <cell r="T475">
            <v>2</v>
          </cell>
          <cell r="U475">
            <v>1</v>
          </cell>
          <cell r="V475">
            <v>9</v>
          </cell>
          <cell r="W475">
            <v>29</v>
          </cell>
          <cell r="X475">
            <v>29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</row>
        <row r="476">
          <cell r="B476">
            <v>831</v>
          </cell>
          <cell r="C476" t="str">
            <v>نجم الدين السيد عبدالقادر الصديق</v>
          </cell>
          <cell r="D476" t="str">
            <v>المصنع</v>
          </cell>
          <cell r="E476" t="str">
            <v>الميكانيكا</v>
          </cell>
          <cell r="F476">
            <v>0</v>
          </cell>
          <cell r="G476" t="str">
            <v>مهندس صيانه</v>
          </cell>
          <cell r="H476">
            <v>42217</v>
          </cell>
          <cell r="I476">
            <v>0</v>
          </cell>
          <cell r="J476" t="e">
            <v>#NUM!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</row>
        <row r="477">
          <cell r="B477">
            <v>832</v>
          </cell>
          <cell r="C477" t="str">
            <v>محمد فائز حسن محمد</v>
          </cell>
          <cell r="D477" t="str">
            <v>المصنع</v>
          </cell>
          <cell r="E477" t="str">
            <v>الميكانيكا</v>
          </cell>
          <cell r="F477" t="str">
            <v>المخارط</v>
          </cell>
          <cell r="G477" t="str">
            <v>فورمان مخارط</v>
          </cell>
          <cell r="H477">
            <v>42220</v>
          </cell>
          <cell r="I477">
            <v>43498</v>
          </cell>
          <cell r="J477">
            <v>102.5</v>
          </cell>
          <cell r="K477">
            <v>1</v>
          </cell>
          <cell r="L477">
            <v>2</v>
          </cell>
          <cell r="M477">
            <v>1</v>
          </cell>
          <cell r="N477">
            <v>6</v>
          </cell>
          <cell r="O477">
            <v>1</v>
          </cell>
          <cell r="P477">
            <v>1</v>
          </cell>
          <cell r="Q477">
            <v>0</v>
          </cell>
          <cell r="R477">
            <v>1</v>
          </cell>
          <cell r="S477">
            <v>9</v>
          </cell>
          <cell r="T477">
            <v>2</v>
          </cell>
          <cell r="U477">
            <v>1</v>
          </cell>
          <cell r="V477">
            <v>1</v>
          </cell>
          <cell r="W477">
            <v>26</v>
          </cell>
          <cell r="X477">
            <v>26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</row>
        <row r="478">
          <cell r="B478">
            <v>833</v>
          </cell>
          <cell r="C478" t="str">
            <v>احمد عبدالوهاب الامين العبيد</v>
          </cell>
          <cell r="D478" t="str">
            <v>المصنع</v>
          </cell>
          <cell r="E478" t="str">
            <v>الانتاج</v>
          </cell>
          <cell r="F478">
            <v>0</v>
          </cell>
          <cell r="G478" t="str">
            <v>عامل</v>
          </cell>
          <cell r="H478">
            <v>42228</v>
          </cell>
          <cell r="I478">
            <v>43498</v>
          </cell>
          <cell r="J478">
            <v>102.5</v>
          </cell>
          <cell r="K478">
            <v>6</v>
          </cell>
          <cell r="L478">
            <v>0</v>
          </cell>
          <cell r="M478">
            <v>1</v>
          </cell>
          <cell r="N478">
            <v>3</v>
          </cell>
          <cell r="O478">
            <v>2</v>
          </cell>
          <cell r="P478">
            <v>1</v>
          </cell>
          <cell r="Q478">
            <v>0</v>
          </cell>
          <cell r="R478">
            <v>1</v>
          </cell>
          <cell r="S478">
            <v>6</v>
          </cell>
          <cell r="T478">
            <v>3</v>
          </cell>
          <cell r="U478">
            <v>1</v>
          </cell>
          <cell r="V478">
            <v>20</v>
          </cell>
          <cell r="W478">
            <v>44</v>
          </cell>
          <cell r="X478">
            <v>44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</row>
        <row r="479">
          <cell r="B479">
            <v>834</v>
          </cell>
          <cell r="C479" t="str">
            <v>كمال عبدالرحمن احمد عبدالله</v>
          </cell>
          <cell r="D479" t="str">
            <v>المصنع</v>
          </cell>
          <cell r="E479" t="str">
            <v>الخدمات</v>
          </cell>
          <cell r="F479">
            <v>0</v>
          </cell>
          <cell r="G479" t="str">
            <v>عامل</v>
          </cell>
          <cell r="H479">
            <v>42229</v>
          </cell>
          <cell r="I479">
            <v>43498</v>
          </cell>
          <cell r="J479">
            <v>102.5</v>
          </cell>
          <cell r="K479">
            <v>0</v>
          </cell>
          <cell r="L479">
            <v>7</v>
          </cell>
          <cell r="M479">
            <v>4</v>
          </cell>
          <cell r="N479">
            <v>3</v>
          </cell>
          <cell r="O479">
            <v>2</v>
          </cell>
          <cell r="P479">
            <v>1</v>
          </cell>
          <cell r="Q479">
            <v>0</v>
          </cell>
          <cell r="R479">
            <v>3</v>
          </cell>
          <cell r="S479">
            <v>6</v>
          </cell>
          <cell r="T479">
            <v>0</v>
          </cell>
          <cell r="U479">
            <v>3</v>
          </cell>
          <cell r="V479">
            <v>2</v>
          </cell>
          <cell r="W479">
            <v>31</v>
          </cell>
          <cell r="X479">
            <v>31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</row>
        <row r="480">
          <cell r="B480">
            <v>835</v>
          </cell>
          <cell r="C480" t="str">
            <v>ابراهيم حسين عبدالمجيد</v>
          </cell>
          <cell r="D480" t="str">
            <v>المصنع</v>
          </cell>
          <cell r="E480" t="str">
            <v>الجوده</v>
          </cell>
          <cell r="F480">
            <v>0</v>
          </cell>
          <cell r="G480" t="str">
            <v>عامل</v>
          </cell>
          <cell r="H480">
            <v>42231</v>
          </cell>
          <cell r="I480">
            <v>42643</v>
          </cell>
          <cell r="J480">
            <v>32.5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</row>
        <row r="481">
          <cell r="B481">
            <v>838</v>
          </cell>
          <cell r="C481" t="str">
            <v>الريح حسن ابكر عبدالرحمن</v>
          </cell>
          <cell r="D481" t="str">
            <v>المصنع</v>
          </cell>
          <cell r="E481" t="str">
            <v>الانتاج</v>
          </cell>
          <cell r="F481">
            <v>0</v>
          </cell>
          <cell r="G481" t="str">
            <v>سائق اليات</v>
          </cell>
          <cell r="H481">
            <v>42238</v>
          </cell>
          <cell r="I481">
            <v>0</v>
          </cell>
          <cell r="J481" t="e">
            <v>#NUM!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</row>
        <row r="482">
          <cell r="B482">
            <v>839</v>
          </cell>
          <cell r="C482" t="str">
            <v>عبدالرحمن موسى محمد عبدالرحمن</v>
          </cell>
          <cell r="D482" t="str">
            <v>المصنع</v>
          </cell>
          <cell r="E482" t="str">
            <v>الميكانيكا</v>
          </cell>
          <cell r="F482" t="str">
            <v>صيانه عامه</v>
          </cell>
          <cell r="G482" t="str">
            <v>تقنى ميكانيكا</v>
          </cell>
          <cell r="H482">
            <v>43136</v>
          </cell>
          <cell r="I482">
            <v>43498</v>
          </cell>
          <cell r="J482">
            <v>27.5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2</v>
          </cell>
          <cell r="AD482">
            <v>6</v>
          </cell>
          <cell r="AE482">
            <v>1</v>
          </cell>
          <cell r="AF482">
            <v>3</v>
          </cell>
          <cell r="AG482">
            <v>0</v>
          </cell>
          <cell r="AH482">
            <v>1</v>
          </cell>
          <cell r="AI482">
            <v>0</v>
          </cell>
          <cell r="AJ482">
            <v>1</v>
          </cell>
          <cell r="AK482">
            <v>0</v>
          </cell>
        </row>
        <row r="483">
          <cell r="B483">
            <v>840</v>
          </cell>
          <cell r="C483" t="str">
            <v>محمد خضر محمد صديق</v>
          </cell>
          <cell r="D483" t="str">
            <v>المصنع</v>
          </cell>
          <cell r="E483" t="str">
            <v>الميكانيكا</v>
          </cell>
          <cell r="F483" t="str">
            <v>صيانه عامه</v>
          </cell>
          <cell r="G483" t="str">
            <v>تقنى ميكانيكا</v>
          </cell>
          <cell r="H483">
            <v>42248</v>
          </cell>
          <cell r="I483">
            <v>43498</v>
          </cell>
          <cell r="J483">
            <v>102.5</v>
          </cell>
          <cell r="K483">
            <v>5</v>
          </cell>
          <cell r="L483">
            <v>5</v>
          </cell>
          <cell r="M483">
            <v>4</v>
          </cell>
          <cell r="N483">
            <v>1</v>
          </cell>
          <cell r="O483">
            <v>3</v>
          </cell>
          <cell r="P483">
            <v>2</v>
          </cell>
          <cell r="Q483">
            <v>3</v>
          </cell>
          <cell r="R483">
            <v>3</v>
          </cell>
          <cell r="S483">
            <v>3</v>
          </cell>
          <cell r="T483">
            <v>13</v>
          </cell>
          <cell r="U483">
            <v>1</v>
          </cell>
          <cell r="V483">
            <v>3</v>
          </cell>
          <cell r="W483">
            <v>46</v>
          </cell>
          <cell r="X483">
            <v>46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</row>
        <row r="484">
          <cell r="B484">
            <v>841</v>
          </cell>
          <cell r="C484" t="str">
            <v>احمد إسماعيل احمد منعم</v>
          </cell>
          <cell r="D484" t="str">
            <v>المصنع</v>
          </cell>
          <cell r="E484" t="str">
            <v>المستودعات</v>
          </cell>
          <cell r="F484">
            <v>0</v>
          </cell>
          <cell r="G484" t="str">
            <v>امين مستودع</v>
          </cell>
          <cell r="H484">
            <v>42248</v>
          </cell>
          <cell r="I484">
            <v>0</v>
          </cell>
          <cell r="J484" t="e">
            <v>#NUM!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</row>
        <row r="485">
          <cell r="B485">
            <v>842</v>
          </cell>
          <cell r="C485" t="str">
            <v>عبدالرحمن اسماعيل محمد على</v>
          </cell>
          <cell r="D485" t="str">
            <v>المصنع</v>
          </cell>
          <cell r="E485" t="str">
            <v>الانتاج</v>
          </cell>
          <cell r="F485" t="str">
            <v>المواسير</v>
          </cell>
          <cell r="G485" t="str">
            <v>مشغل</v>
          </cell>
          <cell r="H485">
            <v>42248</v>
          </cell>
          <cell r="I485">
            <v>43498</v>
          </cell>
          <cell r="J485">
            <v>102.5</v>
          </cell>
          <cell r="K485">
            <v>0</v>
          </cell>
          <cell r="L485">
            <v>0</v>
          </cell>
          <cell r="M485">
            <v>8</v>
          </cell>
          <cell r="N485">
            <v>0</v>
          </cell>
          <cell r="O485">
            <v>3</v>
          </cell>
          <cell r="P485">
            <v>0</v>
          </cell>
          <cell r="Q485">
            <v>1</v>
          </cell>
          <cell r="R485">
            <v>4</v>
          </cell>
          <cell r="S485">
            <v>4</v>
          </cell>
          <cell r="T485">
            <v>3</v>
          </cell>
          <cell r="U485">
            <v>1</v>
          </cell>
          <cell r="V485">
            <v>1</v>
          </cell>
          <cell r="W485">
            <v>25</v>
          </cell>
          <cell r="X485">
            <v>25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10</v>
          </cell>
          <cell r="AI485">
            <v>0</v>
          </cell>
          <cell r="AJ485">
            <v>0</v>
          </cell>
          <cell r="AK485">
            <v>0</v>
          </cell>
        </row>
        <row r="486">
          <cell r="B486">
            <v>843</v>
          </cell>
          <cell r="C486" t="str">
            <v>احمد محمد احمد ادم</v>
          </cell>
          <cell r="D486" t="str">
            <v>المصنع</v>
          </cell>
          <cell r="E486" t="str">
            <v>الامن و الحركه</v>
          </cell>
          <cell r="F486" t="str">
            <v>الامن</v>
          </cell>
          <cell r="G486" t="str">
            <v>فرد امن</v>
          </cell>
          <cell r="H486">
            <v>42248</v>
          </cell>
          <cell r="I486">
            <v>42653</v>
          </cell>
          <cell r="J486">
            <v>32.5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</row>
        <row r="487">
          <cell r="B487">
            <v>844</v>
          </cell>
          <cell r="C487" t="str">
            <v>احمد الريح ابو ادريس  على</v>
          </cell>
          <cell r="D487" t="str">
            <v>المصنع</v>
          </cell>
          <cell r="E487" t="str">
            <v>الانتاج</v>
          </cell>
          <cell r="F487">
            <v>0</v>
          </cell>
          <cell r="G487" t="str">
            <v>عامل</v>
          </cell>
          <cell r="H487">
            <v>42249</v>
          </cell>
          <cell r="I487">
            <v>0</v>
          </cell>
          <cell r="J487" t="e">
            <v>#NUM!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</row>
        <row r="488">
          <cell r="B488">
            <v>845</v>
          </cell>
          <cell r="C488" t="str">
            <v>عبد القادر سعد عوض الكريم حبيب</v>
          </cell>
          <cell r="D488" t="str">
            <v>المصنع</v>
          </cell>
          <cell r="E488" t="str">
            <v>الانتاج</v>
          </cell>
          <cell r="F488">
            <v>0</v>
          </cell>
          <cell r="G488" t="str">
            <v>عامل</v>
          </cell>
          <cell r="H488">
            <v>42280</v>
          </cell>
          <cell r="I488">
            <v>0</v>
          </cell>
          <cell r="J488" t="e">
            <v>#NUM!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</row>
        <row r="489">
          <cell r="B489">
            <v>847</v>
          </cell>
          <cell r="C489" t="str">
            <v>محمد يعقوب التجانى سليمان</v>
          </cell>
          <cell r="D489" t="str">
            <v>المصنع</v>
          </cell>
          <cell r="E489" t="str">
            <v>الكهرباء</v>
          </cell>
          <cell r="F489">
            <v>0</v>
          </cell>
          <cell r="G489" t="str">
            <v>فنى</v>
          </cell>
          <cell r="H489">
            <v>42295</v>
          </cell>
          <cell r="I489">
            <v>0</v>
          </cell>
          <cell r="J489" t="e">
            <v>#NUM!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</row>
        <row r="490">
          <cell r="B490">
            <v>848</v>
          </cell>
          <cell r="C490" t="str">
            <v>خالد بشير محمد حفظ الله</v>
          </cell>
          <cell r="D490" t="str">
            <v>المصنع</v>
          </cell>
          <cell r="E490" t="str">
            <v>المستودعات</v>
          </cell>
          <cell r="F490">
            <v>0</v>
          </cell>
          <cell r="G490" t="str">
            <v>عامل</v>
          </cell>
          <cell r="H490">
            <v>42296</v>
          </cell>
          <cell r="I490">
            <v>0</v>
          </cell>
          <cell r="J490" t="e">
            <v>#NUM!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</row>
        <row r="491">
          <cell r="B491">
            <v>849</v>
          </cell>
          <cell r="C491" t="str">
            <v>الطاهر محمد ابكر علي</v>
          </cell>
          <cell r="D491" t="str">
            <v>المصنع</v>
          </cell>
          <cell r="E491" t="str">
            <v>الالكترونيات</v>
          </cell>
          <cell r="F491">
            <v>0</v>
          </cell>
          <cell r="G491" t="str">
            <v>فنىالكترونيات</v>
          </cell>
          <cell r="H491">
            <v>42309</v>
          </cell>
          <cell r="I491">
            <v>43498</v>
          </cell>
          <cell r="J491">
            <v>97.5</v>
          </cell>
          <cell r="K491">
            <v>1</v>
          </cell>
          <cell r="L491">
            <v>1</v>
          </cell>
          <cell r="M491">
            <v>16</v>
          </cell>
          <cell r="N491">
            <v>0</v>
          </cell>
          <cell r="O491">
            <v>2</v>
          </cell>
          <cell r="P491">
            <v>2</v>
          </cell>
          <cell r="Q491">
            <v>3</v>
          </cell>
          <cell r="R491">
            <v>9</v>
          </cell>
          <cell r="S491">
            <v>2</v>
          </cell>
          <cell r="T491">
            <v>2</v>
          </cell>
          <cell r="U491">
            <v>1</v>
          </cell>
          <cell r="V491">
            <v>3</v>
          </cell>
          <cell r="W491">
            <v>42</v>
          </cell>
          <cell r="X491">
            <v>42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</row>
        <row r="492">
          <cell r="B492">
            <v>850</v>
          </cell>
          <cell r="C492" t="str">
            <v>علاء الدين حمودى حامد النور</v>
          </cell>
          <cell r="D492" t="str">
            <v>المصنع</v>
          </cell>
          <cell r="E492" t="str">
            <v>الانتاج</v>
          </cell>
          <cell r="F492">
            <v>0</v>
          </cell>
          <cell r="G492" t="str">
            <v>عامل</v>
          </cell>
          <cell r="H492">
            <v>42309</v>
          </cell>
          <cell r="I492">
            <v>0</v>
          </cell>
          <cell r="J492" t="e">
            <v>#NUM!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</row>
        <row r="493">
          <cell r="B493">
            <v>851</v>
          </cell>
          <cell r="C493" t="str">
            <v>نسيبه شوقى عبد الله احمد</v>
          </cell>
          <cell r="D493" t="str">
            <v>المصنع</v>
          </cell>
          <cell r="E493" t="str">
            <v>الماليه</v>
          </cell>
          <cell r="F493">
            <v>0</v>
          </cell>
          <cell r="G493" t="str">
            <v>موظفه</v>
          </cell>
          <cell r="H493">
            <v>42309</v>
          </cell>
          <cell r="I493">
            <v>0</v>
          </cell>
          <cell r="J493" t="e">
            <v>#NUM!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</row>
        <row r="494">
          <cell r="B494">
            <v>852</v>
          </cell>
          <cell r="C494" t="str">
            <v>محمد على دليل محمد</v>
          </cell>
          <cell r="D494" t="str">
            <v>المصنع</v>
          </cell>
          <cell r="E494" t="str">
            <v>الانتاج</v>
          </cell>
          <cell r="F494" t="str">
            <v>المواسير</v>
          </cell>
          <cell r="G494" t="str">
            <v>عامل</v>
          </cell>
          <cell r="H494">
            <v>42316</v>
          </cell>
          <cell r="I494">
            <v>43498</v>
          </cell>
          <cell r="J494">
            <v>95</v>
          </cell>
          <cell r="K494">
            <v>0</v>
          </cell>
          <cell r="L494">
            <v>1</v>
          </cell>
          <cell r="M494">
            <v>2</v>
          </cell>
          <cell r="N494">
            <v>0</v>
          </cell>
          <cell r="O494">
            <v>1</v>
          </cell>
          <cell r="P494">
            <v>1</v>
          </cell>
          <cell r="Q494">
            <v>0</v>
          </cell>
          <cell r="R494">
            <v>2</v>
          </cell>
          <cell r="S494">
            <v>0</v>
          </cell>
          <cell r="T494">
            <v>2</v>
          </cell>
          <cell r="U494">
            <v>1</v>
          </cell>
          <cell r="V494">
            <v>0</v>
          </cell>
          <cell r="W494">
            <v>10</v>
          </cell>
          <cell r="X494">
            <v>10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</row>
        <row r="495">
          <cell r="B495">
            <v>853</v>
          </cell>
          <cell r="C495" t="str">
            <v>مهند حاج حمد محمد عثمان</v>
          </cell>
          <cell r="D495" t="str">
            <v>المصنع</v>
          </cell>
          <cell r="E495" t="str">
            <v>المستودعات</v>
          </cell>
          <cell r="F495" t="str">
            <v>المنتج الجاهز</v>
          </cell>
          <cell r="G495" t="str">
            <v>امين مستودع م ج</v>
          </cell>
          <cell r="H495">
            <v>42325</v>
          </cell>
          <cell r="I495">
            <v>43498</v>
          </cell>
          <cell r="J495">
            <v>95</v>
          </cell>
          <cell r="K495">
            <v>0</v>
          </cell>
          <cell r="L495">
            <v>0</v>
          </cell>
          <cell r="M495">
            <v>1</v>
          </cell>
          <cell r="N495">
            <v>2</v>
          </cell>
          <cell r="O495">
            <v>5</v>
          </cell>
          <cell r="P495">
            <v>1</v>
          </cell>
          <cell r="Q495">
            <v>2</v>
          </cell>
          <cell r="R495">
            <v>0</v>
          </cell>
          <cell r="S495">
            <v>13</v>
          </cell>
          <cell r="T495">
            <v>30</v>
          </cell>
          <cell r="U495">
            <v>1</v>
          </cell>
          <cell r="V495">
            <v>5</v>
          </cell>
          <cell r="W495">
            <v>60</v>
          </cell>
          <cell r="X495">
            <v>60</v>
          </cell>
          <cell r="Y495">
            <v>0</v>
          </cell>
          <cell r="Z495">
            <v>30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</row>
        <row r="496">
          <cell r="B496">
            <v>854</v>
          </cell>
          <cell r="C496" t="str">
            <v>عادل حسن المومن ابراهيم</v>
          </cell>
          <cell r="D496" t="str">
            <v>المصنع</v>
          </cell>
          <cell r="E496" t="str">
            <v>الخدمات</v>
          </cell>
          <cell r="F496">
            <v>0</v>
          </cell>
          <cell r="G496" t="str">
            <v>عامل</v>
          </cell>
          <cell r="H496">
            <v>42329</v>
          </cell>
          <cell r="I496">
            <v>43498</v>
          </cell>
          <cell r="J496">
            <v>95</v>
          </cell>
          <cell r="K496">
            <v>4</v>
          </cell>
          <cell r="L496">
            <v>3</v>
          </cell>
          <cell r="M496">
            <v>6</v>
          </cell>
          <cell r="N496">
            <v>3</v>
          </cell>
          <cell r="O496">
            <v>7</v>
          </cell>
          <cell r="P496">
            <v>2</v>
          </cell>
          <cell r="Q496">
            <v>2</v>
          </cell>
          <cell r="R496">
            <v>4</v>
          </cell>
          <cell r="S496">
            <v>9</v>
          </cell>
          <cell r="T496">
            <v>11</v>
          </cell>
          <cell r="U496">
            <v>2</v>
          </cell>
          <cell r="V496">
            <v>2</v>
          </cell>
          <cell r="W496">
            <v>55</v>
          </cell>
          <cell r="X496">
            <v>55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</row>
        <row r="497">
          <cell r="B497">
            <v>855</v>
          </cell>
          <cell r="C497" t="str">
            <v>وليد شمس الدين شريف جاويش</v>
          </cell>
          <cell r="D497" t="str">
            <v>المصنع</v>
          </cell>
          <cell r="E497" t="str">
            <v>الماليه</v>
          </cell>
          <cell r="F497">
            <v>0</v>
          </cell>
          <cell r="G497" t="str">
            <v>محاسب</v>
          </cell>
          <cell r="H497">
            <v>42353</v>
          </cell>
          <cell r="I497">
            <v>43498</v>
          </cell>
          <cell r="J497">
            <v>92.5</v>
          </cell>
          <cell r="K497">
            <v>0</v>
          </cell>
          <cell r="L497">
            <v>3</v>
          </cell>
          <cell r="M497">
            <v>0</v>
          </cell>
          <cell r="N497">
            <v>2</v>
          </cell>
          <cell r="O497">
            <v>3</v>
          </cell>
          <cell r="P497">
            <v>0</v>
          </cell>
          <cell r="Q497">
            <v>2</v>
          </cell>
          <cell r="R497">
            <v>2</v>
          </cell>
          <cell r="S497">
            <v>6</v>
          </cell>
          <cell r="T497">
            <v>2</v>
          </cell>
          <cell r="U497">
            <v>0</v>
          </cell>
          <cell r="V497">
            <v>2</v>
          </cell>
          <cell r="W497">
            <v>22</v>
          </cell>
          <cell r="X497">
            <v>21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</row>
        <row r="498">
          <cell r="B498">
            <v>856</v>
          </cell>
          <cell r="C498" t="str">
            <v>محمد يوسف محمد يوسف</v>
          </cell>
          <cell r="D498" t="str">
            <v>المصنع</v>
          </cell>
          <cell r="E498" t="str">
            <v>الانتاج</v>
          </cell>
          <cell r="F498" t="str">
            <v>التشريح</v>
          </cell>
          <cell r="G498" t="str">
            <v>مشغل</v>
          </cell>
          <cell r="H498">
            <v>42372</v>
          </cell>
          <cell r="I498">
            <v>43498</v>
          </cell>
          <cell r="J498">
            <v>90</v>
          </cell>
          <cell r="K498">
            <v>4</v>
          </cell>
          <cell r="L498">
            <v>1</v>
          </cell>
          <cell r="M498">
            <v>2</v>
          </cell>
          <cell r="N498">
            <v>1</v>
          </cell>
          <cell r="O498">
            <v>4</v>
          </cell>
          <cell r="P498">
            <v>3</v>
          </cell>
          <cell r="Q498">
            <v>2</v>
          </cell>
          <cell r="R498">
            <v>4</v>
          </cell>
          <cell r="S498">
            <v>5</v>
          </cell>
          <cell r="T498">
            <v>1</v>
          </cell>
          <cell r="U498">
            <v>0</v>
          </cell>
          <cell r="V498">
            <v>0</v>
          </cell>
          <cell r="W498">
            <v>27</v>
          </cell>
          <cell r="X498">
            <v>27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</row>
        <row r="499">
          <cell r="B499">
            <v>857</v>
          </cell>
          <cell r="C499" t="str">
            <v>سبت على جابر اوش</v>
          </cell>
          <cell r="D499" t="str">
            <v>المصنع</v>
          </cell>
          <cell r="E499" t="str">
            <v>الامن و الحركه</v>
          </cell>
          <cell r="F499" t="str">
            <v>الحركه</v>
          </cell>
          <cell r="G499" t="str">
            <v>سائق</v>
          </cell>
          <cell r="H499">
            <v>42386</v>
          </cell>
          <cell r="I499">
            <v>43498</v>
          </cell>
          <cell r="J499">
            <v>90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2</v>
          </cell>
          <cell r="P499">
            <v>0</v>
          </cell>
          <cell r="Q499">
            <v>0</v>
          </cell>
          <cell r="R499">
            <v>15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17</v>
          </cell>
          <cell r="X499">
            <v>17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</row>
        <row r="500">
          <cell r="B500">
            <v>858</v>
          </cell>
          <cell r="C500" t="str">
            <v>إبراهيم منصور عمر محمد</v>
          </cell>
          <cell r="D500" t="str">
            <v>المصنع</v>
          </cell>
          <cell r="E500" t="str">
            <v>المستودعات</v>
          </cell>
          <cell r="F500" t="str">
            <v>التحميل</v>
          </cell>
          <cell r="G500" t="str">
            <v>عامل</v>
          </cell>
          <cell r="H500">
            <v>42392</v>
          </cell>
          <cell r="I500">
            <v>0</v>
          </cell>
          <cell r="J500" t="e">
            <v>#NUM!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</row>
        <row r="501">
          <cell r="B501">
            <v>859</v>
          </cell>
          <cell r="C501" t="str">
            <v>صلاح الدين بشير احمد</v>
          </cell>
          <cell r="D501" t="str">
            <v>المصنع</v>
          </cell>
          <cell r="E501" t="str">
            <v>الامن و الحركه</v>
          </cell>
          <cell r="F501" t="str">
            <v>الحركه</v>
          </cell>
          <cell r="G501" t="str">
            <v>سائق</v>
          </cell>
          <cell r="H501">
            <v>42401</v>
          </cell>
          <cell r="I501">
            <v>43498</v>
          </cell>
          <cell r="J501">
            <v>90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</row>
        <row r="502">
          <cell r="B502">
            <v>860</v>
          </cell>
          <cell r="C502" t="str">
            <v>محمد الحاج عبدالله التوم</v>
          </cell>
          <cell r="D502" t="str">
            <v>المصنع</v>
          </cell>
          <cell r="E502" t="str">
            <v>الانتاج</v>
          </cell>
          <cell r="F502" t="str">
            <v>المواسير</v>
          </cell>
          <cell r="G502" t="str">
            <v>عامل</v>
          </cell>
          <cell r="H502">
            <v>42919</v>
          </cell>
          <cell r="I502">
            <v>43498</v>
          </cell>
          <cell r="J502">
            <v>45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4</v>
          </cell>
          <cell r="Z502">
            <v>2</v>
          </cell>
          <cell r="AA502">
            <v>0</v>
          </cell>
          <cell r="AB502">
            <v>2</v>
          </cell>
          <cell r="AC502">
            <v>0</v>
          </cell>
          <cell r="AD502">
            <v>1</v>
          </cell>
          <cell r="AE502">
            <v>0</v>
          </cell>
          <cell r="AF502">
            <v>1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</row>
        <row r="503">
          <cell r="B503">
            <v>861</v>
          </cell>
          <cell r="C503" t="str">
            <v>هيثم محمود عطيه إدريس</v>
          </cell>
          <cell r="D503" t="str">
            <v>المصنع</v>
          </cell>
          <cell r="E503" t="str">
            <v>الماليه</v>
          </cell>
          <cell r="F503">
            <v>0</v>
          </cell>
          <cell r="G503">
            <v>0</v>
          </cell>
          <cell r="H503">
            <v>42403</v>
          </cell>
          <cell r="I503">
            <v>0</v>
          </cell>
          <cell r="J503" t="e">
            <v>#NUM!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</row>
        <row r="504">
          <cell r="B504">
            <v>862</v>
          </cell>
          <cell r="C504" t="str">
            <v>على محمد المهدى سعيد</v>
          </cell>
          <cell r="D504" t="str">
            <v>المصنع</v>
          </cell>
          <cell r="E504" t="str">
            <v>الانتاج</v>
          </cell>
          <cell r="F504" t="str">
            <v>المواسير</v>
          </cell>
          <cell r="G504" t="str">
            <v>مشغل كرين</v>
          </cell>
          <cell r="H504">
            <v>42404</v>
          </cell>
          <cell r="I504">
            <v>43498</v>
          </cell>
          <cell r="J504">
            <v>87.5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4</v>
          </cell>
          <cell r="P504">
            <v>2</v>
          </cell>
          <cell r="Q504">
            <v>19</v>
          </cell>
          <cell r="R504">
            <v>3</v>
          </cell>
          <cell r="S504">
            <v>20</v>
          </cell>
          <cell r="T504">
            <v>0</v>
          </cell>
          <cell r="U504">
            <v>6</v>
          </cell>
          <cell r="V504">
            <v>1</v>
          </cell>
          <cell r="W504">
            <v>56</v>
          </cell>
          <cell r="X504">
            <v>56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</row>
        <row r="505">
          <cell r="B505">
            <v>863</v>
          </cell>
          <cell r="C505" t="str">
            <v>فواز توفيق محمد صادق</v>
          </cell>
          <cell r="D505" t="str">
            <v>المصنع</v>
          </cell>
          <cell r="E505" t="str">
            <v>الموارد البشريه</v>
          </cell>
          <cell r="F505" t="str">
            <v>موظف</v>
          </cell>
          <cell r="G505" t="str">
            <v>موظف موارد بشريه</v>
          </cell>
          <cell r="H505">
            <v>42409</v>
          </cell>
          <cell r="I505">
            <v>43498</v>
          </cell>
          <cell r="J505">
            <v>87.5</v>
          </cell>
          <cell r="K505">
            <v>8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7</v>
          </cell>
          <cell r="R505">
            <v>2</v>
          </cell>
          <cell r="S505">
            <v>7</v>
          </cell>
          <cell r="T505">
            <v>2</v>
          </cell>
          <cell r="U505">
            <v>1</v>
          </cell>
          <cell r="V505">
            <v>0</v>
          </cell>
          <cell r="W505">
            <v>27</v>
          </cell>
          <cell r="X505">
            <v>27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</row>
        <row r="506">
          <cell r="B506">
            <v>864</v>
          </cell>
          <cell r="C506" t="str">
            <v>عبدالحليم عيسى درار عيسى</v>
          </cell>
          <cell r="D506" t="str">
            <v>المصنع</v>
          </cell>
          <cell r="E506" t="str">
            <v>الخدمات</v>
          </cell>
          <cell r="F506">
            <v>0</v>
          </cell>
          <cell r="G506" t="str">
            <v>سباك</v>
          </cell>
          <cell r="H506">
            <v>42410</v>
          </cell>
          <cell r="I506">
            <v>42997</v>
          </cell>
          <cell r="J506">
            <v>47.5</v>
          </cell>
          <cell r="K506">
            <v>1</v>
          </cell>
          <cell r="L506">
            <v>2</v>
          </cell>
          <cell r="M506">
            <v>1</v>
          </cell>
          <cell r="N506">
            <v>2</v>
          </cell>
          <cell r="O506">
            <v>2</v>
          </cell>
          <cell r="P506">
            <v>3</v>
          </cell>
          <cell r="Q506">
            <v>1</v>
          </cell>
          <cell r="R506">
            <v>7</v>
          </cell>
          <cell r="S506">
            <v>15</v>
          </cell>
          <cell r="T506">
            <v>0</v>
          </cell>
          <cell r="U506">
            <v>0</v>
          </cell>
          <cell r="V506">
            <v>0</v>
          </cell>
          <cell r="W506">
            <v>34</v>
          </cell>
          <cell r="X506">
            <v>34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</row>
        <row r="507">
          <cell r="B507">
            <v>865</v>
          </cell>
          <cell r="C507" t="str">
            <v>امير محمد يعقوب ادم</v>
          </cell>
          <cell r="D507" t="str">
            <v>المصنع</v>
          </cell>
          <cell r="E507" t="str">
            <v>الانتاج</v>
          </cell>
          <cell r="F507">
            <v>0</v>
          </cell>
          <cell r="G507" t="str">
            <v>عامل</v>
          </cell>
          <cell r="H507">
            <v>41681</v>
          </cell>
          <cell r="I507">
            <v>0</v>
          </cell>
          <cell r="J507" t="e">
            <v>#NUM!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</row>
        <row r="508">
          <cell r="B508">
            <v>866</v>
          </cell>
          <cell r="C508" t="str">
            <v>بركات حميده النعمه بركات</v>
          </cell>
          <cell r="D508" t="str">
            <v>المصنع</v>
          </cell>
          <cell r="E508" t="str">
            <v>الانتاج</v>
          </cell>
          <cell r="F508" t="str">
            <v>الخوص</v>
          </cell>
          <cell r="G508" t="str">
            <v>مساعد مشغل</v>
          </cell>
          <cell r="H508">
            <v>42415</v>
          </cell>
          <cell r="I508">
            <v>43498</v>
          </cell>
          <cell r="J508">
            <v>87.5</v>
          </cell>
          <cell r="K508">
            <v>0</v>
          </cell>
          <cell r="L508">
            <v>1</v>
          </cell>
          <cell r="M508">
            <v>2</v>
          </cell>
          <cell r="N508">
            <v>3</v>
          </cell>
          <cell r="O508">
            <v>1</v>
          </cell>
          <cell r="P508">
            <v>1</v>
          </cell>
          <cell r="Q508">
            <v>5</v>
          </cell>
          <cell r="R508">
            <v>1</v>
          </cell>
          <cell r="S508">
            <v>7</v>
          </cell>
          <cell r="T508">
            <v>5</v>
          </cell>
          <cell r="U508">
            <v>1</v>
          </cell>
          <cell r="V508">
            <v>21</v>
          </cell>
          <cell r="W508">
            <v>48</v>
          </cell>
          <cell r="X508">
            <v>48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</row>
        <row r="509">
          <cell r="B509">
            <v>867</v>
          </cell>
          <cell r="C509" t="str">
            <v>هشام فتحى محمد صالح</v>
          </cell>
          <cell r="D509" t="str">
            <v>المصنع</v>
          </cell>
          <cell r="E509" t="str">
            <v>الكهرباء</v>
          </cell>
          <cell r="F509" t="str">
            <v>تبريد وتكيف</v>
          </cell>
          <cell r="G509" t="str">
            <v>فني تبريد وتكيف</v>
          </cell>
          <cell r="H509">
            <v>42424</v>
          </cell>
          <cell r="I509">
            <v>43498</v>
          </cell>
          <cell r="J509">
            <v>87.5</v>
          </cell>
          <cell r="K509">
            <v>0</v>
          </cell>
          <cell r="L509">
            <v>3</v>
          </cell>
          <cell r="M509">
            <v>9</v>
          </cell>
          <cell r="N509">
            <v>0</v>
          </cell>
          <cell r="O509">
            <v>5</v>
          </cell>
          <cell r="P509">
            <v>0</v>
          </cell>
          <cell r="Q509">
            <v>5</v>
          </cell>
          <cell r="R509">
            <v>3</v>
          </cell>
          <cell r="S509">
            <v>2</v>
          </cell>
          <cell r="T509">
            <v>10</v>
          </cell>
          <cell r="U509">
            <v>0</v>
          </cell>
          <cell r="V509">
            <v>1</v>
          </cell>
          <cell r="W509">
            <v>38</v>
          </cell>
          <cell r="X509">
            <v>38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</row>
        <row r="510">
          <cell r="B510">
            <v>868</v>
          </cell>
          <cell r="C510" t="str">
            <v>طلال محمد سليمان محمد على</v>
          </cell>
          <cell r="D510" t="str">
            <v>الرئاسه</v>
          </cell>
          <cell r="E510" t="str">
            <v>الرقابه الداخليه</v>
          </cell>
          <cell r="F510">
            <v>0</v>
          </cell>
          <cell r="G510" t="str">
            <v>مراجع</v>
          </cell>
          <cell r="H510">
            <v>42417</v>
          </cell>
          <cell r="I510">
            <v>43498</v>
          </cell>
          <cell r="J510">
            <v>87.5</v>
          </cell>
          <cell r="K510">
            <v>0</v>
          </cell>
          <cell r="L510">
            <v>4</v>
          </cell>
          <cell r="M510">
            <v>1</v>
          </cell>
          <cell r="N510">
            <v>0</v>
          </cell>
          <cell r="O510">
            <v>3</v>
          </cell>
          <cell r="P510">
            <v>1</v>
          </cell>
          <cell r="Q510">
            <v>0</v>
          </cell>
          <cell r="R510">
            <v>2</v>
          </cell>
          <cell r="S510">
            <v>2</v>
          </cell>
          <cell r="T510">
            <v>0</v>
          </cell>
          <cell r="U510">
            <v>0</v>
          </cell>
          <cell r="V510">
            <v>0</v>
          </cell>
          <cell r="W510">
            <v>13</v>
          </cell>
          <cell r="X510">
            <v>13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</row>
        <row r="511">
          <cell r="B511">
            <v>869</v>
          </cell>
          <cell r="C511" t="str">
            <v>صالح عبدالله عبدالرحمن صالح</v>
          </cell>
          <cell r="D511" t="str">
            <v>المصنع</v>
          </cell>
          <cell r="E511" t="str">
            <v>الانتاج</v>
          </cell>
          <cell r="F511">
            <v>0</v>
          </cell>
          <cell r="G511" t="str">
            <v>مهندس انتاج</v>
          </cell>
          <cell r="H511">
            <v>42430</v>
          </cell>
          <cell r="I511">
            <v>0</v>
          </cell>
          <cell r="J511" t="e">
            <v>#NUM!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</row>
        <row r="512">
          <cell r="B512">
            <v>870</v>
          </cell>
          <cell r="C512" t="str">
            <v>عوض عبدالعزيز إدريس حمدناالله</v>
          </cell>
          <cell r="D512" t="str">
            <v>المصنع</v>
          </cell>
          <cell r="E512" t="str">
            <v>الانتاج</v>
          </cell>
          <cell r="F512">
            <v>0</v>
          </cell>
          <cell r="G512" t="str">
            <v>عامل</v>
          </cell>
          <cell r="H512">
            <v>42430</v>
          </cell>
          <cell r="I512">
            <v>0</v>
          </cell>
          <cell r="J512" t="e">
            <v>#NUM!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</row>
        <row r="513">
          <cell r="B513">
            <v>871</v>
          </cell>
          <cell r="C513" t="str">
            <v>متوكل ادم مهاجر احمد</v>
          </cell>
          <cell r="D513" t="str">
            <v>المصنع</v>
          </cell>
          <cell r="E513" t="str">
            <v>الانتاج</v>
          </cell>
          <cell r="F513">
            <v>0</v>
          </cell>
          <cell r="G513" t="str">
            <v>عامل</v>
          </cell>
          <cell r="H513">
            <v>42434</v>
          </cell>
          <cell r="I513">
            <v>0</v>
          </cell>
          <cell r="J513" t="e">
            <v>#NUM!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</row>
        <row r="514">
          <cell r="B514">
            <v>872</v>
          </cell>
          <cell r="C514" t="str">
            <v>احمد حميدة النعمة بركات</v>
          </cell>
          <cell r="D514" t="str">
            <v>المصنع</v>
          </cell>
          <cell r="E514" t="str">
            <v>الانتاج</v>
          </cell>
          <cell r="F514">
            <v>0</v>
          </cell>
          <cell r="G514" t="str">
            <v>عامل</v>
          </cell>
          <cell r="H514">
            <v>42434</v>
          </cell>
          <cell r="I514">
            <v>0</v>
          </cell>
          <cell r="J514" t="e">
            <v>#NUM!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</row>
        <row r="515">
          <cell r="B515">
            <v>873</v>
          </cell>
          <cell r="C515" t="str">
            <v>رماح صلاح الدين سالم رفاى</v>
          </cell>
          <cell r="D515" t="str">
            <v>المصنع</v>
          </cell>
          <cell r="E515" t="str">
            <v>الجوده</v>
          </cell>
          <cell r="F515">
            <v>0</v>
          </cell>
          <cell r="G515" t="str">
            <v>مراقب انتاج</v>
          </cell>
          <cell r="H515">
            <v>42436</v>
          </cell>
          <cell r="I515">
            <v>43498</v>
          </cell>
          <cell r="J515">
            <v>85</v>
          </cell>
          <cell r="K515">
            <v>0</v>
          </cell>
          <cell r="L515">
            <v>0</v>
          </cell>
          <cell r="M515">
            <v>0</v>
          </cell>
          <cell r="N515">
            <v>2</v>
          </cell>
          <cell r="O515">
            <v>2</v>
          </cell>
          <cell r="P515">
            <v>4</v>
          </cell>
          <cell r="Q515">
            <v>2</v>
          </cell>
          <cell r="R515">
            <v>3</v>
          </cell>
          <cell r="S515">
            <v>4</v>
          </cell>
          <cell r="T515">
            <v>1</v>
          </cell>
          <cell r="U515">
            <v>3</v>
          </cell>
          <cell r="V515">
            <v>0</v>
          </cell>
          <cell r="W515">
            <v>21</v>
          </cell>
          <cell r="X515">
            <v>21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</row>
        <row r="516">
          <cell r="B516">
            <v>874</v>
          </cell>
          <cell r="C516" t="str">
            <v>حسين عثمان سيد حمد</v>
          </cell>
          <cell r="D516" t="str">
            <v>المصنع</v>
          </cell>
          <cell r="E516" t="str">
            <v>المستودعات</v>
          </cell>
          <cell r="F516" t="str">
            <v>الاسكبات</v>
          </cell>
          <cell r="G516" t="str">
            <v>امين مستودع ا س</v>
          </cell>
          <cell r="H516">
            <v>42437</v>
          </cell>
          <cell r="I516">
            <v>43498</v>
          </cell>
          <cell r="J516">
            <v>85</v>
          </cell>
          <cell r="K516">
            <v>0</v>
          </cell>
          <cell r="L516">
            <v>0</v>
          </cell>
          <cell r="M516">
            <v>11</v>
          </cell>
          <cell r="N516">
            <v>0</v>
          </cell>
          <cell r="O516">
            <v>7</v>
          </cell>
          <cell r="P516">
            <v>4</v>
          </cell>
          <cell r="Q516">
            <v>0</v>
          </cell>
          <cell r="R516">
            <v>0</v>
          </cell>
          <cell r="S516">
            <v>13</v>
          </cell>
          <cell r="T516">
            <v>1</v>
          </cell>
          <cell r="U516">
            <v>3</v>
          </cell>
          <cell r="V516">
            <v>2</v>
          </cell>
          <cell r="W516">
            <v>41</v>
          </cell>
          <cell r="X516">
            <v>41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</row>
        <row r="517">
          <cell r="B517">
            <v>875</v>
          </cell>
          <cell r="C517" t="str">
            <v>مصعب محمد صابر محمود</v>
          </cell>
          <cell r="D517" t="str">
            <v>المصنع</v>
          </cell>
          <cell r="E517" t="str">
            <v>الانتاج</v>
          </cell>
          <cell r="F517">
            <v>0</v>
          </cell>
          <cell r="G517" t="str">
            <v>عامل</v>
          </cell>
          <cell r="H517">
            <v>42462</v>
          </cell>
          <cell r="I517">
            <v>0</v>
          </cell>
          <cell r="J517" t="e">
            <v>#NUM!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</row>
        <row r="518">
          <cell r="B518">
            <v>876</v>
          </cell>
          <cell r="C518" t="str">
            <v>حنان بخيت عبدالفضيل اسماعيل</v>
          </cell>
          <cell r="D518" t="str">
            <v>المصنع</v>
          </cell>
          <cell r="E518" t="str">
            <v>الخدمات</v>
          </cell>
          <cell r="F518">
            <v>0</v>
          </cell>
          <cell r="G518" t="str">
            <v>عامل</v>
          </cell>
          <cell r="H518">
            <v>42464</v>
          </cell>
          <cell r="I518">
            <v>0</v>
          </cell>
          <cell r="J518" t="e">
            <v>#NUM!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</row>
        <row r="519">
          <cell r="B519">
            <v>877</v>
          </cell>
          <cell r="C519" t="str">
            <v>يوسف عثمان دفع الله مصطفى</v>
          </cell>
          <cell r="D519" t="str">
            <v>المصنع</v>
          </cell>
          <cell r="E519" t="str">
            <v>الانتاج</v>
          </cell>
          <cell r="F519">
            <v>0</v>
          </cell>
          <cell r="G519" t="str">
            <v>عامل</v>
          </cell>
          <cell r="H519">
            <v>42476</v>
          </cell>
          <cell r="I519">
            <v>42686</v>
          </cell>
          <cell r="J519">
            <v>15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</row>
        <row r="520">
          <cell r="B520">
            <v>878</v>
          </cell>
          <cell r="C520" t="str">
            <v>ابوبكر صديق محمد صالح</v>
          </cell>
          <cell r="D520" t="str">
            <v>المصنع</v>
          </cell>
          <cell r="E520" t="str">
            <v>الانتاج</v>
          </cell>
          <cell r="F520">
            <v>0</v>
          </cell>
          <cell r="G520" t="str">
            <v>عامل</v>
          </cell>
          <cell r="H520">
            <v>42479</v>
          </cell>
          <cell r="I520">
            <v>42705</v>
          </cell>
          <cell r="J520">
            <v>17.5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</row>
        <row r="521">
          <cell r="B521">
            <v>879</v>
          </cell>
          <cell r="C521" t="str">
            <v>على احمد سالمين كوكو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</row>
        <row r="522">
          <cell r="B522">
            <v>880</v>
          </cell>
          <cell r="C522" t="str">
            <v>احمد يوسف ادم محمد</v>
          </cell>
          <cell r="D522" t="str">
            <v>المصنع</v>
          </cell>
          <cell r="E522" t="str">
            <v>الميكانيكا</v>
          </cell>
          <cell r="F522" t="str">
            <v>صيانه عامه</v>
          </cell>
          <cell r="G522">
            <v>0</v>
          </cell>
          <cell r="H522">
            <v>42483</v>
          </cell>
          <cell r="I522">
            <v>43016</v>
          </cell>
          <cell r="J522">
            <v>42.5</v>
          </cell>
          <cell r="K522">
            <v>0</v>
          </cell>
          <cell r="L522">
            <v>0</v>
          </cell>
          <cell r="M522">
            <v>0</v>
          </cell>
          <cell r="N522">
            <v>2</v>
          </cell>
          <cell r="O522">
            <v>2</v>
          </cell>
          <cell r="P522">
            <v>1</v>
          </cell>
          <cell r="Q522">
            <v>1</v>
          </cell>
          <cell r="R522">
            <v>6</v>
          </cell>
          <cell r="S522">
            <v>4</v>
          </cell>
          <cell r="T522">
            <v>1</v>
          </cell>
          <cell r="U522">
            <v>0</v>
          </cell>
          <cell r="V522">
            <v>0</v>
          </cell>
          <cell r="W522">
            <v>17</v>
          </cell>
          <cell r="X522">
            <v>17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</row>
        <row r="523">
          <cell r="B523">
            <v>881</v>
          </cell>
          <cell r="C523" t="str">
            <v>الباقر ابراهيم النعيم الحاج</v>
          </cell>
          <cell r="D523" t="str">
            <v>المصنع</v>
          </cell>
          <cell r="E523" t="str">
            <v>الانتاج</v>
          </cell>
          <cell r="F523">
            <v>0</v>
          </cell>
          <cell r="G523" t="str">
            <v>عامل</v>
          </cell>
          <cell r="H523">
            <v>42492</v>
          </cell>
          <cell r="I523">
            <v>43498</v>
          </cell>
          <cell r="J523">
            <v>82.5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2</v>
          </cell>
          <cell r="P523">
            <v>0</v>
          </cell>
          <cell r="Q523">
            <v>7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9</v>
          </cell>
          <cell r="X523">
            <v>9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</row>
        <row r="524">
          <cell r="B524">
            <v>882</v>
          </cell>
          <cell r="C524" t="str">
            <v>محمد بشير عبدالكريم الهادى</v>
          </cell>
          <cell r="D524" t="str">
            <v>المصنع</v>
          </cell>
          <cell r="E524" t="str">
            <v>الانتاج</v>
          </cell>
          <cell r="F524" t="str">
            <v>المواسير</v>
          </cell>
          <cell r="G524" t="str">
            <v>عامل</v>
          </cell>
          <cell r="H524">
            <v>42504</v>
          </cell>
          <cell r="I524">
            <v>43498</v>
          </cell>
          <cell r="J524">
            <v>80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15</v>
          </cell>
          <cell r="P524">
            <v>1</v>
          </cell>
          <cell r="Q524">
            <v>9</v>
          </cell>
          <cell r="R524">
            <v>0</v>
          </cell>
          <cell r="S524">
            <v>11</v>
          </cell>
          <cell r="T524">
            <v>0</v>
          </cell>
          <cell r="U524">
            <v>3</v>
          </cell>
          <cell r="V524">
            <v>0</v>
          </cell>
          <cell r="W524">
            <v>39</v>
          </cell>
          <cell r="X524">
            <v>39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</row>
        <row r="525">
          <cell r="B525">
            <v>883</v>
          </cell>
          <cell r="C525" t="str">
            <v>مصطفى جاروط مصطفى جاروط</v>
          </cell>
          <cell r="D525" t="str">
            <v>المصنع</v>
          </cell>
          <cell r="E525" t="str">
            <v>الانتاج</v>
          </cell>
          <cell r="F525" t="str">
            <v>المواسير</v>
          </cell>
          <cell r="G525" t="str">
            <v>مشغل</v>
          </cell>
          <cell r="H525">
            <v>42504</v>
          </cell>
          <cell r="I525">
            <v>43498</v>
          </cell>
          <cell r="J525">
            <v>80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1</v>
          </cell>
          <cell r="P525">
            <v>7</v>
          </cell>
          <cell r="Q525">
            <v>1</v>
          </cell>
          <cell r="R525">
            <v>0</v>
          </cell>
          <cell r="S525">
            <v>4</v>
          </cell>
          <cell r="T525">
            <v>4</v>
          </cell>
          <cell r="U525">
            <v>0</v>
          </cell>
          <cell r="V525">
            <v>23</v>
          </cell>
          <cell r="W525">
            <v>40</v>
          </cell>
          <cell r="X525">
            <v>37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</row>
        <row r="526">
          <cell r="B526">
            <v>884</v>
          </cell>
          <cell r="C526" t="str">
            <v>SHAHID MIAH</v>
          </cell>
          <cell r="D526" t="str">
            <v>أجانب</v>
          </cell>
          <cell r="E526" t="str">
            <v>الانتاج</v>
          </cell>
          <cell r="F526">
            <v>0</v>
          </cell>
          <cell r="G526">
            <v>0</v>
          </cell>
          <cell r="H526">
            <v>0</v>
          </cell>
          <cell r="I526">
            <v>43498</v>
          </cell>
          <cell r="J526">
            <v>3572.5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</row>
        <row r="527">
          <cell r="B527">
            <v>885</v>
          </cell>
          <cell r="C527" t="str">
            <v>MOHAMMED NAYEM MIAH</v>
          </cell>
          <cell r="D527" t="str">
            <v>أجانب</v>
          </cell>
          <cell r="E527" t="str">
            <v>الانتاج</v>
          </cell>
          <cell r="F527">
            <v>0</v>
          </cell>
          <cell r="G527">
            <v>0</v>
          </cell>
          <cell r="H527">
            <v>0</v>
          </cell>
          <cell r="I527">
            <v>43498</v>
          </cell>
          <cell r="J527">
            <v>3572.5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</row>
        <row r="528">
          <cell r="B528">
            <v>886</v>
          </cell>
          <cell r="C528" t="str">
            <v>MUSTAKIN MIAH</v>
          </cell>
          <cell r="D528" t="str">
            <v>أجانب</v>
          </cell>
          <cell r="E528" t="str">
            <v>الانتاج</v>
          </cell>
          <cell r="F528">
            <v>0</v>
          </cell>
          <cell r="G528">
            <v>0</v>
          </cell>
          <cell r="H528">
            <v>0</v>
          </cell>
          <cell r="I528">
            <v>43498</v>
          </cell>
          <cell r="J528">
            <v>3572.5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</row>
        <row r="529">
          <cell r="B529">
            <v>888</v>
          </cell>
          <cell r="C529" t="str">
            <v>RAHIM MIAH</v>
          </cell>
          <cell r="D529" t="str">
            <v>أجانب</v>
          </cell>
          <cell r="E529" t="str">
            <v>الانتاج</v>
          </cell>
          <cell r="F529">
            <v>0</v>
          </cell>
          <cell r="G529">
            <v>0</v>
          </cell>
          <cell r="H529">
            <v>0</v>
          </cell>
          <cell r="I529">
            <v>43498</v>
          </cell>
          <cell r="J529">
            <v>3572.5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</row>
        <row r="530">
          <cell r="B530">
            <v>889</v>
          </cell>
          <cell r="C530" t="str">
            <v>MOHAMMED SHOHEL</v>
          </cell>
          <cell r="D530" t="str">
            <v>أجانب</v>
          </cell>
          <cell r="E530" t="str">
            <v>الانتاج</v>
          </cell>
          <cell r="F530">
            <v>0</v>
          </cell>
          <cell r="G530">
            <v>0</v>
          </cell>
          <cell r="H530">
            <v>0</v>
          </cell>
          <cell r="I530">
            <v>43498</v>
          </cell>
          <cell r="J530">
            <v>3572.5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</row>
        <row r="531">
          <cell r="B531">
            <v>890</v>
          </cell>
          <cell r="C531" t="str">
            <v>NAGMOUE HASAN AHMED</v>
          </cell>
          <cell r="D531" t="str">
            <v>أجانب</v>
          </cell>
          <cell r="E531" t="str">
            <v>الانتاج</v>
          </cell>
          <cell r="F531">
            <v>0</v>
          </cell>
          <cell r="G531">
            <v>0</v>
          </cell>
          <cell r="H531">
            <v>0</v>
          </cell>
          <cell r="I531">
            <v>43498</v>
          </cell>
          <cell r="J531">
            <v>3572.5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</row>
        <row r="532">
          <cell r="B532">
            <v>891</v>
          </cell>
          <cell r="C532" t="str">
            <v>MOHAMMED SHAHIMIM</v>
          </cell>
          <cell r="D532" t="str">
            <v>أجانب</v>
          </cell>
          <cell r="E532" t="str">
            <v>الانتاج</v>
          </cell>
          <cell r="F532">
            <v>0</v>
          </cell>
          <cell r="G532">
            <v>0</v>
          </cell>
          <cell r="H532">
            <v>0</v>
          </cell>
          <cell r="I532">
            <v>43498</v>
          </cell>
          <cell r="J532">
            <v>3572.5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</row>
        <row r="533">
          <cell r="B533">
            <v>892</v>
          </cell>
          <cell r="C533" t="str">
            <v>MOHAMMED BAPPI</v>
          </cell>
          <cell r="D533" t="str">
            <v>أجانب</v>
          </cell>
          <cell r="E533" t="str">
            <v>الانتاج</v>
          </cell>
          <cell r="F533">
            <v>0</v>
          </cell>
          <cell r="G533">
            <v>0</v>
          </cell>
          <cell r="H533">
            <v>0</v>
          </cell>
          <cell r="I533">
            <v>43498</v>
          </cell>
          <cell r="J533">
            <v>3572.5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</row>
        <row r="534">
          <cell r="B534">
            <v>893</v>
          </cell>
          <cell r="C534" t="str">
            <v>MOHAMMED RASAL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43498</v>
          </cell>
          <cell r="J534">
            <v>3572.5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</row>
        <row r="535">
          <cell r="B535">
            <v>894</v>
          </cell>
          <cell r="C535" t="str">
            <v>مدثر على النور اسماعيل</v>
          </cell>
          <cell r="D535" t="str">
            <v>المصنع</v>
          </cell>
          <cell r="E535" t="str">
            <v>الانتاج</v>
          </cell>
          <cell r="F535" t="str">
            <v>المواسير</v>
          </cell>
          <cell r="G535">
            <v>0</v>
          </cell>
          <cell r="H535">
            <v>42509</v>
          </cell>
          <cell r="I535">
            <v>43498</v>
          </cell>
          <cell r="J535">
            <v>80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1</v>
          </cell>
          <cell r="R535">
            <v>0</v>
          </cell>
          <cell r="S535">
            <v>2</v>
          </cell>
          <cell r="T535">
            <v>0</v>
          </cell>
          <cell r="U535">
            <v>0</v>
          </cell>
          <cell r="V535">
            <v>30</v>
          </cell>
          <cell r="W535">
            <v>33</v>
          </cell>
          <cell r="X535">
            <v>33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</row>
        <row r="536">
          <cell r="B536">
            <v>895</v>
          </cell>
          <cell r="C536" t="str">
            <v>عبد الرحمن ادم اسماعيل حماد</v>
          </cell>
          <cell r="D536" t="str">
            <v>المصنع</v>
          </cell>
          <cell r="E536" t="str">
            <v>الميكانيكا</v>
          </cell>
          <cell r="F536">
            <v>0</v>
          </cell>
          <cell r="G536">
            <v>0</v>
          </cell>
          <cell r="H536">
            <v>42522</v>
          </cell>
          <cell r="I536">
            <v>43498</v>
          </cell>
          <cell r="J536">
            <v>80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1</v>
          </cell>
          <cell r="R536">
            <v>1</v>
          </cell>
          <cell r="S536">
            <v>2</v>
          </cell>
          <cell r="T536">
            <v>0</v>
          </cell>
          <cell r="U536">
            <v>3</v>
          </cell>
          <cell r="V536">
            <v>30</v>
          </cell>
          <cell r="W536">
            <v>37</v>
          </cell>
          <cell r="X536">
            <v>37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</row>
        <row r="537">
          <cell r="B537">
            <v>896</v>
          </cell>
          <cell r="C537" t="str">
            <v>محمد بخيت عثمان الصديق</v>
          </cell>
          <cell r="D537" t="str">
            <v>المصنع</v>
          </cell>
          <cell r="E537" t="str">
            <v>الانتاج</v>
          </cell>
          <cell r="F537">
            <v>0</v>
          </cell>
          <cell r="G537">
            <v>0</v>
          </cell>
          <cell r="H537">
            <v>42522</v>
          </cell>
          <cell r="I537">
            <v>43498</v>
          </cell>
          <cell r="J537">
            <v>80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8</v>
          </cell>
          <cell r="Q537">
            <v>4</v>
          </cell>
          <cell r="R537">
            <v>4</v>
          </cell>
          <cell r="S537">
            <v>5</v>
          </cell>
          <cell r="T537">
            <v>1</v>
          </cell>
          <cell r="U537">
            <v>7</v>
          </cell>
          <cell r="V537">
            <v>1</v>
          </cell>
          <cell r="W537">
            <v>30</v>
          </cell>
          <cell r="X537">
            <v>30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</row>
        <row r="538">
          <cell r="B538">
            <v>897</v>
          </cell>
          <cell r="C538" t="str">
            <v>بشير صالح بشير صالح</v>
          </cell>
          <cell r="D538" t="str">
            <v>المصنع</v>
          </cell>
          <cell r="E538" t="str">
            <v>الانتاج</v>
          </cell>
          <cell r="F538">
            <v>0</v>
          </cell>
          <cell r="G538">
            <v>0</v>
          </cell>
          <cell r="H538">
            <v>42523</v>
          </cell>
          <cell r="I538">
            <v>0</v>
          </cell>
          <cell r="J538" t="e">
            <v>#NUM!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</row>
        <row r="539">
          <cell r="B539">
            <v>898</v>
          </cell>
          <cell r="C539" t="str">
            <v>محمد صالح محمد عبد الله</v>
          </cell>
          <cell r="D539" t="str">
            <v>المصنع</v>
          </cell>
          <cell r="E539" t="str">
            <v>الانتاج</v>
          </cell>
          <cell r="F539">
            <v>0</v>
          </cell>
          <cell r="G539">
            <v>0</v>
          </cell>
          <cell r="H539">
            <v>42523</v>
          </cell>
          <cell r="I539">
            <v>42705</v>
          </cell>
          <cell r="J539">
            <v>12.5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</row>
        <row r="540">
          <cell r="B540">
            <v>899</v>
          </cell>
          <cell r="C540" t="str">
            <v>محمد احمد فضل السيد</v>
          </cell>
          <cell r="D540" t="str">
            <v>المصنع</v>
          </cell>
          <cell r="E540" t="str">
            <v>الانتاج</v>
          </cell>
          <cell r="F540">
            <v>0</v>
          </cell>
          <cell r="G540">
            <v>0</v>
          </cell>
          <cell r="H540">
            <v>42526</v>
          </cell>
          <cell r="I540">
            <v>0</v>
          </cell>
          <cell r="J540" t="e">
            <v>#NUM!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</row>
        <row r="541">
          <cell r="B541">
            <v>900</v>
          </cell>
          <cell r="C541" t="str">
            <v>عثمان على عثمان على</v>
          </cell>
          <cell r="D541" t="str">
            <v>المصنع</v>
          </cell>
          <cell r="E541" t="str">
            <v>الماليه</v>
          </cell>
          <cell r="F541">
            <v>0</v>
          </cell>
          <cell r="G541">
            <v>0</v>
          </cell>
          <cell r="H541">
            <v>42523</v>
          </cell>
          <cell r="I541">
            <v>43498</v>
          </cell>
          <cell r="J541">
            <v>80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1</v>
          </cell>
          <cell r="S541">
            <v>0</v>
          </cell>
          <cell r="T541">
            <v>0</v>
          </cell>
          <cell r="U541">
            <v>0</v>
          </cell>
          <cell r="V541">
            <v>1</v>
          </cell>
          <cell r="W541">
            <v>2</v>
          </cell>
          <cell r="X541">
            <v>2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</row>
        <row r="542">
          <cell r="B542">
            <v>901</v>
          </cell>
          <cell r="C542" t="str">
            <v>إبراهيم حسين طه بقادى</v>
          </cell>
          <cell r="D542" t="str">
            <v>المصنع</v>
          </cell>
          <cell r="E542" t="str">
            <v>المستودعات</v>
          </cell>
          <cell r="F542">
            <v>0</v>
          </cell>
          <cell r="G542">
            <v>0</v>
          </cell>
          <cell r="H542">
            <v>42541</v>
          </cell>
          <cell r="I542">
            <v>0</v>
          </cell>
          <cell r="J542" t="e">
            <v>#NUM!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</row>
        <row r="543">
          <cell r="B543">
            <v>902</v>
          </cell>
          <cell r="C543" t="str">
            <v>جمال حامد عبد الكريم العبيد</v>
          </cell>
          <cell r="D543" t="str">
            <v>المصنع</v>
          </cell>
          <cell r="E543" t="str">
            <v>الاليات</v>
          </cell>
          <cell r="F543">
            <v>0</v>
          </cell>
          <cell r="G543">
            <v>0</v>
          </cell>
          <cell r="H543">
            <v>42541</v>
          </cell>
          <cell r="I543">
            <v>43498</v>
          </cell>
          <cell r="J543">
            <v>77.5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1</v>
          </cell>
          <cell r="Q543">
            <v>0</v>
          </cell>
          <cell r="R543">
            <v>1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2</v>
          </cell>
          <cell r="X543">
            <v>2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</row>
        <row r="544">
          <cell r="B544">
            <v>903</v>
          </cell>
          <cell r="C544" t="str">
            <v>راضى عوض ختم محمد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42564</v>
          </cell>
          <cell r="I544">
            <v>42735</v>
          </cell>
          <cell r="J544">
            <v>12.5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</row>
        <row r="545">
          <cell r="B545">
            <v>904</v>
          </cell>
          <cell r="C545" t="str">
            <v>الشيخ محمد ادم احمد</v>
          </cell>
          <cell r="D545" t="str">
            <v>المصنع</v>
          </cell>
          <cell r="E545" t="str">
            <v>الانتاج</v>
          </cell>
          <cell r="F545">
            <v>0</v>
          </cell>
          <cell r="G545">
            <v>0</v>
          </cell>
          <cell r="H545">
            <v>42569</v>
          </cell>
          <cell r="I545">
            <v>43498</v>
          </cell>
          <cell r="J545">
            <v>75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2</v>
          </cell>
          <cell r="S545">
            <v>1</v>
          </cell>
          <cell r="T545">
            <v>2</v>
          </cell>
          <cell r="U545">
            <v>1</v>
          </cell>
          <cell r="V545">
            <v>30</v>
          </cell>
          <cell r="W545">
            <v>36</v>
          </cell>
          <cell r="X545">
            <v>36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</row>
        <row r="546">
          <cell r="B546">
            <v>905</v>
          </cell>
          <cell r="C546" t="str">
            <v>ادم موسى حسين ابكر</v>
          </cell>
          <cell r="D546" t="str">
            <v>المصنع</v>
          </cell>
          <cell r="E546" t="str">
            <v>الانتاج</v>
          </cell>
          <cell r="F546">
            <v>0</v>
          </cell>
          <cell r="G546">
            <v>0</v>
          </cell>
          <cell r="H546">
            <v>42569</v>
          </cell>
          <cell r="I546">
            <v>42652</v>
          </cell>
          <cell r="J546">
            <v>5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</row>
        <row r="547">
          <cell r="B547">
            <v>906</v>
          </cell>
          <cell r="C547" t="str">
            <v>عوض عبداللطيف سعيد على</v>
          </cell>
          <cell r="D547" t="str">
            <v>المصنع</v>
          </cell>
          <cell r="E547" t="str">
            <v>الانتاج</v>
          </cell>
          <cell r="F547">
            <v>0</v>
          </cell>
          <cell r="G547">
            <v>0</v>
          </cell>
          <cell r="H547">
            <v>42569</v>
          </cell>
          <cell r="I547">
            <v>0</v>
          </cell>
          <cell r="J547" t="e">
            <v>#NUM!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</row>
        <row r="548">
          <cell r="B548">
            <v>907</v>
          </cell>
          <cell r="C548" t="str">
            <v>بهاء الدين الحاج الصديق محمد</v>
          </cell>
          <cell r="D548" t="str">
            <v>المصنع</v>
          </cell>
          <cell r="E548" t="str">
            <v>الميكانيكا</v>
          </cell>
          <cell r="F548">
            <v>0</v>
          </cell>
          <cell r="G548">
            <v>0</v>
          </cell>
          <cell r="H548">
            <v>42583</v>
          </cell>
          <cell r="I548">
            <v>43498</v>
          </cell>
          <cell r="J548">
            <v>75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1</v>
          </cell>
          <cell r="S548">
            <v>4</v>
          </cell>
          <cell r="T548">
            <v>1</v>
          </cell>
          <cell r="U548">
            <v>1</v>
          </cell>
          <cell r="V548">
            <v>2</v>
          </cell>
          <cell r="W548">
            <v>9</v>
          </cell>
          <cell r="X548">
            <v>9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</row>
        <row r="549">
          <cell r="B549">
            <v>908</v>
          </cell>
          <cell r="C549" t="str">
            <v>محمد عدلان عبد الرحمن احمد</v>
          </cell>
          <cell r="D549" t="str">
            <v>المصنع</v>
          </cell>
          <cell r="E549" t="str">
            <v>الميكانيكا</v>
          </cell>
          <cell r="F549">
            <v>0</v>
          </cell>
          <cell r="G549">
            <v>0</v>
          </cell>
          <cell r="H549">
            <v>42583</v>
          </cell>
          <cell r="I549">
            <v>43498</v>
          </cell>
          <cell r="J549">
            <v>75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5</v>
          </cell>
          <cell r="S549">
            <v>24</v>
          </cell>
          <cell r="T549">
            <v>1</v>
          </cell>
          <cell r="U549">
            <v>2</v>
          </cell>
          <cell r="V549">
            <v>1</v>
          </cell>
          <cell r="W549">
            <v>33</v>
          </cell>
          <cell r="X549">
            <v>33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</row>
        <row r="550">
          <cell r="B550">
            <v>909</v>
          </cell>
          <cell r="C550" t="str">
            <v>حمدى النور محمد حمد</v>
          </cell>
          <cell r="D550" t="str">
            <v>المصنع</v>
          </cell>
          <cell r="E550" t="str">
            <v>الانتاج</v>
          </cell>
          <cell r="F550" t="str">
            <v>التشريح</v>
          </cell>
          <cell r="G550">
            <v>0</v>
          </cell>
          <cell r="H550">
            <v>42585</v>
          </cell>
          <cell r="I550">
            <v>43498</v>
          </cell>
          <cell r="J550">
            <v>72.5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21</v>
          </cell>
          <cell r="Q550">
            <v>1</v>
          </cell>
          <cell r="R550">
            <v>1</v>
          </cell>
          <cell r="S550">
            <v>4</v>
          </cell>
          <cell r="T550">
            <v>0</v>
          </cell>
          <cell r="U550">
            <v>0</v>
          </cell>
          <cell r="V550">
            <v>6</v>
          </cell>
          <cell r="W550">
            <v>33</v>
          </cell>
          <cell r="X550">
            <v>33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</row>
        <row r="551">
          <cell r="B551">
            <v>910</v>
          </cell>
          <cell r="C551" t="str">
            <v>منتصر محمد الامين حسن</v>
          </cell>
          <cell r="D551" t="str">
            <v>المصنع</v>
          </cell>
          <cell r="E551" t="str">
            <v>الامن و الحركه</v>
          </cell>
          <cell r="F551">
            <v>0</v>
          </cell>
          <cell r="G551">
            <v>0</v>
          </cell>
          <cell r="H551">
            <v>42589</v>
          </cell>
          <cell r="I551">
            <v>43498</v>
          </cell>
          <cell r="J551">
            <v>72.5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2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2</v>
          </cell>
          <cell r="X551">
            <v>2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</row>
        <row r="552">
          <cell r="B552">
            <v>911</v>
          </cell>
          <cell r="C552" t="str">
            <v>السر كباشى احمد ازرق</v>
          </cell>
          <cell r="D552" t="str">
            <v>المصنع</v>
          </cell>
          <cell r="E552" t="str">
            <v>الانتاج</v>
          </cell>
          <cell r="F552" t="str">
            <v>المواسير</v>
          </cell>
          <cell r="G552">
            <v>0</v>
          </cell>
          <cell r="H552">
            <v>42593</v>
          </cell>
          <cell r="I552">
            <v>43498</v>
          </cell>
          <cell r="J552">
            <v>72.5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1</v>
          </cell>
          <cell r="S552">
            <v>3</v>
          </cell>
          <cell r="T552">
            <v>2</v>
          </cell>
          <cell r="U552">
            <v>20</v>
          </cell>
          <cell r="V552">
            <v>0</v>
          </cell>
          <cell r="W552">
            <v>26</v>
          </cell>
          <cell r="X552">
            <v>26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</row>
        <row r="553">
          <cell r="B553">
            <v>912</v>
          </cell>
          <cell r="C553" t="str">
            <v>بريمه اسماعيل جوده توتو</v>
          </cell>
          <cell r="D553" t="str">
            <v>المصنع</v>
          </cell>
          <cell r="E553" t="str">
            <v>الانتاج</v>
          </cell>
          <cell r="F553" t="str">
            <v>الخوص</v>
          </cell>
          <cell r="G553">
            <v>0</v>
          </cell>
          <cell r="H553">
            <v>42593</v>
          </cell>
          <cell r="I553">
            <v>43498</v>
          </cell>
          <cell r="J553">
            <v>72.5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3</v>
          </cell>
          <cell r="V553">
            <v>0</v>
          </cell>
          <cell r="W553">
            <v>3</v>
          </cell>
          <cell r="X553">
            <v>3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</row>
        <row r="554">
          <cell r="B554">
            <v>913</v>
          </cell>
          <cell r="C554" t="str">
            <v>مهند احمد مصطفى عبدالحافظ</v>
          </cell>
          <cell r="D554" t="str">
            <v>المصنع</v>
          </cell>
          <cell r="E554" t="str">
            <v>المستودعات</v>
          </cell>
          <cell r="F554">
            <v>0</v>
          </cell>
          <cell r="G554">
            <v>0</v>
          </cell>
          <cell r="H554">
            <v>42595</v>
          </cell>
          <cell r="I554">
            <v>0</v>
          </cell>
          <cell r="J554" t="e">
            <v>#NUM!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</row>
        <row r="555">
          <cell r="B555">
            <v>914</v>
          </cell>
          <cell r="C555" t="str">
            <v>حافظ عبدالقادر ماصع عبد الفراج</v>
          </cell>
          <cell r="D555" t="str">
            <v>المصنع</v>
          </cell>
          <cell r="E555" t="str">
            <v>الامن و الحركه</v>
          </cell>
          <cell r="F555">
            <v>0</v>
          </cell>
          <cell r="G555">
            <v>0</v>
          </cell>
          <cell r="H555">
            <v>42600</v>
          </cell>
          <cell r="I555">
            <v>43498</v>
          </cell>
          <cell r="J555">
            <v>72.5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</row>
        <row r="556">
          <cell r="B556">
            <v>915</v>
          </cell>
          <cell r="C556" t="str">
            <v>مصطفى مبارك بابكر الخضر</v>
          </cell>
          <cell r="D556" t="str">
            <v>المصنع</v>
          </cell>
          <cell r="E556" t="str">
            <v>الامن و الحركه</v>
          </cell>
          <cell r="F556">
            <v>0</v>
          </cell>
          <cell r="G556">
            <v>0</v>
          </cell>
          <cell r="H556">
            <v>42601</v>
          </cell>
          <cell r="I556">
            <v>42643</v>
          </cell>
          <cell r="J556">
            <v>2.5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</row>
        <row r="557">
          <cell r="B557">
            <v>916</v>
          </cell>
          <cell r="C557" t="str">
            <v>عبدالله محمد ادم حسب الله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42633</v>
          </cell>
          <cell r="I557">
            <v>43498</v>
          </cell>
          <cell r="J557">
            <v>70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1</v>
          </cell>
          <cell r="W557">
            <v>1</v>
          </cell>
          <cell r="X557">
            <v>1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</row>
        <row r="558">
          <cell r="B558">
            <v>917</v>
          </cell>
          <cell r="C558" t="str">
            <v>ضو البيت حسن حسين حمدان</v>
          </cell>
          <cell r="D558" t="str">
            <v>المصنع</v>
          </cell>
          <cell r="E558" t="str">
            <v>الامن و الحركه</v>
          </cell>
          <cell r="F558" t="str">
            <v>الامن</v>
          </cell>
          <cell r="G558">
            <v>0</v>
          </cell>
          <cell r="H558">
            <v>42661</v>
          </cell>
          <cell r="I558">
            <v>43498</v>
          </cell>
          <cell r="J558">
            <v>67.5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5</v>
          </cell>
          <cell r="W558">
            <v>5</v>
          </cell>
          <cell r="X558">
            <v>5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</row>
        <row r="559">
          <cell r="B559">
            <v>918</v>
          </cell>
          <cell r="C559" t="str">
            <v>خالد الطاهر البشير الصديق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42661</v>
          </cell>
          <cell r="I559">
            <v>42751</v>
          </cell>
          <cell r="J559">
            <v>5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</row>
        <row r="560">
          <cell r="B560">
            <v>919</v>
          </cell>
          <cell r="C560" t="str">
            <v>بدر العبيد التوم رجب</v>
          </cell>
          <cell r="D560" t="str">
            <v>المصنع</v>
          </cell>
          <cell r="E560" t="str">
            <v>الامن و الحركه</v>
          </cell>
          <cell r="F560" t="str">
            <v>الامن</v>
          </cell>
          <cell r="G560">
            <v>0</v>
          </cell>
          <cell r="H560">
            <v>42664</v>
          </cell>
          <cell r="I560">
            <v>42751</v>
          </cell>
          <cell r="J560">
            <v>5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</row>
        <row r="561">
          <cell r="B561">
            <v>921</v>
          </cell>
          <cell r="C561" t="str">
            <v>ابوبكر المهل مصطفى عبدالله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42680</v>
          </cell>
          <cell r="I561">
            <v>43030</v>
          </cell>
          <cell r="J561">
            <v>27.5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1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1</v>
          </cell>
          <cell r="X561">
            <v>1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</row>
        <row r="562">
          <cell r="B562">
            <v>922</v>
          </cell>
          <cell r="C562" t="str">
            <v>يحى سليمان ابكر ادم</v>
          </cell>
          <cell r="D562" t="str">
            <v>المصنع</v>
          </cell>
          <cell r="E562" t="str">
            <v>الميكانيكا</v>
          </cell>
          <cell r="F562">
            <v>0</v>
          </cell>
          <cell r="G562">
            <v>0</v>
          </cell>
          <cell r="H562">
            <v>42689</v>
          </cell>
          <cell r="I562">
            <v>42920</v>
          </cell>
          <cell r="J562">
            <v>17.5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</row>
        <row r="563">
          <cell r="B563">
            <v>923</v>
          </cell>
          <cell r="C563" t="str">
            <v>بدرالدين عثمان عوض الكريم فضل الله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42710</v>
          </cell>
          <cell r="I563">
            <v>43498</v>
          </cell>
          <cell r="J563">
            <v>62.5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5</v>
          </cell>
          <cell r="W563">
            <v>5</v>
          </cell>
          <cell r="X563">
            <v>2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</row>
        <row r="564">
          <cell r="B564">
            <v>924</v>
          </cell>
          <cell r="C564" t="str">
            <v>محمد عبداللطيف فضل المولى الغزالى</v>
          </cell>
          <cell r="D564" t="str">
            <v>المصنع</v>
          </cell>
          <cell r="E564" t="str">
            <v>الامن و الحركه</v>
          </cell>
          <cell r="F564">
            <v>0</v>
          </cell>
          <cell r="G564">
            <v>0</v>
          </cell>
          <cell r="H564">
            <v>42710</v>
          </cell>
          <cell r="I564">
            <v>43108</v>
          </cell>
          <cell r="J564">
            <v>32.5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</row>
        <row r="565">
          <cell r="B565">
            <v>925</v>
          </cell>
          <cell r="C565" t="str">
            <v>محمد حسونة البشير الصديق</v>
          </cell>
          <cell r="D565" t="str">
            <v>المصنع</v>
          </cell>
          <cell r="E565" t="str">
            <v>المستودعات</v>
          </cell>
          <cell r="F565">
            <v>0</v>
          </cell>
          <cell r="G565">
            <v>0</v>
          </cell>
          <cell r="H565">
            <v>42711</v>
          </cell>
          <cell r="I565">
            <v>43498</v>
          </cell>
          <cell r="J565">
            <v>62.5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</row>
        <row r="566">
          <cell r="B566">
            <v>926</v>
          </cell>
          <cell r="C566" t="str">
            <v>ادريس سعيد كومى مندى</v>
          </cell>
          <cell r="D566" t="str">
            <v>المصنع</v>
          </cell>
          <cell r="E566" t="str">
            <v>الامن و الحركه</v>
          </cell>
          <cell r="F566">
            <v>0</v>
          </cell>
          <cell r="G566">
            <v>0</v>
          </cell>
          <cell r="H566">
            <v>42718</v>
          </cell>
          <cell r="I566">
            <v>43498</v>
          </cell>
          <cell r="J566">
            <v>62.5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</row>
        <row r="567">
          <cell r="B567">
            <v>927</v>
          </cell>
          <cell r="C567" t="str">
            <v>الحاج محمد النور البشير الخليفة</v>
          </cell>
          <cell r="D567" t="str">
            <v>المصنع</v>
          </cell>
          <cell r="E567" t="str">
            <v>الانتاج</v>
          </cell>
          <cell r="F567">
            <v>0</v>
          </cell>
          <cell r="G567">
            <v>0</v>
          </cell>
          <cell r="H567">
            <v>42737</v>
          </cell>
          <cell r="I567">
            <v>43498</v>
          </cell>
          <cell r="J567">
            <v>62.5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</row>
        <row r="568">
          <cell r="B568">
            <v>928</v>
          </cell>
          <cell r="C568" t="str">
            <v>النعيم الامين حامد الامين</v>
          </cell>
          <cell r="D568" t="str">
            <v>المصنع</v>
          </cell>
          <cell r="E568" t="str">
            <v>المستودعات</v>
          </cell>
          <cell r="F568">
            <v>0</v>
          </cell>
          <cell r="G568">
            <v>0</v>
          </cell>
          <cell r="H568">
            <v>42739</v>
          </cell>
          <cell r="I568">
            <v>43498</v>
          </cell>
          <cell r="J568">
            <v>60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4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</row>
        <row r="569">
          <cell r="B569">
            <v>929</v>
          </cell>
          <cell r="C569" t="str">
            <v>محمد عوض ابراهيم شرفى</v>
          </cell>
          <cell r="D569" t="str">
            <v>المصنع</v>
          </cell>
          <cell r="E569" t="str">
            <v>المستودعات</v>
          </cell>
          <cell r="F569">
            <v>0</v>
          </cell>
          <cell r="G569">
            <v>0</v>
          </cell>
          <cell r="H569">
            <v>42749</v>
          </cell>
          <cell r="I569">
            <v>43498</v>
          </cell>
          <cell r="J569">
            <v>60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</row>
        <row r="570">
          <cell r="B570">
            <v>930</v>
          </cell>
          <cell r="C570" t="str">
            <v>عبدالرحمن عثمان محمد عثمان</v>
          </cell>
          <cell r="D570" t="str">
            <v>المصنع</v>
          </cell>
          <cell r="E570" t="str">
            <v>الامن و الحركه</v>
          </cell>
          <cell r="F570">
            <v>0</v>
          </cell>
          <cell r="G570">
            <v>0</v>
          </cell>
          <cell r="H570">
            <v>42754</v>
          </cell>
          <cell r="I570">
            <v>42754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</row>
        <row r="571">
          <cell r="B571">
            <v>931</v>
          </cell>
          <cell r="C571" t="str">
            <v>ادم حموده حماد محمد</v>
          </cell>
          <cell r="D571" t="str">
            <v>المصنع</v>
          </cell>
          <cell r="E571" t="str">
            <v>الامن و الحركه</v>
          </cell>
          <cell r="F571">
            <v>0</v>
          </cell>
          <cell r="G571">
            <v>0</v>
          </cell>
          <cell r="H571">
            <v>42753</v>
          </cell>
          <cell r="I571">
            <v>43498</v>
          </cell>
          <cell r="J571">
            <v>60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</row>
        <row r="572">
          <cell r="B572">
            <v>932</v>
          </cell>
          <cell r="C572" t="str">
            <v>عبدالعزيز محمد عبدالله محمد</v>
          </cell>
          <cell r="D572" t="str">
            <v>المصنع</v>
          </cell>
          <cell r="E572" t="str">
            <v>الانتاج</v>
          </cell>
          <cell r="F572">
            <v>0</v>
          </cell>
          <cell r="G572">
            <v>0</v>
          </cell>
          <cell r="H572">
            <v>42767</v>
          </cell>
          <cell r="I572">
            <v>42986</v>
          </cell>
          <cell r="J572">
            <v>17.5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</row>
        <row r="573">
          <cell r="B573">
            <v>933</v>
          </cell>
          <cell r="C573" t="str">
            <v>عبدالرحمن يحى إبراهيم يحى</v>
          </cell>
          <cell r="D573" t="str">
            <v>المصنع</v>
          </cell>
          <cell r="E573" t="str">
            <v>المستودعات</v>
          </cell>
          <cell r="F573">
            <v>0</v>
          </cell>
          <cell r="G573">
            <v>0</v>
          </cell>
          <cell r="H573">
            <v>42767</v>
          </cell>
          <cell r="I573">
            <v>42852</v>
          </cell>
          <cell r="J573">
            <v>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</row>
        <row r="574">
          <cell r="B574">
            <v>934</v>
          </cell>
          <cell r="C574" t="str">
            <v>نادر كافى دلدوم تيه</v>
          </cell>
          <cell r="D574" t="str">
            <v>المصنع</v>
          </cell>
          <cell r="E574" t="str">
            <v>الامن و الحركه</v>
          </cell>
          <cell r="F574">
            <v>0</v>
          </cell>
          <cell r="G574">
            <v>0</v>
          </cell>
          <cell r="H574">
            <v>42768</v>
          </cell>
          <cell r="I574">
            <v>43498</v>
          </cell>
          <cell r="J574">
            <v>60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2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</row>
        <row r="575">
          <cell r="B575">
            <v>935</v>
          </cell>
          <cell r="C575" t="str">
            <v>الضو عبدالرحيم سعد حمدنا الله</v>
          </cell>
          <cell r="D575" t="str">
            <v>المصنع</v>
          </cell>
          <cell r="E575" t="str">
            <v>الانتاج</v>
          </cell>
          <cell r="F575">
            <v>0</v>
          </cell>
          <cell r="G575">
            <v>0</v>
          </cell>
          <cell r="H575">
            <v>42767</v>
          </cell>
          <cell r="I575">
            <v>42852</v>
          </cell>
          <cell r="J575">
            <v>5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</row>
        <row r="576">
          <cell r="B576">
            <v>936</v>
          </cell>
          <cell r="C576" t="str">
            <v>همام التجانى محمد على</v>
          </cell>
          <cell r="D576" t="str">
            <v>المصنع</v>
          </cell>
          <cell r="E576" t="str">
            <v>الانتاج</v>
          </cell>
          <cell r="F576">
            <v>0</v>
          </cell>
          <cell r="G576">
            <v>0</v>
          </cell>
          <cell r="H576">
            <v>42767</v>
          </cell>
          <cell r="I576">
            <v>42802</v>
          </cell>
          <cell r="J576">
            <v>2.5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</row>
        <row r="577">
          <cell r="B577">
            <v>937</v>
          </cell>
          <cell r="C577" t="str">
            <v>إبراهيم حامد إبراهيم حامد</v>
          </cell>
          <cell r="D577" t="str">
            <v>المصنع</v>
          </cell>
          <cell r="E577" t="str">
            <v>الانتاج</v>
          </cell>
          <cell r="F577">
            <v>0</v>
          </cell>
          <cell r="G577">
            <v>0</v>
          </cell>
          <cell r="H577">
            <v>42772</v>
          </cell>
          <cell r="I577">
            <v>43498</v>
          </cell>
          <cell r="J577">
            <v>57.5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</row>
        <row r="578">
          <cell r="B578">
            <v>938</v>
          </cell>
          <cell r="C578" t="str">
            <v>حيدر عالم محمود صالح</v>
          </cell>
          <cell r="D578" t="str">
            <v>المصنع</v>
          </cell>
          <cell r="E578" t="str">
            <v>الانتاج</v>
          </cell>
          <cell r="F578">
            <v>0</v>
          </cell>
          <cell r="G578">
            <v>0</v>
          </cell>
          <cell r="H578">
            <v>42778</v>
          </cell>
          <cell r="I578">
            <v>43498</v>
          </cell>
          <cell r="J578">
            <v>57.5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</row>
        <row r="579">
          <cell r="B579">
            <v>939</v>
          </cell>
          <cell r="C579" t="str">
            <v>يوسف شرف الدين احمد محمد</v>
          </cell>
          <cell r="D579" t="str">
            <v>المصنع</v>
          </cell>
          <cell r="E579" t="str">
            <v>الانتاج</v>
          </cell>
          <cell r="F579" t="str">
            <v>المواسير</v>
          </cell>
          <cell r="G579">
            <v>0</v>
          </cell>
          <cell r="H579">
            <v>42777</v>
          </cell>
          <cell r="I579">
            <v>43498</v>
          </cell>
          <cell r="J579">
            <v>57.5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</row>
        <row r="580">
          <cell r="B580">
            <v>940</v>
          </cell>
          <cell r="C580" t="str">
            <v>اسامه الهادى احمد عمر</v>
          </cell>
          <cell r="D580" t="str">
            <v>المصنع</v>
          </cell>
          <cell r="E580" t="str">
            <v>الانتاج</v>
          </cell>
          <cell r="F580">
            <v>0</v>
          </cell>
          <cell r="G580">
            <v>0</v>
          </cell>
          <cell r="H580">
            <v>42786</v>
          </cell>
          <cell r="I580">
            <v>43498</v>
          </cell>
          <cell r="J580">
            <v>57.5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</row>
        <row r="581">
          <cell r="B581">
            <v>941</v>
          </cell>
          <cell r="C581" t="str">
            <v>محمد احمد عبدالرحمن عبدالمحمود</v>
          </cell>
          <cell r="D581" t="str">
            <v>المصنع</v>
          </cell>
          <cell r="E581" t="str">
            <v>الانتاج</v>
          </cell>
          <cell r="F581" t="str">
            <v>التشريح</v>
          </cell>
          <cell r="G581">
            <v>0</v>
          </cell>
          <cell r="H581">
            <v>42786</v>
          </cell>
          <cell r="I581">
            <v>43498</v>
          </cell>
          <cell r="J581">
            <v>57.5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</row>
        <row r="582">
          <cell r="B582">
            <v>942</v>
          </cell>
          <cell r="C582" t="str">
            <v>مهند موسى احمد النعيم</v>
          </cell>
          <cell r="D582" t="str">
            <v>المصنع</v>
          </cell>
          <cell r="E582" t="str">
            <v>المستودعات</v>
          </cell>
          <cell r="F582">
            <v>0</v>
          </cell>
          <cell r="G582">
            <v>0</v>
          </cell>
          <cell r="H582">
            <v>42786</v>
          </cell>
          <cell r="I582">
            <v>43498</v>
          </cell>
          <cell r="J582">
            <v>57.5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</row>
        <row r="583">
          <cell r="B583">
            <v>943</v>
          </cell>
          <cell r="C583" t="str">
            <v>عادل ضوالبيت ادم ضوالبيت</v>
          </cell>
          <cell r="D583" t="str">
            <v>المصنع</v>
          </cell>
          <cell r="E583" t="str">
            <v>الانتاج</v>
          </cell>
          <cell r="F583" t="str">
            <v>المواسير</v>
          </cell>
          <cell r="G583">
            <v>0</v>
          </cell>
          <cell r="H583">
            <v>42802</v>
          </cell>
          <cell r="I583">
            <v>43498</v>
          </cell>
          <cell r="J583">
            <v>55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</row>
        <row r="584">
          <cell r="B584">
            <v>944</v>
          </cell>
          <cell r="C584" t="str">
            <v>احمد حامد الحاج امين</v>
          </cell>
          <cell r="D584" t="str">
            <v>المصنع</v>
          </cell>
          <cell r="E584" t="str">
            <v>الانتاج</v>
          </cell>
          <cell r="F584">
            <v>0</v>
          </cell>
          <cell r="G584">
            <v>0</v>
          </cell>
          <cell r="H584">
            <v>42805</v>
          </cell>
          <cell r="I584">
            <v>43039</v>
          </cell>
          <cell r="J584">
            <v>17.5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</row>
        <row r="585">
          <cell r="B585">
            <v>945</v>
          </cell>
          <cell r="C585" t="str">
            <v>هشام صالح رمضان جمعه</v>
          </cell>
          <cell r="D585" t="str">
            <v>المصنع</v>
          </cell>
          <cell r="E585" t="str">
            <v>الامن و الحركه</v>
          </cell>
          <cell r="F585">
            <v>0</v>
          </cell>
          <cell r="G585">
            <v>0</v>
          </cell>
          <cell r="H585">
            <v>42803</v>
          </cell>
          <cell r="I585">
            <v>43498</v>
          </cell>
          <cell r="J585">
            <v>55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</row>
        <row r="586">
          <cell r="B586">
            <v>946</v>
          </cell>
          <cell r="C586" t="str">
            <v>عادل عبد الوهاب نوار يسن</v>
          </cell>
          <cell r="D586" t="str">
            <v>المصنع</v>
          </cell>
          <cell r="E586" t="str">
            <v>الانتاج</v>
          </cell>
          <cell r="F586" t="str">
            <v>المواسير</v>
          </cell>
          <cell r="G586">
            <v>0</v>
          </cell>
          <cell r="H586">
            <v>42926</v>
          </cell>
          <cell r="I586">
            <v>43498</v>
          </cell>
          <cell r="J586">
            <v>45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</row>
        <row r="587">
          <cell r="B587">
            <v>947</v>
          </cell>
          <cell r="C587" t="str">
            <v>اياد بشير بابكر إبراهيم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42812</v>
          </cell>
          <cell r="I587">
            <v>43498</v>
          </cell>
          <cell r="J587">
            <v>55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</row>
        <row r="588">
          <cell r="B588">
            <v>948</v>
          </cell>
          <cell r="C588" t="str">
            <v>فتح الرحمن عبدالله محمد على</v>
          </cell>
          <cell r="D588" t="str">
            <v>المصنع</v>
          </cell>
          <cell r="E588" t="str">
            <v>المستودعات</v>
          </cell>
          <cell r="F588">
            <v>0</v>
          </cell>
          <cell r="G588">
            <v>0</v>
          </cell>
          <cell r="H588">
            <v>42812</v>
          </cell>
          <cell r="I588">
            <v>43498</v>
          </cell>
          <cell r="J588">
            <v>55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2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</row>
        <row r="589">
          <cell r="B589">
            <v>949</v>
          </cell>
          <cell r="C589" t="str">
            <v>عبدالمطلب طه احمد الدالى</v>
          </cell>
          <cell r="D589" t="str">
            <v>المصنع</v>
          </cell>
          <cell r="E589" t="str">
            <v>الكهرباء</v>
          </cell>
          <cell r="F589">
            <v>0</v>
          </cell>
          <cell r="G589">
            <v>0</v>
          </cell>
          <cell r="H589">
            <v>42812</v>
          </cell>
          <cell r="I589">
            <v>43498</v>
          </cell>
          <cell r="J589">
            <v>55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5</v>
          </cell>
          <cell r="Z589">
            <v>1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</row>
        <row r="590">
          <cell r="B590">
            <v>950</v>
          </cell>
          <cell r="C590" t="str">
            <v>عزيزه ابكر يوسف شعيب</v>
          </cell>
          <cell r="D590" t="str">
            <v>المصنع</v>
          </cell>
          <cell r="E590" t="str">
            <v>الوحده العلاجيه</v>
          </cell>
          <cell r="F590">
            <v>0</v>
          </cell>
          <cell r="G590">
            <v>0</v>
          </cell>
          <cell r="H590">
            <v>42815</v>
          </cell>
          <cell r="I590">
            <v>43498</v>
          </cell>
          <cell r="J590">
            <v>55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</row>
        <row r="591">
          <cell r="B591">
            <v>951</v>
          </cell>
          <cell r="C591" t="str">
            <v>عابدين الامين موسى الامين</v>
          </cell>
          <cell r="D591" t="str">
            <v>المصنع</v>
          </cell>
          <cell r="E591" t="str">
            <v>الجوده</v>
          </cell>
          <cell r="F591">
            <v>0</v>
          </cell>
          <cell r="G591">
            <v>0</v>
          </cell>
          <cell r="H591">
            <v>42815</v>
          </cell>
          <cell r="I591">
            <v>43498</v>
          </cell>
          <cell r="J591">
            <v>55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3</v>
          </cell>
          <cell r="Z591">
            <v>2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</row>
        <row r="592">
          <cell r="B592">
            <v>952</v>
          </cell>
          <cell r="C592" t="str">
            <v>ادم محمد احمد ادم</v>
          </cell>
          <cell r="D592" t="str">
            <v>المصنع</v>
          </cell>
          <cell r="E592" t="str">
            <v>الانتاج</v>
          </cell>
          <cell r="F592">
            <v>0</v>
          </cell>
          <cell r="G592">
            <v>0</v>
          </cell>
          <cell r="H592">
            <v>42826</v>
          </cell>
          <cell r="I592">
            <v>43498</v>
          </cell>
          <cell r="J592">
            <v>55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1</v>
          </cell>
          <cell r="Z592">
            <v>3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</row>
        <row r="593">
          <cell r="B593">
            <v>953</v>
          </cell>
          <cell r="C593" t="str">
            <v>على إدريس عبدالله دلدوم</v>
          </cell>
          <cell r="D593" t="str">
            <v>المصنع</v>
          </cell>
          <cell r="E593" t="str">
            <v>الانتاج</v>
          </cell>
          <cell r="F593">
            <v>0</v>
          </cell>
          <cell r="G593">
            <v>0</v>
          </cell>
          <cell r="H593">
            <v>42826</v>
          </cell>
          <cell r="I593">
            <v>43498</v>
          </cell>
          <cell r="J593">
            <v>55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</row>
        <row r="594">
          <cell r="B594">
            <v>954</v>
          </cell>
          <cell r="C594" t="str">
            <v>مجتبي محمد بحر الدين محمد</v>
          </cell>
          <cell r="D594" t="str">
            <v>المصنع</v>
          </cell>
          <cell r="E594" t="str">
            <v>الانتاج</v>
          </cell>
          <cell r="F594">
            <v>0</v>
          </cell>
          <cell r="G594">
            <v>0</v>
          </cell>
          <cell r="H594">
            <v>42826</v>
          </cell>
          <cell r="I594">
            <v>42883</v>
          </cell>
          <cell r="J594">
            <v>2.5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</row>
        <row r="595">
          <cell r="B595">
            <v>955</v>
          </cell>
          <cell r="C595" t="str">
            <v>معتز حسين محمد الحاج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42827</v>
          </cell>
          <cell r="I595">
            <v>43498</v>
          </cell>
          <cell r="J595">
            <v>55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</row>
        <row r="596">
          <cell r="B596">
            <v>956</v>
          </cell>
          <cell r="C596" t="str">
            <v xml:space="preserve">سوسن الشيخ سيد احمد </v>
          </cell>
          <cell r="D596" t="str">
            <v>المصنع</v>
          </cell>
          <cell r="E596" t="str">
            <v>الخدمات</v>
          </cell>
          <cell r="F596">
            <v>0</v>
          </cell>
          <cell r="G596">
            <v>0</v>
          </cell>
          <cell r="H596">
            <v>42826</v>
          </cell>
          <cell r="I596">
            <v>43498</v>
          </cell>
          <cell r="J596">
            <v>55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</row>
        <row r="597">
          <cell r="B597">
            <v>957</v>
          </cell>
          <cell r="C597" t="str">
            <v>سلمان عثمان عوض الكريم فضل الله</v>
          </cell>
          <cell r="D597" t="str">
            <v>المصنع</v>
          </cell>
          <cell r="E597" t="str">
            <v>الميكانيكا</v>
          </cell>
          <cell r="F597">
            <v>0</v>
          </cell>
          <cell r="G597">
            <v>0</v>
          </cell>
          <cell r="H597">
            <v>42829</v>
          </cell>
          <cell r="I597">
            <v>43498</v>
          </cell>
          <cell r="J597">
            <v>52.5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</row>
        <row r="598">
          <cell r="B598">
            <v>958</v>
          </cell>
          <cell r="C598" t="str">
            <v>عزالدين عبدالعزيز فضال بخيت</v>
          </cell>
          <cell r="D598" t="str">
            <v>المصنع</v>
          </cell>
          <cell r="E598" t="str">
            <v>الانتاج</v>
          </cell>
          <cell r="F598">
            <v>0</v>
          </cell>
          <cell r="G598">
            <v>0</v>
          </cell>
          <cell r="H598">
            <v>42833</v>
          </cell>
          <cell r="I598">
            <v>43498</v>
          </cell>
          <cell r="J598">
            <v>52.5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</row>
        <row r="599">
          <cell r="B599">
            <v>959</v>
          </cell>
          <cell r="C599" t="str">
            <v>محمد جلال الدين فضل الله فرج الله</v>
          </cell>
          <cell r="D599" t="str">
            <v>المصنع</v>
          </cell>
          <cell r="E599" t="str">
            <v>الانتاج</v>
          </cell>
          <cell r="F599">
            <v>0</v>
          </cell>
          <cell r="G599">
            <v>0</v>
          </cell>
          <cell r="H599">
            <v>42842</v>
          </cell>
          <cell r="I599">
            <v>43498</v>
          </cell>
          <cell r="J599">
            <v>52.5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1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</row>
        <row r="600">
          <cell r="B600">
            <v>960</v>
          </cell>
          <cell r="C600" t="str">
            <v>عبدالعزيز عجيب بابكر عجيب</v>
          </cell>
          <cell r="D600" t="str">
            <v>المصنع</v>
          </cell>
          <cell r="E600" t="str">
            <v>الانتاج</v>
          </cell>
          <cell r="F600">
            <v>0</v>
          </cell>
          <cell r="G600">
            <v>0</v>
          </cell>
          <cell r="H600">
            <v>42842</v>
          </cell>
          <cell r="I600">
            <v>43498</v>
          </cell>
          <cell r="J600">
            <v>52.5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1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1</v>
          </cell>
          <cell r="X600">
            <v>1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</row>
        <row r="601">
          <cell r="B601">
            <v>961</v>
          </cell>
          <cell r="C601" t="str">
            <v>مصطفى حسين عثمان سربل</v>
          </cell>
          <cell r="D601" t="str">
            <v>المصنع</v>
          </cell>
          <cell r="E601" t="str">
            <v>الجوده</v>
          </cell>
          <cell r="F601">
            <v>0</v>
          </cell>
          <cell r="G601">
            <v>0</v>
          </cell>
          <cell r="H601">
            <v>42856</v>
          </cell>
          <cell r="I601">
            <v>43498</v>
          </cell>
          <cell r="J601">
            <v>52.5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6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</row>
        <row r="602">
          <cell r="B602">
            <v>962</v>
          </cell>
          <cell r="C602" t="str">
            <v>التجانى سعد التجانى كورى</v>
          </cell>
          <cell r="D602" t="str">
            <v>المصنع</v>
          </cell>
          <cell r="E602" t="str">
            <v>الانتاج</v>
          </cell>
          <cell r="F602">
            <v>0</v>
          </cell>
          <cell r="G602">
            <v>0</v>
          </cell>
          <cell r="H602">
            <v>42856</v>
          </cell>
          <cell r="I602">
            <v>43498</v>
          </cell>
          <cell r="J602">
            <v>52.5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1</v>
          </cell>
          <cell r="Z602">
            <v>0</v>
          </cell>
          <cell r="AA602">
            <v>0</v>
          </cell>
          <cell r="AB602">
            <v>3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16</v>
          </cell>
          <cell r="AJ602">
            <v>0</v>
          </cell>
          <cell r="AK602">
            <v>0</v>
          </cell>
        </row>
        <row r="603">
          <cell r="B603">
            <v>963</v>
          </cell>
          <cell r="C603" t="str">
            <v>بكرى إسماعيل رحال كوكو</v>
          </cell>
          <cell r="D603" t="str">
            <v>المصنع</v>
          </cell>
          <cell r="E603" t="str">
            <v>الانتاج</v>
          </cell>
          <cell r="F603">
            <v>0</v>
          </cell>
          <cell r="G603">
            <v>0</v>
          </cell>
          <cell r="H603">
            <v>42856</v>
          </cell>
          <cell r="I603">
            <v>43498</v>
          </cell>
          <cell r="J603">
            <v>52.5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3</v>
          </cell>
          <cell r="Z603">
            <v>0</v>
          </cell>
          <cell r="AA603">
            <v>0</v>
          </cell>
          <cell r="AB603">
            <v>1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2</v>
          </cell>
          <cell r="AJ603">
            <v>0</v>
          </cell>
          <cell r="AK603">
            <v>0</v>
          </cell>
        </row>
        <row r="604">
          <cell r="B604">
            <v>964</v>
          </cell>
          <cell r="C604" t="str">
            <v>عبد الحكيم مهدى على التجانى</v>
          </cell>
          <cell r="D604" t="str">
            <v>المصنع</v>
          </cell>
          <cell r="E604" t="str">
            <v>الانتاج</v>
          </cell>
          <cell r="F604">
            <v>0</v>
          </cell>
          <cell r="G604">
            <v>0</v>
          </cell>
          <cell r="H604">
            <v>42856</v>
          </cell>
          <cell r="I604">
            <v>43498</v>
          </cell>
          <cell r="J604">
            <v>52.5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</row>
        <row r="605">
          <cell r="B605">
            <v>965</v>
          </cell>
          <cell r="C605" t="str">
            <v>محمد المرتضى الجوده مرجب احمد</v>
          </cell>
          <cell r="D605" t="str">
            <v>المصنع</v>
          </cell>
          <cell r="E605" t="str">
            <v>الالكترونيات</v>
          </cell>
          <cell r="F605">
            <v>0</v>
          </cell>
          <cell r="G605">
            <v>0</v>
          </cell>
          <cell r="H605">
            <v>42856</v>
          </cell>
          <cell r="I605">
            <v>43498</v>
          </cell>
          <cell r="J605">
            <v>52.5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1</v>
          </cell>
          <cell r="W605">
            <v>1</v>
          </cell>
          <cell r="X605">
            <v>1</v>
          </cell>
          <cell r="Y605">
            <v>1</v>
          </cell>
          <cell r="Z605">
            <v>0</v>
          </cell>
          <cell r="AA605">
            <v>0</v>
          </cell>
          <cell r="AB605">
            <v>2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</row>
        <row r="606">
          <cell r="B606">
            <v>966</v>
          </cell>
          <cell r="C606" t="str">
            <v>حيدر هاشم ميرغنى احمد</v>
          </cell>
          <cell r="D606" t="str">
            <v>المصنع</v>
          </cell>
          <cell r="E606" t="str">
            <v>المستودعات</v>
          </cell>
          <cell r="F606">
            <v>0</v>
          </cell>
          <cell r="G606">
            <v>0</v>
          </cell>
          <cell r="H606">
            <v>42863</v>
          </cell>
          <cell r="I606">
            <v>43498</v>
          </cell>
          <cell r="J606">
            <v>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</row>
        <row r="607">
          <cell r="B607">
            <v>967</v>
          </cell>
          <cell r="C607" t="str">
            <v>المغيره عبدالله بحيرى عدنى</v>
          </cell>
          <cell r="D607" t="str">
            <v>المصنع</v>
          </cell>
          <cell r="E607" t="str">
            <v>الميكانيكا</v>
          </cell>
          <cell r="F607">
            <v>0</v>
          </cell>
          <cell r="G607">
            <v>0</v>
          </cell>
          <cell r="H607">
            <v>42857</v>
          </cell>
          <cell r="I607">
            <v>43006</v>
          </cell>
          <cell r="J607">
            <v>10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</row>
        <row r="608">
          <cell r="B608">
            <v>968</v>
          </cell>
          <cell r="C608" t="str">
            <v>النعيم حامد موسى محمد</v>
          </cell>
          <cell r="D608" t="str">
            <v>المصنع</v>
          </cell>
          <cell r="E608" t="str">
            <v>الانتاج</v>
          </cell>
          <cell r="F608">
            <v>0</v>
          </cell>
          <cell r="G608">
            <v>0</v>
          </cell>
          <cell r="H608">
            <v>43143</v>
          </cell>
          <cell r="I608">
            <v>43498</v>
          </cell>
          <cell r="J608">
            <v>27.5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6</v>
          </cell>
          <cell r="AC608">
            <v>4</v>
          </cell>
          <cell r="AD608">
            <v>6</v>
          </cell>
          <cell r="AE608">
            <v>3</v>
          </cell>
          <cell r="AF608">
            <v>0</v>
          </cell>
          <cell r="AG608">
            <v>0</v>
          </cell>
          <cell r="AH608">
            <v>6</v>
          </cell>
          <cell r="AI608">
            <v>4</v>
          </cell>
          <cell r="AJ608">
            <v>1</v>
          </cell>
          <cell r="AK608">
            <v>0</v>
          </cell>
        </row>
        <row r="609">
          <cell r="B609">
            <v>969</v>
          </cell>
          <cell r="C609" t="str">
            <v>خالد احمد النعيم الحاج</v>
          </cell>
          <cell r="D609" t="str">
            <v>المصنع</v>
          </cell>
          <cell r="E609" t="str">
            <v>الانتاج</v>
          </cell>
          <cell r="F609">
            <v>0</v>
          </cell>
          <cell r="G609">
            <v>0</v>
          </cell>
          <cell r="H609">
            <v>42866</v>
          </cell>
          <cell r="I609">
            <v>43498</v>
          </cell>
          <cell r="J609">
            <v>50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</row>
        <row r="610">
          <cell r="B610">
            <v>970</v>
          </cell>
          <cell r="C610" t="str">
            <v>إدريس إسماعيل إدريس حمدنا الله</v>
          </cell>
          <cell r="D610" t="str">
            <v>المصنع</v>
          </cell>
          <cell r="E610" t="str">
            <v>الانتاج</v>
          </cell>
          <cell r="F610">
            <v>0</v>
          </cell>
          <cell r="G610">
            <v>0</v>
          </cell>
          <cell r="H610">
            <v>42872</v>
          </cell>
          <cell r="I610">
            <v>43498</v>
          </cell>
          <cell r="J610">
            <v>50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</row>
        <row r="611">
          <cell r="B611">
            <v>971</v>
          </cell>
          <cell r="C611" t="str">
            <v>صلاح ابو زيد بخيت خير السيد</v>
          </cell>
          <cell r="D611" t="str">
            <v>المصنع</v>
          </cell>
          <cell r="E611" t="str">
            <v>الخدمات</v>
          </cell>
          <cell r="F611">
            <v>0</v>
          </cell>
          <cell r="G611">
            <v>0</v>
          </cell>
          <cell r="H611">
            <v>42875</v>
          </cell>
          <cell r="I611">
            <v>43498</v>
          </cell>
          <cell r="J611">
            <v>50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1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</row>
        <row r="612">
          <cell r="B612">
            <v>972</v>
          </cell>
          <cell r="C612" t="str">
            <v>محمد احمد مهدى حولى</v>
          </cell>
          <cell r="D612" t="str">
            <v>المصنع</v>
          </cell>
          <cell r="E612" t="str">
            <v>الانتاج</v>
          </cell>
          <cell r="F612">
            <v>0</v>
          </cell>
          <cell r="G612">
            <v>0</v>
          </cell>
          <cell r="H612">
            <v>42887</v>
          </cell>
          <cell r="I612">
            <v>43498</v>
          </cell>
          <cell r="J612">
            <v>50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1</v>
          </cell>
          <cell r="AC612">
            <v>4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</row>
        <row r="613">
          <cell r="B613">
            <v>973</v>
          </cell>
          <cell r="C613" t="str">
            <v>محمد عثمان محمد موسى</v>
          </cell>
          <cell r="D613" t="str">
            <v>المصنع</v>
          </cell>
          <cell r="E613" t="str">
            <v>الميكانيكا</v>
          </cell>
          <cell r="F613">
            <v>0</v>
          </cell>
          <cell r="G613">
            <v>0</v>
          </cell>
          <cell r="H613">
            <v>42887</v>
          </cell>
          <cell r="I613">
            <v>43498</v>
          </cell>
          <cell r="J613">
            <v>50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1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</row>
        <row r="614">
          <cell r="B614">
            <v>974</v>
          </cell>
          <cell r="C614" t="str">
            <v>معز حيدر سالم عطا المولى</v>
          </cell>
          <cell r="D614" t="str">
            <v>المصنع</v>
          </cell>
          <cell r="E614" t="str">
            <v>الانتاج</v>
          </cell>
          <cell r="F614">
            <v>0</v>
          </cell>
          <cell r="G614">
            <v>0</v>
          </cell>
          <cell r="H614">
            <v>42889</v>
          </cell>
          <cell r="I614">
            <v>42977</v>
          </cell>
          <cell r="J614">
            <v>5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</row>
        <row r="615">
          <cell r="B615">
            <v>975</v>
          </cell>
          <cell r="C615" t="str">
            <v>محمد ادم جابر احمد</v>
          </cell>
          <cell r="D615" t="str">
            <v>المصنع</v>
          </cell>
          <cell r="E615" t="str">
            <v>الانتاج</v>
          </cell>
          <cell r="F615">
            <v>0</v>
          </cell>
          <cell r="G615">
            <v>0</v>
          </cell>
          <cell r="H615">
            <v>42889</v>
          </cell>
          <cell r="I615">
            <v>43498</v>
          </cell>
          <cell r="J615">
            <v>47.5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</row>
        <row r="616">
          <cell r="B616">
            <v>976</v>
          </cell>
          <cell r="C616" t="str">
            <v>يحى محمد على محمد شريف</v>
          </cell>
          <cell r="D616" t="str">
            <v>المصنع</v>
          </cell>
          <cell r="E616" t="str">
            <v>الانتاج</v>
          </cell>
          <cell r="F616">
            <v>0</v>
          </cell>
          <cell r="G616">
            <v>0</v>
          </cell>
          <cell r="H616">
            <v>42920</v>
          </cell>
          <cell r="I616">
            <v>43498</v>
          </cell>
          <cell r="J616">
            <v>45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1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</row>
        <row r="617">
          <cell r="B617">
            <v>977</v>
          </cell>
          <cell r="C617" t="str">
            <v>حسين موسى منا محمد</v>
          </cell>
          <cell r="D617" t="str">
            <v>المصنع</v>
          </cell>
          <cell r="E617" t="str">
            <v>الانتاج</v>
          </cell>
          <cell r="F617">
            <v>0</v>
          </cell>
          <cell r="G617">
            <v>0</v>
          </cell>
          <cell r="H617">
            <v>42891</v>
          </cell>
          <cell r="I617">
            <v>43028</v>
          </cell>
          <cell r="J617">
            <v>10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</row>
        <row r="618">
          <cell r="B618">
            <v>978</v>
          </cell>
          <cell r="C618" t="str">
            <v>مسلم بشير عبدالقادر إبراهيم</v>
          </cell>
          <cell r="D618" t="str">
            <v>المصنع</v>
          </cell>
          <cell r="E618" t="str">
            <v>الجوده</v>
          </cell>
          <cell r="F618">
            <v>0</v>
          </cell>
          <cell r="G618">
            <v>0</v>
          </cell>
          <cell r="H618">
            <v>42928</v>
          </cell>
          <cell r="I618">
            <v>43498</v>
          </cell>
          <cell r="J618">
            <v>45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1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</row>
        <row r="619">
          <cell r="B619">
            <v>979</v>
          </cell>
          <cell r="C619" t="str">
            <v xml:space="preserve">محمد احمد الحاج عثمان </v>
          </cell>
          <cell r="D619" t="str">
            <v>المصنع</v>
          </cell>
          <cell r="E619" t="str">
            <v>المستودعات</v>
          </cell>
          <cell r="F619">
            <v>0</v>
          </cell>
          <cell r="G619">
            <v>0</v>
          </cell>
          <cell r="H619">
            <v>42929</v>
          </cell>
          <cell r="I619">
            <v>43498</v>
          </cell>
          <cell r="J619">
            <v>45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2</v>
          </cell>
          <cell r="AA619">
            <v>0</v>
          </cell>
          <cell r="AB619">
            <v>1</v>
          </cell>
          <cell r="AC619">
            <v>4</v>
          </cell>
          <cell r="AD619">
            <v>3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</row>
        <row r="620">
          <cell r="B620">
            <v>980</v>
          </cell>
          <cell r="C620" t="str">
            <v>بلال عبد الرحمن كودى الازيرق</v>
          </cell>
          <cell r="D620" t="str">
            <v>المصنع</v>
          </cell>
          <cell r="E620" t="str">
            <v>الانتاج</v>
          </cell>
          <cell r="F620">
            <v>0</v>
          </cell>
          <cell r="G620">
            <v>0</v>
          </cell>
          <cell r="H620">
            <v>42932</v>
          </cell>
          <cell r="I620">
            <v>43498</v>
          </cell>
          <cell r="J620">
            <v>45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2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</row>
        <row r="621">
          <cell r="B621">
            <v>981</v>
          </cell>
          <cell r="C621" t="str">
            <v>يوسف زكى الصديق محمد</v>
          </cell>
          <cell r="D621" t="str">
            <v>المصنع</v>
          </cell>
          <cell r="E621" t="str">
            <v>الالكترونيات</v>
          </cell>
          <cell r="F621">
            <v>0</v>
          </cell>
          <cell r="G621">
            <v>0</v>
          </cell>
          <cell r="H621">
            <v>42921</v>
          </cell>
          <cell r="I621">
            <v>43498</v>
          </cell>
          <cell r="J621">
            <v>45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2</v>
          </cell>
          <cell r="Z621">
            <v>1</v>
          </cell>
          <cell r="AA621">
            <v>0</v>
          </cell>
          <cell r="AB621">
            <v>2</v>
          </cell>
          <cell r="AC621">
            <v>1</v>
          </cell>
          <cell r="AD621">
            <v>1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</row>
        <row r="622">
          <cell r="B622">
            <v>982</v>
          </cell>
          <cell r="C622" t="str">
            <v>عابدين إبراهيم كوكو انقوتة</v>
          </cell>
          <cell r="D622" t="str">
            <v>المصنع</v>
          </cell>
          <cell r="E622" t="str">
            <v>الانتاج</v>
          </cell>
          <cell r="F622">
            <v>0</v>
          </cell>
          <cell r="G622">
            <v>0</v>
          </cell>
          <cell r="H622">
            <v>42948</v>
          </cell>
          <cell r="I622">
            <v>43498</v>
          </cell>
          <cell r="J622">
            <v>45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</row>
        <row r="623">
          <cell r="B623">
            <v>983</v>
          </cell>
          <cell r="C623" t="str">
            <v>محمد ابوبكر الامين ارباب</v>
          </cell>
          <cell r="D623" t="str">
            <v>المصنع</v>
          </cell>
          <cell r="E623" t="str">
            <v>الكهرباء</v>
          </cell>
          <cell r="F623">
            <v>0</v>
          </cell>
          <cell r="G623">
            <v>0</v>
          </cell>
          <cell r="H623">
            <v>42948</v>
          </cell>
          <cell r="I623">
            <v>43498</v>
          </cell>
          <cell r="J623">
            <v>45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1</v>
          </cell>
          <cell r="V623">
            <v>0</v>
          </cell>
          <cell r="W623">
            <v>1</v>
          </cell>
          <cell r="X623">
            <v>1</v>
          </cell>
          <cell r="Y623">
            <v>1</v>
          </cell>
          <cell r="Z623">
            <v>1</v>
          </cell>
          <cell r="AA623">
            <v>0</v>
          </cell>
          <cell r="AB623">
            <v>2</v>
          </cell>
          <cell r="AC623">
            <v>1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</row>
        <row r="624">
          <cell r="B624">
            <v>984</v>
          </cell>
          <cell r="C624" t="str">
            <v>موسى صالح موسى زائد</v>
          </cell>
          <cell r="D624" t="str">
            <v>المصنع</v>
          </cell>
          <cell r="E624" t="str">
            <v>الانتاج</v>
          </cell>
          <cell r="F624" t="str">
            <v>الاليات</v>
          </cell>
          <cell r="G624">
            <v>0</v>
          </cell>
          <cell r="H624">
            <v>42954</v>
          </cell>
          <cell r="I624">
            <v>43498</v>
          </cell>
          <cell r="J624">
            <v>42.5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</row>
        <row r="625">
          <cell r="B625">
            <v>985</v>
          </cell>
          <cell r="C625" t="str">
            <v>محمدالسيد عيسى محمد عيسى</v>
          </cell>
          <cell r="D625" t="str">
            <v>المصنع</v>
          </cell>
          <cell r="E625" t="str">
            <v>الانتاج</v>
          </cell>
          <cell r="F625">
            <v>0</v>
          </cell>
          <cell r="G625">
            <v>0</v>
          </cell>
          <cell r="H625">
            <v>42959</v>
          </cell>
          <cell r="I625">
            <v>43498</v>
          </cell>
          <cell r="J625">
            <v>42.5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3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3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</row>
        <row r="626">
          <cell r="B626">
            <v>986</v>
          </cell>
          <cell r="C626" t="str">
            <v>طارق سيد محمد احمد</v>
          </cell>
          <cell r="D626" t="str">
            <v>المصنع</v>
          </cell>
          <cell r="E626" t="str">
            <v>الخدمات</v>
          </cell>
          <cell r="F626">
            <v>0</v>
          </cell>
          <cell r="G626">
            <v>0</v>
          </cell>
          <cell r="H626">
            <v>42959</v>
          </cell>
          <cell r="I626">
            <v>43498</v>
          </cell>
          <cell r="J626">
            <v>42.5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2</v>
          </cell>
          <cell r="Z626">
            <v>0</v>
          </cell>
          <cell r="AA626">
            <v>0</v>
          </cell>
          <cell r="AB626">
            <v>5</v>
          </cell>
          <cell r="AC626">
            <v>1</v>
          </cell>
          <cell r="AD626">
            <v>6</v>
          </cell>
          <cell r="AE626">
            <v>1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</row>
        <row r="627">
          <cell r="B627">
            <v>987</v>
          </cell>
          <cell r="C627" t="str">
            <v>على عبدالجليل عبدالرحمن محمد</v>
          </cell>
          <cell r="D627" t="str">
            <v>المصنع</v>
          </cell>
          <cell r="E627" t="str">
            <v>الخدمات</v>
          </cell>
          <cell r="F627">
            <v>0</v>
          </cell>
          <cell r="G627">
            <v>0</v>
          </cell>
          <cell r="H627">
            <v>42990</v>
          </cell>
          <cell r="I627">
            <v>43498</v>
          </cell>
          <cell r="J627">
            <v>40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1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</row>
        <row r="628">
          <cell r="B628">
            <v>988</v>
          </cell>
          <cell r="C628" t="str">
            <v>عبدالمنعم ادم محمد احمد</v>
          </cell>
          <cell r="D628" t="str">
            <v>المصنع</v>
          </cell>
          <cell r="E628" t="str">
            <v>الانتاج</v>
          </cell>
          <cell r="F628">
            <v>0</v>
          </cell>
          <cell r="G628">
            <v>0</v>
          </cell>
          <cell r="H628">
            <v>42996</v>
          </cell>
          <cell r="I628">
            <v>43498</v>
          </cell>
          <cell r="J628">
            <v>40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</row>
        <row r="629">
          <cell r="B629">
            <v>989</v>
          </cell>
          <cell r="C629" t="str">
            <v>Mohammad Obaidul Hogue Syed Alam</v>
          </cell>
          <cell r="D629" t="str">
            <v>المصنع</v>
          </cell>
          <cell r="E629" t="str">
            <v>الميكانيكا</v>
          </cell>
          <cell r="F629">
            <v>0</v>
          </cell>
          <cell r="G629">
            <v>0</v>
          </cell>
          <cell r="H629">
            <v>43039</v>
          </cell>
          <cell r="I629">
            <v>0</v>
          </cell>
          <cell r="J629" t="e">
            <v>#NUM!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</row>
        <row r="630">
          <cell r="B630">
            <v>990</v>
          </cell>
          <cell r="C630" t="str">
            <v>مجاهد حسن على عبدالرحمن</v>
          </cell>
          <cell r="D630" t="str">
            <v>المصنع</v>
          </cell>
          <cell r="E630" t="str">
            <v>الانتاج</v>
          </cell>
          <cell r="F630">
            <v>0</v>
          </cell>
          <cell r="G630">
            <v>0</v>
          </cell>
          <cell r="H630">
            <v>43058</v>
          </cell>
          <cell r="I630">
            <v>43498</v>
          </cell>
          <cell r="J630">
            <v>35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1</v>
          </cell>
          <cell r="AE630">
            <v>1</v>
          </cell>
          <cell r="AF630">
            <v>1</v>
          </cell>
          <cell r="AG630">
            <v>1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</row>
        <row r="631">
          <cell r="B631">
            <v>991</v>
          </cell>
          <cell r="C631" t="str">
            <v>احمد بشير ابكر عيسى</v>
          </cell>
          <cell r="D631" t="str">
            <v>المصنع</v>
          </cell>
          <cell r="E631" t="str">
            <v>الانتاج</v>
          </cell>
          <cell r="F631">
            <v>0</v>
          </cell>
          <cell r="G631">
            <v>0</v>
          </cell>
          <cell r="H631">
            <v>43070</v>
          </cell>
          <cell r="I631">
            <v>43498</v>
          </cell>
          <cell r="J631">
            <v>35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2</v>
          </cell>
          <cell r="AC631">
            <v>8</v>
          </cell>
          <cell r="AD631">
            <v>7</v>
          </cell>
          <cell r="AE631">
            <v>5</v>
          </cell>
          <cell r="AF631">
            <v>4</v>
          </cell>
          <cell r="AG631">
            <v>1</v>
          </cell>
          <cell r="AH631">
            <v>2</v>
          </cell>
          <cell r="AI631">
            <v>0</v>
          </cell>
          <cell r="AJ631">
            <v>0</v>
          </cell>
          <cell r="AK631">
            <v>0</v>
          </cell>
        </row>
        <row r="632">
          <cell r="B632">
            <v>992</v>
          </cell>
          <cell r="C632" t="str">
            <v>محمد ادم اسماعيل ادم</v>
          </cell>
          <cell r="D632" t="str">
            <v>المصنع</v>
          </cell>
          <cell r="E632" t="str">
            <v>الخدمات</v>
          </cell>
          <cell r="F632">
            <v>0</v>
          </cell>
          <cell r="G632">
            <v>0</v>
          </cell>
          <cell r="H632">
            <v>43075</v>
          </cell>
          <cell r="I632">
            <v>43498</v>
          </cell>
          <cell r="J632">
            <v>32.5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1</v>
          </cell>
          <cell r="AA632">
            <v>0</v>
          </cell>
          <cell r="AB632">
            <v>2</v>
          </cell>
          <cell r="AC632">
            <v>2</v>
          </cell>
          <cell r="AD632">
            <v>1</v>
          </cell>
          <cell r="AE632">
            <v>2</v>
          </cell>
          <cell r="AF632">
            <v>0</v>
          </cell>
          <cell r="AG632">
            <v>7</v>
          </cell>
          <cell r="AH632">
            <v>4</v>
          </cell>
          <cell r="AI632">
            <v>3</v>
          </cell>
          <cell r="AJ632">
            <v>0</v>
          </cell>
          <cell r="AK632">
            <v>0</v>
          </cell>
        </row>
        <row r="633">
          <cell r="B633">
            <v>993</v>
          </cell>
          <cell r="C633" t="str">
            <v>الصادق اسحق عثمان حماد</v>
          </cell>
          <cell r="D633" t="str">
            <v>المصنع</v>
          </cell>
          <cell r="E633" t="str">
            <v>الانتاج</v>
          </cell>
          <cell r="F633">
            <v>0</v>
          </cell>
          <cell r="G633">
            <v>0</v>
          </cell>
          <cell r="H633">
            <v>43104</v>
          </cell>
          <cell r="I633">
            <v>43498</v>
          </cell>
          <cell r="J633">
            <v>30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1</v>
          </cell>
          <cell r="AF633">
            <v>1</v>
          </cell>
          <cell r="AG633">
            <v>1</v>
          </cell>
          <cell r="AH633">
            <v>1</v>
          </cell>
          <cell r="AI633">
            <v>0</v>
          </cell>
          <cell r="AJ633">
            <v>0</v>
          </cell>
          <cell r="AK633">
            <v>0</v>
          </cell>
        </row>
        <row r="634">
          <cell r="B634">
            <v>994</v>
          </cell>
          <cell r="C634" t="str">
            <v>حاتم عبدون عبدالرحيم محمد</v>
          </cell>
          <cell r="D634" t="str">
            <v>المصنع</v>
          </cell>
          <cell r="E634" t="str">
            <v>المستودعات</v>
          </cell>
          <cell r="F634">
            <v>0</v>
          </cell>
          <cell r="G634">
            <v>0</v>
          </cell>
          <cell r="H634">
            <v>43108</v>
          </cell>
          <cell r="I634">
            <v>43498</v>
          </cell>
          <cell r="J634">
            <v>30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3</v>
          </cell>
          <cell r="AC634">
            <v>2</v>
          </cell>
          <cell r="AD634">
            <v>0</v>
          </cell>
          <cell r="AE634">
            <v>1</v>
          </cell>
          <cell r="AF634">
            <v>4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</row>
        <row r="635">
          <cell r="B635">
            <v>995</v>
          </cell>
          <cell r="C635" t="str">
            <v>حسن حماد بابكر يوسف</v>
          </cell>
          <cell r="D635" t="str">
            <v>المصنع</v>
          </cell>
          <cell r="E635" t="str">
            <v>الانتاج</v>
          </cell>
          <cell r="F635">
            <v>0</v>
          </cell>
          <cell r="G635">
            <v>0</v>
          </cell>
          <cell r="H635">
            <v>43108</v>
          </cell>
          <cell r="I635">
            <v>43498</v>
          </cell>
          <cell r="J635">
            <v>30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2</v>
          </cell>
          <cell r="AA635">
            <v>0</v>
          </cell>
          <cell r="AB635">
            <v>1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</row>
        <row r="636">
          <cell r="B636">
            <v>996</v>
          </cell>
          <cell r="C636" t="str">
            <v>حمزه دحيش حمزه احمد</v>
          </cell>
          <cell r="D636" t="str">
            <v>المصنع</v>
          </cell>
          <cell r="E636" t="str">
            <v>الانتاج</v>
          </cell>
          <cell r="F636">
            <v>0</v>
          </cell>
          <cell r="G636">
            <v>0</v>
          </cell>
          <cell r="H636">
            <v>43116</v>
          </cell>
          <cell r="I636">
            <v>43498</v>
          </cell>
          <cell r="J636">
            <v>30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</row>
        <row r="637">
          <cell r="B637">
            <v>997</v>
          </cell>
          <cell r="C637" t="str">
            <v>محمد عيسى محمد قرين</v>
          </cell>
          <cell r="D637" t="str">
            <v>المصنع</v>
          </cell>
          <cell r="E637" t="str">
            <v>الانتاج</v>
          </cell>
          <cell r="F637">
            <v>0</v>
          </cell>
          <cell r="G637">
            <v>0</v>
          </cell>
          <cell r="H637">
            <v>43116</v>
          </cell>
          <cell r="I637">
            <v>43498</v>
          </cell>
          <cell r="J637">
            <v>30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</row>
        <row r="638">
          <cell r="B638">
            <v>998</v>
          </cell>
          <cell r="C638" t="str">
            <v>عيسى جيلانى محمد وزيرى</v>
          </cell>
          <cell r="D638" t="str">
            <v>المصنع</v>
          </cell>
          <cell r="E638" t="str">
            <v>الامن و الحركه</v>
          </cell>
          <cell r="F638">
            <v>0</v>
          </cell>
          <cell r="G638">
            <v>0</v>
          </cell>
          <cell r="H638">
            <v>43115</v>
          </cell>
          <cell r="I638">
            <v>43498</v>
          </cell>
          <cell r="J638">
            <v>30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</row>
        <row r="639">
          <cell r="B639">
            <v>999</v>
          </cell>
          <cell r="C639" t="str">
            <v>المعتصم الياس حسين فضل</v>
          </cell>
          <cell r="D639" t="str">
            <v>المصنع</v>
          </cell>
          <cell r="E639" t="str">
            <v>الانتاج</v>
          </cell>
          <cell r="F639">
            <v>0</v>
          </cell>
          <cell r="G639">
            <v>0</v>
          </cell>
          <cell r="H639">
            <v>43134</v>
          </cell>
          <cell r="I639">
            <v>43498</v>
          </cell>
          <cell r="J639">
            <v>27.5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1</v>
          </cell>
          <cell r="AD639">
            <v>1</v>
          </cell>
          <cell r="AE639">
            <v>1</v>
          </cell>
          <cell r="AF639">
            <v>3</v>
          </cell>
          <cell r="AG639">
            <v>3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</row>
        <row r="640">
          <cell r="B640">
            <v>1000</v>
          </cell>
          <cell r="C640" t="str">
            <v>عادل عبدالفتاح ابراهيم</v>
          </cell>
          <cell r="D640" t="str">
            <v>أجانب</v>
          </cell>
          <cell r="E640" t="str">
            <v>الاداره</v>
          </cell>
          <cell r="F640" t="str">
            <v>الاداره</v>
          </cell>
          <cell r="G640">
            <v>0</v>
          </cell>
          <cell r="H640">
            <v>0</v>
          </cell>
          <cell r="I640">
            <v>43498</v>
          </cell>
          <cell r="J640">
            <v>3572.5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</row>
        <row r="641">
          <cell r="B641">
            <v>1001</v>
          </cell>
          <cell r="C641" t="str">
            <v>معتز عمر مصطفى حماد</v>
          </cell>
          <cell r="D641" t="str">
            <v>الرئاسه</v>
          </cell>
          <cell r="E641" t="str">
            <v>الكمبيوتر</v>
          </cell>
          <cell r="F641">
            <v>0</v>
          </cell>
          <cell r="G641">
            <v>0</v>
          </cell>
          <cell r="H641">
            <v>39083</v>
          </cell>
          <cell r="I641">
            <v>43498</v>
          </cell>
          <cell r="J641">
            <v>352.5</v>
          </cell>
          <cell r="K641">
            <v>0</v>
          </cell>
          <cell r="L641">
            <v>0</v>
          </cell>
          <cell r="M641">
            <v>0</v>
          </cell>
          <cell r="N641">
            <v>1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1</v>
          </cell>
          <cell r="W641">
            <v>2</v>
          </cell>
          <cell r="X641">
            <v>20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</row>
        <row r="642">
          <cell r="B642">
            <v>1002</v>
          </cell>
          <cell r="C642" t="str">
            <v>عبدالله حسن سعيد عبدالكريم</v>
          </cell>
          <cell r="D642" t="str">
            <v>الرئاسه</v>
          </cell>
          <cell r="E642" t="str">
            <v>الماليه</v>
          </cell>
          <cell r="F642">
            <v>0</v>
          </cell>
          <cell r="G642">
            <v>0</v>
          </cell>
          <cell r="H642">
            <v>39142</v>
          </cell>
          <cell r="I642">
            <v>43498</v>
          </cell>
          <cell r="J642">
            <v>347.5</v>
          </cell>
          <cell r="K642">
            <v>6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16</v>
          </cell>
          <cell r="S642">
            <v>0</v>
          </cell>
          <cell r="T642">
            <v>0</v>
          </cell>
          <cell r="U642">
            <v>2</v>
          </cell>
          <cell r="V642">
            <v>0</v>
          </cell>
          <cell r="W642">
            <v>24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</row>
        <row r="643">
          <cell r="B643">
            <v>1003</v>
          </cell>
          <cell r="C643" t="str">
            <v>بلال عثمان بلال صالح</v>
          </cell>
          <cell r="D643" t="str">
            <v>الرئاسه</v>
          </cell>
          <cell r="E643" t="str">
            <v>الماليه</v>
          </cell>
          <cell r="F643">
            <v>0</v>
          </cell>
          <cell r="G643">
            <v>0</v>
          </cell>
          <cell r="H643">
            <v>39142</v>
          </cell>
          <cell r="I643">
            <v>43498</v>
          </cell>
          <cell r="J643">
            <v>347.5</v>
          </cell>
          <cell r="K643">
            <v>0</v>
          </cell>
          <cell r="L643">
            <v>0</v>
          </cell>
          <cell r="M643">
            <v>10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10</v>
          </cell>
          <cell r="X643">
            <v>31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</row>
        <row r="644">
          <cell r="B644">
            <v>1004</v>
          </cell>
          <cell r="C644" t="str">
            <v>مجدى شمس الدين محمد بابكر</v>
          </cell>
          <cell r="D644" t="str">
            <v>الرئاسه</v>
          </cell>
          <cell r="E644" t="str">
            <v>المبيعات</v>
          </cell>
          <cell r="F644">
            <v>0</v>
          </cell>
          <cell r="G644">
            <v>0</v>
          </cell>
          <cell r="H644">
            <v>39142</v>
          </cell>
          <cell r="I644">
            <v>43498</v>
          </cell>
          <cell r="J644">
            <v>347.5</v>
          </cell>
          <cell r="K644">
            <v>2</v>
          </cell>
          <cell r="L644">
            <v>3</v>
          </cell>
          <cell r="M644">
            <v>4</v>
          </cell>
          <cell r="N644">
            <v>1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2</v>
          </cell>
          <cell r="W644">
            <v>12</v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</row>
        <row r="645">
          <cell r="B645">
            <v>1005</v>
          </cell>
          <cell r="C645" t="str">
            <v>سيف الدين محمد حسين احمد</v>
          </cell>
          <cell r="D645" t="str">
            <v>الرئاسه</v>
          </cell>
          <cell r="E645" t="str">
            <v>الموارد البشريه</v>
          </cell>
          <cell r="F645" t="str">
            <v>موظف</v>
          </cell>
          <cell r="G645">
            <v>0</v>
          </cell>
          <cell r="H645">
            <v>39052</v>
          </cell>
          <cell r="I645">
            <v>43498</v>
          </cell>
          <cell r="J645">
            <v>355</v>
          </cell>
          <cell r="K645">
            <v>0</v>
          </cell>
          <cell r="L645">
            <v>0</v>
          </cell>
          <cell r="M645">
            <v>4</v>
          </cell>
          <cell r="N645">
            <v>0</v>
          </cell>
          <cell r="O645">
            <v>0</v>
          </cell>
          <cell r="P645">
            <v>0</v>
          </cell>
          <cell r="Q645">
            <v>2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6</v>
          </cell>
          <cell r="X645">
            <v>1</v>
          </cell>
          <cell r="Y645">
            <v>0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</row>
        <row r="646">
          <cell r="B646">
            <v>1006</v>
          </cell>
          <cell r="C646" t="str">
            <v>المعز احمد سعيد احمد</v>
          </cell>
          <cell r="D646" t="str">
            <v>الرئاسه</v>
          </cell>
          <cell r="E646" t="str">
            <v>العلاقات العامه</v>
          </cell>
          <cell r="F646">
            <v>0</v>
          </cell>
          <cell r="G646">
            <v>0</v>
          </cell>
          <cell r="H646">
            <v>39995</v>
          </cell>
          <cell r="I646">
            <v>43498</v>
          </cell>
          <cell r="J646">
            <v>287.5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1</v>
          </cell>
          <cell r="Y646">
            <v>0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</row>
        <row r="647">
          <cell r="B647">
            <v>1007</v>
          </cell>
          <cell r="C647" t="str">
            <v>بله حامد ابراهيم</v>
          </cell>
          <cell r="D647" t="str">
            <v>الرئاسه</v>
          </cell>
          <cell r="E647" t="str">
            <v>العلاقات العامه</v>
          </cell>
          <cell r="F647">
            <v>0</v>
          </cell>
          <cell r="G647">
            <v>0</v>
          </cell>
          <cell r="H647">
            <v>39142</v>
          </cell>
          <cell r="I647">
            <v>43498</v>
          </cell>
          <cell r="J647">
            <v>347.5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3</v>
          </cell>
          <cell r="Q647">
            <v>1</v>
          </cell>
          <cell r="R647">
            <v>1</v>
          </cell>
          <cell r="S647">
            <v>3</v>
          </cell>
          <cell r="T647">
            <v>0</v>
          </cell>
          <cell r="U647">
            <v>0</v>
          </cell>
          <cell r="V647">
            <v>0</v>
          </cell>
          <cell r="W647">
            <v>8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</row>
        <row r="648">
          <cell r="B648">
            <v>1008</v>
          </cell>
          <cell r="C648" t="str">
            <v>فايز عوض ابراهيم محمد</v>
          </cell>
          <cell r="D648" t="str">
            <v>الرئاسه</v>
          </cell>
          <cell r="E648" t="str">
            <v>العلاقات العامه</v>
          </cell>
          <cell r="F648">
            <v>0</v>
          </cell>
          <cell r="G648">
            <v>0</v>
          </cell>
          <cell r="H648">
            <v>39142</v>
          </cell>
          <cell r="I648">
            <v>43498</v>
          </cell>
          <cell r="J648">
            <v>347.5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</row>
        <row r="649">
          <cell r="B649">
            <v>1009</v>
          </cell>
          <cell r="C649" t="str">
            <v>عثمان سراج عوض على</v>
          </cell>
          <cell r="D649" t="str">
            <v>الرئاسه</v>
          </cell>
          <cell r="E649" t="str">
            <v>التحصيل</v>
          </cell>
          <cell r="F649">
            <v>0</v>
          </cell>
          <cell r="G649">
            <v>0</v>
          </cell>
          <cell r="H649">
            <v>39142</v>
          </cell>
          <cell r="I649">
            <v>43498</v>
          </cell>
          <cell r="J649">
            <v>347.5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</row>
        <row r="650">
          <cell r="B650">
            <v>1010</v>
          </cell>
          <cell r="C650" t="str">
            <v>ميرغنى طه سوركتى شكرليه</v>
          </cell>
          <cell r="D650" t="str">
            <v>الرئاسه</v>
          </cell>
          <cell r="E650" t="str">
            <v>الخدمات</v>
          </cell>
          <cell r="F650">
            <v>0</v>
          </cell>
          <cell r="G650">
            <v>0</v>
          </cell>
          <cell r="H650">
            <v>39995</v>
          </cell>
          <cell r="I650">
            <v>43498</v>
          </cell>
          <cell r="J650">
            <v>287.5</v>
          </cell>
          <cell r="K650">
            <v>1</v>
          </cell>
          <cell r="L650">
            <v>0</v>
          </cell>
          <cell r="M650">
            <v>1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1</v>
          </cell>
          <cell r="S650">
            <v>0</v>
          </cell>
          <cell r="T650">
            <v>1</v>
          </cell>
          <cell r="U650">
            <v>1</v>
          </cell>
          <cell r="V650">
            <v>0</v>
          </cell>
          <cell r="W650">
            <v>5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</row>
        <row r="651">
          <cell r="B651">
            <v>1011</v>
          </cell>
          <cell r="C651" t="str">
            <v>محمد مهدى ابو محمد</v>
          </cell>
          <cell r="D651" t="str">
            <v>الرئاسه</v>
          </cell>
          <cell r="E651" t="str">
            <v>الخدمات</v>
          </cell>
          <cell r="F651">
            <v>0</v>
          </cell>
          <cell r="G651">
            <v>0</v>
          </cell>
          <cell r="H651">
            <v>39264</v>
          </cell>
          <cell r="I651">
            <v>43498</v>
          </cell>
          <cell r="J651">
            <v>337.5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</row>
        <row r="652">
          <cell r="B652">
            <v>1012</v>
          </cell>
          <cell r="C652" t="str">
            <v>مايكل يوهانس</v>
          </cell>
          <cell r="D652" t="str">
            <v>الرئاسه</v>
          </cell>
          <cell r="E652" t="str">
            <v>الخدمات</v>
          </cell>
          <cell r="F652">
            <v>0</v>
          </cell>
          <cell r="G652">
            <v>0</v>
          </cell>
          <cell r="H652">
            <v>39142</v>
          </cell>
          <cell r="I652">
            <v>43498</v>
          </cell>
          <cell r="J652">
            <v>347.5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2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2</v>
          </cell>
          <cell r="X652">
            <v>1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</row>
        <row r="653">
          <cell r="B653">
            <v>1013</v>
          </cell>
          <cell r="C653" t="str">
            <v>عمر العوض حسن الامام</v>
          </cell>
          <cell r="D653" t="str">
            <v>الرئاسه</v>
          </cell>
          <cell r="E653" t="str">
            <v>الماليه</v>
          </cell>
          <cell r="F653">
            <v>0</v>
          </cell>
          <cell r="G653">
            <v>0</v>
          </cell>
          <cell r="H653">
            <v>41365</v>
          </cell>
          <cell r="I653">
            <v>43498</v>
          </cell>
          <cell r="J653">
            <v>175</v>
          </cell>
          <cell r="K653">
            <v>0</v>
          </cell>
          <cell r="L653">
            <v>0</v>
          </cell>
          <cell r="M653">
            <v>1</v>
          </cell>
          <cell r="N653">
            <v>2</v>
          </cell>
          <cell r="O653">
            <v>0</v>
          </cell>
          <cell r="P653">
            <v>2</v>
          </cell>
          <cell r="Q653">
            <v>0</v>
          </cell>
          <cell r="R653">
            <v>0</v>
          </cell>
          <cell r="S653">
            <v>0</v>
          </cell>
          <cell r="T653">
            <v>1</v>
          </cell>
          <cell r="U653">
            <v>1</v>
          </cell>
          <cell r="V653">
            <v>1</v>
          </cell>
          <cell r="W653">
            <v>8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</row>
        <row r="654">
          <cell r="B654">
            <v>1014</v>
          </cell>
          <cell r="C654" t="str">
            <v>عمر احمد محمد عمر</v>
          </cell>
          <cell r="D654" t="str">
            <v>الرئاسه</v>
          </cell>
          <cell r="E654" t="str">
            <v>الاداره</v>
          </cell>
          <cell r="F654">
            <v>0</v>
          </cell>
          <cell r="G654">
            <v>0</v>
          </cell>
          <cell r="H654">
            <v>41262</v>
          </cell>
          <cell r="I654">
            <v>43498</v>
          </cell>
          <cell r="J654">
            <v>182.5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2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</row>
        <row r="655">
          <cell r="B655">
            <v>1015</v>
          </cell>
          <cell r="C655" t="str">
            <v>متولى عبدالرحيم متولى يحى</v>
          </cell>
          <cell r="D655" t="str">
            <v>الرئاسه</v>
          </cell>
          <cell r="E655" t="str">
            <v>العلاقات العامه</v>
          </cell>
          <cell r="F655">
            <v>0</v>
          </cell>
          <cell r="G655">
            <v>0</v>
          </cell>
          <cell r="H655">
            <v>41395</v>
          </cell>
          <cell r="I655">
            <v>43498</v>
          </cell>
          <cell r="J655">
            <v>172.5</v>
          </cell>
          <cell r="K655">
            <v>0</v>
          </cell>
          <cell r="L655">
            <v>10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10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</row>
        <row r="656">
          <cell r="B656">
            <v>1016</v>
          </cell>
          <cell r="C656" t="str">
            <v>احمد عبدالعزيز مصطفى احمد</v>
          </cell>
          <cell r="D656" t="str">
            <v>الرئاسه</v>
          </cell>
          <cell r="E656" t="str">
            <v>العلاقات العامه</v>
          </cell>
          <cell r="F656">
            <v>0</v>
          </cell>
          <cell r="G656">
            <v>0</v>
          </cell>
          <cell r="H656">
            <v>41883</v>
          </cell>
          <cell r="I656">
            <v>43498</v>
          </cell>
          <cell r="J656">
            <v>132.5</v>
          </cell>
          <cell r="K656">
            <v>0</v>
          </cell>
          <cell r="L656">
            <v>0</v>
          </cell>
          <cell r="M656">
            <v>2</v>
          </cell>
          <cell r="N656">
            <v>1</v>
          </cell>
          <cell r="O656">
            <v>0</v>
          </cell>
          <cell r="P656">
            <v>1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1</v>
          </cell>
          <cell r="W656">
            <v>5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>
            <v>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</row>
        <row r="657">
          <cell r="B657">
            <v>1017</v>
          </cell>
          <cell r="C657" t="str">
            <v>ميناس عبدالوهاب الامين حسن</v>
          </cell>
          <cell r="D657" t="str">
            <v>الرئاسه</v>
          </cell>
          <cell r="E657" t="str">
            <v>الماليه</v>
          </cell>
          <cell r="F657">
            <v>0</v>
          </cell>
          <cell r="G657">
            <v>0</v>
          </cell>
          <cell r="H657">
            <v>42176</v>
          </cell>
          <cell r="I657">
            <v>43498</v>
          </cell>
          <cell r="J657">
            <v>107.5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2</v>
          </cell>
          <cell r="Q657">
            <v>0</v>
          </cell>
          <cell r="R657">
            <v>0</v>
          </cell>
          <cell r="S657">
            <v>1</v>
          </cell>
          <cell r="T657">
            <v>0</v>
          </cell>
          <cell r="U657">
            <v>1</v>
          </cell>
          <cell r="V657">
            <v>0</v>
          </cell>
          <cell r="W657">
            <v>4</v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</row>
        <row r="658">
          <cell r="B658">
            <v>1018</v>
          </cell>
          <cell r="C658" t="str">
            <v>عفاف الطاهر قرشي حسن</v>
          </cell>
          <cell r="D658" t="str">
            <v>الرئاسه</v>
          </cell>
          <cell r="E658" t="str">
            <v>الماليه</v>
          </cell>
          <cell r="F658">
            <v>0</v>
          </cell>
          <cell r="G658">
            <v>0</v>
          </cell>
          <cell r="H658">
            <v>42403</v>
          </cell>
          <cell r="I658">
            <v>43498</v>
          </cell>
          <cell r="J658">
            <v>87.5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2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2</v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</row>
        <row r="659">
          <cell r="B659">
            <v>1019</v>
          </cell>
          <cell r="C659" t="str">
            <v>سلمى عباس عبدالله تيه</v>
          </cell>
          <cell r="D659" t="str">
            <v>الرئاسه</v>
          </cell>
          <cell r="E659" t="str">
            <v>الخدمات</v>
          </cell>
          <cell r="F659">
            <v>0</v>
          </cell>
          <cell r="G659">
            <v>0</v>
          </cell>
          <cell r="H659">
            <v>42597</v>
          </cell>
          <cell r="I659">
            <v>43498</v>
          </cell>
          <cell r="J659">
            <v>72.5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2</v>
          </cell>
          <cell r="T659">
            <v>1</v>
          </cell>
          <cell r="U659">
            <v>1</v>
          </cell>
          <cell r="V659">
            <v>0</v>
          </cell>
          <cell r="W659">
            <v>4</v>
          </cell>
          <cell r="X659">
            <v>35</v>
          </cell>
          <cell r="Y659">
            <v>0</v>
          </cell>
          <cell r="Z659">
            <v>0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</row>
        <row r="660">
          <cell r="B660">
            <v>1020</v>
          </cell>
          <cell r="C660" t="str">
            <v>كمبال حسن كمبال احمد</v>
          </cell>
          <cell r="D660" t="str">
            <v>الرئاسه</v>
          </cell>
          <cell r="E660" t="str">
            <v>الاداره</v>
          </cell>
          <cell r="F660">
            <v>0</v>
          </cell>
          <cell r="G660">
            <v>0</v>
          </cell>
          <cell r="H660">
            <v>42826</v>
          </cell>
          <cell r="I660">
            <v>43498</v>
          </cell>
          <cell r="J660">
            <v>55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1</v>
          </cell>
          <cell r="Q660">
            <v>0</v>
          </cell>
          <cell r="R660">
            <v>0</v>
          </cell>
          <cell r="S660">
            <v>1</v>
          </cell>
          <cell r="T660">
            <v>0</v>
          </cell>
          <cell r="U660">
            <v>0</v>
          </cell>
          <cell r="V660">
            <v>0</v>
          </cell>
          <cell r="W660">
            <v>2</v>
          </cell>
          <cell r="X660">
            <v>0</v>
          </cell>
          <cell r="Y660">
            <v>1</v>
          </cell>
          <cell r="Z660">
            <v>0</v>
          </cell>
          <cell r="AA660">
            <v>0</v>
          </cell>
          <cell r="AB660">
            <v>1</v>
          </cell>
          <cell r="AC660">
            <v>1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</row>
        <row r="661">
          <cell r="B661">
            <v>1021</v>
          </cell>
          <cell r="C661" t="str">
            <v>نشوه داؤد فرح احمد</v>
          </cell>
          <cell r="D661" t="str">
            <v>الرئاسه</v>
          </cell>
          <cell r="E661" t="str">
            <v>الماليه</v>
          </cell>
          <cell r="F661">
            <v>0</v>
          </cell>
          <cell r="G661">
            <v>0</v>
          </cell>
          <cell r="H661">
            <v>43009</v>
          </cell>
          <cell r="I661">
            <v>43498</v>
          </cell>
          <cell r="J661">
            <v>40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22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1</v>
          </cell>
          <cell r="AG661">
            <v>0</v>
          </cell>
          <cell r="AH661">
            <v>1</v>
          </cell>
          <cell r="AI661">
            <v>0</v>
          </cell>
          <cell r="AJ661">
            <v>0</v>
          </cell>
          <cell r="AK661">
            <v>0</v>
          </cell>
        </row>
        <row r="662">
          <cell r="B662">
            <v>1022</v>
          </cell>
          <cell r="C662" t="str">
            <v>امال عثمان محمد</v>
          </cell>
          <cell r="D662" t="str">
            <v>مستشارين</v>
          </cell>
          <cell r="E662" t="str">
            <v>الماليه</v>
          </cell>
          <cell r="F662">
            <v>0</v>
          </cell>
          <cell r="G662">
            <v>0</v>
          </cell>
          <cell r="H662">
            <v>39173</v>
          </cell>
          <cell r="I662">
            <v>43498</v>
          </cell>
          <cell r="J662">
            <v>345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15</v>
          </cell>
          <cell r="T662">
            <v>0</v>
          </cell>
          <cell r="U662">
            <v>0</v>
          </cell>
          <cell r="V662">
            <v>0</v>
          </cell>
          <cell r="W662">
            <v>15</v>
          </cell>
          <cell r="X662">
            <v>12</v>
          </cell>
          <cell r="Y662">
            <v>0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</row>
        <row r="663">
          <cell r="B663">
            <v>1023</v>
          </cell>
          <cell r="C663" t="str">
            <v>صفوان صلاح عبده احمد</v>
          </cell>
          <cell r="D663" t="str">
            <v>المصنع</v>
          </cell>
          <cell r="E663" t="str">
            <v>المستودعات</v>
          </cell>
          <cell r="F663">
            <v>0</v>
          </cell>
          <cell r="G663">
            <v>0</v>
          </cell>
          <cell r="H663">
            <v>43136</v>
          </cell>
          <cell r="I663">
            <v>43498</v>
          </cell>
          <cell r="J663">
            <v>27.5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>
            <v>2</v>
          </cell>
          <cell r="AC663">
            <v>0</v>
          </cell>
          <cell r="AD663">
            <v>0</v>
          </cell>
          <cell r="AE663">
            <v>1</v>
          </cell>
          <cell r="AF663">
            <v>7</v>
          </cell>
          <cell r="AG663">
            <v>2</v>
          </cell>
          <cell r="AH663">
            <v>0</v>
          </cell>
          <cell r="AI663">
            <v>1</v>
          </cell>
          <cell r="AJ663">
            <v>0</v>
          </cell>
          <cell r="AK663">
            <v>0</v>
          </cell>
        </row>
        <row r="664">
          <cell r="B664">
            <v>1024</v>
          </cell>
          <cell r="C664" t="str">
            <v>محمد عبده محمد احمد</v>
          </cell>
          <cell r="D664" t="str">
            <v>المصنع</v>
          </cell>
          <cell r="E664" t="str">
            <v>الانتاج</v>
          </cell>
          <cell r="F664">
            <v>0</v>
          </cell>
          <cell r="G664">
            <v>0</v>
          </cell>
          <cell r="H664">
            <v>43138</v>
          </cell>
          <cell r="I664">
            <v>43498</v>
          </cell>
          <cell r="J664">
            <v>27.5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</v>
          </cell>
          <cell r="AA664">
            <v>0</v>
          </cell>
          <cell r="AB664">
            <v>0</v>
          </cell>
          <cell r="AC664">
            <v>1</v>
          </cell>
          <cell r="AD664">
            <v>3</v>
          </cell>
          <cell r="AE664">
            <v>2</v>
          </cell>
          <cell r="AF664">
            <v>0</v>
          </cell>
          <cell r="AG664">
            <v>0</v>
          </cell>
          <cell r="AH664">
            <v>3</v>
          </cell>
          <cell r="AI664">
            <v>2</v>
          </cell>
          <cell r="AJ664">
            <v>1</v>
          </cell>
          <cell r="AK664">
            <v>0</v>
          </cell>
        </row>
        <row r="665">
          <cell r="B665">
            <v>1025</v>
          </cell>
          <cell r="C665" t="str">
            <v>احمد عبدالمنعم محمد فضل المولى</v>
          </cell>
          <cell r="D665" t="str">
            <v>المصنع</v>
          </cell>
          <cell r="E665" t="str">
            <v>المستودعات</v>
          </cell>
          <cell r="F665">
            <v>0</v>
          </cell>
          <cell r="G665">
            <v>0</v>
          </cell>
          <cell r="H665">
            <v>43142</v>
          </cell>
          <cell r="I665">
            <v>43498</v>
          </cell>
          <cell r="J665">
            <v>27.5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1</v>
          </cell>
          <cell r="AG665">
            <v>0</v>
          </cell>
          <cell r="AH665">
            <v>0</v>
          </cell>
          <cell r="AI665">
            <v>0</v>
          </cell>
          <cell r="AJ665">
            <v>1</v>
          </cell>
          <cell r="AK665">
            <v>0</v>
          </cell>
        </row>
        <row r="666">
          <cell r="B666">
            <v>1026</v>
          </cell>
          <cell r="C666" t="str">
            <v>منير كمال محمد احمد مصطفى</v>
          </cell>
          <cell r="D666" t="str">
            <v>المصنع</v>
          </cell>
          <cell r="E666" t="str">
            <v>المستودعات</v>
          </cell>
          <cell r="F666">
            <v>0</v>
          </cell>
          <cell r="G666">
            <v>0</v>
          </cell>
          <cell r="H666">
            <v>43142</v>
          </cell>
          <cell r="I666">
            <v>43498</v>
          </cell>
          <cell r="J666">
            <v>27.5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3</v>
          </cell>
          <cell r="AD666">
            <v>5</v>
          </cell>
          <cell r="AE666">
            <v>4</v>
          </cell>
          <cell r="AF666">
            <v>2</v>
          </cell>
          <cell r="AG666">
            <v>1</v>
          </cell>
          <cell r="AH666">
            <v>0</v>
          </cell>
          <cell r="AI666">
            <v>0</v>
          </cell>
          <cell r="AJ666">
            <v>1</v>
          </cell>
          <cell r="AK666">
            <v>0</v>
          </cell>
        </row>
        <row r="667">
          <cell r="B667">
            <v>1027</v>
          </cell>
          <cell r="C667" t="str">
            <v>بشير احمد عاجب احمد</v>
          </cell>
          <cell r="D667" t="str">
            <v>المصنع</v>
          </cell>
          <cell r="E667" t="str">
            <v>الامن و الحركه</v>
          </cell>
          <cell r="F667">
            <v>0</v>
          </cell>
          <cell r="G667">
            <v>0</v>
          </cell>
          <cell r="H667">
            <v>43143</v>
          </cell>
          <cell r="I667">
            <v>43498</v>
          </cell>
          <cell r="J667">
            <v>27.5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0</v>
          </cell>
          <cell r="AF667">
            <v>1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</row>
        <row r="668">
          <cell r="B668">
            <v>1028</v>
          </cell>
          <cell r="C668" t="str">
            <v>ابوزيد عبدالله على عبدالله</v>
          </cell>
          <cell r="D668" t="str">
            <v>المصنع</v>
          </cell>
          <cell r="E668" t="str">
            <v>الامن و الحركه</v>
          </cell>
          <cell r="F668">
            <v>0</v>
          </cell>
          <cell r="G668">
            <v>0</v>
          </cell>
          <cell r="H668">
            <v>43374</v>
          </cell>
          <cell r="I668">
            <v>43498</v>
          </cell>
          <cell r="J668">
            <v>10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0</v>
          </cell>
          <cell r="AH668">
            <v>0</v>
          </cell>
          <cell r="AI668">
            <v>1</v>
          </cell>
          <cell r="AJ668">
            <v>0</v>
          </cell>
          <cell r="AK668">
            <v>0</v>
          </cell>
        </row>
        <row r="669">
          <cell r="B669">
            <v>1029</v>
          </cell>
          <cell r="C669" t="str">
            <v>محمد موسى هجرو صالح</v>
          </cell>
          <cell r="D669" t="str">
            <v>المصنع</v>
          </cell>
          <cell r="E669" t="str">
            <v>الانتاج</v>
          </cell>
          <cell r="F669">
            <v>0</v>
          </cell>
          <cell r="G669">
            <v>0</v>
          </cell>
          <cell r="H669">
            <v>43143</v>
          </cell>
          <cell r="I669">
            <v>43498</v>
          </cell>
          <cell r="J669">
            <v>27.5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>
            <v>0</v>
          </cell>
          <cell r="AC669">
            <v>1</v>
          </cell>
          <cell r="AD669">
            <v>0</v>
          </cell>
          <cell r="AE669">
            <v>1</v>
          </cell>
          <cell r="AF669">
            <v>0</v>
          </cell>
          <cell r="AG669">
            <v>1</v>
          </cell>
          <cell r="AH669">
            <v>1</v>
          </cell>
          <cell r="AI669">
            <v>0</v>
          </cell>
          <cell r="AJ669">
            <v>0</v>
          </cell>
          <cell r="AK669">
            <v>0</v>
          </cell>
        </row>
        <row r="670">
          <cell r="B670">
            <v>1030</v>
          </cell>
          <cell r="C670" t="str">
            <v>معتصم احمد يسن محمد</v>
          </cell>
          <cell r="D670" t="str">
            <v>المصنع</v>
          </cell>
          <cell r="E670" t="str">
            <v>الانتاج</v>
          </cell>
          <cell r="F670">
            <v>0</v>
          </cell>
          <cell r="G670">
            <v>0</v>
          </cell>
          <cell r="H670">
            <v>43144</v>
          </cell>
          <cell r="I670">
            <v>43498</v>
          </cell>
          <cell r="J670">
            <v>27.5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2</v>
          </cell>
          <cell r="Y670">
            <v>0</v>
          </cell>
          <cell r="Z670">
            <v>0</v>
          </cell>
          <cell r="AA670">
            <v>0</v>
          </cell>
          <cell r="AB670">
            <v>1</v>
          </cell>
          <cell r="AC670">
            <v>3</v>
          </cell>
          <cell r="AD670">
            <v>8</v>
          </cell>
          <cell r="AE670">
            <v>1</v>
          </cell>
          <cell r="AF670">
            <v>1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</row>
        <row r="671">
          <cell r="B671">
            <v>1031</v>
          </cell>
          <cell r="C671" t="str">
            <v>محمد عبدالحى يسن ادم</v>
          </cell>
          <cell r="D671" t="str">
            <v>المصنع</v>
          </cell>
          <cell r="E671" t="str">
            <v>المستودعات</v>
          </cell>
          <cell r="F671">
            <v>0</v>
          </cell>
          <cell r="G671">
            <v>0</v>
          </cell>
          <cell r="H671">
            <v>43144</v>
          </cell>
          <cell r="I671">
            <v>43498</v>
          </cell>
          <cell r="J671">
            <v>27.5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2</v>
          </cell>
          <cell r="AE671">
            <v>3</v>
          </cell>
          <cell r="AF671">
            <v>0</v>
          </cell>
          <cell r="AG671">
            <v>1</v>
          </cell>
          <cell r="AH671">
            <v>1</v>
          </cell>
          <cell r="AI671">
            <v>1</v>
          </cell>
          <cell r="AJ671">
            <v>1</v>
          </cell>
          <cell r="AK671">
            <v>0</v>
          </cell>
        </row>
        <row r="672">
          <cell r="B672">
            <v>1032</v>
          </cell>
          <cell r="C672" t="str">
            <v>طه عبدالمنعم طه مصطفى</v>
          </cell>
          <cell r="D672" t="str">
            <v>المصنع</v>
          </cell>
          <cell r="E672" t="str">
            <v>الانتاج</v>
          </cell>
          <cell r="F672">
            <v>0</v>
          </cell>
          <cell r="G672">
            <v>0</v>
          </cell>
          <cell r="H672">
            <v>43144</v>
          </cell>
          <cell r="I672">
            <v>43498</v>
          </cell>
          <cell r="J672">
            <v>27.5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1</v>
          </cell>
          <cell r="AC672">
            <v>1</v>
          </cell>
          <cell r="AD672">
            <v>0</v>
          </cell>
          <cell r="AE672">
            <v>2</v>
          </cell>
          <cell r="AF672">
            <v>2</v>
          </cell>
          <cell r="AG672">
            <v>2</v>
          </cell>
          <cell r="AH672">
            <v>1</v>
          </cell>
          <cell r="AI672">
            <v>0</v>
          </cell>
          <cell r="AJ672">
            <v>4</v>
          </cell>
          <cell r="AK672">
            <v>0</v>
          </cell>
        </row>
        <row r="673">
          <cell r="B673">
            <v>1033</v>
          </cell>
          <cell r="C673" t="str">
            <v>مهند عبدالمنعم طه مصطفى</v>
          </cell>
          <cell r="D673" t="str">
            <v>المصنع</v>
          </cell>
          <cell r="E673" t="str">
            <v>الانتاج</v>
          </cell>
          <cell r="F673">
            <v>0</v>
          </cell>
          <cell r="G673">
            <v>0</v>
          </cell>
          <cell r="H673">
            <v>43144</v>
          </cell>
          <cell r="I673">
            <v>43498</v>
          </cell>
          <cell r="J673">
            <v>27.5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5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2</v>
          </cell>
          <cell r="AD673">
            <v>2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</row>
        <row r="674">
          <cell r="B674">
            <v>1034</v>
          </cell>
          <cell r="C674" t="str">
            <v>عبدالعظيم صابر ابكر حران</v>
          </cell>
          <cell r="D674" t="str">
            <v>المصنع</v>
          </cell>
          <cell r="E674" t="str">
            <v>الانتاج</v>
          </cell>
          <cell r="F674">
            <v>0</v>
          </cell>
          <cell r="G674">
            <v>0</v>
          </cell>
          <cell r="H674">
            <v>43144</v>
          </cell>
          <cell r="I674">
            <v>43498</v>
          </cell>
          <cell r="J674">
            <v>27.5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>
            <v>9</v>
          </cell>
          <cell r="AC674">
            <v>0</v>
          </cell>
          <cell r="AD674">
            <v>1</v>
          </cell>
          <cell r="AE674">
            <v>4</v>
          </cell>
          <cell r="AF674">
            <v>1</v>
          </cell>
          <cell r="AG674">
            <v>3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</row>
        <row r="675">
          <cell r="B675">
            <v>1035</v>
          </cell>
          <cell r="C675" t="str">
            <v>محمد حسين مصطفى مناوى</v>
          </cell>
          <cell r="D675" t="str">
            <v>المصنع</v>
          </cell>
          <cell r="E675" t="str">
            <v>الانتاج</v>
          </cell>
          <cell r="F675">
            <v>0</v>
          </cell>
          <cell r="G675">
            <v>0</v>
          </cell>
          <cell r="H675">
            <v>43144</v>
          </cell>
          <cell r="I675">
            <v>43498</v>
          </cell>
          <cell r="J675">
            <v>27.5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2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2</v>
          </cell>
          <cell r="AE675">
            <v>3</v>
          </cell>
          <cell r="AF675">
            <v>1</v>
          </cell>
          <cell r="AG675">
            <v>0</v>
          </cell>
          <cell r="AH675">
            <v>2</v>
          </cell>
          <cell r="AI675">
            <v>0</v>
          </cell>
          <cell r="AJ675">
            <v>1</v>
          </cell>
          <cell r="AK675">
            <v>0</v>
          </cell>
        </row>
        <row r="676">
          <cell r="B676">
            <v>1036</v>
          </cell>
          <cell r="C676" t="str">
            <v>مهند محمد سيد احمد بابكر</v>
          </cell>
          <cell r="D676" t="str">
            <v>المصنع</v>
          </cell>
          <cell r="E676" t="str">
            <v>الانتاج</v>
          </cell>
          <cell r="F676">
            <v>0</v>
          </cell>
          <cell r="G676">
            <v>0</v>
          </cell>
          <cell r="H676">
            <v>43144</v>
          </cell>
          <cell r="I676">
            <v>43498</v>
          </cell>
          <cell r="J676">
            <v>27.5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8</v>
          </cell>
          <cell r="Y676">
            <v>0</v>
          </cell>
          <cell r="Z676">
            <v>0</v>
          </cell>
          <cell r="AA676">
            <v>0</v>
          </cell>
          <cell r="AB676">
            <v>0</v>
          </cell>
          <cell r="AC676">
            <v>1</v>
          </cell>
          <cell r="AD676">
            <v>0</v>
          </cell>
          <cell r="AE676">
            <v>0</v>
          </cell>
          <cell r="AF676">
            <v>1</v>
          </cell>
          <cell r="AG676">
            <v>1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</row>
        <row r="677">
          <cell r="B677">
            <v>1037</v>
          </cell>
          <cell r="C677" t="str">
            <v>الدين اسحق الطاهر حسن</v>
          </cell>
          <cell r="D677" t="str">
            <v>المصنع</v>
          </cell>
          <cell r="E677" t="str">
            <v>الانتاج</v>
          </cell>
          <cell r="F677">
            <v>0</v>
          </cell>
          <cell r="G677">
            <v>0</v>
          </cell>
          <cell r="H677">
            <v>43144</v>
          </cell>
          <cell r="I677">
            <v>43498</v>
          </cell>
          <cell r="J677">
            <v>27.5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2</v>
          </cell>
          <cell r="Y677">
            <v>0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1</v>
          </cell>
          <cell r="AE677">
            <v>3</v>
          </cell>
          <cell r="AF677">
            <v>3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</row>
        <row r="678">
          <cell r="B678">
            <v>1038</v>
          </cell>
          <cell r="C678" t="str">
            <v>محمد مدنى مكى حمد</v>
          </cell>
          <cell r="D678" t="str">
            <v>المصنع</v>
          </cell>
          <cell r="E678" t="str">
            <v>الانتاج</v>
          </cell>
          <cell r="F678">
            <v>0</v>
          </cell>
          <cell r="G678">
            <v>0</v>
          </cell>
          <cell r="H678">
            <v>43146</v>
          </cell>
          <cell r="I678">
            <v>43498</v>
          </cell>
          <cell r="J678">
            <v>27.5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1</v>
          </cell>
          <cell r="AE678">
            <v>1</v>
          </cell>
          <cell r="AF678">
            <v>0</v>
          </cell>
          <cell r="AG678">
            <v>1</v>
          </cell>
          <cell r="AH678">
            <v>2</v>
          </cell>
          <cell r="AI678">
            <v>0</v>
          </cell>
          <cell r="AJ678">
            <v>0</v>
          </cell>
          <cell r="AK678">
            <v>0</v>
          </cell>
        </row>
        <row r="679">
          <cell r="B679">
            <v>1039</v>
          </cell>
          <cell r="C679" t="str">
            <v>نورالدين عبدالفتاح خيرالله نقد</v>
          </cell>
          <cell r="D679" t="str">
            <v>المصنع</v>
          </cell>
          <cell r="E679" t="str">
            <v>الجوده</v>
          </cell>
          <cell r="F679">
            <v>0</v>
          </cell>
          <cell r="G679">
            <v>0</v>
          </cell>
          <cell r="H679">
            <v>43150</v>
          </cell>
          <cell r="I679">
            <v>43498</v>
          </cell>
          <cell r="J679">
            <v>27.5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10</v>
          </cell>
          <cell r="Y679">
            <v>0</v>
          </cell>
          <cell r="Z679">
            <v>0</v>
          </cell>
          <cell r="AA679">
            <v>0</v>
          </cell>
          <cell r="AB679">
            <v>3</v>
          </cell>
          <cell r="AC679">
            <v>0</v>
          </cell>
          <cell r="AD679">
            <v>0</v>
          </cell>
          <cell r="AE679">
            <v>1</v>
          </cell>
          <cell r="AF679">
            <v>0</v>
          </cell>
          <cell r="AG679">
            <v>0</v>
          </cell>
          <cell r="AH679">
            <v>1</v>
          </cell>
          <cell r="AI679">
            <v>1</v>
          </cell>
          <cell r="AJ679">
            <v>0</v>
          </cell>
          <cell r="AK679">
            <v>0</v>
          </cell>
        </row>
        <row r="680">
          <cell r="B680">
            <v>1040</v>
          </cell>
          <cell r="C680" t="str">
            <v>جبريل احمد محمد احمد</v>
          </cell>
          <cell r="D680" t="str">
            <v>المصنع</v>
          </cell>
          <cell r="E680" t="str">
            <v>الامن و الحركه</v>
          </cell>
          <cell r="F680">
            <v>0</v>
          </cell>
          <cell r="G680">
            <v>0</v>
          </cell>
          <cell r="H680">
            <v>43149</v>
          </cell>
          <cell r="I680">
            <v>43498</v>
          </cell>
          <cell r="J680">
            <v>27.5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5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</row>
        <row r="681">
          <cell r="B681">
            <v>1041</v>
          </cell>
          <cell r="C681" t="str">
            <v>حسن احمد صالح حسن</v>
          </cell>
          <cell r="D681" t="str">
            <v>المصنع</v>
          </cell>
          <cell r="E681" t="str">
            <v>الانتاج</v>
          </cell>
          <cell r="F681">
            <v>0</v>
          </cell>
          <cell r="G681">
            <v>0</v>
          </cell>
          <cell r="H681">
            <v>43150</v>
          </cell>
          <cell r="I681">
            <v>43498</v>
          </cell>
          <cell r="J681">
            <v>27.5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>
            <v>3</v>
          </cell>
          <cell r="AC681">
            <v>1</v>
          </cell>
          <cell r="AD681">
            <v>1</v>
          </cell>
          <cell r="AE681">
            <v>2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</row>
        <row r="682">
          <cell r="B682">
            <v>1042</v>
          </cell>
          <cell r="C682" t="str">
            <v>محمد احمد محمد الحسن</v>
          </cell>
          <cell r="D682" t="str">
            <v>المصنع</v>
          </cell>
          <cell r="E682" t="str">
            <v>الانتاج</v>
          </cell>
          <cell r="F682">
            <v>0</v>
          </cell>
          <cell r="G682">
            <v>0</v>
          </cell>
          <cell r="H682">
            <v>43150</v>
          </cell>
          <cell r="I682">
            <v>43498</v>
          </cell>
          <cell r="J682">
            <v>27.5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4</v>
          </cell>
          <cell r="Y682">
            <v>0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1</v>
          </cell>
          <cell r="AE682">
            <v>1</v>
          </cell>
          <cell r="AF682">
            <v>2</v>
          </cell>
          <cell r="AG682">
            <v>0</v>
          </cell>
          <cell r="AH682">
            <v>2</v>
          </cell>
          <cell r="AI682">
            <v>1</v>
          </cell>
          <cell r="AJ682">
            <v>0</v>
          </cell>
          <cell r="AK682">
            <v>0</v>
          </cell>
        </row>
        <row r="683">
          <cell r="B683">
            <v>1043</v>
          </cell>
          <cell r="C683" t="str">
            <v>وليد حافظ خير مضوى</v>
          </cell>
          <cell r="D683" t="str">
            <v>المصنع</v>
          </cell>
          <cell r="E683" t="str">
            <v>الانتاج</v>
          </cell>
          <cell r="F683">
            <v>0</v>
          </cell>
          <cell r="G683">
            <v>0</v>
          </cell>
          <cell r="H683">
            <v>43150</v>
          </cell>
          <cell r="I683">
            <v>43498</v>
          </cell>
          <cell r="J683">
            <v>27.5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2</v>
          </cell>
          <cell r="Y683">
            <v>0</v>
          </cell>
          <cell r="Z683">
            <v>0</v>
          </cell>
          <cell r="AA683">
            <v>0</v>
          </cell>
          <cell r="AB683">
            <v>0</v>
          </cell>
          <cell r="AC683">
            <v>7</v>
          </cell>
          <cell r="AD683">
            <v>2</v>
          </cell>
          <cell r="AE683">
            <v>0</v>
          </cell>
          <cell r="AF683">
            <v>1</v>
          </cell>
          <cell r="AG683">
            <v>0</v>
          </cell>
          <cell r="AH683">
            <v>0</v>
          </cell>
          <cell r="AI683">
            <v>0</v>
          </cell>
          <cell r="AJ683">
            <v>1</v>
          </cell>
          <cell r="AK683">
            <v>0</v>
          </cell>
        </row>
        <row r="684">
          <cell r="B684">
            <v>1044</v>
          </cell>
          <cell r="C684" t="str">
            <v>خالد الفكى إسماعيل نصر</v>
          </cell>
          <cell r="D684" t="str">
            <v>المصنع</v>
          </cell>
          <cell r="E684" t="str">
            <v>الانتاج</v>
          </cell>
          <cell r="F684">
            <v>0</v>
          </cell>
          <cell r="G684">
            <v>0</v>
          </cell>
          <cell r="H684">
            <v>43150</v>
          </cell>
          <cell r="I684">
            <v>43498</v>
          </cell>
          <cell r="J684">
            <v>27.5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4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2</v>
          </cell>
          <cell r="AF684">
            <v>2</v>
          </cell>
          <cell r="AG684">
            <v>1</v>
          </cell>
          <cell r="AH684">
            <v>1</v>
          </cell>
          <cell r="AI684">
            <v>3</v>
          </cell>
          <cell r="AJ684">
            <v>0</v>
          </cell>
          <cell r="AK684">
            <v>0</v>
          </cell>
        </row>
        <row r="685">
          <cell r="B685">
            <v>1045</v>
          </cell>
          <cell r="C685" t="str">
            <v>صلاح الدين الطاهر محمد النور</v>
          </cell>
          <cell r="D685" t="str">
            <v>المصنع</v>
          </cell>
          <cell r="E685" t="str">
            <v>الانتاج</v>
          </cell>
          <cell r="F685">
            <v>0</v>
          </cell>
          <cell r="G685">
            <v>0</v>
          </cell>
          <cell r="H685">
            <v>43150</v>
          </cell>
          <cell r="I685">
            <v>43498</v>
          </cell>
          <cell r="J685">
            <v>27.5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2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1</v>
          </cell>
          <cell r="AE685">
            <v>3</v>
          </cell>
          <cell r="AF685">
            <v>2</v>
          </cell>
          <cell r="AG685">
            <v>1</v>
          </cell>
          <cell r="AH685">
            <v>0</v>
          </cell>
          <cell r="AI685">
            <v>2</v>
          </cell>
          <cell r="AJ685">
            <v>0</v>
          </cell>
          <cell r="AK685">
            <v>0</v>
          </cell>
        </row>
        <row r="686">
          <cell r="B686">
            <v>1046</v>
          </cell>
          <cell r="C686" t="str">
            <v>عوض محمد ادم مصطفى</v>
          </cell>
          <cell r="D686" t="str">
            <v>المصنع</v>
          </cell>
          <cell r="E686" t="str">
            <v>الانتاج</v>
          </cell>
          <cell r="F686">
            <v>0</v>
          </cell>
          <cell r="G686">
            <v>0</v>
          </cell>
          <cell r="H686">
            <v>43150</v>
          </cell>
          <cell r="I686">
            <v>43498</v>
          </cell>
          <cell r="J686">
            <v>27.5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24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1</v>
          </cell>
          <cell r="AE686">
            <v>1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</row>
        <row r="687">
          <cell r="B687">
            <v>1047</v>
          </cell>
          <cell r="C687" t="str">
            <v>عصام الدين إسماعيل زين العابدين عباس</v>
          </cell>
          <cell r="D687" t="str">
            <v>المصنع</v>
          </cell>
          <cell r="E687" t="str">
            <v>الكهرباء</v>
          </cell>
          <cell r="F687">
            <v>0</v>
          </cell>
          <cell r="G687">
            <v>0</v>
          </cell>
          <cell r="H687">
            <v>43152</v>
          </cell>
          <cell r="I687">
            <v>43498</v>
          </cell>
          <cell r="J687">
            <v>27.5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10</v>
          </cell>
          <cell r="Y687">
            <v>0</v>
          </cell>
          <cell r="Z687">
            <v>0</v>
          </cell>
          <cell r="AA687">
            <v>0</v>
          </cell>
          <cell r="AB687">
            <v>1</v>
          </cell>
          <cell r="AC687">
            <v>0</v>
          </cell>
          <cell r="AD687">
            <v>8</v>
          </cell>
          <cell r="AE687">
            <v>5</v>
          </cell>
          <cell r="AF687">
            <v>8</v>
          </cell>
          <cell r="AG687">
            <v>6</v>
          </cell>
          <cell r="AH687">
            <v>6</v>
          </cell>
          <cell r="AI687">
            <v>1</v>
          </cell>
          <cell r="AJ687">
            <v>2</v>
          </cell>
          <cell r="AK687">
            <v>0</v>
          </cell>
        </row>
        <row r="688">
          <cell r="B688">
            <v>1048</v>
          </cell>
          <cell r="C688" t="str">
            <v>مياده الرشيد عبدالعزيز احمد</v>
          </cell>
          <cell r="D688" t="str">
            <v>الرئاسه</v>
          </cell>
          <cell r="E688">
            <v>0</v>
          </cell>
          <cell r="F688">
            <v>0</v>
          </cell>
          <cell r="G688">
            <v>0</v>
          </cell>
          <cell r="H688">
            <v>43160</v>
          </cell>
          <cell r="I688">
            <v>43498</v>
          </cell>
          <cell r="J688">
            <v>27.5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12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2</v>
          </cell>
          <cell r="AG688">
            <v>2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</row>
        <row r="689">
          <cell r="B689">
            <v>1049</v>
          </cell>
          <cell r="C689" t="str">
            <v>محمد احمد ادم محمد</v>
          </cell>
          <cell r="D689" t="str">
            <v>المصنع</v>
          </cell>
          <cell r="E689" t="str">
            <v>الامن و الحركه</v>
          </cell>
          <cell r="F689">
            <v>0</v>
          </cell>
          <cell r="G689">
            <v>0</v>
          </cell>
          <cell r="H689">
            <v>43160</v>
          </cell>
          <cell r="I689">
            <v>43498</v>
          </cell>
          <cell r="J689">
            <v>27.5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2</v>
          </cell>
          <cell r="AG689">
            <v>0</v>
          </cell>
          <cell r="AH689">
            <v>2</v>
          </cell>
          <cell r="AI689">
            <v>0</v>
          </cell>
          <cell r="AJ689">
            <v>0</v>
          </cell>
          <cell r="AK689">
            <v>0</v>
          </cell>
        </row>
        <row r="690">
          <cell r="B690">
            <v>1050</v>
          </cell>
          <cell r="C690" t="str">
            <v>بابكر حسن احمد بابكر</v>
          </cell>
          <cell r="D690" t="str">
            <v>المصنع</v>
          </cell>
          <cell r="E690" t="str">
            <v>الانتاج</v>
          </cell>
          <cell r="F690">
            <v>0</v>
          </cell>
          <cell r="G690">
            <v>0</v>
          </cell>
          <cell r="H690">
            <v>43160</v>
          </cell>
          <cell r="I690">
            <v>43498</v>
          </cell>
          <cell r="J690">
            <v>27.5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6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11</v>
          </cell>
          <cell r="AD690">
            <v>5</v>
          </cell>
          <cell r="AE690">
            <v>1</v>
          </cell>
          <cell r="AF690">
            <v>1</v>
          </cell>
          <cell r="AG690">
            <v>3</v>
          </cell>
          <cell r="AH690">
            <v>0</v>
          </cell>
          <cell r="AI690">
            <v>1</v>
          </cell>
          <cell r="AJ690">
            <v>2</v>
          </cell>
          <cell r="AK690">
            <v>0</v>
          </cell>
        </row>
        <row r="691">
          <cell r="B691">
            <v>1051</v>
          </cell>
          <cell r="C691" t="str">
            <v>عبدالباقى ابراهيم عبدالله الحاج</v>
          </cell>
          <cell r="D691" t="str">
            <v>الرئاسه</v>
          </cell>
          <cell r="E691">
            <v>0</v>
          </cell>
          <cell r="F691">
            <v>0</v>
          </cell>
          <cell r="G691">
            <v>0</v>
          </cell>
          <cell r="H691">
            <v>43169</v>
          </cell>
          <cell r="I691">
            <v>43498</v>
          </cell>
          <cell r="J691">
            <v>25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1</v>
          </cell>
          <cell r="AE691">
            <v>0</v>
          </cell>
          <cell r="AF691">
            <v>1</v>
          </cell>
          <cell r="AG691">
            <v>2</v>
          </cell>
          <cell r="AH691">
            <v>0</v>
          </cell>
          <cell r="AI691">
            <v>3</v>
          </cell>
          <cell r="AJ691">
            <v>0</v>
          </cell>
          <cell r="AK691">
            <v>0</v>
          </cell>
        </row>
        <row r="692">
          <cell r="B692">
            <v>1052</v>
          </cell>
          <cell r="C692" t="str">
            <v>يسريه سمير احمد سليمان</v>
          </cell>
          <cell r="D692" t="str">
            <v>الرئاسه</v>
          </cell>
          <cell r="E692">
            <v>0</v>
          </cell>
          <cell r="F692">
            <v>0</v>
          </cell>
          <cell r="G692">
            <v>0</v>
          </cell>
          <cell r="H692">
            <v>43169</v>
          </cell>
          <cell r="I692">
            <v>43498</v>
          </cell>
          <cell r="J692">
            <v>25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8</v>
          </cell>
          <cell r="Y692">
            <v>0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2</v>
          </cell>
          <cell r="AG692">
            <v>2</v>
          </cell>
          <cell r="AH692">
            <v>0</v>
          </cell>
          <cell r="AI692">
            <v>14</v>
          </cell>
          <cell r="AJ692">
            <v>1</v>
          </cell>
          <cell r="AK692">
            <v>0</v>
          </cell>
        </row>
        <row r="693">
          <cell r="B693">
            <v>1053</v>
          </cell>
          <cell r="C693" t="str">
            <v>نادر خليفه عبدالرحمن حسين</v>
          </cell>
          <cell r="D693" t="str">
            <v>المصنع</v>
          </cell>
          <cell r="E693" t="str">
            <v>الانتاج</v>
          </cell>
          <cell r="F693" t="str">
            <v>الاكسبنده</v>
          </cell>
          <cell r="G693">
            <v>0</v>
          </cell>
          <cell r="H693">
            <v>43191</v>
          </cell>
          <cell r="I693">
            <v>43498</v>
          </cell>
          <cell r="J693">
            <v>25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1</v>
          </cell>
          <cell r="AE693">
            <v>0</v>
          </cell>
          <cell r="AF693">
            <v>6</v>
          </cell>
          <cell r="AG693">
            <v>0</v>
          </cell>
          <cell r="AH693">
            <v>20</v>
          </cell>
          <cell r="AI693">
            <v>0</v>
          </cell>
          <cell r="AJ693">
            <v>1</v>
          </cell>
          <cell r="AK693">
            <v>0</v>
          </cell>
        </row>
        <row r="694">
          <cell r="B694">
            <v>1054</v>
          </cell>
          <cell r="C694" t="str">
            <v>محمد يحى عثمان ادم</v>
          </cell>
          <cell r="D694" t="str">
            <v>المصنع</v>
          </cell>
          <cell r="E694" t="str">
            <v>الانتاج</v>
          </cell>
          <cell r="F694" t="str">
            <v>الاكسبنده</v>
          </cell>
          <cell r="G694">
            <v>0</v>
          </cell>
          <cell r="H694">
            <v>43205</v>
          </cell>
          <cell r="I694">
            <v>43498</v>
          </cell>
          <cell r="J694">
            <v>22.5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>
            <v>0</v>
          </cell>
          <cell r="AC694">
            <v>1</v>
          </cell>
          <cell r="AD694">
            <v>1</v>
          </cell>
          <cell r="AE694">
            <v>0</v>
          </cell>
          <cell r="AF694">
            <v>2</v>
          </cell>
          <cell r="AG694">
            <v>0</v>
          </cell>
          <cell r="AH694">
            <v>1</v>
          </cell>
          <cell r="AI694">
            <v>0</v>
          </cell>
          <cell r="AJ694">
            <v>1</v>
          </cell>
          <cell r="AK694">
            <v>0</v>
          </cell>
        </row>
        <row r="695">
          <cell r="B695">
            <v>1055</v>
          </cell>
          <cell r="C695" t="str">
            <v>حسن كمال مصطفى إبراهيم</v>
          </cell>
          <cell r="D695" t="str">
            <v>المصنع</v>
          </cell>
          <cell r="E695" t="str">
            <v>الانتاج</v>
          </cell>
          <cell r="F695">
            <v>0</v>
          </cell>
          <cell r="G695">
            <v>0</v>
          </cell>
          <cell r="H695">
            <v>43208</v>
          </cell>
          <cell r="I695">
            <v>43498</v>
          </cell>
          <cell r="J695">
            <v>22.5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15</v>
          </cell>
          <cell r="Y695">
            <v>0</v>
          </cell>
          <cell r="Z695">
            <v>0</v>
          </cell>
          <cell r="AA695">
            <v>0</v>
          </cell>
          <cell r="AB695">
            <v>0</v>
          </cell>
          <cell r="AC695">
            <v>9</v>
          </cell>
          <cell r="AD695">
            <v>5</v>
          </cell>
          <cell r="AE695">
            <v>4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</row>
        <row r="696">
          <cell r="B696">
            <v>1056</v>
          </cell>
          <cell r="C696" t="str">
            <v>ايمن ضوالبيت هارون سبيل</v>
          </cell>
          <cell r="D696" t="str">
            <v>المصنع</v>
          </cell>
          <cell r="E696" t="str">
            <v>الانتاج</v>
          </cell>
          <cell r="F696">
            <v>0</v>
          </cell>
          <cell r="G696">
            <v>0</v>
          </cell>
          <cell r="H696">
            <v>43209</v>
          </cell>
          <cell r="I696">
            <v>43498</v>
          </cell>
          <cell r="J696">
            <v>22.5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>
            <v>0</v>
          </cell>
          <cell r="AC696">
            <v>0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</row>
        <row r="697">
          <cell r="B697">
            <v>1057</v>
          </cell>
          <cell r="C697" t="str">
            <v>ابوالسر سيف الدين مصطفى طه</v>
          </cell>
          <cell r="D697" t="str">
            <v>المصنع</v>
          </cell>
          <cell r="E697" t="str">
            <v>الانتاج</v>
          </cell>
          <cell r="F697">
            <v>0</v>
          </cell>
          <cell r="G697">
            <v>0</v>
          </cell>
          <cell r="H697">
            <v>43209</v>
          </cell>
          <cell r="I697">
            <v>43498</v>
          </cell>
          <cell r="J697">
            <v>22.5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6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</row>
        <row r="698">
          <cell r="B698">
            <v>1058</v>
          </cell>
          <cell r="C698" t="str">
            <v>محمد طه محمد احمد</v>
          </cell>
          <cell r="D698" t="str">
            <v>المصنع</v>
          </cell>
          <cell r="E698" t="str">
            <v>الانتاج</v>
          </cell>
          <cell r="F698">
            <v>0</v>
          </cell>
          <cell r="G698">
            <v>0</v>
          </cell>
          <cell r="H698">
            <v>43209</v>
          </cell>
          <cell r="I698">
            <v>43498</v>
          </cell>
          <cell r="J698">
            <v>22.5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20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1</v>
          </cell>
          <cell r="AE698">
            <v>0</v>
          </cell>
          <cell r="AF698">
            <v>1</v>
          </cell>
          <cell r="AG698">
            <v>0</v>
          </cell>
          <cell r="AH698">
            <v>2</v>
          </cell>
          <cell r="AI698">
            <v>6</v>
          </cell>
          <cell r="AJ698">
            <v>4</v>
          </cell>
          <cell r="AK698">
            <v>0</v>
          </cell>
        </row>
        <row r="699">
          <cell r="B699">
            <v>1059</v>
          </cell>
          <cell r="C699" t="str">
            <v>محمد حمزه الامين احمد</v>
          </cell>
          <cell r="D699" t="str">
            <v>المصنع</v>
          </cell>
          <cell r="E699" t="str">
            <v>الانتاج</v>
          </cell>
          <cell r="F699">
            <v>0</v>
          </cell>
          <cell r="G699">
            <v>0</v>
          </cell>
          <cell r="H699">
            <v>43209</v>
          </cell>
          <cell r="I699">
            <v>43498</v>
          </cell>
          <cell r="J699">
            <v>22.5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2</v>
          </cell>
          <cell r="Y699">
            <v>0</v>
          </cell>
          <cell r="Z699">
            <v>0</v>
          </cell>
          <cell r="AA699">
            <v>0</v>
          </cell>
          <cell r="AB699">
            <v>0</v>
          </cell>
          <cell r="AC699">
            <v>4</v>
          </cell>
          <cell r="AD699">
            <v>5</v>
          </cell>
          <cell r="AE699">
            <v>3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</row>
        <row r="700">
          <cell r="B700">
            <v>1060</v>
          </cell>
          <cell r="C700" t="str">
            <v>معروف محمد عبدالعزيز احمد</v>
          </cell>
          <cell r="D700" t="str">
            <v>المصنع</v>
          </cell>
          <cell r="E700" t="str">
            <v>الانتاج</v>
          </cell>
          <cell r="F700">
            <v>0</v>
          </cell>
          <cell r="G700">
            <v>0</v>
          </cell>
          <cell r="H700">
            <v>43221</v>
          </cell>
          <cell r="I700">
            <v>0</v>
          </cell>
          <cell r="J700" t="e">
            <v>#NUM!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6</v>
          </cell>
          <cell r="AE700">
            <v>0</v>
          </cell>
          <cell r="AF700">
            <v>7</v>
          </cell>
          <cell r="AG700">
            <v>0</v>
          </cell>
          <cell r="AH700">
            <v>5</v>
          </cell>
          <cell r="AI700">
            <v>1</v>
          </cell>
          <cell r="AJ700">
            <v>0</v>
          </cell>
          <cell r="AK700">
            <v>0</v>
          </cell>
        </row>
        <row r="701">
          <cell r="B701">
            <v>1061</v>
          </cell>
          <cell r="C701" t="str">
            <v>حسن على بادى يحى</v>
          </cell>
          <cell r="D701" t="str">
            <v>المصنع</v>
          </cell>
          <cell r="E701" t="str">
            <v>الخدمات</v>
          </cell>
          <cell r="F701">
            <v>0</v>
          </cell>
          <cell r="G701">
            <v>0</v>
          </cell>
          <cell r="H701">
            <v>43221</v>
          </cell>
          <cell r="I701">
            <v>0</v>
          </cell>
          <cell r="J701" t="e">
            <v>#NUM!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5</v>
          </cell>
          <cell r="AE701">
            <v>0</v>
          </cell>
          <cell r="AF701">
            <v>3</v>
          </cell>
          <cell r="AG701">
            <v>0</v>
          </cell>
          <cell r="AH701">
            <v>2</v>
          </cell>
          <cell r="AI701">
            <v>1</v>
          </cell>
          <cell r="AJ701">
            <v>0</v>
          </cell>
          <cell r="AK701">
            <v>0</v>
          </cell>
        </row>
        <row r="702">
          <cell r="B702">
            <v>1062</v>
          </cell>
          <cell r="C702" t="str">
            <v>ابراهيم حامد ابراهيم بابكر</v>
          </cell>
          <cell r="D702" t="str">
            <v>المصنع</v>
          </cell>
          <cell r="E702" t="str">
            <v>الانتاج</v>
          </cell>
          <cell r="F702">
            <v>0</v>
          </cell>
          <cell r="G702">
            <v>0</v>
          </cell>
          <cell r="H702">
            <v>43223</v>
          </cell>
          <cell r="I702">
            <v>0</v>
          </cell>
          <cell r="J702" t="e">
            <v>#NUM!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4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5</v>
          </cell>
          <cell r="AD702">
            <v>4</v>
          </cell>
          <cell r="AE702">
            <v>2</v>
          </cell>
          <cell r="AF702">
            <v>2</v>
          </cell>
          <cell r="AG702">
            <v>3</v>
          </cell>
          <cell r="AH702">
            <v>0</v>
          </cell>
          <cell r="AI702">
            <v>1</v>
          </cell>
          <cell r="AJ702">
            <v>3</v>
          </cell>
          <cell r="AK702">
            <v>0</v>
          </cell>
        </row>
        <row r="703">
          <cell r="B703">
            <v>1063</v>
          </cell>
          <cell r="C703" t="str">
            <v>محمد عيسى النور جابر</v>
          </cell>
          <cell r="D703" t="str">
            <v>المصنع</v>
          </cell>
          <cell r="E703" t="str">
            <v>الانتاج</v>
          </cell>
          <cell r="F703">
            <v>0</v>
          </cell>
          <cell r="G703">
            <v>0</v>
          </cell>
          <cell r="H703">
            <v>43227</v>
          </cell>
          <cell r="I703">
            <v>0</v>
          </cell>
          <cell r="J703" t="e">
            <v>#NUM!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5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1</v>
          </cell>
          <cell r="AE703">
            <v>0</v>
          </cell>
          <cell r="AF703">
            <v>2</v>
          </cell>
          <cell r="AG703">
            <v>1</v>
          </cell>
          <cell r="AH703">
            <v>5</v>
          </cell>
          <cell r="AI703">
            <v>2</v>
          </cell>
          <cell r="AJ703">
            <v>1</v>
          </cell>
          <cell r="AK703">
            <v>0</v>
          </cell>
        </row>
        <row r="704">
          <cell r="B704">
            <v>1064</v>
          </cell>
          <cell r="C704" t="str">
            <v>ابوبكر خالد عباس مقبول</v>
          </cell>
          <cell r="D704" t="str">
            <v>المصنع</v>
          </cell>
          <cell r="E704" t="str">
            <v>الانتاج</v>
          </cell>
          <cell r="F704">
            <v>0</v>
          </cell>
          <cell r="G704">
            <v>0</v>
          </cell>
          <cell r="H704">
            <v>43227</v>
          </cell>
          <cell r="I704">
            <v>0</v>
          </cell>
          <cell r="J704" t="e">
            <v>#NUM!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2</v>
          </cell>
          <cell r="AE704">
            <v>1</v>
          </cell>
          <cell r="AF704">
            <v>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</row>
        <row r="705">
          <cell r="B705">
            <v>1065</v>
          </cell>
          <cell r="C705" t="str">
            <v>اسامه خالد كرار عثمان</v>
          </cell>
          <cell r="D705" t="str">
            <v>المصنع</v>
          </cell>
          <cell r="E705" t="str">
            <v>الانتاج</v>
          </cell>
          <cell r="F705">
            <v>0</v>
          </cell>
          <cell r="G705">
            <v>0</v>
          </cell>
          <cell r="H705">
            <v>43222</v>
          </cell>
          <cell r="I705">
            <v>0</v>
          </cell>
          <cell r="J705" t="e">
            <v>#NUM!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1</v>
          </cell>
          <cell r="AF705">
            <v>4</v>
          </cell>
          <cell r="AG705">
            <v>1</v>
          </cell>
          <cell r="AH705">
            <v>6</v>
          </cell>
          <cell r="AI705">
            <v>3</v>
          </cell>
          <cell r="AJ705">
            <v>0</v>
          </cell>
          <cell r="AK705">
            <v>0</v>
          </cell>
        </row>
        <row r="706">
          <cell r="B706">
            <v>1066</v>
          </cell>
          <cell r="C706" t="str">
            <v>فضل السيد محجوب فضل السيد دسوقى</v>
          </cell>
          <cell r="D706" t="str">
            <v>المصنع</v>
          </cell>
          <cell r="E706">
            <v>0</v>
          </cell>
          <cell r="F706">
            <v>0</v>
          </cell>
          <cell r="G706">
            <v>0</v>
          </cell>
          <cell r="H706">
            <v>43252</v>
          </cell>
          <cell r="I706">
            <v>0</v>
          </cell>
          <cell r="J706" t="e">
            <v>#NUM!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1</v>
          </cell>
          <cell r="AF706">
            <v>1</v>
          </cell>
          <cell r="AG706">
            <v>0</v>
          </cell>
          <cell r="AH706">
            <v>0</v>
          </cell>
          <cell r="AI706">
            <v>0</v>
          </cell>
          <cell r="AJ706">
            <v>1</v>
          </cell>
          <cell r="AK706">
            <v>0</v>
          </cell>
        </row>
        <row r="707">
          <cell r="B707">
            <v>1067</v>
          </cell>
          <cell r="C707" t="str">
            <v>محمد النيل بابكر عبدالباقى</v>
          </cell>
          <cell r="D707" t="str">
            <v>المصنع</v>
          </cell>
          <cell r="E707" t="str">
            <v>الاليات</v>
          </cell>
          <cell r="F707">
            <v>0</v>
          </cell>
          <cell r="G707">
            <v>0</v>
          </cell>
          <cell r="H707">
            <v>43286</v>
          </cell>
          <cell r="I707">
            <v>0</v>
          </cell>
          <cell r="J707" t="e">
            <v>#NUM!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2</v>
          </cell>
          <cell r="AF707">
            <v>1</v>
          </cell>
          <cell r="AG707">
            <v>1</v>
          </cell>
          <cell r="AH707">
            <v>1</v>
          </cell>
          <cell r="AI707">
            <v>0</v>
          </cell>
          <cell r="AJ707">
            <v>1</v>
          </cell>
          <cell r="AK707">
            <v>0</v>
          </cell>
        </row>
        <row r="708">
          <cell r="B708">
            <v>1068</v>
          </cell>
          <cell r="C708" t="str">
            <v>مصطفى الامين عبدالرحيم عبدالله</v>
          </cell>
          <cell r="D708" t="str">
            <v>المصنع</v>
          </cell>
          <cell r="E708" t="str">
            <v>الميكانيكا</v>
          </cell>
          <cell r="F708">
            <v>0</v>
          </cell>
          <cell r="G708">
            <v>0</v>
          </cell>
          <cell r="H708">
            <v>43282</v>
          </cell>
          <cell r="I708">
            <v>0</v>
          </cell>
          <cell r="J708" t="e">
            <v>#NUM!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1</v>
          </cell>
          <cell r="AF708">
            <v>4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</row>
        <row r="709">
          <cell r="B709">
            <v>1069</v>
          </cell>
          <cell r="C709" t="str">
            <v>خالد النور إبراهيم النور</v>
          </cell>
          <cell r="D709" t="str">
            <v>المصنع</v>
          </cell>
          <cell r="E709" t="str">
            <v>الانتاج</v>
          </cell>
          <cell r="F709">
            <v>0</v>
          </cell>
          <cell r="G709">
            <v>0</v>
          </cell>
          <cell r="H709">
            <v>43346</v>
          </cell>
          <cell r="I709">
            <v>0</v>
          </cell>
          <cell r="J709" t="e">
            <v>#NUM!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</row>
        <row r="710">
          <cell r="B710">
            <v>1070</v>
          </cell>
          <cell r="C710" t="str">
            <v>عبدالرحيم موسى ادم محمد</v>
          </cell>
          <cell r="D710" t="str">
            <v>المصنع</v>
          </cell>
          <cell r="E710" t="str">
            <v>الخدمات</v>
          </cell>
          <cell r="F710">
            <v>0</v>
          </cell>
          <cell r="G710">
            <v>0</v>
          </cell>
          <cell r="H710">
            <v>43356</v>
          </cell>
          <cell r="I710">
            <v>0</v>
          </cell>
          <cell r="J710" t="e">
            <v>#NUM!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2</v>
          </cell>
          <cell r="AH710">
            <v>3</v>
          </cell>
          <cell r="AI710">
            <v>1</v>
          </cell>
          <cell r="AJ710">
            <v>1</v>
          </cell>
          <cell r="AK710">
            <v>0</v>
          </cell>
        </row>
        <row r="711">
          <cell r="B711">
            <v>1071</v>
          </cell>
          <cell r="C711" t="str">
            <v>مازن يحي إدريس على</v>
          </cell>
          <cell r="D711" t="str">
            <v>الرئاسه</v>
          </cell>
          <cell r="E711">
            <v>0</v>
          </cell>
          <cell r="F711">
            <v>0</v>
          </cell>
          <cell r="G711">
            <v>0</v>
          </cell>
          <cell r="H711">
            <v>43376</v>
          </cell>
          <cell r="I711">
            <v>0</v>
          </cell>
          <cell r="J711" t="e">
            <v>#NUM!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0</v>
          </cell>
          <cell r="AF711">
            <v>0</v>
          </cell>
          <cell r="AG711">
            <v>0</v>
          </cell>
          <cell r="AH711">
            <v>1</v>
          </cell>
          <cell r="AI711">
            <v>1</v>
          </cell>
          <cell r="AJ711">
            <v>0</v>
          </cell>
          <cell r="AK711">
            <v>0</v>
          </cell>
        </row>
        <row r="712">
          <cell r="B712">
            <v>1072</v>
          </cell>
          <cell r="C712" t="str">
            <v>محمد الطيب محمد إسماعيل</v>
          </cell>
          <cell r="D712" t="str">
            <v>الرئاسه</v>
          </cell>
          <cell r="E712">
            <v>0</v>
          </cell>
          <cell r="F712">
            <v>0</v>
          </cell>
          <cell r="G712">
            <v>0</v>
          </cell>
          <cell r="H712">
            <v>43377</v>
          </cell>
          <cell r="I712">
            <v>0</v>
          </cell>
          <cell r="J712" t="e">
            <v>#NUM!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</row>
        <row r="713">
          <cell r="B713">
            <v>1073</v>
          </cell>
          <cell r="C713" t="str">
            <v>عبدالله عمر احمد عمر</v>
          </cell>
          <cell r="D713" t="str">
            <v>المصنع</v>
          </cell>
          <cell r="E713" t="str">
            <v>الانتاج</v>
          </cell>
          <cell r="F713">
            <v>0</v>
          </cell>
          <cell r="G713">
            <v>0</v>
          </cell>
          <cell r="H713">
            <v>43410</v>
          </cell>
          <cell r="I713">
            <v>0</v>
          </cell>
          <cell r="J713" t="e">
            <v>#NUM!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</row>
        <row r="714">
          <cell r="B714">
            <v>1074</v>
          </cell>
          <cell r="C714" t="str">
            <v>جعفر الزاكى عبدالرحيم احمد</v>
          </cell>
          <cell r="D714" t="str">
            <v>المصنع</v>
          </cell>
          <cell r="E714" t="str">
            <v>الانتاج</v>
          </cell>
          <cell r="F714">
            <v>0</v>
          </cell>
          <cell r="G714">
            <v>0</v>
          </cell>
          <cell r="H714">
            <v>43414</v>
          </cell>
          <cell r="I714">
            <v>0</v>
          </cell>
          <cell r="J714" t="e">
            <v>#NUM!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0</v>
          </cell>
          <cell r="AH714">
            <v>0</v>
          </cell>
          <cell r="AI714">
            <v>0</v>
          </cell>
          <cell r="AJ714">
            <v>1</v>
          </cell>
          <cell r="AK714">
            <v>0</v>
          </cell>
        </row>
        <row r="715">
          <cell r="B715">
            <v>1075</v>
          </cell>
          <cell r="C715" t="str">
            <v>حسن سليمان محمد نور</v>
          </cell>
          <cell r="D715" t="str">
            <v>المصنع</v>
          </cell>
          <cell r="E715" t="str">
            <v>الانتاج</v>
          </cell>
          <cell r="F715">
            <v>0</v>
          </cell>
          <cell r="G715">
            <v>0</v>
          </cell>
          <cell r="H715">
            <v>43414</v>
          </cell>
          <cell r="I715">
            <v>0</v>
          </cell>
          <cell r="J715" t="e">
            <v>#NUM!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</row>
        <row r="716">
          <cell r="B716">
            <v>1076</v>
          </cell>
          <cell r="C716" t="str">
            <v>محمد حوى النبى الفضل بابكر</v>
          </cell>
          <cell r="D716" t="str">
            <v>المصنع</v>
          </cell>
          <cell r="E716" t="str">
            <v>الانتاج</v>
          </cell>
          <cell r="F716">
            <v>0</v>
          </cell>
          <cell r="G716">
            <v>0</v>
          </cell>
          <cell r="H716">
            <v>43416</v>
          </cell>
          <cell r="I716">
            <v>0</v>
          </cell>
          <cell r="J716" t="e">
            <v>#NUM!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2</v>
          </cell>
          <cell r="AK716">
            <v>0</v>
          </cell>
        </row>
        <row r="717">
          <cell r="B717">
            <v>1077</v>
          </cell>
          <cell r="C717" t="str">
            <v>عمادالدين بله محمد ادم</v>
          </cell>
          <cell r="D717" t="str">
            <v>التعدين</v>
          </cell>
          <cell r="E717">
            <v>0</v>
          </cell>
          <cell r="F717">
            <v>0</v>
          </cell>
          <cell r="G717">
            <v>0</v>
          </cell>
          <cell r="H717">
            <v>43435</v>
          </cell>
          <cell r="I717">
            <v>0</v>
          </cell>
          <cell r="J717" t="e">
            <v>#NUM!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0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</row>
        <row r="718">
          <cell r="B718">
            <v>1078</v>
          </cell>
          <cell r="C718" t="str">
            <v>تقوى إدريس كورى تيه</v>
          </cell>
          <cell r="D718" t="str">
            <v>السودانى الايطالى</v>
          </cell>
          <cell r="E718">
            <v>0</v>
          </cell>
          <cell r="F718">
            <v>0</v>
          </cell>
          <cell r="G718">
            <v>0</v>
          </cell>
          <cell r="H718">
            <v>43408</v>
          </cell>
          <cell r="I718">
            <v>0</v>
          </cell>
          <cell r="J718" t="e">
            <v>#NUM!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</row>
        <row r="719">
          <cell r="B719">
            <v>1079</v>
          </cell>
          <cell r="C719" t="str">
            <v>سامى عبدالله ادم محمد</v>
          </cell>
          <cell r="D719" t="str">
            <v>المصنع</v>
          </cell>
          <cell r="E719" t="str">
            <v>الانتاج</v>
          </cell>
          <cell r="F719">
            <v>0</v>
          </cell>
          <cell r="G719">
            <v>0</v>
          </cell>
          <cell r="H719">
            <v>43435</v>
          </cell>
          <cell r="I719">
            <v>0</v>
          </cell>
          <cell r="J719" t="e">
            <v>#NUM!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</row>
        <row r="720">
          <cell r="B720">
            <v>1080</v>
          </cell>
          <cell r="C720" t="str">
            <v>ناجى عبدالله محمد على صالح</v>
          </cell>
          <cell r="D720" t="str">
            <v>المصنع</v>
          </cell>
          <cell r="E720" t="str">
            <v>الانتاج</v>
          </cell>
          <cell r="F720">
            <v>0</v>
          </cell>
          <cell r="G720">
            <v>0</v>
          </cell>
          <cell r="H720">
            <v>43444</v>
          </cell>
          <cell r="I720">
            <v>0</v>
          </cell>
          <cell r="J720" t="e">
            <v>#NUM!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</row>
        <row r="721">
          <cell r="B721">
            <v>1081</v>
          </cell>
          <cell r="C721" t="str">
            <v>نعمات عبدالرحيم محمد عثمان عبدالعزيز</v>
          </cell>
          <cell r="D721" t="str">
            <v>السودانى الايطالى</v>
          </cell>
          <cell r="E721">
            <v>0</v>
          </cell>
          <cell r="F721">
            <v>0</v>
          </cell>
          <cell r="G721">
            <v>0</v>
          </cell>
          <cell r="H721">
            <v>43435</v>
          </cell>
          <cell r="I721">
            <v>0</v>
          </cell>
          <cell r="J721" t="e">
            <v>#NUM!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</row>
        <row r="722">
          <cell r="B722">
            <v>1082</v>
          </cell>
          <cell r="C722" t="str">
            <v>احمد عبدالوهاب صالح داؤود</v>
          </cell>
          <cell r="D722" t="str">
            <v>الرئاسه</v>
          </cell>
          <cell r="E722" t="str">
            <v>الماليه</v>
          </cell>
          <cell r="F722">
            <v>0</v>
          </cell>
          <cell r="G722">
            <v>0</v>
          </cell>
          <cell r="H722">
            <v>43444</v>
          </cell>
          <cell r="I722">
            <v>0</v>
          </cell>
          <cell r="J722" t="e">
            <v>#NUM!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</row>
        <row r="723">
          <cell r="B723">
            <v>1083</v>
          </cell>
          <cell r="C723" t="str">
            <v>عبدالرحمن ابراهيم سنهورى الامين</v>
          </cell>
          <cell r="D723" t="str">
            <v>السودانى الايطالى</v>
          </cell>
          <cell r="E723" t="str">
            <v>الماليه</v>
          </cell>
          <cell r="F723">
            <v>0</v>
          </cell>
          <cell r="G723">
            <v>0</v>
          </cell>
          <cell r="H723">
            <v>43435</v>
          </cell>
          <cell r="I723">
            <v>0</v>
          </cell>
          <cell r="J723" t="e">
            <v>#NUM!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</row>
        <row r="724">
          <cell r="B724">
            <v>1084</v>
          </cell>
          <cell r="C724" t="str">
            <v>مدثر عوض الكريم محمد احمد</v>
          </cell>
          <cell r="D724" t="str">
            <v>المصنع</v>
          </cell>
          <cell r="E724" t="str">
            <v>الانتاج</v>
          </cell>
          <cell r="F724">
            <v>0</v>
          </cell>
          <cell r="G724">
            <v>0</v>
          </cell>
          <cell r="H724">
            <v>43484</v>
          </cell>
          <cell r="I724">
            <v>0</v>
          </cell>
          <cell r="J724" t="e">
            <v>#NUM!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</row>
        <row r="725">
          <cell r="B725">
            <v>6001</v>
          </cell>
          <cell r="C725" t="str">
            <v>محمد الساير فضالى الحلو</v>
          </cell>
          <cell r="D725" t="str">
            <v>السودانى الايطالى</v>
          </cell>
          <cell r="E725" t="str">
            <v>الامن و الحركه</v>
          </cell>
          <cell r="F725" t="str">
            <v>الامن</v>
          </cell>
          <cell r="G725">
            <v>0</v>
          </cell>
          <cell r="H725">
            <v>41105</v>
          </cell>
          <cell r="I725">
            <v>43498</v>
          </cell>
          <cell r="J725">
            <v>195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</row>
        <row r="726">
          <cell r="B726">
            <v>6002</v>
          </cell>
          <cell r="C726" t="str">
            <v>معتز الرشيد خشم الموس احمد</v>
          </cell>
          <cell r="D726" t="str">
            <v>السودانى الايطالى</v>
          </cell>
          <cell r="E726" t="str">
            <v>الاداره</v>
          </cell>
          <cell r="F726">
            <v>0</v>
          </cell>
          <cell r="G726">
            <v>0</v>
          </cell>
          <cell r="H726">
            <v>41760</v>
          </cell>
          <cell r="I726">
            <v>43498</v>
          </cell>
          <cell r="J726">
            <v>142.5</v>
          </cell>
          <cell r="K726">
            <v>0</v>
          </cell>
          <cell r="L726">
            <v>0</v>
          </cell>
          <cell r="M726">
            <v>0</v>
          </cell>
          <cell r="N726">
            <v>15</v>
          </cell>
          <cell r="O726">
            <v>0</v>
          </cell>
          <cell r="P726">
            <v>0</v>
          </cell>
          <cell r="Q726">
            <v>1</v>
          </cell>
          <cell r="R726">
            <v>3</v>
          </cell>
          <cell r="S726">
            <v>0</v>
          </cell>
          <cell r="T726">
            <v>0</v>
          </cell>
          <cell r="U726">
            <v>0</v>
          </cell>
          <cell r="V726">
            <v>1</v>
          </cell>
          <cell r="W726">
            <v>20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</row>
        <row r="727">
          <cell r="B727">
            <v>6003</v>
          </cell>
          <cell r="C727" t="str">
            <v>بشريه حسن بخيت</v>
          </cell>
          <cell r="D727" t="str">
            <v>السودانى الايطالى</v>
          </cell>
          <cell r="E727" t="str">
            <v>الاداره</v>
          </cell>
          <cell r="F727">
            <v>0</v>
          </cell>
          <cell r="G727">
            <v>0</v>
          </cell>
          <cell r="H727">
            <v>41953</v>
          </cell>
          <cell r="I727">
            <v>42705</v>
          </cell>
          <cell r="J727">
            <v>60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</row>
        <row r="728">
          <cell r="B728">
            <v>6006</v>
          </cell>
          <cell r="C728" t="str">
            <v>عبدالمنعم عبدالرحمن مصطفى بابكر</v>
          </cell>
          <cell r="D728" t="str">
            <v>السودانى الايطالى</v>
          </cell>
          <cell r="E728" t="str">
            <v>الاداره</v>
          </cell>
          <cell r="F728">
            <v>0</v>
          </cell>
          <cell r="G728">
            <v>0</v>
          </cell>
          <cell r="H728">
            <v>42310</v>
          </cell>
          <cell r="I728">
            <v>43498</v>
          </cell>
          <cell r="J728">
            <v>97.5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1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30</v>
          </cell>
          <cell r="W728">
            <v>31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</row>
        <row r="729">
          <cell r="B729">
            <v>6007</v>
          </cell>
          <cell r="C729" t="str">
            <v>المعتصم الياس حسين فضل</v>
          </cell>
          <cell r="D729" t="str">
            <v>السودانى الايطالى</v>
          </cell>
          <cell r="E729" t="str">
            <v>الانتاج</v>
          </cell>
          <cell r="F729">
            <v>0</v>
          </cell>
          <cell r="G729">
            <v>0</v>
          </cell>
          <cell r="H729">
            <v>42535</v>
          </cell>
          <cell r="I729">
            <v>43498</v>
          </cell>
          <cell r="J729">
            <v>77.5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</row>
        <row r="730">
          <cell r="B730">
            <v>6008</v>
          </cell>
          <cell r="C730" t="str">
            <v>رفيده البدرى محمد محمد نور</v>
          </cell>
          <cell r="D730" t="str">
            <v>السودانى الايطالى</v>
          </cell>
          <cell r="E730" t="str">
            <v>الاداره</v>
          </cell>
          <cell r="F730">
            <v>0</v>
          </cell>
          <cell r="G730">
            <v>0</v>
          </cell>
          <cell r="H730">
            <v>42692</v>
          </cell>
          <cell r="I730">
            <v>43498</v>
          </cell>
          <cell r="J730">
            <v>65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1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1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</row>
        <row r="731">
          <cell r="B731">
            <v>6009</v>
          </cell>
          <cell r="C731" t="str">
            <v>رباب سراج الدين خالد محمد</v>
          </cell>
          <cell r="D731" t="str">
            <v>السودانى الايطالى</v>
          </cell>
          <cell r="E731" t="str">
            <v>الاداره</v>
          </cell>
          <cell r="F731">
            <v>0</v>
          </cell>
          <cell r="G731">
            <v>0</v>
          </cell>
          <cell r="H731">
            <v>42701</v>
          </cell>
          <cell r="I731">
            <v>42927</v>
          </cell>
          <cell r="J731">
            <v>17.5</v>
          </cell>
          <cell r="K731">
            <v>0</v>
          </cell>
          <cell r="L731">
            <v>1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1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</row>
        <row r="732">
          <cell r="B732">
            <v>6010</v>
          </cell>
          <cell r="C732" t="str">
            <v>فتح الرحمن عباس رحمه محمد</v>
          </cell>
          <cell r="D732" t="str">
            <v>السودانى الايطالى</v>
          </cell>
          <cell r="E732" t="str">
            <v>الانتاج</v>
          </cell>
          <cell r="F732">
            <v>0</v>
          </cell>
          <cell r="G732">
            <v>0</v>
          </cell>
          <cell r="H732">
            <v>42719</v>
          </cell>
          <cell r="I732">
            <v>43498</v>
          </cell>
          <cell r="J732">
            <v>62.5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</row>
        <row r="733">
          <cell r="B733">
            <v>6011</v>
          </cell>
          <cell r="C733" t="str">
            <v>عوض الله هجو الفكى سليم</v>
          </cell>
          <cell r="D733" t="str">
            <v>السودانى الايطالى</v>
          </cell>
          <cell r="E733" t="str">
            <v>الاداره</v>
          </cell>
          <cell r="F733">
            <v>0</v>
          </cell>
          <cell r="G733">
            <v>0</v>
          </cell>
          <cell r="H733">
            <v>42795</v>
          </cell>
          <cell r="I733">
            <v>43498</v>
          </cell>
          <cell r="J733">
            <v>57.5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</row>
        <row r="734">
          <cell r="B734">
            <v>6012</v>
          </cell>
          <cell r="C734" t="str">
            <v>نصرالدين احمد بابكر احمد</v>
          </cell>
          <cell r="D734" t="str">
            <v>السودانى الايطالى</v>
          </cell>
          <cell r="E734" t="str">
            <v>الانتاج</v>
          </cell>
          <cell r="F734">
            <v>0</v>
          </cell>
          <cell r="G734">
            <v>0</v>
          </cell>
          <cell r="H734">
            <v>42948</v>
          </cell>
          <cell r="I734">
            <v>43498</v>
          </cell>
          <cell r="J734">
            <v>45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</row>
        <row r="735">
          <cell r="B735">
            <v>6013</v>
          </cell>
          <cell r="C735" t="str">
            <v>صدام عبداللطيف فضل المولى الغزالى</v>
          </cell>
          <cell r="D735" t="str">
            <v>السودانى الايطالى</v>
          </cell>
          <cell r="E735" t="str">
            <v>الانتاج</v>
          </cell>
          <cell r="F735">
            <v>0</v>
          </cell>
          <cell r="G735">
            <v>0</v>
          </cell>
          <cell r="H735">
            <v>42953</v>
          </cell>
          <cell r="I735">
            <v>43498</v>
          </cell>
          <cell r="J735">
            <v>42.5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7</v>
          </cell>
          <cell r="Z735">
            <v>0</v>
          </cell>
          <cell r="AA735">
            <v>0</v>
          </cell>
          <cell r="AB735">
            <v>1</v>
          </cell>
          <cell r="AC735">
            <v>2</v>
          </cell>
          <cell r="AD735">
            <v>3</v>
          </cell>
          <cell r="AE735">
            <v>2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</row>
        <row r="736">
          <cell r="B736">
            <v>6014</v>
          </cell>
          <cell r="C736" t="str">
            <v>عبد الله العوض ادريس حسن</v>
          </cell>
          <cell r="D736" t="str">
            <v>السودانى الايطالى</v>
          </cell>
          <cell r="E736" t="str">
            <v>الانتاج</v>
          </cell>
          <cell r="F736">
            <v>0</v>
          </cell>
          <cell r="G736">
            <v>0</v>
          </cell>
          <cell r="H736">
            <v>43023</v>
          </cell>
          <cell r="I736">
            <v>43498</v>
          </cell>
          <cell r="J736">
            <v>37.5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1</v>
          </cell>
          <cell r="AE736">
            <v>0</v>
          </cell>
          <cell r="AF736">
            <v>3</v>
          </cell>
          <cell r="AG736">
            <v>1</v>
          </cell>
          <cell r="AH736">
            <v>1</v>
          </cell>
          <cell r="AI736">
            <v>2</v>
          </cell>
          <cell r="AJ736">
            <v>0</v>
          </cell>
          <cell r="AK736">
            <v>0</v>
          </cell>
        </row>
        <row r="737">
          <cell r="B737">
            <v>6015</v>
          </cell>
          <cell r="C737" t="str">
            <v>عزمى عبدالمجيد محمد عثمان</v>
          </cell>
          <cell r="D737" t="str">
            <v>السودانى الايطالى</v>
          </cell>
          <cell r="E737" t="str">
            <v>الانتاج</v>
          </cell>
          <cell r="F737">
            <v>0</v>
          </cell>
          <cell r="G737">
            <v>0</v>
          </cell>
          <cell r="H737">
            <v>43026</v>
          </cell>
          <cell r="I737">
            <v>43498</v>
          </cell>
          <cell r="J737">
            <v>37.5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1</v>
          </cell>
          <cell r="W737">
            <v>1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</row>
        <row r="738">
          <cell r="B738">
            <v>6016</v>
          </cell>
          <cell r="C738" t="str">
            <v>محمد عمران محمد احمد</v>
          </cell>
          <cell r="D738" t="str">
            <v>السودانى الايطالى</v>
          </cell>
          <cell r="E738" t="str">
            <v>الانتاج</v>
          </cell>
          <cell r="F738" t="str">
            <v>الزنك</v>
          </cell>
          <cell r="G738">
            <v>0</v>
          </cell>
          <cell r="H738">
            <v>43044</v>
          </cell>
          <cell r="I738">
            <v>43498</v>
          </cell>
          <cell r="J738">
            <v>35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4</v>
          </cell>
          <cell r="AC738">
            <v>0</v>
          </cell>
          <cell r="AD738">
            <v>7</v>
          </cell>
          <cell r="AE738">
            <v>1</v>
          </cell>
          <cell r="AF738">
            <v>5</v>
          </cell>
          <cell r="AG738">
            <v>2</v>
          </cell>
          <cell r="AH738">
            <v>0</v>
          </cell>
          <cell r="AI738">
            <v>2</v>
          </cell>
          <cell r="AJ738">
            <v>0</v>
          </cell>
          <cell r="AK738">
            <v>0</v>
          </cell>
        </row>
        <row r="739">
          <cell r="B739">
            <v>6017</v>
          </cell>
          <cell r="C739" t="str">
            <v>باشا محمد تركاس محمد</v>
          </cell>
          <cell r="D739" t="str">
            <v>السودانى الايطالى</v>
          </cell>
          <cell r="E739" t="str">
            <v>الانتاج</v>
          </cell>
          <cell r="F739">
            <v>0</v>
          </cell>
          <cell r="G739">
            <v>0</v>
          </cell>
          <cell r="H739">
            <v>43047</v>
          </cell>
          <cell r="I739">
            <v>43498</v>
          </cell>
          <cell r="J739">
            <v>35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2</v>
          </cell>
          <cell r="AA739">
            <v>0</v>
          </cell>
          <cell r="AB739">
            <v>0</v>
          </cell>
          <cell r="AC739">
            <v>2</v>
          </cell>
          <cell r="AD739">
            <v>0</v>
          </cell>
          <cell r="AE739">
            <v>4</v>
          </cell>
          <cell r="AF739">
            <v>2</v>
          </cell>
          <cell r="AG739">
            <v>1</v>
          </cell>
          <cell r="AH739">
            <v>1</v>
          </cell>
          <cell r="AI739">
            <v>0</v>
          </cell>
          <cell r="AJ739">
            <v>0</v>
          </cell>
          <cell r="AK739">
            <v>0</v>
          </cell>
        </row>
        <row r="740">
          <cell r="B740">
            <v>6018</v>
          </cell>
          <cell r="C740" t="str">
            <v>عبد الفتاح محمد عبدالله عبدالسلام</v>
          </cell>
          <cell r="D740" t="str">
            <v>السودانى الايطالى</v>
          </cell>
          <cell r="E740" t="str">
            <v>الانتاج</v>
          </cell>
          <cell r="F740">
            <v>0</v>
          </cell>
          <cell r="G740">
            <v>0</v>
          </cell>
          <cell r="H740">
            <v>43057</v>
          </cell>
          <cell r="I740">
            <v>43498</v>
          </cell>
          <cell r="J740">
            <v>35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4</v>
          </cell>
          <cell r="AE740">
            <v>1</v>
          </cell>
          <cell r="AF740">
            <v>4</v>
          </cell>
          <cell r="AG740">
            <v>0</v>
          </cell>
          <cell r="AH740">
            <v>1</v>
          </cell>
          <cell r="AI740">
            <v>0</v>
          </cell>
          <cell r="AJ740">
            <v>0</v>
          </cell>
          <cell r="AK740">
            <v>0</v>
          </cell>
        </row>
        <row r="741">
          <cell r="B741">
            <v>6019</v>
          </cell>
          <cell r="C741" t="str">
            <v>عبدالقادر محمد عبدالرحيم محمد</v>
          </cell>
          <cell r="D741" t="str">
            <v>السودانى الايطالى</v>
          </cell>
          <cell r="E741">
            <v>0</v>
          </cell>
          <cell r="F741">
            <v>0</v>
          </cell>
          <cell r="G741">
            <v>0</v>
          </cell>
          <cell r="H741">
            <v>43166</v>
          </cell>
          <cell r="I741">
            <v>43498</v>
          </cell>
          <cell r="J741">
            <v>25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1</v>
          </cell>
          <cell r="AC741">
            <v>0</v>
          </cell>
          <cell r="AD741">
            <v>3</v>
          </cell>
          <cell r="AE741">
            <v>3</v>
          </cell>
          <cell r="AF741">
            <v>8</v>
          </cell>
          <cell r="AG741">
            <v>6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</row>
        <row r="742">
          <cell r="B742">
            <v>8081</v>
          </cell>
          <cell r="C742" t="str">
            <v>خليل فرح احمد محمد</v>
          </cell>
          <cell r="D742" t="str">
            <v>المصنع</v>
          </cell>
          <cell r="E742" t="str">
            <v>الانتاج</v>
          </cell>
          <cell r="F742" t="str">
            <v>المواسير</v>
          </cell>
          <cell r="G742">
            <v>0</v>
          </cell>
          <cell r="H742">
            <v>0</v>
          </cell>
          <cell r="I742">
            <v>43498</v>
          </cell>
          <cell r="J742">
            <v>3572.5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3</v>
          </cell>
          <cell r="P742">
            <v>1</v>
          </cell>
          <cell r="Q742">
            <v>0</v>
          </cell>
          <cell r="R742">
            <v>1</v>
          </cell>
          <cell r="S742">
            <v>8</v>
          </cell>
          <cell r="T742">
            <v>2</v>
          </cell>
          <cell r="U742">
            <v>0</v>
          </cell>
          <cell r="V742">
            <v>20</v>
          </cell>
          <cell r="W742">
            <v>35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</row>
        <row r="743">
          <cell r="B743">
            <v>8091</v>
          </cell>
          <cell r="C743" t="str">
            <v>محمد سيف الدين محمد حسين</v>
          </cell>
          <cell r="D743" t="str">
            <v>السودانى الايطالى</v>
          </cell>
          <cell r="E743" t="str">
            <v>الانتاج</v>
          </cell>
          <cell r="F743">
            <v>0</v>
          </cell>
          <cell r="G743">
            <v>0</v>
          </cell>
          <cell r="H743">
            <v>0</v>
          </cell>
          <cell r="I743">
            <v>43498</v>
          </cell>
          <cell r="J743">
            <v>3572.5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</row>
        <row r="744">
          <cell r="B744">
            <v>8092</v>
          </cell>
          <cell r="C744" t="str">
            <v>عماد السنوسي محمد احمد</v>
          </cell>
          <cell r="D744" t="str">
            <v>السودانى الايطالى</v>
          </cell>
          <cell r="E744" t="str">
            <v>الانتاج</v>
          </cell>
          <cell r="F744">
            <v>0</v>
          </cell>
          <cell r="G744">
            <v>0</v>
          </cell>
          <cell r="H744">
            <v>42435</v>
          </cell>
          <cell r="I744">
            <v>43498</v>
          </cell>
          <cell r="J744">
            <v>85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1</v>
          </cell>
          <cell r="P744">
            <v>0</v>
          </cell>
          <cell r="Q744">
            <v>2</v>
          </cell>
          <cell r="R744">
            <v>2</v>
          </cell>
          <cell r="S744">
            <v>4</v>
          </cell>
          <cell r="T744">
            <v>2</v>
          </cell>
          <cell r="U744">
            <v>6</v>
          </cell>
          <cell r="V744">
            <v>5</v>
          </cell>
          <cell r="W744">
            <v>22</v>
          </cell>
          <cell r="X744">
            <v>0</v>
          </cell>
          <cell r="Y744">
            <v>5</v>
          </cell>
          <cell r="Z744">
            <v>1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5</v>
          </cell>
          <cell r="AJ744">
            <v>5</v>
          </cell>
          <cell r="AK744">
            <v>0</v>
          </cell>
        </row>
        <row r="745">
          <cell r="B745">
            <v>8093</v>
          </cell>
          <cell r="C745" t="str">
            <v>حسين حماد فرح الدور موسى</v>
          </cell>
          <cell r="D745" t="str">
            <v>المصنع</v>
          </cell>
          <cell r="E745" t="str">
            <v>الاليات</v>
          </cell>
          <cell r="F745">
            <v>0</v>
          </cell>
          <cell r="G745">
            <v>0</v>
          </cell>
          <cell r="H745">
            <v>42481</v>
          </cell>
          <cell r="I745">
            <v>43498</v>
          </cell>
          <cell r="J745">
            <v>82.5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2</v>
          </cell>
          <cell r="R745">
            <v>0</v>
          </cell>
          <cell r="S745">
            <v>1</v>
          </cell>
          <cell r="T745">
            <v>1</v>
          </cell>
          <cell r="U745">
            <v>5</v>
          </cell>
          <cell r="V745">
            <v>3</v>
          </cell>
          <cell r="W745">
            <v>12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</row>
        <row r="746">
          <cell r="B746">
            <v>8094</v>
          </cell>
          <cell r="C746" t="str">
            <v>حيدر جمال عبد الله</v>
          </cell>
          <cell r="D746" t="str">
            <v>المصنع</v>
          </cell>
          <cell r="E746" t="str">
            <v>الانتاج</v>
          </cell>
          <cell r="F746" t="str">
            <v>المواسير</v>
          </cell>
          <cell r="G746">
            <v>0</v>
          </cell>
          <cell r="H746">
            <v>42493</v>
          </cell>
          <cell r="I746">
            <v>43498</v>
          </cell>
          <cell r="J746">
            <v>80</v>
          </cell>
          <cell r="K746">
            <v>0</v>
          </cell>
          <cell r="L746">
            <v>0</v>
          </cell>
          <cell r="M746">
            <v>0</v>
          </cell>
          <cell r="N746">
            <v>2</v>
          </cell>
          <cell r="O746">
            <v>1</v>
          </cell>
          <cell r="P746">
            <v>0</v>
          </cell>
          <cell r="Q746">
            <v>0</v>
          </cell>
          <cell r="R746">
            <v>0</v>
          </cell>
          <cell r="S746">
            <v>3</v>
          </cell>
          <cell r="T746">
            <v>0</v>
          </cell>
          <cell r="U746">
            <v>0</v>
          </cell>
          <cell r="V746">
            <v>0</v>
          </cell>
          <cell r="W746">
            <v>6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</row>
        <row r="747">
          <cell r="B747">
            <v>8095</v>
          </cell>
          <cell r="C747" t="str">
            <v>احمد زهير حسن عبدالله</v>
          </cell>
          <cell r="D747" t="str">
            <v>المصنع</v>
          </cell>
          <cell r="E747" t="str">
            <v>الانتاج</v>
          </cell>
          <cell r="F747" t="str">
            <v>الزنك</v>
          </cell>
          <cell r="G747">
            <v>0</v>
          </cell>
          <cell r="H747">
            <v>42497</v>
          </cell>
          <cell r="I747">
            <v>43498</v>
          </cell>
          <cell r="J747">
            <v>80</v>
          </cell>
          <cell r="K747">
            <v>0</v>
          </cell>
          <cell r="L747">
            <v>0</v>
          </cell>
          <cell r="M747">
            <v>0</v>
          </cell>
          <cell r="N747">
            <v>1</v>
          </cell>
          <cell r="O747">
            <v>0</v>
          </cell>
          <cell r="P747">
            <v>0</v>
          </cell>
          <cell r="Q747">
            <v>6</v>
          </cell>
          <cell r="R747">
            <v>1</v>
          </cell>
          <cell r="S747">
            <v>4</v>
          </cell>
          <cell r="T747">
            <v>4</v>
          </cell>
          <cell r="U747">
            <v>0</v>
          </cell>
          <cell r="V747">
            <v>4</v>
          </cell>
          <cell r="W747">
            <v>20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</row>
        <row r="748">
          <cell r="B748">
            <v>8096</v>
          </cell>
          <cell r="C748" t="str">
            <v>عبدالقادر عبدالدافع كرار عمر</v>
          </cell>
          <cell r="D748" t="str">
            <v>المصنع</v>
          </cell>
          <cell r="E748" t="str">
            <v>المستودعات</v>
          </cell>
          <cell r="F748">
            <v>0</v>
          </cell>
          <cell r="G748">
            <v>0</v>
          </cell>
          <cell r="H748">
            <v>42740</v>
          </cell>
          <cell r="I748">
            <v>43498</v>
          </cell>
          <cell r="J748">
            <v>60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1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1</v>
          </cell>
          <cell r="W748">
            <v>2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</row>
        <row r="749">
          <cell r="B749">
            <v>8097</v>
          </cell>
          <cell r="C749" t="str">
            <v>على جبر على عبدالله</v>
          </cell>
          <cell r="D749" t="str">
            <v>المصنع</v>
          </cell>
          <cell r="E749" t="str">
            <v>المستودعات</v>
          </cell>
          <cell r="F749">
            <v>0</v>
          </cell>
          <cell r="G749">
            <v>0</v>
          </cell>
          <cell r="H749">
            <v>42749</v>
          </cell>
          <cell r="I749">
            <v>43498</v>
          </cell>
          <cell r="J749">
            <v>60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0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</row>
        <row r="750">
          <cell r="B750">
            <v>8098</v>
          </cell>
          <cell r="C750" t="str">
            <v>محمد الطيب محمد إسماعيل</v>
          </cell>
          <cell r="D750" t="str">
            <v>المصنع</v>
          </cell>
          <cell r="E750" t="str">
            <v>الماليه</v>
          </cell>
          <cell r="F750">
            <v>0</v>
          </cell>
          <cell r="G750">
            <v>0</v>
          </cell>
          <cell r="H750">
            <v>42813</v>
          </cell>
          <cell r="I750">
            <v>43498</v>
          </cell>
          <cell r="J750">
            <v>55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</row>
        <row r="751">
          <cell r="B751">
            <v>8099</v>
          </cell>
          <cell r="C751" t="str">
            <v>المقداد صالح سليمان حمد</v>
          </cell>
          <cell r="D751" t="str">
            <v>المصنع</v>
          </cell>
          <cell r="E751" t="str">
            <v>الموارد البشريه</v>
          </cell>
          <cell r="F751">
            <v>0</v>
          </cell>
          <cell r="G751">
            <v>0</v>
          </cell>
          <cell r="H751">
            <v>42826</v>
          </cell>
          <cell r="I751">
            <v>43498</v>
          </cell>
          <cell r="J751">
            <v>55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4</v>
          </cell>
          <cell r="T751">
            <v>0</v>
          </cell>
          <cell r="U751">
            <v>0</v>
          </cell>
          <cell r="V751">
            <v>0</v>
          </cell>
          <cell r="W751">
            <v>4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</row>
        <row r="752">
          <cell r="B752">
            <v>8100</v>
          </cell>
          <cell r="C752" t="str">
            <v>الطيب عبدالرحمن جمعه الطيب</v>
          </cell>
          <cell r="D752" t="str">
            <v>المصنع</v>
          </cell>
          <cell r="E752" t="str">
            <v>الانتاج</v>
          </cell>
          <cell r="F752" t="str">
            <v>الاكسبنده</v>
          </cell>
          <cell r="G752">
            <v>0</v>
          </cell>
          <cell r="H752">
            <v>42598</v>
          </cell>
          <cell r="I752">
            <v>43498</v>
          </cell>
          <cell r="J752">
            <v>72.5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2</v>
          </cell>
          <cell r="S752">
            <v>0</v>
          </cell>
          <cell r="T752">
            <v>1</v>
          </cell>
          <cell r="U752">
            <v>2</v>
          </cell>
          <cell r="V752">
            <v>0</v>
          </cell>
          <cell r="W752">
            <v>5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</row>
        <row r="753">
          <cell r="B753">
            <v>8101</v>
          </cell>
          <cell r="C753" t="str">
            <v>العتيبه صديق محمد صالح</v>
          </cell>
          <cell r="D753" t="str">
            <v>المصنع</v>
          </cell>
          <cell r="E753" t="str">
            <v>الكهرباء</v>
          </cell>
          <cell r="F753">
            <v>0</v>
          </cell>
          <cell r="G753">
            <v>0</v>
          </cell>
          <cell r="H753">
            <v>42988</v>
          </cell>
          <cell r="I753">
            <v>43498</v>
          </cell>
          <cell r="J753">
            <v>40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</row>
        <row r="754">
          <cell r="B754">
            <v>8102</v>
          </cell>
          <cell r="C754" t="str">
            <v>عبد الحميد حسن على الطائف</v>
          </cell>
          <cell r="D754" t="str">
            <v>المصنع</v>
          </cell>
          <cell r="E754" t="str">
            <v>الانتاج</v>
          </cell>
          <cell r="F754" t="str">
            <v>الاليات</v>
          </cell>
          <cell r="G754">
            <v>0</v>
          </cell>
          <cell r="H754">
            <v>42996</v>
          </cell>
          <cell r="I754">
            <v>43498</v>
          </cell>
          <cell r="J754">
            <v>40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1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</row>
        <row r="755">
          <cell r="B755">
            <v>8103</v>
          </cell>
          <cell r="C755" t="str">
            <v>الصادق ضحيه مطر محمد</v>
          </cell>
          <cell r="D755" t="str">
            <v>المصنع</v>
          </cell>
          <cell r="E755" t="str">
            <v>الاليات</v>
          </cell>
          <cell r="F755">
            <v>0</v>
          </cell>
          <cell r="G755">
            <v>0</v>
          </cell>
          <cell r="H755">
            <v>43102</v>
          </cell>
          <cell r="I755">
            <v>43498</v>
          </cell>
          <cell r="J755">
            <v>32.5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1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1</v>
          </cell>
          <cell r="AF755">
            <v>0</v>
          </cell>
          <cell r="AG755">
            <v>2</v>
          </cell>
          <cell r="AH755">
            <v>0</v>
          </cell>
          <cell r="AI755">
            <v>1</v>
          </cell>
          <cell r="AJ755">
            <v>0</v>
          </cell>
          <cell r="AK755">
            <v>0</v>
          </cell>
        </row>
        <row r="756">
          <cell r="B756">
            <v>8104</v>
          </cell>
          <cell r="C756" t="str">
            <v>بابكر محمد عبد القادر ابراهيم</v>
          </cell>
          <cell r="D756" t="str">
            <v>المصنع</v>
          </cell>
          <cell r="E756">
            <v>0</v>
          </cell>
          <cell r="F756">
            <v>0</v>
          </cell>
          <cell r="G756">
            <v>0</v>
          </cell>
          <cell r="H756">
            <v>43103</v>
          </cell>
          <cell r="I756">
            <v>43498</v>
          </cell>
          <cell r="J756">
            <v>30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1</v>
          </cell>
          <cell r="AC756">
            <v>3</v>
          </cell>
          <cell r="AD756">
            <v>4</v>
          </cell>
          <cell r="AE756">
            <v>6</v>
          </cell>
          <cell r="AF756">
            <v>5</v>
          </cell>
          <cell r="AG756">
            <v>13</v>
          </cell>
          <cell r="AH756">
            <v>11</v>
          </cell>
          <cell r="AI756">
            <v>5</v>
          </cell>
          <cell r="AJ756">
            <v>3</v>
          </cell>
          <cell r="AK756">
            <v>0</v>
          </cell>
        </row>
        <row r="757">
          <cell r="B757">
            <v>8105</v>
          </cell>
          <cell r="C757" t="str">
            <v>محمد فضل طمبل فضل</v>
          </cell>
          <cell r="D757" t="str">
            <v>المصنع</v>
          </cell>
          <cell r="E757" t="str">
            <v>الانتاج</v>
          </cell>
          <cell r="F757" t="str">
            <v>الزنك</v>
          </cell>
          <cell r="G757">
            <v>0</v>
          </cell>
          <cell r="H757">
            <v>43150</v>
          </cell>
          <cell r="I757">
            <v>43498</v>
          </cell>
          <cell r="J757">
            <v>27.5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2</v>
          </cell>
          <cell r="AC757">
            <v>1</v>
          </cell>
          <cell r="AD757">
            <v>3</v>
          </cell>
          <cell r="AE757">
            <v>1</v>
          </cell>
          <cell r="AF757">
            <v>4</v>
          </cell>
          <cell r="AG757">
            <v>0</v>
          </cell>
          <cell r="AH757">
            <v>3</v>
          </cell>
          <cell r="AI757">
            <v>1</v>
          </cell>
          <cell r="AJ757">
            <v>0</v>
          </cell>
          <cell r="AK757">
            <v>0</v>
          </cell>
        </row>
        <row r="758">
          <cell r="B758">
            <v>8106</v>
          </cell>
          <cell r="C758" t="str">
            <v>محمد احمد موسى حسن</v>
          </cell>
          <cell r="D758" t="str">
            <v>المصنع</v>
          </cell>
          <cell r="E758" t="str">
            <v>الانتاج</v>
          </cell>
          <cell r="F758" t="str">
            <v>الاكسبنده</v>
          </cell>
          <cell r="G758">
            <v>0</v>
          </cell>
          <cell r="H758">
            <v>43180</v>
          </cell>
          <cell r="I758">
            <v>43498</v>
          </cell>
          <cell r="J758">
            <v>25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1</v>
          </cell>
          <cell r="AD758">
            <v>0</v>
          </cell>
          <cell r="AE758">
            <v>1</v>
          </cell>
          <cell r="AF758">
            <v>1</v>
          </cell>
          <cell r="AG758">
            <v>0</v>
          </cell>
          <cell r="AH758">
            <v>1</v>
          </cell>
          <cell r="AI758">
            <v>1</v>
          </cell>
          <cell r="AJ758">
            <v>0</v>
          </cell>
          <cell r="AK758">
            <v>0</v>
          </cell>
        </row>
        <row r="759">
          <cell r="B759">
            <v>8107</v>
          </cell>
          <cell r="C759" t="str">
            <v>عادل جمال</v>
          </cell>
          <cell r="D759">
            <v>0</v>
          </cell>
          <cell r="E759" t="str">
            <v>الانتاج</v>
          </cell>
          <cell r="F759" t="str">
            <v>المواسير</v>
          </cell>
          <cell r="G759">
            <v>0</v>
          </cell>
          <cell r="H759">
            <v>43252</v>
          </cell>
          <cell r="I759">
            <v>0</v>
          </cell>
          <cell r="J759" t="e">
            <v>#NUM!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1</v>
          </cell>
          <cell r="AG759">
            <v>0</v>
          </cell>
          <cell r="AH759">
            <v>2</v>
          </cell>
          <cell r="AI759">
            <v>0</v>
          </cell>
          <cell r="AJ759">
            <v>1</v>
          </cell>
          <cell r="AK759">
            <v>0</v>
          </cell>
        </row>
        <row r="760">
          <cell r="B760">
            <v>8109</v>
          </cell>
          <cell r="C760" t="str">
            <v>عبدالرحمن ساكن حسن ابكر</v>
          </cell>
          <cell r="D760" t="str">
            <v>المصنع</v>
          </cell>
          <cell r="E760" t="str">
            <v>الانتاج</v>
          </cell>
          <cell r="F760" t="str">
            <v>الاليات</v>
          </cell>
          <cell r="G760">
            <v>0</v>
          </cell>
          <cell r="H760">
            <v>43421</v>
          </cell>
          <cell r="I760">
            <v>0</v>
          </cell>
          <cell r="J760" t="e">
            <v>#NUM!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1</v>
          </cell>
          <cell r="AK760">
            <v>0</v>
          </cell>
        </row>
        <row r="761">
          <cell r="B761">
            <v>8501</v>
          </cell>
          <cell r="C761" t="str">
            <v>الطاهر على محمد</v>
          </cell>
          <cell r="D761" t="str">
            <v>المكتب الاقليمي</v>
          </cell>
          <cell r="E761" t="str">
            <v>الاداره</v>
          </cell>
          <cell r="F761">
            <v>0</v>
          </cell>
          <cell r="G761">
            <v>0</v>
          </cell>
          <cell r="H761">
            <v>42005</v>
          </cell>
          <cell r="I761">
            <v>43498</v>
          </cell>
          <cell r="J761">
            <v>122.5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</row>
        <row r="762">
          <cell r="B762">
            <v>8502</v>
          </cell>
          <cell r="C762" t="str">
            <v>محمد  حسن عثمان صالح</v>
          </cell>
          <cell r="D762" t="str">
            <v>المكتب الاقليمي</v>
          </cell>
          <cell r="E762" t="str">
            <v>التخليص</v>
          </cell>
          <cell r="F762">
            <v>0</v>
          </cell>
          <cell r="G762">
            <v>0</v>
          </cell>
          <cell r="H762">
            <v>42005</v>
          </cell>
          <cell r="I762">
            <v>43498</v>
          </cell>
          <cell r="J762">
            <v>122.5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</row>
        <row r="763">
          <cell r="B763">
            <v>8503</v>
          </cell>
          <cell r="C763" t="str">
            <v>على الطاهر على محمد</v>
          </cell>
          <cell r="D763" t="str">
            <v>المكتب الاقليمي</v>
          </cell>
          <cell r="E763" t="str">
            <v>التخليص</v>
          </cell>
          <cell r="F763">
            <v>0</v>
          </cell>
          <cell r="G763">
            <v>0</v>
          </cell>
          <cell r="H763">
            <v>42005</v>
          </cell>
          <cell r="I763">
            <v>43498</v>
          </cell>
          <cell r="J763">
            <v>122.5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</row>
        <row r="764">
          <cell r="B764">
            <v>8504</v>
          </cell>
          <cell r="C764" t="str">
            <v>فاطمه عمر محمد عمر</v>
          </cell>
          <cell r="D764" t="str">
            <v>المكتب الاقليمي</v>
          </cell>
          <cell r="E764" t="str">
            <v>الخدمات</v>
          </cell>
          <cell r="F764">
            <v>0</v>
          </cell>
          <cell r="G764">
            <v>0</v>
          </cell>
          <cell r="H764">
            <v>42005</v>
          </cell>
          <cell r="I764">
            <v>43498</v>
          </cell>
          <cell r="J764">
            <v>122.5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</row>
        <row r="765">
          <cell r="B765">
            <v>8505</v>
          </cell>
          <cell r="C765" t="str">
            <v>عامر الطاهر على محمد</v>
          </cell>
          <cell r="D765" t="str">
            <v>المكتب الاقليمي</v>
          </cell>
          <cell r="E765" t="str">
            <v>الماليه</v>
          </cell>
          <cell r="F765">
            <v>0</v>
          </cell>
          <cell r="G765">
            <v>0</v>
          </cell>
          <cell r="H765">
            <v>42430</v>
          </cell>
          <cell r="I765">
            <v>43498</v>
          </cell>
          <cell r="J765">
            <v>87.5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</row>
        <row r="766">
          <cell r="B766">
            <v>8506</v>
          </cell>
          <cell r="C766" t="str">
            <v>عمر عثمان محمد عثمان</v>
          </cell>
          <cell r="D766" t="str">
            <v>المكتب الاقليمي</v>
          </cell>
          <cell r="E766">
            <v>0</v>
          </cell>
          <cell r="F766">
            <v>0</v>
          </cell>
          <cell r="G766">
            <v>0</v>
          </cell>
          <cell r="H766">
            <v>43191</v>
          </cell>
          <cell r="I766">
            <v>0</v>
          </cell>
          <cell r="J766" t="e">
            <v>#NUM!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0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</row>
        <row r="767">
          <cell r="B767">
            <v>8507</v>
          </cell>
          <cell r="C767" t="str">
            <v>روان مصطفى محمد خليفه</v>
          </cell>
          <cell r="D767" t="str">
            <v>المكتب الاقليمي</v>
          </cell>
          <cell r="E767">
            <v>0</v>
          </cell>
          <cell r="F767">
            <v>0</v>
          </cell>
          <cell r="G767">
            <v>0</v>
          </cell>
          <cell r="H767">
            <v>43221</v>
          </cell>
          <cell r="I767">
            <v>0</v>
          </cell>
          <cell r="J767" t="e">
            <v>#NUM!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</row>
        <row r="768">
          <cell r="B768">
            <v>9000</v>
          </cell>
          <cell r="C768" t="str">
            <v>يوميه</v>
          </cell>
          <cell r="D768" t="str">
            <v>المصنع</v>
          </cell>
          <cell r="E768">
            <v>0</v>
          </cell>
          <cell r="F768">
            <v>0</v>
          </cell>
          <cell r="G768">
            <v>0</v>
          </cell>
          <cell r="H768">
            <v>43498</v>
          </cell>
          <cell r="I768">
            <v>43498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</row>
        <row r="769">
          <cell r="B769" t="str">
            <v>A20</v>
          </cell>
          <cell r="C769" t="str">
            <v>رحيل شقنا</v>
          </cell>
          <cell r="D769" t="str">
            <v>الرئاسه</v>
          </cell>
          <cell r="E769" t="str">
            <v>الخدمات</v>
          </cell>
          <cell r="F769">
            <v>0</v>
          </cell>
          <cell r="G769">
            <v>0</v>
          </cell>
          <cell r="H769">
            <v>42005</v>
          </cell>
          <cell r="I769">
            <v>42705</v>
          </cell>
          <cell r="J769">
            <v>57.5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0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</row>
        <row r="770">
          <cell r="B770" t="str">
            <v>A6</v>
          </cell>
          <cell r="C770" t="str">
            <v>عصام الدين الجيلى</v>
          </cell>
          <cell r="D770">
            <v>0</v>
          </cell>
          <cell r="E770" t="str">
            <v>الماليه</v>
          </cell>
          <cell r="F770">
            <v>0</v>
          </cell>
          <cell r="G770">
            <v>0</v>
          </cell>
          <cell r="H770">
            <v>40731</v>
          </cell>
          <cell r="I770">
            <v>42870</v>
          </cell>
          <cell r="J770">
            <v>175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</row>
        <row r="771">
          <cell r="B771">
            <v>0</v>
          </cell>
          <cell r="C771" t="e">
            <v>#N/A</v>
          </cell>
          <cell r="D771" t="e">
            <v>#N/A</v>
          </cell>
          <cell r="E771" t="e">
            <v>#N/A</v>
          </cell>
          <cell r="F771" t="e">
            <v>#N/A</v>
          </cell>
          <cell r="G771" t="e">
            <v>#N/A</v>
          </cell>
          <cell r="H771" t="e">
            <v>#N/A</v>
          </cell>
          <cell r="I771" t="e">
            <v>#N/A</v>
          </cell>
          <cell r="J771" t="e">
            <v>#N/A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</row>
        <row r="772">
          <cell r="B772">
            <v>0</v>
          </cell>
          <cell r="C772" t="e">
            <v>#N/A</v>
          </cell>
          <cell r="D772" t="e">
            <v>#N/A</v>
          </cell>
          <cell r="E772" t="e">
            <v>#N/A</v>
          </cell>
          <cell r="F772" t="e">
            <v>#N/A</v>
          </cell>
          <cell r="G772" t="e">
            <v>#N/A</v>
          </cell>
          <cell r="H772" t="e">
            <v>#N/A</v>
          </cell>
          <cell r="I772" t="e">
            <v>#N/A</v>
          </cell>
          <cell r="J772" t="e">
            <v>#N/A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</row>
        <row r="773">
          <cell r="B773">
            <v>0</v>
          </cell>
          <cell r="C773" t="e">
            <v>#N/A</v>
          </cell>
          <cell r="D773" t="e">
            <v>#N/A</v>
          </cell>
          <cell r="E773" t="e">
            <v>#N/A</v>
          </cell>
          <cell r="F773" t="e">
            <v>#N/A</v>
          </cell>
          <cell r="G773" t="e">
            <v>#N/A</v>
          </cell>
          <cell r="H773" t="e">
            <v>#N/A</v>
          </cell>
          <cell r="I773" t="e">
            <v>#N/A</v>
          </cell>
          <cell r="J773" t="e">
            <v>#N/A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</row>
        <row r="774">
          <cell r="B774">
            <v>0</v>
          </cell>
          <cell r="C774" t="e">
            <v>#N/A</v>
          </cell>
          <cell r="D774" t="e">
            <v>#N/A</v>
          </cell>
          <cell r="E774" t="e">
            <v>#N/A</v>
          </cell>
          <cell r="F774" t="e">
            <v>#N/A</v>
          </cell>
          <cell r="G774" t="e">
            <v>#N/A</v>
          </cell>
          <cell r="H774" t="e">
            <v>#N/A</v>
          </cell>
          <cell r="I774" t="e">
            <v>#N/A</v>
          </cell>
          <cell r="J774" t="e">
            <v>#N/A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</row>
        <row r="775">
          <cell r="B775">
            <v>0</v>
          </cell>
          <cell r="C775" t="e">
            <v>#N/A</v>
          </cell>
          <cell r="D775" t="e">
            <v>#N/A</v>
          </cell>
          <cell r="E775" t="e">
            <v>#N/A</v>
          </cell>
          <cell r="F775" t="e">
            <v>#N/A</v>
          </cell>
          <cell r="G775" t="e">
            <v>#N/A</v>
          </cell>
          <cell r="H775" t="e">
            <v>#N/A</v>
          </cell>
          <cell r="I775" t="e">
            <v>#N/A</v>
          </cell>
          <cell r="J775" t="e">
            <v>#N/A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</row>
        <row r="776">
          <cell r="B776">
            <v>0</v>
          </cell>
          <cell r="C776" t="e">
            <v>#N/A</v>
          </cell>
          <cell r="D776" t="e">
            <v>#N/A</v>
          </cell>
          <cell r="E776" t="e">
            <v>#N/A</v>
          </cell>
          <cell r="F776" t="e">
            <v>#N/A</v>
          </cell>
          <cell r="G776" t="e">
            <v>#N/A</v>
          </cell>
          <cell r="H776" t="e">
            <v>#N/A</v>
          </cell>
          <cell r="I776" t="e">
            <v>#N/A</v>
          </cell>
          <cell r="J776" t="e">
            <v>#N/A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</row>
        <row r="777">
          <cell r="B777">
            <v>0</v>
          </cell>
          <cell r="C777" t="e">
            <v>#N/A</v>
          </cell>
          <cell r="D777" t="e">
            <v>#N/A</v>
          </cell>
          <cell r="E777" t="e">
            <v>#N/A</v>
          </cell>
          <cell r="F777" t="e">
            <v>#N/A</v>
          </cell>
          <cell r="G777" t="e">
            <v>#N/A</v>
          </cell>
          <cell r="H777" t="e">
            <v>#N/A</v>
          </cell>
          <cell r="I777" t="e">
            <v>#N/A</v>
          </cell>
          <cell r="J777" t="e">
            <v>#N/A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</row>
        <row r="778">
          <cell r="B778">
            <v>0</v>
          </cell>
          <cell r="C778" t="e">
            <v>#N/A</v>
          </cell>
          <cell r="D778" t="e">
            <v>#N/A</v>
          </cell>
          <cell r="E778" t="e">
            <v>#N/A</v>
          </cell>
          <cell r="F778" t="e">
            <v>#N/A</v>
          </cell>
          <cell r="G778" t="e">
            <v>#N/A</v>
          </cell>
          <cell r="H778" t="e">
            <v>#N/A</v>
          </cell>
          <cell r="I778" t="e">
            <v>#N/A</v>
          </cell>
          <cell r="J778" t="e">
            <v>#N/A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</row>
        <row r="779">
          <cell r="B779">
            <v>0</v>
          </cell>
          <cell r="C779" t="e">
            <v>#N/A</v>
          </cell>
          <cell r="D779" t="e">
            <v>#N/A</v>
          </cell>
          <cell r="E779" t="e">
            <v>#N/A</v>
          </cell>
          <cell r="F779" t="e">
            <v>#N/A</v>
          </cell>
          <cell r="G779" t="e">
            <v>#N/A</v>
          </cell>
          <cell r="H779" t="e">
            <v>#N/A</v>
          </cell>
          <cell r="I779" t="e">
            <v>#N/A</v>
          </cell>
          <cell r="J779" t="e">
            <v>#N/A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</row>
        <row r="780">
          <cell r="B780">
            <v>0</v>
          </cell>
          <cell r="C780" t="e">
            <v>#N/A</v>
          </cell>
          <cell r="D780" t="e">
            <v>#N/A</v>
          </cell>
          <cell r="E780" t="e">
            <v>#N/A</v>
          </cell>
          <cell r="F780" t="e">
            <v>#N/A</v>
          </cell>
          <cell r="G780" t="e">
            <v>#N/A</v>
          </cell>
          <cell r="H780" t="e">
            <v>#N/A</v>
          </cell>
          <cell r="I780" t="e">
            <v>#N/A</v>
          </cell>
          <cell r="J780" t="e">
            <v>#N/A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</row>
        <row r="781">
          <cell r="B781">
            <v>0</v>
          </cell>
          <cell r="C781" t="e">
            <v>#N/A</v>
          </cell>
          <cell r="D781" t="e">
            <v>#N/A</v>
          </cell>
          <cell r="E781" t="e">
            <v>#N/A</v>
          </cell>
          <cell r="F781" t="e">
            <v>#N/A</v>
          </cell>
          <cell r="G781" t="e">
            <v>#N/A</v>
          </cell>
          <cell r="H781" t="e">
            <v>#N/A</v>
          </cell>
          <cell r="I781" t="e">
            <v>#N/A</v>
          </cell>
          <cell r="J781" t="e">
            <v>#N/A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</row>
        <row r="782">
          <cell r="B782">
            <v>0</v>
          </cell>
          <cell r="C782" t="e">
            <v>#N/A</v>
          </cell>
          <cell r="D782" t="e">
            <v>#N/A</v>
          </cell>
          <cell r="E782" t="e">
            <v>#N/A</v>
          </cell>
          <cell r="F782" t="e">
            <v>#N/A</v>
          </cell>
          <cell r="G782" t="e">
            <v>#N/A</v>
          </cell>
          <cell r="H782" t="e">
            <v>#N/A</v>
          </cell>
          <cell r="I782" t="e">
            <v>#N/A</v>
          </cell>
          <cell r="J782" t="e">
            <v>#N/A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</row>
        <row r="783">
          <cell r="B783">
            <v>0</v>
          </cell>
          <cell r="C783" t="e">
            <v>#N/A</v>
          </cell>
          <cell r="D783" t="e">
            <v>#N/A</v>
          </cell>
          <cell r="E783" t="e">
            <v>#N/A</v>
          </cell>
          <cell r="F783" t="e">
            <v>#N/A</v>
          </cell>
          <cell r="G783" t="e">
            <v>#N/A</v>
          </cell>
          <cell r="H783" t="e">
            <v>#N/A</v>
          </cell>
          <cell r="I783" t="e">
            <v>#N/A</v>
          </cell>
          <cell r="J783" t="e">
            <v>#N/A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</row>
        <row r="784">
          <cell r="B784">
            <v>0</v>
          </cell>
          <cell r="C784" t="e">
            <v>#N/A</v>
          </cell>
          <cell r="D784" t="e">
            <v>#N/A</v>
          </cell>
          <cell r="E784" t="e">
            <v>#N/A</v>
          </cell>
          <cell r="F784" t="e">
            <v>#N/A</v>
          </cell>
          <cell r="G784" t="e">
            <v>#N/A</v>
          </cell>
          <cell r="H784" t="e">
            <v>#N/A</v>
          </cell>
          <cell r="I784" t="e">
            <v>#N/A</v>
          </cell>
          <cell r="J784" t="e">
            <v>#N/A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</row>
        <row r="785">
          <cell r="B785">
            <v>0</v>
          </cell>
          <cell r="C785" t="e">
            <v>#N/A</v>
          </cell>
          <cell r="D785" t="e">
            <v>#N/A</v>
          </cell>
          <cell r="E785" t="e">
            <v>#N/A</v>
          </cell>
          <cell r="F785" t="e">
            <v>#N/A</v>
          </cell>
          <cell r="G785" t="e">
            <v>#N/A</v>
          </cell>
          <cell r="H785" t="e">
            <v>#N/A</v>
          </cell>
          <cell r="I785" t="e">
            <v>#N/A</v>
          </cell>
          <cell r="J785" t="e">
            <v>#N/A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</row>
        <row r="786">
          <cell r="B786">
            <v>0</v>
          </cell>
          <cell r="C786" t="e">
            <v>#N/A</v>
          </cell>
          <cell r="D786" t="e">
            <v>#N/A</v>
          </cell>
          <cell r="E786" t="e">
            <v>#N/A</v>
          </cell>
          <cell r="F786" t="e">
            <v>#N/A</v>
          </cell>
          <cell r="G786" t="e">
            <v>#N/A</v>
          </cell>
          <cell r="H786" t="e">
            <v>#N/A</v>
          </cell>
          <cell r="I786" t="e">
            <v>#N/A</v>
          </cell>
          <cell r="J786" t="e">
            <v>#N/A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</row>
        <row r="787">
          <cell r="B787">
            <v>0</v>
          </cell>
          <cell r="C787" t="e">
            <v>#N/A</v>
          </cell>
          <cell r="D787" t="e">
            <v>#N/A</v>
          </cell>
          <cell r="E787" t="e">
            <v>#N/A</v>
          </cell>
          <cell r="F787" t="e">
            <v>#N/A</v>
          </cell>
          <cell r="G787" t="e">
            <v>#N/A</v>
          </cell>
          <cell r="H787" t="e">
            <v>#N/A</v>
          </cell>
          <cell r="I787" t="e">
            <v>#N/A</v>
          </cell>
          <cell r="J787" t="e">
            <v>#N/A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</row>
        <row r="788">
          <cell r="B788">
            <v>0</v>
          </cell>
          <cell r="C788" t="e">
            <v>#N/A</v>
          </cell>
          <cell r="D788" t="e">
            <v>#N/A</v>
          </cell>
          <cell r="E788" t="e">
            <v>#N/A</v>
          </cell>
          <cell r="F788" t="e">
            <v>#N/A</v>
          </cell>
          <cell r="G788" t="e">
            <v>#N/A</v>
          </cell>
          <cell r="H788" t="e">
            <v>#N/A</v>
          </cell>
          <cell r="I788" t="e">
            <v>#N/A</v>
          </cell>
          <cell r="J788" t="e">
            <v>#N/A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</row>
        <row r="789">
          <cell r="B789">
            <v>0</v>
          </cell>
          <cell r="C789" t="e">
            <v>#N/A</v>
          </cell>
          <cell r="D789" t="e">
            <v>#N/A</v>
          </cell>
          <cell r="E789" t="e">
            <v>#N/A</v>
          </cell>
          <cell r="F789" t="e">
            <v>#N/A</v>
          </cell>
          <cell r="G789" t="e">
            <v>#N/A</v>
          </cell>
          <cell r="H789" t="e">
            <v>#N/A</v>
          </cell>
          <cell r="I789" t="e">
            <v>#N/A</v>
          </cell>
          <cell r="J789" t="e">
            <v>#N/A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</row>
        <row r="790">
          <cell r="B790">
            <v>0</v>
          </cell>
          <cell r="C790" t="e">
            <v>#N/A</v>
          </cell>
          <cell r="D790" t="e">
            <v>#N/A</v>
          </cell>
          <cell r="E790" t="e">
            <v>#N/A</v>
          </cell>
          <cell r="F790" t="e">
            <v>#N/A</v>
          </cell>
          <cell r="G790" t="e">
            <v>#N/A</v>
          </cell>
          <cell r="H790" t="e">
            <v>#N/A</v>
          </cell>
          <cell r="I790" t="e">
            <v>#N/A</v>
          </cell>
          <cell r="J790" t="e">
            <v>#N/A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</row>
        <row r="791">
          <cell r="B791">
            <v>0</v>
          </cell>
          <cell r="C791" t="e">
            <v>#N/A</v>
          </cell>
          <cell r="D791" t="e">
            <v>#N/A</v>
          </cell>
          <cell r="E791" t="e">
            <v>#N/A</v>
          </cell>
          <cell r="F791" t="e">
            <v>#N/A</v>
          </cell>
          <cell r="G791" t="e">
            <v>#N/A</v>
          </cell>
          <cell r="H791" t="e">
            <v>#N/A</v>
          </cell>
          <cell r="I791" t="e">
            <v>#N/A</v>
          </cell>
          <cell r="J791" t="e">
            <v>#N/A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</row>
        <row r="792">
          <cell r="B792">
            <v>0</v>
          </cell>
          <cell r="C792" t="e">
            <v>#N/A</v>
          </cell>
          <cell r="D792" t="e">
            <v>#N/A</v>
          </cell>
          <cell r="E792" t="e">
            <v>#N/A</v>
          </cell>
          <cell r="F792" t="e">
            <v>#N/A</v>
          </cell>
          <cell r="G792" t="e">
            <v>#N/A</v>
          </cell>
          <cell r="H792" t="e">
            <v>#N/A</v>
          </cell>
          <cell r="I792" t="e">
            <v>#N/A</v>
          </cell>
          <cell r="J792" t="e">
            <v>#N/A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</row>
        <row r="793">
          <cell r="B793">
            <v>0</v>
          </cell>
          <cell r="C793" t="e">
            <v>#N/A</v>
          </cell>
          <cell r="D793" t="e">
            <v>#N/A</v>
          </cell>
          <cell r="E793" t="e">
            <v>#N/A</v>
          </cell>
          <cell r="F793" t="e">
            <v>#N/A</v>
          </cell>
          <cell r="G793" t="e">
            <v>#N/A</v>
          </cell>
          <cell r="H793" t="e">
            <v>#N/A</v>
          </cell>
          <cell r="I793" t="e">
            <v>#N/A</v>
          </cell>
          <cell r="J793" t="e">
            <v>#N/A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</row>
        <row r="794">
          <cell r="B794">
            <v>0</v>
          </cell>
          <cell r="C794" t="e">
            <v>#N/A</v>
          </cell>
          <cell r="D794" t="e">
            <v>#N/A</v>
          </cell>
          <cell r="E794" t="e">
            <v>#N/A</v>
          </cell>
          <cell r="F794" t="e">
            <v>#N/A</v>
          </cell>
          <cell r="G794" t="e">
            <v>#N/A</v>
          </cell>
          <cell r="H794" t="e">
            <v>#N/A</v>
          </cell>
          <cell r="I794" t="e">
            <v>#N/A</v>
          </cell>
          <cell r="J794" t="e">
            <v>#N/A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</row>
        <row r="795">
          <cell r="B795">
            <v>0</v>
          </cell>
          <cell r="C795" t="e">
            <v>#N/A</v>
          </cell>
          <cell r="D795" t="e">
            <v>#N/A</v>
          </cell>
          <cell r="E795" t="e">
            <v>#N/A</v>
          </cell>
          <cell r="F795" t="e">
            <v>#N/A</v>
          </cell>
          <cell r="G795" t="e">
            <v>#N/A</v>
          </cell>
          <cell r="H795" t="e">
            <v>#N/A</v>
          </cell>
          <cell r="I795" t="e">
            <v>#N/A</v>
          </cell>
          <cell r="J795" t="e">
            <v>#N/A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</row>
        <row r="796">
          <cell r="B796">
            <v>0</v>
          </cell>
          <cell r="C796" t="e">
            <v>#N/A</v>
          </cell>
          <cell r="D796" t="e">
            <v>#N/A</v>
          </cell>
          <cell r="E796" t="e">
            <v>#N/A</v>
          </cell>
          <cell r="F796" t="e">
            <v>#N/A</v>
          </cell>
          <cell r="G796" t="e">
            <v>#N/A</v>
          </cell>
          <cell r="H796" t="e">
            <v>#N/A</v>
          </cell>
          <cell r="I796" t="e">
            <v>#N/A</v>
          </cell>
          <cell r="J796" t="e">
            <v>#N/A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</row>
        <row r="797">
          <cell r="B797">
            <v>0</v>
          </cell>
          <cell r="C797" t="e">
            <v>#N/A</v>
          </cell>
          <cell r="D797" t="e">
            <v>#N/A</v>
          </cell>
          <cell r="E797" t="e">
            <v>#N/A</v>
          </cell>
          <cell r="F797" t="e">
            <v>#N/A</v>
          </cell>
          <cell r="G797" t="e">
            <v>#N/A</v>
          </cell>
          <cell r="H797" t="e">
            <v>#N/A</v>
          </cell>
          <cell r="I797" t="e">
            <v>#N/A</v>
          </cell>
          <cell r="J797" t="e">
            <v>#N/A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</row>
        <row r="798">
          <cell r="B798">
            <v>0</v>
          </cell>
          <cell r="C798" t="e">
            <v>#N/A</v>
          </cell>
          <cell r="D798" t="e">
            <v>#N/A</v>
          </cell>
          <cell r="E798" t="e">
            <v>#N/A</v>
          </cell>
          <cell r="F798" t="e">
            <v>#N/A</v>
          </cell>
          <cell r="G798" t="e">
            <v>#N/A</v>
          </cell>
          <cell r="H798" t="e">
            <v>#N/A</v>
          </cell>
          <cell r="I798" t="e">
            <v>#N/A</v>
          </cell>
          <cell r="J798" t="e">
            <v>#N/A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</row>
        <row r="799">
          <cell r="B799">
            <v>0</v>
          </cell>
          <cell r="C799" t="e">
            <v>#N/A</v>
          </cell>
          <cell r="D799" t="e">
            <v>#N/A</v>
          </cell>
          <cell r="E799" t="e">
            <v>#N/A</v>
          </cell>
          <cell r="F799" t="e">
            <v>#N/A</v>
          </cell>
          <cell r="G799" t="e">
            <v>#N/A</v>
          </cell>
          <cell r="H799" t="e">
            <v>#N/A</v>
          </cell>
          <cell r="I799" t="e">
            <v>#N/A</v>
          </cell>
          <cell r="J799" t="e">
            <v>#N/A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</row>
        <row r="800">
          <cell r="B800">
            <v>0</v>
          </cell>
          <cell r="C800" t="e">
            <v>#N/A</v>
          </cell>
          <cell r="D800" t="e">
            <v>#N/A</v>
          </cell>
          <cell r="E800" t="e">
            <v>#N/A</v>
          </cell>
          <cell r="F800" t="e">
            <v>#N/A</v>
          </cell>
          <cell r="G800" t="e">
            <v>#N/A</v>
          </cell>
          <cell r="H800" t="e">
            <v>#N/A</v>
          </cell>
          <cell r="I800" t="e">
            <v>#N/A</v>
          </cell>
          <cell r="J800" t="e">
            <v>#N/A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</row>
        <row r="801">
          <cell r="B801">
            <v>0</v>
          </cell>
          <cell r="C801" t="e">
            <v>#N/A</v>
          </cell>
          <cell r="D801" t="e">
            <v>#N/A</v>
          </cell>
          <cell r="E801" t="e">
            <v>#N/A</v>
          </cell>
          <cell r="F801" t="e">
            <v>#N/A</v>
          </cell>
          <cell r="G801" t="e">
            <v>#N/A</v>
          </cell>
          <cell r="H801" t="e">
            <v>#N/A</v>
          </cell>
          <cell r="I801" t="e">
            <v>#N/A</v>
          </cell>
          <cell r="J801" t="e">
            <v>#N/A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</row>
        <row r="802">
          <cell r="B802">
            <v>0</v>
          </cell>
          <cell r="C802" t="e">
            <v>#N/A</v>
          </cell>
          <cell r="D802" t="e">
            <v>#N/A</v>
          </cell>
          <cell r="E802" t="e">
            <v>#N/A</v>
          </cell>
          <cell r="F802" t="e">
            <v>#N/A</v>
          </cell>
          <cell r="G802" t="e">
            <v>#N/A</v>
          </cell>
          <cell r="H802" t="e">
            <v>#N/A</v>
          </cell>
          <cell r="I802" t="e">
            <v>#N/A</v>
          </cell>
          <cell r="J802" t="e">
            <v>#N/A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</row>
        <row r="803">
          <cell r="B803">
            <v>0</v>
          </cell>
          <cell r="C803" t="e">
            <v>#N/A</v>
          </cell>
          <cell r="D803" t="e">
            <v>#N/A</v>
          </cell>
          <cell r="E803" t="e">
            <v>#N/A</v>
          </cell>
          <cell r="F803" t="e">
            <v>#N/A</v>
          </cell>
          <cell r="G803" t="e">
            <v>#N/A</v>
          </cell>
          <cell r="H803" t="e">
            <v>#N/A</v>
          </cell>
          <cell r="I803" t="e">
            <v>#N/A</v>
          </cell>
          <cell r="J803" t="e">
            <v>#N/A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</row>
        <row r="804">
          <cell r="B804">
            <v>0</v>
          </cell>
          <cell r="C804" t="e">
            <v>#N/A</v>
          </cell>
          <cell r="D804" t="e">
            <v>#N/A</v>
          </cell>
          <cell r="E804" t="e">
            <v>#N/A</v>
          </cell>
          <cell r="F804" t="e">
            <v>#N/A</v>
          </cell>
          <cell r="G804" t="e">
            <v>#N/A</v>
          </cell>
          <cell r="H804" t="e">
            <v>#N/A</v>
          </cell>
          <cell r="I804" t="e">
            <v>#N/A</v>
          </cell>
          <cell r="J804" t="e">
            <v>#N/A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</row>
        <row r="805">
          <cell r="B805">
            <v>0</v>
          </cell>
          <cell r="C805" t="e">
            <v>#N/A</v>
          </cell>
          <cell r="D805" t="e">
            <v>#N/A</v>
          </cell>
          <cell r="E805" t="e">
            <v>#N/A</v>
          </cell>
          <cell r="F805" t="e">
            <v>#N/A</v>
          </cell>
          <cell r="G805" t="e">
            <v>#N/A</v>
          </cell>
          <cell r="H805" t="e">
            <v>#N/A</v>
          </cell>
          <cell r="I805" t="e">
            <v>#N/A</v>
          </cell>
          <cell r="J805" t="e">
            <v>#N/A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</row>
        <row r="806">
          <cell r="B806">
            <v>0</v>
          </cell>
          <cell r="C806" t="e">
            <v>#N/A</v>
          </cell>
          <cell r="D806" t="e">
            <v>#N/A</v>
          </cell>
          <cell r="E806" t="e">
            <v>#N/A</v>
          </cell>
          <cell r="F806" t="e">
            <v>#N/A</v>
          </cell>
          <cell r="G806" t="e">
            <v>#N/A</v>
          </cell>
          <cell r="H806" t="e">
            <v>#N/A</v>
          </cell>
          <cell r="I806" t="e">
            <v>#N/A</v>
          </cell>
          <cell r="J806" t="e">
            <v>#N/A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</row>
        <row r="807">
          <cell r="B807">
            <v>0</v>
          </cell>
          <cell r="C807" t="e">
            <v>#N/A</v>
          </cell>
          <cell r="D807" t="e">
            <v>#N/A</v>
          </cell>
          <cell r="E807" t="e">
            <v>#N/A</v>
          </cell>
          <cell r="F807" t="e">
            <v>#N/A</v>
          </cell>
          <cell r="G807" t="e">
            <v>#N/A</v>
          </cell>
          <cell r="H807" t="e">
            <v>#N/A</v>
          </cell>
          <cell r="I807" t="e">
            <v>#N/A</v>
          </cell>
          <cell r="J807" t="e">
            <v>#N/A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</row>
        <row r="808">
          <cell r="B808">
            <v>0</v>
          </cell>
          <cell r="C808" t="e">
            <v>#N/A</v>
          </cell>
          <cell r="D808" t="e">
            <v>#N/A</v>
          </cell>
          <cell r="E808" t="e">
            <v>#N/A</v>
          </cell>
          <cell r="F808" t="e">
            <v>#N/A</v>
          </cell>
          <cell r="G808" t="e">
            <v>#N/A</v>
          </cell>
          <cell r="H808" t="e">
            <v>#N/A</v>
          </cell>
          <cell r="I808" t="e">
            <v>#N/A</v>
          </cell>
          <cell r="J808" t="e">
            <v>#N/A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</row>
        <row r="809">
          <cell r="B809">
            <v>0</v>
          </cell>
          <cell r="C809" t="e">
            <v>#N/A</v>
          </cell>
          <cell r="D809" t="e">
            <v>#N/A</v>
          </cell>
          <cell r="E809" t="e">
            <v>#N/A</v>
          </cell>
          <cell r="F809" t="e">
            <v>#N/A</v>
          </cell>
          <cell r="G809" t="e">
            <v>#N/A</v>
          </cell>
          <cell r="H809" t="e">
            <v>#N/A</v>
          </cell>
          <cell r="I809" t="e">
            <v>#N/A</v>
          </cell>
          <cell r="J809" t="e">
            <v>#N/A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</row>
        <row r="810">
          <cell r="B810">
            <v>0</v>
          </cell>
          <cell r="C810" t="e">
            <v>#N/A</v>
          </cell>
          <cell r="D810" t="e">
            <v>#N/A</v>
          </cell>
          <cell r="E810" t="e">
            <v>#N/A</v>
          </cell>
          <cell r="F810" t="e">
            <v>#N/A</v>
          </cell>
          <cell r="G810" t="e">
            <v>#N/A</v>
          </cell>
          <cell r="H810" t="e">
            <v>#N/A</v>
          </cell>
          <cell r="I810" t="e">
            <v>#N/A</v>
          </cell>
          <cell r="J810" t="e">
            <v>#N/A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</row>
        <row r="811">
          <cell r="B811">
            <v>0</v>
          </cell>
          <cell r="C811" t="e">
            <v>#N/A</v>
          </cell>
          <cell r="D811" t="e">
            <v>#N/A</v>
          </cell>
          <cell r="E811" t="e">
            <v>#N/A</v>
          </cell>
          <cell r="F811" t="e">
            <v>#N/A</v>
          </cell>
          <cell r="G811" t="e">
            <v>#N/A</v>
          </cell>
          <cell r="H811" t="e">
            <v>#N/A</v>
          </cell>
          <cell r="I811" t="e">
            <v>#N/A</v>
          </cell>
          <cell r="J811" t="e">
            <v>#N/A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</row>
        <row r="812">
          <cell r="B812">
            <v>0</v>
          </cell>
          <cell r="C812" t="e">
            <v>#N/A</v>
          </cell>
          <cell r="D812" t="e">
            <v>#N/A</v>
          </cell>
          <cell r="E812" t="e">
            <v>#N/A</v>
          </cell>
          <cell r="F812" t="e">
            <v>#N/A</v>
          </cell>
          <cell r="G812" t="e">
            <v>#N/A</v>
          </cell>
          <cell r="H812" t="e">
            <v>#N/A</v>
          </cell>
          <cell r="I812" t="e">
            <v>#N/A</v>
          </cell>
          <cell r="J812" t="e">
            <v>#N/A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</row>
        <row r="813">
          <cell r="B813">
            <v>0</v>
          </cell>
          <cell r="C813" t="e">
            <v>#N/A</v>
          </cell>
          <cell r="D813" t="e">
            <v>#N/A</v>
          </cell>
          <cell r="E813" t="e">
            <v>#N/A</v>
          </cell>
          <cell r="F813" t="e">
            <v>#N/A</v>
          </cell>
          <cell r="G813" t="e">
            <v>#N/A</v>
          </cell>
          <cell r="H813" t="e">
            <v>#N/A</v>
          </cell>
          <cell r="I813" t="e">
            <v>#N/A</v>
          </cell>
          <cell r="J813" t="e">
            <v>#N/A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</row>
        <row r="814">
          <cell r="B814">
            <v>0</v>
          </cell>
          <cell r="C814" t="e">
            <v>#N/A</v>
          </cell>
          <cell r="D814" t="e">
            <v>#N/A</v>
          </cell>
          <cell r="E814" t="e">
            <v>#N/A</v>
          </cell>
          <cell r="F814" t="e">
            <v>#N/A</v>
          </cell>
          <cell r="G814" t="e">
            <v>#N/A</v>
          </cell>
          <cell r="H814" t="e">
            <v>#N/A</v>
          </cell>
          <cell r="I814" t="e">
            <v>#N/A</v>
          </cell>
          <cell r="J814" t="e">
            <v>#N/A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</row>
        <row r="815">
          <cell r="B815">
            <v>0</v>
          </cell>
          <cell r="C815" t="e">
            <v>#N/A</v>
          </cell>
          <cell r="D815" t="e">
            <v>#N/A</v>
          </cell>
          <cell r="E815" t="e">
            <v>#N/A</v>
          </cell>
          <cell r="F815" t="e">
            <v>#N/A</v>
          </cell>
          <cell r="G815" t="e">
            <v>#N/A</v>
          </cell>
          <cell r="H815" t="e">
            <v>#N/A</v>
          </cell>
          <cell r="I815" t="e">
            <v>#N/A</v>
          </cell>
          <cell r="J815" t="e">
            <v>#N/A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</row>
        <row r="816">
          <cell r="B816">
            <v>0</v>
          </cell>
          <cell r="C816" t="e">
            <v>#N/A</v>
          </cell>
          <cell r="D816" t="e">
            <v>#N/A</v>
          </cell>
          <cell r="E816" t="e">
            <v>#N/A</v>
          </cell>
          <cell r="F816" t="e">
            <v>#N/A</v>
          </cell>
          <cell r="G816" t="e">
            <v>#N/A</v>
          </cell>
          <cell r="H816" t="e">
            <v>#N/A</v>
          </cell>
          <cell r="I816" t="e">
            <v>#N/A</v>
          </cell>
          <cell r="J816" t="e">
            <v>#N/A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</row>
        <row r="817">
          <cell r="B817">
            <v>0</v>
          </cell>
          <cell r="C817" t="e">
            <v>#N/A</v>
          </cell>
          <cell r="D817" t="e">
            <v>#N/A</v>
          </cell>
          <cell r="E817" t="e">
            <v>#N/A</v>
          </cell>
          <cell r="F817" t="e">
            <v>#N/A</v>
          </cell>
          <cell r="G817" t="e">
            <v>#N/A</v>
          </cell>
          <cell r="H817" t="e">
            <v>#N/A</v>
          </cell>
          <cell r="I817" t="e">
            <v>#N/A</v>
          </cell>
          <cell r="J817" t="e">
            <v>#N/A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</row>
        <row r="818">
          <cell r="B818">
            <v>0</v>
          </cell>
          <cell r="C818" t="e">
            <v>#N/A</v>
          </cell>
          <cell r="D818" t="e">
            <v>#N/A</v>
          </cell>
          <cell r="E818" t="e">
            <v>#N/A</v>
          </cell>
          <cell r="F818" t="e">
            <v>#N/A</v>
          </cell>
          <cell r="G818" t="e">
            <v>#N/A</v>
          </cell>
          <cell r="H818" t="e">
            <v>#N/A</v>
          </cell>
          <cell r="I818" t="e">
            <v>#N/A</v>
          </cell>
          <cell r="J818" t="e">
            <v>#N/A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</row>
        <row r="819">
          <cell r="B819">
            <v>0</v>
          </cell>
          <cell r="C819" t="e">
            <v>#N/A</v>
          </cell>
          <cell r="D819" t="e">
            <v>#N/A</v>
          </cell>
          <cell r="E819" t="e">
            <v>#N/A</v>
          </cell>
          <cell r="F819" t="e">
            <v>#N/A</v>
          </cell>
          <cell r="G819" t="e">
            <v>#N/A</v>
          </cell>
          <cell r="H819" t="e">
            <v>#N/A</v>
          </cell>
          <cell r="I819" t="e">
            <v>#N/A</v>
          </cell>
          <cell r="J819" t="e">
            <v>#N/A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G819">
            <v>0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</row>
        <row r="820">
          <cell r="B820">
            <v>0</v>
          </cell>
          <cell r="C820" t="e">
            <v>#N/A</v>
          </cell>
          <cell r="D820" t="e">
            <v>#N/A</v>
          </cell>
          <cell r="E820" t="e">
            <v>#N/A</v>
          </cell>
          <cell r="F820" t="e">
            <v>#N/A</v>
          </cell>
          <cell r="G820" t="e">
            <v>#N/A</v>
          </cell>
          <cell r="H820" t="e">
            <v>#N/A</v>
          </cell>
          <cell r="I820" t="e">
            <v>#N/A</v>
          </cell>
          <cell r="J820" t="e">
            <v>#N/A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</row>
        <row r="821">
          <cell r="B821">
            <v>0</v>
          </cell>
          <cell r="C821" t="e">
            <v>#N/A</v>
          </cell>
          <cell r="D821" t="e">
            <v>#N/A</v>
          </cell>
          <cell r="E821" t="e">
            <v>#N/A</v>
          </cell>
          <cell r="F821" t="e">
            <v>#N/A</v>
          </cell>
          <cell r="G821" t="e">
            <v>#N/A</v>
          </cell>
          <cell r="H821" t="e">
            <v>#N/A</v>
          </cell>
          <cell r="I821" t="e">
            <v>#N/A</v>
          </cell>
          <cell r="J821" t="e">
            <v>#N/A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</row>
        <row r="822">
          <cell r="B822">
            <v>0</v>
          </cell>
          <cell r="C822" t="e">
            <v>#N/A</v>
          </cell>
          <cell r="D822" t="e">
            <v>#N/A</v>
          </cell>
          <cell r="E822" t="e">
            <v>#N/A</v>
          </cell>
          <cell r="F822" t="e">
            <v>#N/A</v>
          </cell>
          <cell r="G822" t="e">
            <v>#N/A</v>
          </cell>
          <cell r="H822" t="e">
            <v>#N/A</v>
          </cell>
          <cell r="I822" t="e">
            <v>#N/A</v>
          </cell>
          <cell r="J822" t="e">
            <v>#N/A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</row>
        <row r="823">
          <cell r="B823">
            <v>0</v>
          </cell>
          <cell r="C823" t="e">
            <v>#N/A</v>
          </cell>
          <cell r="D823" t="e">
            <v>#N/A</v>
          </cell>
          <cell r="E823" t="e">
            <v>#N/A</v>
          </cell>
          <cell r="F823" t="e">
            <v>#N/A</v>
          </cell>
          <cell r="G823" t="e">
            <v>#N/A</v>
          </cell>
          <cell r="H823" t="e">
            <v>#N/A</v>
          </cell>
          <cell r="I823" t="e">
            <v>#N/A</v>
          </cell>
          <cell r="J823" t="e">
            <v>#N/A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G823">
            <v>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</row>
        <row r="824">
          <cell r="B824">
            <v>0</v>
          </cell>
          <cell r="C824" t="e">
            <v>#N/A</v>
          </cell>
          <cell r="D824" t="e">
            <v>#N/A</v>
          </cell>
          <cell r="E824" t="e">
            <v>#N/A</v>
          </cell>
          <cell r="F824" t="e">
            <v>#N/A</v>
          </cell>
          <cell r="G824" t="e">
            <v>#N/A</v>
          </cell>
          <cell r="H824" t="e">
            <v>#N/A</v>
          </cell>
          <cell r="I824" t="e">
            <v>#N/A</v>
          </cell>
          <cell r="J824" t="e">
            <v>#N/A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</row>
        <row r="825">
          <cell r="B825">
            <v>0</v>
          </cell>
          <cell r="C825" t="e">
            <v>#N/A</v>
          </cell>
          <cell r="D825" t="e">
            <v>#N/A</v>
          </cell>
          <cell r="E825" t="e">
            <v>#N/A</v>
          </cell>
          <cell r="F825" t="e">
            <v>#N/A</v>
          </cell>
          <cell r="G825" t="e">
            <v>#N/A</v>
          </cell>
          <cell r="H825" t="e">
            <v>#N/A</v>
          </cell>
          <cell r="I825" t="e">
            <v>#N/A</v>
          </cell>
          <cell r="J825" t="e">
            <v>#N/A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  <cell r="AE825">
            <v>0</v>
          </cell>
          <cell r="AF825">
            <v>0</v>
          </cell>
          <cell r="AG825">
            <v>0</v>
          </cell>
          <cell r="AH825">
            <v>0</v>
          </cell>
          <cell r="AI825">
            <v>0</v>
          </cell>
          <cell r="AJ825">
            <v>0</v>
          </cell>
          <cell r="AK825">
            <v>0</v>
          </cell>
        </row>
        <row r="826">
          <cell r="B826">
            <v>0</v>
          </cell>
          <cell r="C826" t="e">
            <v>#N/A</v>
          </cell>
          <cell r="D826" t="e">
            <v>#N/A</v>
          </cell>
          <cell r="E826" t="e">
            <v>#N/A</v>
          </cell>
          <cell r="F826" t="e">
            <v>#N/A</v>
          </cell>
          <cell r="G826" t="e">
            <v>#N/A</v>
          </cell>
          <cell r="H826" t="e">
            <v>#N/A</v>
          </cell>
          <cell r="I826" t="e">
            <v>#N/A</v>
          </cell>
          <cell r="J826" t="e">
            <v>#N/A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0</v>
          </cell>
          <cell r="AF826">
            <v>0</v>
          </cell>
          <cell r="AG826">
            <v>0</v>
          </cell>
          <cell r="AH826">
            <v>0</v>
          </cell>
          <cell r="AI826">
            <v>0</v>
          </cell>
          <cell r="AJ826">
            <v>0</v>
          </cell>
          <cell r="AK826">
            <v>0</v>
          </cell>
        </row>
        <row r="827">
          <cell r="B827">
            <v>0</v>
          </cell>
          <cell r="C827" t="e">
            <v>#N/A</v>
          </cell>
          <cell r="D827" t="e">
            <v>#N/A</v>
          </cell>
          <cell r="E827" t="e">
            <v>#N/A</v>
          </cell>
          <cell r="F827" t="e">
            <v>#N/A</v>
          </cell>
          <cell r="G827" t="e">
            <v>#N/A</v>
          </cell>
          <cell r="H827" t="e">
            <v>#N/A</v>
          </cell>
          <cell r="I827" t="e">
            <v>#N/A</v>
          </cell>
          <cell r="J827" t="e">
            <v>#N/A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</row>
        <row r="828">
          <cell r="B828">
            <v>0</v>
          </cell>
          <cell r="C828" t="e">
            <v>#N/A</v>
          </cell>
          <cell r="D828" t="e">
            <v>#N/A</v>
          </cell>
          <cell r="E828" t="e">
            <v>#N/A</v>
          </cell>
          <cell r="F828" t="e">
            <v>#N/A</v>
          </cell>
          <cell r="G828" t="e">
            <v>#N/A</v>
          </cell>
          <cell r="H828" t="e">
            <v>#N/A</v>
          </cell>
          <cell r="I828" t="e">
            <v>#N/A</v>
          </cell>
          <cell r="J828" t="e">
            <v>#N/A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</row>
        <row r="829">
          <cell r="B829">
            <v>0</v>
          </cell>
          <cell r="C829" t="e">
            <v>#N/A</v>
          </cell>
          <cell r="D829" t="e">
            <v>#N/A</v>
          </cell>
          <cell r="E829" t="e">
            <v>#N/A</v>
          </cell>
          <cell r="F829" t="e">
            <v>#N/A</v>
          </cell>
          <cell r="G829" t="e">
            <v>#N/A</v>
          </cell>
          <cell r="H829" t="e">
            <v>#N/A</v>
          </cell>
          <cell r="I829" t="e">
            <v>#N/A</v>
          </cell>
          <cell r="J829" t="e">
            <v>#N/A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</row>
        <row r="830">
          <cell r="B830">
            <v>0</v>
          </cell>
          <cell r="C830" t="e">
            <v>#N/A</v>
          </cell>
          <cell r="D830" t="e">
            <v>#N/A</v>
          </cell>
          <cell r="E830" t="e">
            <v>#N/A</v>
          </cell>
          <cell r="F830" t="e">
            <v>#N/A</v>
          </cell>
          <cell r="G830" t="e">
            <v>#N/A</v>
          </cell>
          <cell r="H830" t="e">
            <v>#N/A</v>
          </cell>
          <cell r="I830" t="e">
            <v>#N/A</v>
          </cell>
          <cell r="J830" t="e">
            <v>#N/A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</row>
        <row r="831">
          <cell r="B831">
            <v>0</v>
          </cell>
          <cell r="C831" t="e">
            <v>#N/A</v>
          </cell>
          <cell r="D831" t="e">
            <v>#N/A</v>
          </cell>
          <cell r="E831" t="e">
            <v>#N/A</v>
          </cell>
          <cell r="F831" t="e">
            <v>#N/A</v>
          </cell>
          <cell r="G831" t="e">
            <v>#N/A</v>
          </cell>
          <cell r="H831" t="e">
            <v>#N/A</v>
          </cell>
          <cell r="I831" t="e">
            <v>#N/A</v>
          </cell>
          <cell r="J831" t="e">
            <v>#N/A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</v>
          </cell>
          <cell r="AK831">
            <v>0</v>
          </cell>
        </row>
        <row r="832">
          <cell r="B832">
            <v>0</v>
          </cell>
          <cell r="C832" t="e">
            <v>#N/A</v>
          </cell>
          <cell r="D832" t="e">
            <v>#N/A</v>
          </cell>
          <cell r="E832" t="e">
            <v>#N/A</v>
          </cell>
          <cell r="F832" t="e">
            <v>#N/A</v>
          </cell>
          <cell r="G832" t="e">
            <v>#N/A</v>
          </cell>
          <cell r="H832" t="e">
            <v>#N/A</v>
          </cell>
          <cell r="I832" t="e">
            <v>#N/A</v>
          </cell>
          <cell r="J832" t="e">
            <v>#N/A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0</v>
          </cell>
          <cell r="AF832">
            <v>0</v>
          </cell>
          <cell r="AG832">
            <v>0</v>
          </cell>
          <cell r="AH832">
            <v>0</v>
          </cell>
          <cell r="AI832">
            <v>0</v>
          </cell>
          <cell r="AJ832">
            <v>0</v>
          </cell>
          <cell r="AK832">
            <v>0</v>
          </cell>
        </row>
        <row r="833">
          <cell r="B833">
            <v>0</v>
          </cell>
          <cell r="C833" t="e">
            <v>#N/A</v>
          </cell>
          <cell r="D833" t="e">
            <v>#N/A</v>
          </cell>
          <cell r="E833" t="e">
            <v>#N/A</v>
          </cell>
          <cell r="F833" t="e">
            <v>#N/A</v>
          </cell>
          <cell r="G833" t="e">
            <v>#N/A</v>
          </cell>
          <cell r="H833" t="e">
            <v>#N/A</v>
          </cell>
          <cell r="I833" t="e">
            <v>#N/A</v>
          </cell>
          <cell r="J833" t="e">
            <v>#N/A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</row>
        <row r="834">
          <cell r="B834">
            <v>0</v>
          </cell>
          <cell r="C834" t="e">
            <v>#N/A</v>
          </cell>
          <cell r="D834" t="e">
            <v>#N/A</v>
          </cell>
          <cell r="E834" t="e">
            <v>#N/A</v>
          </cell>
          <cell r="F834" t="e">
            <v>#N/A</v>
          </cell>
          <cell r="G834" t="e">
            <v>#N/A</v>
          </cell>
          <cell r="H834" t="e">
            <v>#N/A</v>
          </cell>
          <cell r="I834" t="e">
            <v>#N/A</v>
          </cell>
          <cell r="J834" t="e">
            <v>#N/A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0</v>
          </cell>
          <cell r="AF834">
            <v>0</v>
          </cell>
          <cell r="AG834">
            <v>0</v>
          </cell>
          <cell r="AH834">
            <v>0</v>
          </cell>
          <cell r="AI834">
            <v>0</v>
          </cell>
          <cell r="AJ834">
            <v>0</v>
          </cell>
          <cell r="AK834">
            <v>0</v>
          </cell>
        </row>
        <row r="835">
          <cell r="B835">
            <v>0</v>
          </cell>
          <cell r="C835" t="e">
            <v>#N/A</v>
          </cell>
          <cell r="D835" t="e">
            <v>#N/A</v>
          </cell>
          <cell r="E835" t="e">
            <v>#N/A</v>
          </cell>
          <cell r="F835" t="e">
            <v>#N/A</v>
          </cell>
          <cell r="G835" t="e">
            <v>#N/A</v>
          </cell>
          <cell r="H835" t="e">
            <v>#N/A</v>
          </cell>
          <cell r="I835" t="e">
            <v>#N/A</v>
          </cell>
          <cell r="J835" t="e">
            <v>#N/A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0</v>
          </cell>
          <cell r="AH835">
            <v>0</v>
          </cell>
          <cell r="AI835">
            <v>0</v>
          </cell>
          <cell r="AJ835">
            <v>0</v>
          </cell>
          <cell r="AK835">
            <v>0</v>
          </cell>
        </row>
        <row r="836">
          <cell r="B836">
            <v>0</v>
          </cell>
          <cell r="C836" t="e">
            <v>#N/A</v>
          </cell>
          <cell r="D836" t="e">
            <v>#N/A</v>
          </cell>
          <cell r="E836" t="e">
            <v>#N/A</v>
          </cell>
          <cell r="F836" t="e">
            <v>#N/A</v>
          </cell>
          <cell r="G836" t="e">
            <v>#N/A</v>
          </cell>
          <cell r="H836" t="e">
            <v>#N/A</v>
          </cell>
          <cell r="I836" t="e">
            <v>#N/A</v>
          </cell>
          <cell r="J836" t="e">
            <v>#N/A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</row>
        <row r="837">
          <cell r="B837">
            <v>0</v>
          </cell>
          <cell r="C837" t="e">
            <v>#N/A</v>
          </cell>
          <cell r="D837" t="e">
            <v>#N/A</v>
          </cell>
          <cell r="E837" t="e">
            <v>#N/A</v>
          </cell>
          <cell r="F837" t="e">
            <v>#N/A</v>
          </cell>
          <cell r="G837" t="e">
            <v>#N/A</v>
          </cell>
          <cell r="H837" t="e">
            <v>#N/A</v>
          </cell>
          <cell r="I837" t="e">
            <v>#N/A</v>
          </cell>
          <cell r="J837" t="e">
            <v>#N/A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0</v>
          </cell>
          <cell r="AF837">
            <v>0</v>
          </cell>
          <cell r="AG837">
            <v>0</v>
          </cell>
          <cell r="AH837">
            <v>0</v>
          </cell>
          <cell r="AI837">
            <v>0</v>
          </cell>
          <cell r="AJ837">
            <v>0</v>
          </cell>
          <cell r="AK837">
            <v>0</v>
          </cell>
        </row>
        <row r="838">
          <cell r="B838">
            <v>0</v>
          </cell>
          <cell r="C838" t="e">
            <v>#N/A</v>
          </cell>
          <cell r="D838" t="e">
            <v>#N/A</v>
          </cell>
          <cell r="E838" t="e">
            <v>#N/A</v>
          </cell>
          <cell r="F838" t="e">
            <v>#N/A</v>
          </cell>
          <cell r="G838" t="e">
            <v>#N/A</v>
          </cell>
          <cell r="H838" t="e">
            <v>#N/A</v>
          </cell>
          <cell r="I838" t="e">
            <v>#N/A</v>
          </cell>
          <cell r="J838" t="e">
            <v>#N/A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0</v>
          </cell>
          <cell r="AF838">
            <v>0</v>
          </cell>
          <cell r="AG838">
            <v>0</v>
          </cell>
          <cell r="AH838">
            <v>0</v>
          </cell>
          <cell r="AI838">
            <v>0</v>
          </cell>
          <cell r="AJ838">
            <v>0</v>
          </cell>
          <cell r="AK838">
            <v>0</v>
          </cell>
        </row>
        <row r="839">
          <cell r="B839">
            <v>0</v>
          </cell>
          <cell r="C839" t="e">
            <v>#N/A</v>
          </cell>
          <cell r="D839" t="e">
            <v>#N/A</v>
          </cell>
          <cell r="E839" t="e">
            <v>#N/A</v>
          </cell>
          <cell r="F839" t="e">
            <v>#N/A</v>
          </cell>
          <cell r="G839" t="e">
            <v>#N/A</v>
          </cell>
          <cell r="H839" t="e">
            <v>#N/A</v>
          </cell>
          <cell r="I839" t="e">
            <v>#N/A</v>
          </cell>
          <cell r="J839" t="e">
            <v>#N/A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</row>
        <row r="840">
          <cell r="B840">
            <v>0</v>
          </cell>
          <cell r="C840" t="e">
            <v>#N/A</v>
          </cell>
          <cell r="D840" t="e">
            <v>#N/A</v>
          </cell>
          <cell r="E840" t="e">
            <v>#N/A</v>
          </cell>
          <cell r="F840" t="e">
            <v>#N/A</v>
          </cell>
          <cell r="G840" t="e">
            <v>#N/A</v>
          </cell>
          <cell r="H840" t="e">
            <v>#N/A</v>
          </cell>
          <cell r="I840" t="e">
            <v>#N/A</v>
          </cell>
          <cell r="J840" t="e">
            <v>#N/A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</row>
        <row r="841">
          <cell r="B841">
            <v>0</v>
          </cell>
          <cell r="C841" t="e">
            <v>#N/A</v>
          </cell>
          <cell r="D841" t="e">
            <v>#N/A</v>
          </cell>
          <cell r="E841" t="e">
            <v>#N/A</v>
          </cell>
          <cell r="F841" t="e">
            <v>#N/A</v>
          </cell>
          <cell r="G841" t="e">
            <v>#N/A</v>
          </cell>
          <cell r="H841" t="e">
            <v>#N/A</v>
          </cell>
          <cell r="I841" t="e">
            <v>#N/A</v>
          </cell>
          <cell r="J841" t="e">
            <v>#N/A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</row>
        <row r="842">
          <cell r="B842">
            <v>0</v>
          </cell>
          <cell r="C842" t="e">
            <v>#N/A</v>
          </cell>
          <cell r="D842" t="e">
            <v>#N/A</v>
          </cell>
          <cell r="E842" t="e">
            <v>#N/A</v>
          </cell>
          <cell r="F842" t="e">
            <v>#N/A</v>
          </cell>
          <cell r="G842" t="e">
            <v>#N/A</v>
          </cell>
          <cell r="H842" t="e">
            <v>#N/A</v>
          </cell>
          <cell r="I842" t="e">
            <v>#N/A</v>
          </cell>
          <cell r="J842" t="e">
            <v>#N/A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</row>
        <row r="843">
          <cell r="B843">
            <v>0</v>
          </cell>
          <cell r="C843" t="e">
            <v>#N/A</v>
          </cell>
          <cell r="D843" t="e">
            <v>#N/A</v>
          </cell>
          <cell r="E843" t="e">
            <v>#N/A</v>
          </cell>
          <cell r="F843" t="e">
            <v>#N/A</v>
          </cell>
          <cell r="G843" t="e">
            <v>#N/A</v>
          </cell>
          <cell r="H843" t="e">
            <v>#N/A</v>
          </cell>
          <cell r="I843" t="e">
            <v>#N/A</v>
          </cell>
          <cell r="J843" t="e">
            <v>#N/A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</row>
        <row r="844">
          <cell r="B844">
            <v>0</v>
          </cell>
          <cell r="C844" t="e">
            <v>#N/A</v>
          </cell>
          <cell r="D844" t="e">
            <v>#N/A</v>
          </cell>
          <cell r="E844" t="e">
            <v>#N/A</v>
          </cell>
          <cell r="F844" t="e">
            <v>#N/A</v>
          </cell>
          <cell r="G844" t="e">
            <v>#N/A</v>
          </cell>
          <cell r="H844" t="e">
            <v>#N/A</v>
          </cell>
          <cell r="I844" t="e">
            <v>#N/A</v>
          </cell>
          <cell r="J844" t="e">
            <v>#N/A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</row>
        <row r="845">
          <cell r="B845">
            <v>0</v>
          </cell>
          <cell r="C845" t="e">
            <v>#N/A</v>
          </cell>
          <cell r="D845" t="e">
            <v>#N/A</v>
          </cell>
          <cell r="E845" t="e">
            <v>#N/A</v>
          </cell>
          <cell r="F845" t="e">
            <v>#N/A</v>
          </cell>
          <cell r="G845" t="e">
            <v>#N/A</v>
          </cell>
          <cell r="H845" t="e">
            <v>#N/A</v>
          </cell>
          <cell r="I845" t="e">
            <v>#N/A</v>
          </cell>
          <cell r="J845" t="e">
            <v>#N/A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</row>
        <row r="846">
          <cell r="B846">
            <v>0</v>
          </cell>
          <cell r="C846" t="e">
            <v>#N/A</v>
          </cell>
          <cell r="D846" t="e">
            <v>#N/A</v>
          </cell>
          <cell r="E846" t="e">
            <v>#N/A</v>
          </cell>
          <cell r="F846" t="e">
            <v>#N/A</v>
          </cell>
          <cell r="G846" t="e">
            <v>#N/A</v>
          </cell>
          <cell r="H846" t="e">
            <v>#N/A</v>
          </cell>
          <cell r="I846" t="e">
            <v>#N/A</v>
          </cell>
          <cell r="J846" t="e">
            <v>#N/A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</row>
        <row r="847">
          <cell r="B847">
            <v>0</v>
          </cell>
          <cell r="C847" t="e">
            <v>#N/A</v>
          </cell>
          <cell r="D847" t="e">
            <v>#N/A</v>
          </cell>
          <cell r="E847" t="e">
            <v>#N/A</v>
          </cell>
          <cell r="F847" t="e">
            <v>#N/A</v>
          </cell>
          <cell r="G847" t="e">
            <v>#N/A</v>
          </cell>
          <cell r="H847" t="e">
            <v>#N/A</v>
          </cell>
          <cell r="I847" t="e">
            <v>#N/A</v>
          </cell>
          <cell r="J847" t="e">
            <v>#N/A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</row>
        <row r="848">
          <cell r="B848">
            <v>0</v>
          </cell>
          <cell r="C848" t="e">
            <v>#N/A</v>
          </cell>
          <cell r="D848" t="e">
            <v>#N/A</v>
          </cell>
          <cell r="E848" t="e">
            <v>#N/A</v>
          </cell>
          <cell r="F848" t="e">
            <v>#N/A</v>
          </cell>
          <cell r="G848" t="e">
            <v>#N/A</v>
          </cell>
          <cell r="H848" t="e">
            <v>#N/A</v>
          </cell>
          <cell r="I848" t="e">
            <v>#N/A</v>
          </cell>
          <cell r="J848" t="e">
            <v>#N/A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</row>
        <row r="849">
          <cell r="B849">
            <v>0</v>
          </cell>
          <cell r="C849" t="e">
            <v>#N/A</v>
          </cell>
          <cell r="D849" t="e">
            <v>#N/A</v>
          </cell>
          <cell r="E849" t="e">
            <v>#N/A</v>
          </cell>
          <cell r="F849" t="e">
            <v>#N/A</v>
          </cell>
          <cell r="G849" t="e">
            <v>#N/A</v>
          </cell>
          <cell r="H849" t="e">
            <v>#N/A</v>
          </cell>
          <cell r="I849" t="e">
            <v>#N/A</v>
          </cell>
          <cell r="J849" t="e">
            <v>#N/A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</row>
        <row r="850">
          <cell r="B850">
            <v>0</v>
          </cell>
          <cell r="C850" t="e">
            <v>#N/A</v>
          </cell>
          <cell r="D850" t="e">
            <v>#N/A</v>
          </cell>
          <cell r="E850" t="e">
            <v>#N/A</v>
          </cell>
          <cell r="F850" t="e">
            <v>#N/A</v>
          </cell>
          <cell r="G850" t="e">
            <v>#N/A</v>
          </cell>
          <cell r="H850" t="e">
            <v>#N/A</v>
          </cell>
          <cell r="I850" t="e">
            <v>#N/A</v>
          </cell>
          <cell r="J850" t="e">
            <v>#N/A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</row>
        <row r="851">
          <cell r="B851">
            <v>0</v>
          </cell>
          <cell r="C851" t="e">
            <v>#N/A</v>
          </cell>
          <cell r="D851" t="e">
            <v>#N/A</v>
          </cell>
          <cell r="E851" t="e">
            <v>#N/A</v>
          </cell>
          <cell r="F851" t="e">
            <v>#N/A</v>
          </cell>
          <cell r="G851" t="e">
            <v>#N/A</v>
          </cell>
          <cell r="H851" t="e">
            <v>#N/A</v>
          </cell>
          <cell r="I851" t="e">
            <v>#N/A</v>
          </cell>
          <cell r="J851" t="e">
            <v>#N/A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</row>
        <row r="852">
          <cell r="B852">
            <v>0</v>
          </cell>
          <cell r="C852" t="e">
            <v>#N/A</v>
          </cell>
          <cell r="D852" t="e">
            <v>#N/A</v>
          </cell>
          <cell r="E852" t="e">
            <v>#N/A</v>
          </cell>
          <cell r="F852" t="e">
            <v>#N/A</v>
          </cell>
          <cell r="G852" t="e">
            <v>#N/A</v>
          </cell>
          <cell r="H852" t="e">
            <v>#N/A</v>
          </cell>
          <cell r="I852" t="e">
            <v>#N/A</v>
          </cell>
          <cell r="J852" t="e">
            <v>#N/A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</row>
        <row r="853">
          <cell r="B853">
            <v>0</v>
          </cell>
          <cell r="C853" t="e">
            <v>#N/A</v>
          </cell>
          <cell r="D853" t="e">
            <v>#N/A</v>
          </cell>
          <cell r="E853" t="e">
            <v>#N/A</v>
          </cell>
          <cell r="F853" t="e">
            <v>#N/A</v>
          </cell>
          <cell r="G853" t="e">
            <v>#N/A</v>
          </cell>
          <cell r="H853" t="e">
            <v>#N/A</v>
          </cell>
          <cell r="I853" t="e">
            <v>#N/A</v>
          </cell>
          <cell r="J853" t="e">
            <v>#N/A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</row>
        <row r="854">
          <cell r="B854">
            <v>0</v>
          </cell>
          <cell r="C854" t="e">
            <v>#N/A</v>
          </cell>
          <cell r="D854" t="e">
            <v>#N/A</v>
          </cell>
          <cell r="E854" t="e">
            <v>#N/A</v>
          </cell>
          <cell r="F854" t="e">
            <v>#N/A</v>
          </cell>
          <cell r="G854" t="e">
            <v>#N/A</v>
          </cell>
          <cell r="H854" t="e">
            <v>#N/A</v>
          </cell>
          <cell r="I854" t="e">
            <v>#N/A</v>
          </cell>
          <cell r="J854" t="e">
            <v>#N/A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</row>
        <row r="855">
          <cell r="B855">
            <v>0</v>
          </cell>
          <cell r="C855" t="e">
            <v>#N/A</v>
          </cell>
          <cell r="D855" t="e">
            <v>#N/A</v>
          </cell>
          <cell r="E855" t="e">
            <v>#N/A</v>
          </cell>
          <cell r="F855" t="e">
            <v>#N/A</v>
          </cell>
          <cell r="G855" t="e">
            <v>#N/A</v>
          </cell>
          <cell r="H855" t="e">
            <v>#N/A</v>
          </cell>
          <cell r="I855" t="e">
            <v>#N/A</v>
          </cell>
          <cell r="J855" t="e">
            <v>#N/A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</row>
        <row r="856">
          <cell r="B856">
            <v>0</v>
          </cell>
          <cell r="C856" t="e">
            <v>#N/A</v>
          </cell>
          <cell r="D856" t="e">
            <v>#N/A</v>
          </cell>
          <cell r="E856" t="e">
            <v>#N/A</v>
          </cell>
          <cell r="F856" t="e">
            <v>#N/A</v>
          </cell>
          <cell r="G856" t="e">
            <v>#N/A</v>
          </cell>
          <cell r="H856" t="e">
            <v>#N/A</v>
          </cell>
          <cell r="I856" t="e">
            <v>#N/A</v>
          </cell>
          <cell r="J856" t="e">
            <v>#N/A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</row>
        <row r="857">
          <cell r="B857">
            <v>0</v>
          </cell>
          <cell r="C857" t="e">
            <v>#N/A</v>
          </cell>
          <cell r="D857" t="e">
            <v>#N/A</v>
          </cell>
          <cell r="E857" t="e">
            <v>#N/A</v>
          </cell>
          <cell r="F857" t="e">
            <v>#N/A</v>
          </cell>
          <cell r="G857" t="e">
            <v>#N/A</v>
          </cell>
          <cell r="H857" t="e">
            <v>#N/A</v>
          </cell>
          <cell r="I857" t="e">
            <v>#N/A</v>
          </cell>
          <cell r="J857" t="e">
            <v>#N/A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</row>
        <row r="858">
          <cell r="B858">
            <v>0</v>
          </cell>
          <cell r="C858" t="e">
            <v>#N/A</v>
          </cell>
          <cell r="D858" t="e">
            <v>#N/A</v>
          </cell>
          <cell r="E858" t="e">
            <v>#N/A</v>
          </cell>
          <cell r="F858" t="e">
            <v>#N/A</v>
          </cell>
          <cell r="G858" t="e">
            <v>#N/A</v>
          </cell>
          <cell r="H858" t="e">
            <v>#N/A</v>
          </cell>
          <cell r="I858" t="e">
            <v>#N/A</v>
          </cell>
          <cell r="J858" t="e">
            <v>#N/A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</row>
        <row r="859">
          <cell r="B859">
            <v>0</v>
          </cell>
          <cell r="C859" t="e">
            <v>#N/A</v>
          </cell>
          <cell r="D859" t="e">
            <v>#N/A</v>
          </cell>
          <cell r="E859" t="e">
            <v>#N/A</v>
          </cell>
          <cell r="F859" t="e">
            <v>#N/A</v>
          </cell>
          <cell r="G859" t="e">
            <v>#N/A</v>
          </cell>
          <cell r="H859" t="e">
            <v>#N/A</v>
          </cell>
          <cell r="I859" t="e">
            <v>#N/A</v>
          </cell>
          <cell r="J859" t="e">
            <v>#N/A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</row>
        <row r="860">
          <cell r="B860">
            <v>0</v>
          </cell>
          <cell r="C860" t="e">
            <v>#N/A</v>
          </cell>
          <cell r="D860" t="e">
            <v>#N/A</v>
          </cell>
          <cell r="E860" t="e">
            <v>#N/A</v>
          </cell>
          <cell r="F860" t="e">
            <v>#N/A</v>
          </cell>
          <cell r="G860" t="e">
            <v>#N/A</v>
          </cell>
          <cell r="H860" t="e">
            <v>#N/A</v>
          </cell>
          <cell r="I860" t="e">
            <v>#N/A</v>
          </cell>
          <cell r="J860" t="e">
            <v>#N/A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</row>
        <row r="861">
          <cell r="B861">
            <v>0</v>
          </cell>
          <cell r="C861" t="e">
            <v>#N/A</v>
          </cell>
          <cell r="D861" t="e">
            <v>#N/A</v>
          </cell>
          <cell r="E861" t="e">
            <v>#N/A</v>
          </cell>
          <cell r="F861" t="e">
            <v>#N/A</v>
          </cell>
          <cell r="G861" t="e">
            <v>#N/A</v>
          </cell>
          <cell r="H861" t="e">
            <v>#N/A</v>
          </cell>
          <cell r="I861" t="e">
            <v>#N/A</v>
          </cell>
          <cell r="J861" t="e">
            <v>#N/A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</row>
        <row r="862">
          <cell r="B862">
            <v>0</v>
          </cell>
          <cell r="C862" t="e">
            <v>#N/A</v>
          </cell>
          <cell r="D862" t="e">
            <v>#N/A</v>
          </cell>
          <cell r="E862" t="e">
            <v>#N/A</v>
          </cell>
          <cell r="F862" t="e">
            <v>#N/A</v>
          </cell>
          <cell r="G862" t="e">
            <v>#N/A</v>
          </cell>
          <cell r="H862" t="e">
            <v>#N/A</v>
          </cell>
          <cell r="I862" t="e">
            <v>#N/A</v>
          </cell>
          <cell r="J862" t="e">
            <v>#N/A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</row>
        <row r="863">
          <cell r="B863">
            <v>0</v>
          </cell>
          <cell r="C863" t="e">
            <v>#N/A</v>
          </cell>
          <cell r="D863" t="e">
            <v>#N/A</v>
          </cell>
          <cell r="E863" t="e">
            <v>#N/A</v>
          </cell>
          <cell r="F863" t="e">
            <v>#N/A</v>
          </cell>
          <cell r="G863" t="e">
            <v>#N/A</v>
          </cell>
          <cell r="H863" t="e">
            <v>#N/A</v>
          </cell>
          <cell r="I863" t="e">
            <v>#N/A</v>
          </cell>
          <cell r="J863" t="e">
            <v>#N/A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</row>
        <row r="864">
          <cell r="B864">
            <v>0</v>
          </cell>
          <cell r="C864" t="e">
            <v>#N/A</v>
          </cell>
          <cell r="D864" t="e">
            <v>#N/A</v>
          </cell>
          <cell r="E864" t="e">
            <v>#N/A</v>
          </cell>
          <cell r="F864" t="e">
            <v>#N/A</v>
          </cell>
          <cell r="G864" t="e">
            <v>#N/A</v>
          </cell>
          <cell r="H864" t="e">
            <v>#N/A</v>
          </cell>
          <cell r="I864" t="e">
            <v>#N/A</v>
          </cell>
          <cell r="J864" t="e">
            <v>#N/A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</row>
        <row r="865">
          <cell r="B865">
            <v>0</v>
          </cell>
          <cell r="C865" t="e">
            <v>#N/A</v>
          </cell>
          <cell r="D865" t="e">
            <v>#N/A</v>
          </cell>
          <cell r="E865" t="e">
            <v>#N/A</v>
          </cell>
          <cell r="F865" t="e">
            <v>#N/A</v>
          </cell>
          <cell r="G865" t="e">
            <v>#N/A</v>
          </cell>
          <cell r="H865" t="e">
            <v>#N/A</v>
          </cell>
          <cell r="I865" t="e">
            <v>#N/A</v>
          </cell>
          <cell r="J865" t="e">
            <v>#N/A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</row>
        <row r="866">
          <cell r="B866">
            <v>0</v>
          </cell>
          <cell r="C866" t="e">
            <v>#N/A</v>
          </cell>
          <cell r="D866" t="e">
            <v>#N/A</v>
          </cell>
          <cell r="E866" t="e">
            <v>#N/A</v>
          </cell>
          <cell r="F866" t="e">
            <v>#N/A</v>
          </cell>
          <cell r="G866" t="e">
            <v>#N/A</v>
          </cell>
          <cell r="H866" t="e">
            <v>#N/A</v>
          </cell>
          <cell r="I866" t="e">
            <v>#N/A</v>
          </cell>
          <cell r="J866" t="e">
            <v>#N/A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</row>
        <row r="867">
          <cell r="B867">
            <v>0</v>
          </cell>
          <cell r="C867" t="e">
            <v>#N/A</v>
          </cell>
          <cell r="D867" t="e">
            <v>#N/A</v>
          </cell>
          <cell r="E867" t="e">
            <v>#N/A</v>
          </cell>
          <cell r="F867" t="e">
            <v>#N/A</v>
          </cell>
          <cell r="G867" t="e">
            <v>#N/A</v>
          </cell>
          <cell r="H867" t="e">
            <v>#N/A</v>
          </cell>
          <cell r="I867" t="e">
            <v>#N/A</v>
          </cell>
          <cell r="J867" t="e">
            <v>#N/A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</row>
        <row r="868">
          <cell r="B868">
            <v>0</v>
          </cell>
          <cell r="C868" t="e">
            <v>#N/A</v>
          </cell>
          <cell r="D868" t="e">
            <v>#N/A</v>
          </cell>
          <cell r="E868" t="e">
            <v>#N/A</v>
          </cell>
          <cell r="F868" t="e">
            <v>#N/A</v>
          </cell>
          <cell r="G868" t="e">
            <v>#N/A</v>
          </cell>
          <cell r="H868" t="e">
            <v>#N/A</v>
          </cell>
          <cell r="I868" t="e">
            <v>#N/A</v>
          </cell>
          <cell r="J868" t="e">
            <v>#N/A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</row>
        <row r="869">
          <cell r="B869">
            <v>0</v>
          </cell>
          <cell r="C869" t="e">
            <v>#N/A</v>
          </cell>
          <cell r="D869" t="e">
            <v>#N/A</v>
          </cell>
          <cell r="E869" t="e">
            <v>#N/A</v>
          </cell>
          <cell r="F869" t="e">
            <v>#N/A</v>
          </cell>
          <cell r="G869" t="e">
            <v>#N/A</v>
          </cell>
          <cell r="H869" t="e">
            <v>#N/A</v>
          </cell>
          <cell r="I869" t="e">
            <v>#N/A</v>
          </cell>
          <cell r="J869" t="e">
            <v>#N/A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</row>
        <row r="870">
          <cell r="B870">
            <v>0</v>
          </cell>
          <cell r="C870" t="e">
            <v>#N/A</v>
          </cell>
          <cell r="D870" t="e">
            <v>#N/A</v>
          </cell>
          <cell r="E870" t="e">
            <v>#N/A</v>
          </cell>
          <cell r="F870" t="e">
            <v>#N/A</v>
          </cell>
          <cell r="G870" t="e">
            <v>#N/A</v>
          </cell>
          <cell r="H870" t="e">
            <v>#N/A</v>
          </cell>
          <cell r="I870" t="e">
            <v>#N/A</v>
          </cell>
          <cell r="J870" t="e">
            <v>#N/A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</row>
        <row r="871">
          <cell r="B871">
            <v>0</v>
          </cell>
          <cell r="C871" t="e">
            <v>#N/A</v>
          </cell>
          <cell r="D871" t="e">
            <v>#N/A</v>
          </cell>
          <cell r="E871" t="e">
            <v>#N/A</v>
          </cell>
          <cell r="F871" t="e">
            <v>#N/A</v>
          </cell>
          <cell r="G871" t="e">
            <v>#N/A</v>
          </cell>
          <cell r="H871" t="e">
            <v>#N/A</v>
          </cell>
          <cell r="I871" t="e">
            <v>#N/A</v>
          </cell>
          <cell r="J871" t="e">
            <v>#N/A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</row>
        <row r="872">
          <cell r="B872">
            <v>0</v>
          </cell>
          <cell r="C872" t="e">
            <v>#N/A</v>
          </cell>
          <cell r="D872" t="e">
            <v>#N/A</v>
          </cell>
          <cell r="E872" t="e">
            <v>#N/A</v>
          </cell>
          <cell r="F872" t="e">
            <v>#N/A</v>
          </cell>
          <cell r="G872" t="e">
            <v>#N/A</v>
          </cell>
          <cell r="H872" t="e">
            <v>#N/A</v>
          </cell>
          <cell r="I872" t="e">
            <v>#N/A</v>
          </cell>
          <cell r="J872" t="e">
            <v>#N/A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</row>
        <row r="873">
          <cell r="B873">
            <v>0</v>
          </cell>
          <cell r="C873" t="e">
            <v>#N/A</v>
          </cell>
          <cell r="D873" t="e">
            <v>#N/A</v>
          </cell>
          <cell r="E873" t="e">
            <v>#N/A</v>
          </cell>
          <cell r="F873" t="e">
            <v>#N/A</v>
          </cell>
          <cell r="G873" t="e">
            <v>#N/A</v>
          </cell>
          <cell r="H873" t="e">
            <v>#N/A</v>
          </cell>
          <cell r="I873" t="e">
            <v>#N/A</v>
          </cell>
          <cell r="J873" t="e">
            <v>#N/A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</row>
        <row r="874">
          <cell r="B874">
            <v>0</v>
          </cell>
          <cell r="C874" t="e">
            <v>#N/A</v>
          </cell>
          <cell r="D874" t="e">
            <v>#N/A</v>
          </cell>
          <cell r="E874" t="e">
            <v>#N/A</v>
          </cell>
          <cell r="F874" t="e">
            <v>#N/A</v>
          </cell>
          <cell r="G874" t="e">
            <v>#N/A</v>
          </cell>
          <cell r="H874" t="e">
            <v>#N/A</v>
          </cell>
          <cell r="I874" t="e">
            <v>#N/A</v>
          </cell>
          <cell r="J874" t="e">
            <v>#N/A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</row>
        <row r="875">
          <cell r="B875">
            <v>0</v>
          </cell>
          <cell r="C875" t="e">
            <v>#N/A</v>
          </cell>
          <cell r="D875" t="e">
            <v>#N/A</v>
          </cell>
          <cell r="E875" t="e">
            <v>#N/A</v>
          </cell>
          <cell r="F875" t="e">
            <v>#N/A</v>
          </cell>
          <cell r="G875" t="e">
            <v>#N/A</v>
          </cell>
          <cell r="H875" t="e">
            <v>#N/A</v>
          </cell>
          <cell r="I875" t="e">
            <v>#N/A</v>
          </cell>
          <cell r="J875" t="e">
            <v>#N/A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</row>
        <row r="876">
          <cell r="B876">
            <v>0</v>
          </cell>
          <cell r="C876" t="e">
            <v>#N/A</v>
          </cell>
          <cell r="D876" t="e">
            <v>#N/A</v>
          </cell>
          <cell r="E876" t="e">
            <v>#N/A</v>
          </cell>
          <cell r="F876" t="e">
            <v>#N/A</v>
          </cell>
          <cell r="G876" t="e">
            <v>#N/A</v>
          </cell>
          <cell r="H876" t="e">
            <v>#N/A</v>
          </cell>
          <cell r="I876" t="e">
            <v>#N/A</v>
          </cell>
          <cell r="J876" t="e">
            <v>#N/A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</row>
        <row r="877">
          <cell r="B877">
            <v>0</v>
          </cell>
          <cell r="C877" t="e">
            <v>#N/A</v>
          </cell>
          <cell r="D877" t="e">
            <v>#N/A</v>
          </cell>
          <cell r="E877" t="e">
            <v>#N/A</v>
          </cell>
          <cell r="F877" t="e">
            <v>#N/A</v>
          </cell>
          <cell r="G877" t="e">
            <v>#N/A</v>
          </cell>
          <cell r="H877" t="e">
            <v>#N/A</v>
          </cell>
          <cell r="I877" t="e">
            <v>#N/A</v>
          </cell>
          <cell r="J877" t="e">
            <v>#N/A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0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</row>
        <row r="878">
          <cell r="B878">
            <v>0</v>
          </cell>
          <cell r="C878" t="e">
            <v>#N/A</v>
          </cell>
          <cell r="D878" t="e">
            <v>#N/A</v>
          </cell>
          <cell r="E878" t="e">
            <v>#N/A</v>
          </cell>
          <cell r="F878" t="e">
            <v>#N/A</v>
          </cell>
          <cell r="G878" t="e">
            <v>#N/A</v>
          </cell>
          <cell r="H878" t="e">
            <v>#N/A</v>
          </cell>
          <cell r="I878" t="e">
            <v>#N/A</v>
          </cell>
          <cell r="J878" t="e">
            <v>#N/A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</row>
        <row r="879">
          <cell r="B879">
            <v>0</v>
          </cell>
          <cell r="C879" t="e">
            <v>#N/A</v>
          </cell>
          <cell r="D879" t="e">
            <v>#N/A</v>
          </cell>
          <cell r="E879" t="e">
            <v>#N/A</v>
          </cell>
          <cell r="F879" t="e">
            <v>#N/A</v>
          </cell>
          <cell r="G879" t="e">
            <v>#N/A</v>
          </cell>
          <cell r="H879" t="e">
            <v>#N/A</v>
          </cell>
          <cell r="I879" t="e">
            <v>#N/A</v>
          </cell>
          <cell r="J879" t="e">
            <v>#N/A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</row>
        <row r="880">
          <cell r="B880">
            <v>0</v>
          </cell>
          <cell r="C880" t="e">
            <v>#N/A</v>
          </cell>
          <cell r="D880" t="e">
            <v>#N/A</v>
          </cell>
          <cell r="E880" t="e">
            <v>#N/A</v>
          </cell>
          <cell r="F880" t="e">
            <v>#N/A</v>
          </cell>
          <cell r="G880" t="e">
            <v>#N/A</v>
          </cell>
          <cell r="H880" t="e">
            <v>#N/A</v>
          </cell>
          <cell r="I880" t="e">
            <v>#N/A</v>
          </cell>
          <cell r="J880" t="e">
            <v>#N/A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</row>
        <row r="881">
          <cell r="B881">
            <v>0</v>
          </cell>
          <cell r="C881" t="e">
            <v>#N/A</v>
          </cell>
          <cell r="D881" t="e">
            <v>#N/A</v>
          </cell>
          <cell r="E881" t="e">
            <v>#N/A</v>
          </cell>
          <cell r="F881" t="e">
            <v>#N/A</v>
          </cell>
          <cell r="G881" t="e">
            <v>#N/A</v>
          </cell>
          <cell r="H881" t="e">
            <v>#N/A</v>
          </cell>
          <cell r="I881" t="e">
            <v>#N/A</v>
          </cell>
          <cell r="J881" t="e">
            <v>#N/A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</row>
        <row r="882">
          <cell r="B882">
            <v>0</v>
          </cell>
          <cell r="C882" t="e">
            <v>#N/A</v>
          </cell>
          <cell r="D882" t="e">
            <v>#N/A</v>
          </cell>
          <cell r="E882" t="e">
            <v>#N/A</v>
          </cell>
          <cell r="F882" t="e">
            <v>#N/A</v>
          </cell>
          <cell r="G882" t="e">
            <v>#N/A</v>
          </cell>
          <cell r="H882" t="e">
            <v>#N/A</v>
          </cell>
          <cell r="I882" t="e">
            <v>#N/A</v>
          </cell>
          <cell r="J882" t="e">
            <v>#N/A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</row>
        <row r="883">
          <cell r="B883">
            <v>0</v>
          </cell>
          <cell r="C883" t="e">
            <v>#N/A</v>
          </cell>
          <cell r="D883" t="e">
            <v>#N/A</v>
          </cell>
          <cell r="E883" t="e">
            <v>#N/A</v>
          </cell>
          <cell r="F883" t="e">
            <v>#N/A</v>
          </cell>
          <cell r="G883" t="e">
            <v>#N/A</v>
          </cell>
          <cell r="H883" t="e">
            <v>#N/A</v>
          </cell>
          <cell r="I883" t="e">
            <v>#N/A</v>
          </cell>
          <cell r="J883" t="e">
            <v>#N/A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0</v>
          </cell>
          <cell r="AF883">
            <v>0</v>
          </cell>
          <cell r="AG883">
            <v>0</v>
          </cell>
          <cell r="AH883">
            <v>0</v>
          </cell>
          <cell r="AI883">
            <v>0</v>
          </cell>
          <cell r="AJ883">
            <v>0</v>
          </cell>
          <cell r="AK883">
            <v>0</v>
          </cell>
        </row>
        <row r="884">
          <cell r="B884">
            <v>0</v>
          </cell>
          <cell r="C884" t="e">
            <v>#N/A</v>
          </cell>
          <cell r="D884" t="e">
            <v>#N/A</v>
          </cell>
          <cell r="E884" t="e">
            <v>#N/A</v>
          </cell>
          <cell r="F884" t="e">
            <v>#N/A</v>
          </cell>
          <cell r="G884" t="e">
            <v>#N/A</v>
          </cell>
          <cell r="H884" t="e">
            <v>#N/A</v>
          </cell>
          <cell r="I884" t="e">
            <v>#N/A</v>
          </cell>
          <cell r="J884" t="e">
            <v>#N/A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0</v>
          </cell>
          <cell r="AF884">
            <v>0</v>
          </cell>
          <cell r="AG884">
            <v>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</row>
        <row r="885">
          <cell r="B885">
            <v>0</v>
          </cell>
          <cell r="C885" t="e">
            <v>#N/A</v>
          </cell>
          <cell r="D885" t="e">
            <v>#N/A</v>
          </cell>
          <cell r="E885" t="e">
            <v>#N/A</v>
          </cell>
          <cell r="F885" t="e">
            <v>#N/A</v>
          </cell>
          <cell r="G885" t="e">
            <v>#N/A</v>
          </cell>
          <cell r="H885" t="e">
            <v>#N/A</v>
          </cell>
          <cell r="I885" t="e">
            <v>#N/A</v>
          </cell>
          <cell r="J885" t="e">
            <v>#N/A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</row>
        <row r="886">
          <cell r="B886">
            <v>0</v>
          </cell>
          <cell r="C886" t="e">
            <v>#N/A</v>
          </cell>
          <cell r="D886" t="e">
            <v>#N/A</v>
          </cell>
          <cell r="E886" t="e">
            <v>#N/A</v>
          </cell>
          <cell r="F886" t="e">
            <v>#N/A</v>
          </cell>
          <cell r="G886" t="e">
            <v>#N/A</v>
          </cell>
          <cell r="H886" t="e">
            <v>#N/A</v>
          </cell>
          <cell r="I886" t="e">
            <v>#N/A</v>
          </cell>
          <cell r="J886" t="e">
            <v>#N/A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</row>
        <row r="887">
          <cell r="B887">
            <v>0</v>
          </cell>
          <cell r="C887" t="e">
            <v>#N/A</v>
          </cell>
          <cell r="D887" t="e">
            <v>#N/A</v>
          </cell>
          <cell r="E887" t="e">
            <v>#N/A</v>
          </cell>
          <cell r="F887" t="e">
            <v>#N/A</v>
          </cell>
          <cell r="G887" t="e">
            <v>#N/A</v>
          </cell>
          <cell r="H887" t="e">
            <v>#N/A</v>
          </cell>
          <cell r="I887" t="e">
            <v>#N/A</v>
          </cell>
          <cell r="J887" t="e">
            <v>#N/A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</row>
        <row r="888">
          <cell r="B888">
            <v>0</v>
          </cell>
          <cell r="C888" t="e">
            <v>#N/A</v>
          </cell>
          <cell r="D888" t="e">
            <v>#N/A</v>
          </cell>
          <cell r="E888" t="e">
            <v>#N/A</v>
          </cell>
          <cell r="F888" t="e">
            <v>#N/A</v>
          </cell>
          <cell r="G888" t="e">
            <v>#N/A</v>
          </cell>
          <cell r="H888" t="e">
            <v>#N/A</v>
          </cell>
          <cell r="I888" t="e">
            <v>#N/A</v>
          </cell>
          <cell r="J888" t="e">
            <v>#N/A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</row>
        <row r="889">
          <cell r="B889">
            <v>0</v>
          </cell>
          <cell r="C889" t="e">
            <v>#N/A</v>
          </cell>
          <cell r="D889" t="e">
            <v>#N/A</v>
          </cell>
          <cell r="E889" t="e">
            <v>#N/A</v>
          </cell>
          <cell r="F889" t="e">
            <v>#N/A</v>
          </cell>
          <cell r="G889" t="e">
            <v>#N/A</v>
          </cell>
          <cell r="H889" t="e">
            <v>#N/A</v>
          </cell>
          <cell r="I889" t="e">
            <v>#N/A</v>
          </cell>
          <cell r="J889" t="e">
            <v>#N/A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</row>
        <row r="890">
          <cell r="B890">
            <v>0</v>
          </cell>
          <cell r="C890" t="e">
            <v>#N/A</v>
          </cell>
          <cell r="D890" t="e">
            <v>#N/A</v>
          </cell>
          <cell r="E890" t="e">
            <v>#N/A</v>
          </cell>
          <cell r="F890" t="e">
            <v>#N/A</v>
          </cell>
          <cell r="G890" t="e">
            <v>#N/A</v>
          </cell>
          <cell r="H890" t="e">
            <v>#N/A</v>
          </cell>
          <cell r="I890" t="e">
            <v>#N/A</v>
          </cell>
          <cell r="J890" t="e">
            <v>#N/A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</row>
        <row r="891">
          <cell r="B891">
            <v>0</v>
          </cell>
          <cell r="C891" t="e">
            <v>#N/A</v>
          </cell>
          <cell r="D891" t="e">
            <v>#N/A</v>
          </cell>
          <cell r="E891" t="e">
            <v>#N/A</v>
          </cell>
          <cell r="F891" t="e">
            <v>#N/A</v>
          </cell>
          <cell r="G891" t="e">
            <v>#N/A</v>
          </cell>
          <cell r="H891" t="e">
            <v>#N/A</v>
          </cell>
          <cell r="I891" t="e">
            <v>#N/A</v>
          </cell>
          <cell r="J891" t="e">
            <v>#N/A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</row>
        <row r="892">
          <cell r="B892">
            <v>0</v>
          </cell>
          <cell r="C892" t="e">
            <v>#N/A</v>
          </cell>
          <cell r="D892" t="e">
            <v>#N/A</v>
          </cell>
          <cell r="E892" t="e">
            <v>#N/A</v>
          </cell>
          <cell r="F892" t="e">
            <v>#N/A</v>
          </cell>
          <cell r="G892" t="e">
            <v>#N/A</v>
          </cell>
          <cell r="H892" t="e">
            <v>#N/A</v>
          </cell>
          <cell r="I892" t="e">
            <v>#N/A</v>
          </cell>
          <cell r="J892" t="e">
            <v>#N/A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</row>
        <row r="893">
          <cell r="B893">
            <v>0</v>
          </cell>
          <cell r="C893" t="e">
            <v>#N/A</v>
          </cell>
          <cell r="D893" t="e">
            <v>#N/A</v>
          </cell>
          <cell r="E893" t="e">
            <v>#N/A</v>
          </cell>
          <cell r="F893" t="e">
            <v>#N/A</v>
          </cell>
          <cell r="G893" t="e">
            <v>#N/A</v>
          </cell>
          <cell r="H893" t="e">
            <v>#N/A</v>
          </cell>
          <cell r="I893" t="e">
            <v>#N/A</v>
          </cell>
          <cell r="J893" t="e">
            <v>#N/A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</row>
        <row r="894">
          <cell r="B894">
            <v>0</v>
          </cell>
          <cell r="C894" t="e">
            <v>#N/A</v>
          </cell>
          <cell r="D894" t="e">
            <v>#N/A</v>
          </cell>
          <cell r="E894" t="e">
            <v>#N/A</v>
          </cell>
          <cell r="F894" t="e">
            <v>#N/A</v>
          </cell>
          <cell r="G894" t="e">
            <v>#N/A</v>
          </cell>
          <cell r="H894" t="e">
            <v>#N/A</v>
          </cell>
          <cell r="I894" t="e">
            <v>#N/A</v>
          </cell>
          <cell r="J894" t="e">
            <v>#N/A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</row>
        <row r="895">
          <cell r="B895">
            <v>0</v>
          </cell>
          <cell r="C895" t="e">
            <v>#N/A</v>
          </cell>
          <cell r="D895" t="e">
            <v>#N/A</v>
          </cell>
          <cell r="E895" t="e">
            <v>#N/A</v>
          </cell>
          <cell r="F895" t="e">
            <v>#N/A</v>
          </cell>
          <cell r="G895" t="e">
            <v>#N/A</v>
          </cell>
          <cell r="H895" t="e">
            <v>#N/A</v>
          </cell>
          <cell r="I895" t="e">
            <v>#N/A</v>
          </cell>
          <cell r="J895" t="e">
            <v>#N/A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</row>
        <row r="896">
          <cell r="B896">
            <v>0</v>
          </cell>
          <cell r="C896" t="e">
            <v>#N/A</v>
          </cell>
          <cell r="D896" t="e">
            <v>#N/A</v>
          </cell>
          <cell r="E896" t="e">
            <v>#N/A</v>
          </cell>
          <cell r="F896" t="e">
            <v>#N/A</v>
          </cell>
          <cell r="G896" t="e">
            <v>#N/A</v>
          </cell>
          <cell r="H896" t="e">
            <v>#N/A</v>
          </cell>
          <cell r="I896" t="e">
            <v>#N/A</v>
          </cell>
          <cell r="J896" t="e">
            <v>#N/A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</row>
        <row r="897">
          <cell r="B897">
            <v>0</v>
          </cell>
          <cell r="C897" t="e">
            <v>#N/A</v>
          </cell>
          <cell r="D897" t="e">
            <v>#N/A</v>
          </cell>
          <cell r="E897" t="e">
            <v>#N/A</v>
          </cell>
          <cell r="F897" t="e">
            <v>#N/A</v>
          </cell>
          <cell r="G897" t="e">
            <v>#N/A</v>
          </cell>
          <cell r="H897" t="e">
            <v>#N/A</v>
          </cell>
          <cell r="I897" t="e">
            <v>#N/A</v>
          </cell>
          <cell r="J897" t="e">
            <v>#N/A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</row>
        <row r="898">
          <cell r="B898">
            <v>0</v>
          </cell>
          <cell r="C898" t="e">
            <v>#N/A</v>
          </cell>
          <cell r="D898" t="e">
            <v>#N/A</v>
          </cell>
          <cell r="E898" t="e">
            <v>#N/A</v>
          </cell>
          <cell r="F898" t="e">
            <v>#N/A</v>
          </cell>
          <cell r="G898" t="e">
            <v>#N/A</v>
          </cell>
          <cell r="H898" t="e">
            <v>#N/A</v>
          </cell>
          <cell r="I898" t="e">
            <v>#N/A</v>
          </cell>
          <cell r="J898" t="e">
            <v>#N/A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</row>
        <row r="899">
          <cell r="B899">
            <v>0</v>
          </cell>
          <cell r="C899" t="e">
            <v>#N/A</v>
          </cell>
          <cell r="D899" t="e">
            <v>#N/A</v>
          </cell>
          <cell r="E899" t="e">
            <v>#N/A</v>
          </cell>
          <cell r="F899" t="e">
            <v>#N/A</v>
          </cell>
          <cell r="G899" t="e">
            <v>#N/A</v>
          </cell>
          <cell r="H899" t="e">
            <v>#N/A</v>
          </cell>
          <cell r="I899" t="e">
            <v>#N/A</v>
          </cell>
          <cell r="J899" t="e">
            <v>#N/A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</row>
        <row r="900">
          <cell r="B900">
            <v>0</v>
          </cell>
          <cell r="C900" t="e">
            <v>#N/A</v>
          </cell>
          <cell r="D900" t="e">
            <v>#N/A</v>
          </cell>
          <cell r="E900" t="e">
            <v>#N/A</v>
          </cell>
          <cell r="F900" t="e">
            <v>#N/A</v>
          </cell>
          <cell r="G900" t="e">
            <v>#N/A</v>
          </cell>
          <cell r="H900" t="e">
            <v>#N/A</v>
          </cell>
          <cell r="I900" t="e">
            <v>#N/A</v>
          </cell>
          <cell r="J900" t="e">
            <v>#N/A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</row>
        <row r="901">
          <cell r="B901">
            <v>0</v>
          </cell>
          <cell r="C901" t="e">
            <v>#N/A</v>
          </cell>
          <cell r="D901" t="e">
            <v>#N/A</v>
          </cell>
          <cell r="E901" t="e">
            <v>#N/A</v>
          </cell>
          <cell r="F901" t="e">
            <v>#N/A</v>
          </cell>
          <cell r="G901" t="e">
            <v>#N/A</v>
          </cell>
          <cell r="H901" t="e">
            <v>#N/A</v>
          </cell>
          <cell r="I901" t="e">
            <v>#N/A</v>
          </cell>
          <cell r="J901" t="e">
            <v>#N/A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</row>
        <row r="902">
          <cell r="B902">
            <v>0</v>
          </cell>
          <cell r="C902" t="e">
            <v>#N/A</v>
          </cell>
          <cell r="D902" t="e">
            <v>#N/A</v>
          </cell>
          <cell r="E902" t="e">
            <v>#N/A</v>
          </cell>
          <cell r="F902" t="e">
            <v>#N/A</v>
          </cell>
          <cell r="G902" t="e">
            <v>#N/A</v>
          </cell>
          <cell r="H902" t="e">
            <v>#N/A</v>
          </cell>
          <cell r="I902" t="e">
            <v>#N/A</v>
          </cell>
          <cell r="J902" t="e">
            <v>#N/A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</row>
        <row r="903">
          <cell r="B903">
            <v>0</v>
          </cell>
          <cell r="C903" t="e">
            <v>#N/A</v>
          </cell>
          <cell r="D903" t="e">
            <v>#N/A</v>
          </cell>
          <cell r="E903" t="e">
            <v>#N/A</v>
          </cell>
          <cell r="F903" t="e">
            <v>#N/A</v>
          </cell>
          <cell r="G903" t="e">
            <v>#N/A</v>
          </cell>
          <cell r="H903" t="e">
            <v>#N/A</v>
          </cell>
          <cell r="I903" t="e">
            <v>#N/A</v>
          </cell>
          <cell r="J903" t="e">
            <v>#N/A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</row>
        <row r="904">
          <cell r="B904">
            <v>0</v>
          </cell>
          <cell r="C904" t="e">
            <v>#N/A</v>
          </cell>
          <cell r="D904" t="e">
            <v>#N/A</v>
          </cell>
          <cell r="E904" t="e">
            <v>#N/A</v>
          </cell>
          <cell r="F904" t="e">
            <v>#N/A</v>
          </cell>
          <cell r="G904" t="e">
            <v>#N/A</v>
          </cell>
          <cell r="H904" t="e">
            <v>#N/A</v>
          </cell>
          <cell r="I904" t="e">
            <v>#N/A</v>
          </cell>
          <cell r="J904" t="e">
            <v>#N/A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</row>
        <row r="905">
          <cell r="B905">
            <v>0</v>
          </cell>
          <cell r="C905" t="e">
            <v>#N/A</v>
          </cell>
          <cell r="D905" t="e">
            <v>#N/A</v>
          </cell>
          <cell r="E905" t="e">
            <v>#N/A</v>
          </cell>
          <cell r="F905" t="e">
            <v>#N/A</v>
          </cell>
          <cell r="G905" t="e">
            <v>#N/A</v>
          </cell>
          <cell r="H905" t="e">
            <v>#N/A</v>
          </cell>
          <cell r="I905" t="e">
            <v>#N/A</v>
          </cell>
          <cell r="J905" t="e">
            <v>#N/A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</row>
        <row r="906">
          <cell r="B906">
            <v>0</v>
          </cell>
          <cell r="C906" t="e">
            <v>#N/A</v>
          </cell>
          <cell r="D906" t="e">
            <v>#N/A</v>
          </cell>
          <cell r="E906" t="e">
            <v>#N/A</v>
          </cell>
          <cell r="F906" t="e">
            <v>#N/A</v>
          </cell>
          <cell r="G906" t="e">
            <v>#N/A</v>
          </cell>
          <cell r="H906" t="e">
            <v>#N/A</v>
          </cell>
          <cell r="I906" t="e">
            <v>#N/A</v>
          </cell>
          <cell r="J906" t="e">
            <v>#N/A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</row>
        <row r="907">
          <cell r="B907">
            <v>0</v>
          </cell>
          <cell r="C907" t="e">
            <v>#N/A</v>
          </cell>
          <cell r="D907" t="e">
            <v>#N/A</v>
          </cell>
          <cell r="E907" t="e">
            <v>#N/A</v>
          </cell>
          <cell r="F907" t="e">
            <v>#N/A</v>
          </cell>
          <cell r="G907" t="e">
            <v>#N/A</v>
          </cell>
          <cell r="H907" t="e">
            <v>#N/A</v>
          </cell>
          <cell r="I907" t="e">
            <v>#N/A</v>
          </cell>
          <cell r="J907" t="e">
            <v>#N/A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</row>
        <row r="908">
          <cell r="B908">
            <v>0</v>
          </cell>
          <cell r="C908" t="e">
            <v>#N/A</v>
          </cell>
          <cell r="D908" t="e">
            <v>#N/A</v>
          </cell>
          <cell r="E908" t="e">
            <v>#N/A</v>
          </cell>
          <cell r="F908" t="e">
            <v>#N/A</v>
          </cell>
          <cell r="G908" t="e">
            <v>#N/A</v>
          </cell>
          <cell r="H908" t="e">
            <v>#N/A</v>
          </cell>
          <cell r="I908" t="e">
            <v>#N/A</v>
          </cell>
          <cell r="J908" t="e">
            <v>#N/A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</row>
        <row r="909">
          <cell r="B909">
            <v>0</v>
          </cell>
          <cell r="C909" t="e">
            <v>#N/A</v>
          </cell>
          <cell r="D909" t="e">
            <v>#N/A</v>
          </cell>
          <cell r="E909" t="e">
            <v>#N/A</v>
          </cell>
          <cell r="F909" t="e">
            <v>#N/A</v>
          </cell>
          <cell r="G909" t="e">
            <v>#N/A</v>
          </cell>
          <cell r="H909" t="e">
            <v>#N/A</v>
          </cell>
          <cell r="I909" t="e">
            <v>#N/A</v>
          </cell>
          <cell r="J909" t="e">
            <v>#N/A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</row>
        <row r="910">
          <cell r="B910">
            <v>0</v>
          </cell>
          <cell r="C910" t="e">
            <v>#N/A</v>
          </cell>
          <cell r="D910" t="e">
            <v>#N/A</v>
          </cell>
          <cell r="E910" t="e">
            <v>#N/A</v>
          </cell>
          <cell r="F910" t="e">
            <v>#N/A</v>
          </cell>
          <cell r="G910" t="e">
            <v>#N/A</v>
          </cell>
          <cell r="H910" t="e">
            <v>#N/A</v>
          </cell>
          <cell r="I910" t="e">
            <v>#N/A</v>
          </cell>
          <cell r="J910" t="e">
            <v>#N/A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</row>
        <row r="911">
          <cell r="B911">
            <v>0</v>
          </cell>
          <cell r="C911" t="e">
            <v>#N/A</v>
          </cell>
          <cell r="D911" t="e">
            <v>#N/A</v>
          </cell>
          <cell r="E911" t="e">
            <v>#N/A</v>
          </cell>
          <cell r="F911" t="e">
            <v>#N/A</v>
          </cell>
          <cell r="G911" t="e">
            <v>#N/A</v>
          </cell>
          <cell r="H911" t="e">
            <v>#N/A</v>
          </cell>
          <cell r="I911" t="e">
            <v>#N/A</v>
          </cell>
          <cell r="J911" t="e">
            <v>#N/A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</row>
        <row r="912">
          <cell r="B912">
            <v>0</v>
          </cell>
          <cell r="C912" t="e">
            <v>#N/A</v>
          </cell>
          <cell r="D912" t="e">
            <v>#N/A</v>
          </cell>
          <cell r="E912" t="e">
            <v>#N/A</v>
          </cell>
          <cell r="F912" t="e">
            <v>#N/A</v>
          </cell>
          <cell r="G912" t="e">
            <v>#N/A</v>
          </cell>
          <cell r="H912" t="e">
            <v>#N/A</v>
          </cell>
          <cell r="I912" t="e">
            <v>#N/A</v>
          </cell>
          <cell r="J912" t="e">
            <v>#N/A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</row>
        <row r="913">
          <cell r="B913">
            <v>0</v>
          </cell>
          <cell r="C913" t="e">
            <v>#N/A</v>
          </cell>
          <cell r="D913" t="e">
            <v>#N/A</v>
          </cell>
          <cell r="E913" t="e">
            <v>#N/A</v>
          </cell>
          <cell r="F913" t="e">
            <v>#N/A</v>
          </cell>
          <cell r="G913" t="e">
            <v>#N/A</v>
          </cell>
          <cell r="H913" t="e">
            <v>#N/A</v>
          </cell>
          <cell r="I913" t="e">
            <v>#N/A</v>
          </cell>
          <cell r="J913" t="e">
            <v>#N/A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</row>
        <row r="914">
          <cell r="B914">
            <v>0</v>
          </cell>
          <cell r="C914" t="e">
            <v>#N/A</v>
          </cell>
          <cell r="D914" t="e">
            <v>#N/A</v>
          </cell>
          <cell r="E914" t="e">
            <v>#N/A</v>
          </cell>
          <cell r="F914" t="e">
            <v>#N/A</v>
          </cell>
          <cell r="G914" t="e">
            <v>#N/A</v>
          </cell>
          <cell r="H914" t="e">
            <v>#N/A</v>
          </cell>
          <cell r="I914" t="e">
            <v>#N/A</v>
          </cell>
          <cell r="J914" t="e">
            <v>#N/A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</row>
        <row r="915">
          <cell r="B915">
            <v>0</v>
          </cell>
          <cell r="C915" t="e">
            <v>#N/A</v>
          </cell>
          <cell r="D915" t="e">
            <v>#N/A</v>
          </cell>
          <cell r="E915" t="e">
            <v>#N/A</v>
          </cell>
          <cell r="F915" t="e">
            <v>#N/A</v>
          </cell>
          <cell r="G915" t="e">
            <v>#N/A</v>
          </cell>
          <cell r="H915" t="e">
            <v>#N/A</v>
          </cell>
          <cell r="I915" t="e">
            <v>#N/A</v>
          </cell>
          <cell r="J915" t="e">
            <v>#N/A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</row>
        <row r="916">
          <cell r="B916">
            <v>0</v>
          </cell>
          <cell r="C916" t="e">
            <v>#N/A</v>
          </cell>
          <cell r="D916" t="e">
            <v>#N/A</v>
          </cell>
          <cell r="E916" t="e">
            <v>#N/A</v>
          </cell>
          <cell r="F916" t="e">
            <v>#N/A</v>
          </cell>
          <cell r="G916" t="e">
            <v>#N/A</v>
          </cell>
          <cell r="H916" t="e">
            <v>#N/A</v>
          </cell>
          <cell r="I916" t="e">
            <v>#N/A</v>
          </cell>
          <cell r="J916" t="e">
            <v>#N/A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</row>
        <row r="917">
          <cell r="B917">
            <v>0</v>
          </cell>
          <cell r="C917" t="e">
            <v>#N/A</v>
          </cell>
          <cell r="D917" t="e">
            <v>#N/A</v>
          </cell>
          <cell r="E917" t="e">
            <v>#N/A</v>
          </cell>
          <cell r="F917" t="e">
            <v>#N/A</v>
          </cell>
          <cell r="G917" t="e">
            <v>#N/A</v>
          </cell>
          <cell r="H917" t="e">
            <v>#N/A</v>
          </cell>
          <cell r="I917" t="e">
            <v>#N/A</v>
          </cell>
          <cell r="J917" t="e">
            <v>#N/A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</row>
        <row r="918">
          <cell r="B918">
            <v>0</v>
          </cell>
          <cell r="C918" t="e">
            <v>#N/A</v>
          </cell>
          <cell r="D918" t="e">
            <v>#N/A</v>
          </cell>
          <cell r="E918" t="e">
            <v>#N/A</v>
          </cell>
          <cell r="F918" t="e">
            <v>#N/A</v>
          </cell>
          <cell r="G918" t="e">
            <v>#N/A</v>
          </cell>
          <cell r="H918" t="e">
            <v>#N/A</v>
          </cell>
          <cell r="I918" t="e">
            <v>#N/A</v>
          </cell>
          <cell r="J918" t="e">
            <v>#N/A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</row>
        <row r="919">
          <cell r="B919">
            <v>0</v>
          </cell>
          <cell r="C919" t="e">
            <v>#N/A</v>
          </cell>
          <cell r="D919" t="e">
            <v>#N/A</v>
          </cell>
          <cell r="E919" t="e">
            <v>#N/A</v>
          </cell>
          <cell r="F919" t="e">
            <v>#N/A</v>
          </cell>
          <cell r="G919" t="e">
            <v>#N/A</v>
          </cell>
          <cell r="H919" t="e">
            <v>#N/A</v>
          </cell>
          <cell r="I919" t="e">
            <v>#N/A</v>
          </cell>
          <cell r="J919" t="e">
            <v>#N/A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</row>
        <row r="920">
          <cell r="B920">
            <v>0</v>
          </cell>
          <cell r="C920" t="e">
            <v>#N/A</v>
          </cell>
          <cell r="D920" t="e">
            <v>#N/A</v>
          </cell>
          <cell r="E920" t="e">
            <v>#N/A</v>
          </cell>
          <cell r="F920" t="e">
            <v>#N/A</v>
          </cell>
          <cell r="G920" t="e">
            <v>#N/A</v>
          </cell>
          <cell r="H920" t="e">
            <v>#N/A</v>
          </cell>
          <cell r="I920" t="e">
            <v>#N/A</v>
          </cell>
          <cell r="J920" t="e">
            <v>#N/A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</row>
        <row r="921">
          <cell r="B921">
            <v>0</v>
          </cell>
          <cell r="C921" t="e">
            <v>#N/A</v>
          </cell>
          <cell r="D921" t="e">
            <v>#N/A</v>
          </cell>
          <cell r="E921" t="e">
            <v>#N/A</v>
          </cell>
          <cell r="F921" t="e">
            <v>#N/A</v>
          </cell>
          <cell r="G921" t="e">
            <v>#N/A</v>
          </cell>
          <cell r="H921" t="e">
            <v>#N/A</v>
          </cell>
          <cell r="I921" t="e">
            <v>#N/A</v>
          </cell>
          <cell r="J921" t="e">
            <v>#N/A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</row>
        <row r="922">
          <cell r="B922">
            <v>0</v>
          </cell>
          <cell r="C922" t="e">
            <v>#N/A</v>
          </cell>
          <cell r="D922" t="e">
            <v>#N/A</v>
          </cell>
          <cell r="E922" t="e">
            <v>#N/A</v>
          </cell>
          <cell r="F922" t="e">
            <v>#N/A</v>
          </cell>
          <cell r="G922" t="e">
            <v>#N/A</v>
          </cell>
          <cell r="H922" t="e">
            <v>#N/A</v>
          </cell>
          <cell r="I922" t="e">
            <v>#N/A</v>
          </cell>
          <cell r="J922" t="e">
            <v>#N/A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</row>
        <row r="923">
          <cell r="B923">
            <v>0</v>
          </cell>
          <cell r="C923" t="e">
            <v>#N/A</v>
          </cell>
          <cell r="D923" t="e">
            <v>#N/A</v>
          </cell>
          <cell r="E923" t="e">
            <v>#N/A</v>
          </cell>
          <cell r="F923" t="e">
            <v>#N/A</v>
          </cell>
          <cell r="G923" t="e">
            <v>#N/A</v>
          </cell>
          <cell r="H923" t="e">
            <v>#N/A</v>
          </cell>
          <cell r="I923" t="e">
            <v>#N/A</v>
          </cell>
          <cell r="J923" t="e">
            <v>#N/A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</row>
        <row r="924">
          <cell r="B924">
            <v>0</v>
          </cell>
          <cell r="C924" t="e">
            <v>#N/A</v>
          </cell>
          <cell r="D924" t="e">
            <v>#N/A</v>
          </cell>
          <cell r="E924" t="e">
            <v>#N/A</v>
          </cell>
          <cell r="F924" t="e">
            <v>#N/A</v>
          </cell>
          <cell r="G924" t="e">
            <v>#N/A</v>
          </cell>
          <cell r="H924" t="e">
            <v>#N/A</v>
          </cell>
          <cell r="I924" t="e">
            <v>#N/A</v>
          </cell>
          <cell r="J924" t="e">
            <v>#N/A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</row>
        <row r="925">
          <cell r="B925">
            <v>0</v>
          </cell>
          <cell r="C925" t="e">
            <v>#N/A</v>
          </cell>
          <cell r="D925" t="e">
            <v>#N/A</v>
          </cell>
          <cell r="E925" t="e">
            <v>#N/A</v>
          </cell>
          <cell r="F925" t="e">
            <v>#N/A</v>
          </cell>
          <cell r="G925" t="e">
            <v>#N/A</v>
          </cell>
          <cell r="H925" t="e">
            <v>#N/A</v>
          </cell>
          <cell r="I925" t="e">
            <v>#N/A</v>
          </cell>
          <cell r="J925" t="e">
            <v>#N/A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</row>
        <row r="926">
          <cell r="B926">
            <v>0</v>
          </cell>
          <cell r="C926" t="e">
            <v>#N/A</v>
          </cell>
          <cell r="D926" t="e">
            <v>#N/A</v>
          </cell>
          <cell r="E926" t="e">
            <v>#N/A</v>
          </cell>
          <cell r="F926" t="e">
            <v>#N/A</v>
          </cell>
          <cell r="G926" t="e">
            <v>#N/A</v>
          </cell>
          <cell r="H926" t="e">
            <v>#N/A</v>
          </cell>
          <cell r="I926" t="e">
            <v>#N/A</v>
          </cell>
          <cell r="J926" t="e">
            <v>#N/A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</row>
        <row r="927">
          <cell r="B927">
            <v>0</v>
          </cell>
          <cell r="C927" t="e">
            <v>#N/A</v>
          </cell>
          <cell r="D927" t="e">
            <v>#N/A</v>
          </cell>
          <cell r="E927" t="e">
            <v>#N/A</v>
          </cell>
          <cell r="F927" t="e">
            <v>#N/A</v>
          </cell>
          <cell r="G927" t="e">
            <v>#N/A</v>
          </cell>
          <cell r="H927" t="e">
            <v>#N/A</v>
          </cell>
          <cell r="I927" t="e">
            <v>#N/A</v>
          </cell>
          <cell r="J927" t="e">
            <v>#N/A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</row>
        <row r="928">
          <cell r="B928">
            <v>0</v>
          </cell>
          <cell r="C928" t="e">
            <v>#N/A</v>
          </cell>
          <cell r="D928" t="e">
            <v>#N/A</v>
          </cell>
          <cell r="E928" t="e">
            <v>#N/A</v>
          </cell>
          <cell r="F928" t="e">
            <v>#N/A</v>
          </cell>
          <cell r="G928" t="e">
            <v>#N/A</v>
          </cell>
          <cell r="H928" t="e">
            <v>#N/A</v>
          </cell>
          <cell r="I928" t="e">
            <v>#N/A</v>
          </cell>
          <cell r="J928" t="e">
            <v>#N/A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</row>
        <row r="929">
          <cell r="B929">
            <v>0</v>
          </cell>
          <cell r="C929" t="e">
            <v>#N/A</v>
          </cell>
          <cell r="D929" t="e">
            <v>#N/A</v>
          </cell>
          <cell r="E929" t="e">
            <v>#N/A</v>
          </cell>
          <cell r="F929" t="e">
            <v>#N/A</v>
          </cell>
          <cell r="G929" t="e">
            <v>#N/A</v>
          </cell>
          <cell r="H929" t="e">
            <v>#N/A</v>
          </cell>
          <cell r="I929" t="e">
            <v>#N/A</v>
          </cell>
          <cell r="J929" t="e">
            <v>#N/A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</row>
        <row r="930">
          <cell r="B930">
            <v>0</v>
          </cell>
          <cell r="C930" t="e">
            <v>#N/A</v>
          </cell>
          <cell r="D930" t="e">
            <v>#N/A</v>
          </cell>
          <cell r="E930" t="e">
            <v>#N/A</v>
          </cell>
          <cell r="F930" t="e">
            <v>#N/A</v>
          </cell>
          <cell r="G930" t="e">
            <v>#N/A</v>
          </cell>
          <cell r="H930" t="e">
            <v>#N/A</v>
          </cell>
          <cell r="I930" t="e">
            <v>#N/A</v>
          </cell>
          <cell r="J930" t="e">
            <v>#N/A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</row>
        <row r="931">
          <cell r="B931">
            <v>0</v>
          </cell>
          <cell r="C931" t="e">
            <v>#N/A</v>
          </cell>
          <cell r="D931" t="e">
            <v>#N/A</v>
          </cell>
          <cell r="E931" t="e">
            <v>#N/A</v>
          </cell>
          <cell r="F931" t="e">
            <v>#N/A</v>
          </cell>
          <cell r="G931" t="e">
            <v>#N/A</v>
          </cell>
          <cell r="H931" t="e">
            <v>#N/A</v>
          </cell>
          <cell r="I931" t="e">
            <v>#N/A</v>
          </cell>
          <cell r="J931" t="e">
            <v>#N/A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</row>
        <row r="932">
          <cell r="B932">
            <v>0</v>
          </cell>
          <cell r="C932" t="e">
            <v>#N/A</v>
          </cell>
          <cell r="D932" t="e">
            <v>#N/A</v>
          </cell>
          <cell r="E932" t="e">
            <v>#N/A</v>
          </cell>
          <cell r="F932" t="e">
            <v>#N/A</v>
          </cell>
          <cell r="G932" t="e">
            <v>#N/A</v>
          </cell>
          <cell r="H932" t="e">
            <v>#N/A</v>
          </cell>
          <cell r="I932" t="e">
            <v>#N/A</v>
          </cell>
          <cell r="J932" t="e">
            <v>#N/A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</row>
        <row r="933">
          <cell r="B933">
            <v>0</v>
          </cell>
          <cell r="C933" t="e">
            <v>#N/A</v>
          </cell>
          <cell r="D933" t="e">
            <v>#N/A</v>
          </cell>
          <cell r="E933" t="e">
            <v>#N/A</v>
          </cell>
          <cell r="F933" t="e">
            <v>#N/A</v>
          </cell>
          <cell r="G933" t="e">
            <v>#N/A</v>
          </cell>
          <cell r="H933" t="e">
            <v>#N/A</v>
          </cell>
          <cell r="I933" t="e">
            <v>#N/A</v>
          </cell>
          <cell r="J933" t="e">
            <v>#N/A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</row>
        <row r="934">
          <cell r="B934">
            <v>0</v>
          </cell>
          <cell r="C934" t="e">
            <v>#N/A</v>
          </cell>
          <cell r="D934" t="e">
            <v>#N/A</v>
          </cell>
          <cell r="E934" t="e">
            <v>#N/A</v>
          </cell>
          <cell r="F934" t="e">
            <v>#N/A</v>
          </cell>
          <cell r="G934" t="e">
            <v>#N/A</v>
          </cell>
          <cell r="H934" t="e">
            <v>#N/A</v>
          </cell>
          <cell r="I934" t="e">
            <v>#N/A</v>
          </cell>
          <cell r="J934" t="e">
            <v>#N/A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</row>
        <row r="935">
          <cell r="B935">
            <v>0</v>
          </cell>
          <cell r="C935" t="e">
            <v>#N/A</v>
          </cell>
          <cell r="D935" t="e">
            <v>#N/A</v>
          </cell>
          <cell r="E935" t="e">
            <v>#N/A</v>
          </cell>
          <cell r="F935" t="e">
            <v>#N/A</v>
          </cell>
          <cell r="G935" t="e">
            <v>#N/A</v>
          </cell>
          <cell r="H935" t="e">
            <v>#N/A</v>
          </cell>
          <cell r="I935" t="e">
            <v>#N/A</v>
          </cell>
          <cell r="J935" t="e">
            <v>#N/A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</row>
        <row r="936">
          <cell r="B936">
            <v>0</v>
          </cell>
          <cell r="C936" t="e">
            <v>#N/A</v>
          </cell>
          <cell r="D936" t="e">
            <v>#N/A</v>
          </cell>
          <cell r="E936" t="e">
            <v>#N/A</v>
          </cell>
          <cell r="F936" t="e">
            <v>#N/A</v>
          </cell>
          <cell r="G936" t="e">
            <v>#N/A</v>
          </cell>
          <cell r="H936" t="e">
            <v>#N/A</v>
          </cell>
          <cell r="I936" t="e">
            <v>#N/A</v>
          </cell>
          <cell r="J936" t="e">
            <v>#N/A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</row>
        <row r="937">
          <cell r="B937">
            <v>0</v>
          </cell>
          <cell r="C937" t="e">
            <v>#N/A</v>
          </cell>
          <cell r="D937" t="e">
            <v>#N/A</v>
          </cell>
          <cell r="E937" t="e">
            <v>#N/A</v>
          </cell>
          <cell r="F937" t="e">
            <v>#N/A</v>
          </cell>
          <cell r="G937" t="e">
            <v>#N/A</v>
          </cell>
          <cell r="H937" t="e">
            <v>#N/A</v>
          </cell>
          <cell r="I937" t="e">
            <v>#N/A</v>
          </cell>
          <cell r="J937" t="e">
            <v>#N/A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</row>
        <row r="938">
          <cell r="B938">
            <v>0</v>
          </cell>
          <cell r="C938" t="e">
            <v>#N/A</v>
          </cell>
          <cell r="D938" t="e">
            <v>#N/A</v>
          </cell>
          <cell r="E938" t="e">
            <v>#N/A</v>
          </cell>
          <cell r="F938" t="e">
            <v>#N/A</v>
          </cell>
          <cell r="G938" t="e">
            <v>#N/A</v>
          </cell>
          <cell r="H938" t="e">
            <v>#N/A</v>
          </cell>
          <cell r="I938" t="e">
            <v>#N/A</v>
          </cell>
          <cell r="J938" t="e">
            <v>#N/A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</row>
        <row r="939">
          <cell r="B939">
            <v>0</v>
          </cell>
          <cell r="C939" t="e">
            <v>#N/A</v>
          </cell>
          <cell r="D939" t="e">
            <v>#N/A</v>
          </cell>
          <cell r="E939" t="e">
            <v>#N/A</v>
          </cell>
          <cell r="F939" t="e">
            <v>#N/A</v>
          </cell>
          <cell r="G939" t="e">
            <v>#N/A</v>
          </cell>
          <cell r="H939" t="e">
            <v>#N/A</v>
          </cell>
          <cell r="I939" t="e">
            <v>#N/A</v>
          </cell>
          <cell r="J939" t="e">
            <v>#N/A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</row>
        <row r="940">
          <cell r="B940">
            <v>0</v>
          </cell>
          <cell r="C940" t="e">
            <v>#N/A</v>
          </cell>
          <cell r="D940" t="e">
            <v>#N/A</v>
          </cell>
          <cell r="E940" t="e">
            <v>#N/A</v>
          </cell>
          <cell r="F940" t="e">
            <v>#N/A</v>
          </cell>
          <cell r="G940" t="e">
            <v>#N/A</v>
          </cell>
          <cell r="H940" t="e">
            <v>#N/A</v>
          </cell>
          <cell r="I940" t="e">
            <v>#N/A</v>
          </cell>
          <cell r="J940" t="e">
            <v>#N/A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</row>
        <row r="941">
          <cell r="B941">
            <v>0</v>
          </cell>
          <cell r="C941" t="e">
            <v>#N/A</v>
          </cell>
          <cell r="D941" t="e">
            <v>#N/A</v>
          </cell>
          <cell r="E941" t="e">
            <v>#N/A</v>
          </cell>
          <cell r="F941" t="e">
            <v>#N/A</v>
          </cell>
          <cell r="G941" t="e">
            <v>#N/A</v>
          </cell>
          <cell r="H941" t="e">
            <v>#N/A</v>
          </cell>
          <cell r="I941" t="e">
            <v>#N/A</v>
          </cell>
          <cell r="J941" t="e">
            <v>#N/A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</row>
        <row r="942">
          <cell r="B942">
            <v>0</v>
          </cell>
          <cell r="C942" t="e">
            <v>#N/A</v>
          </cell>
          <cell r="D942" t="e">
            <v>#N/A</v>
          </cell>
          <cell r="E942" t="e">
            <v>#N/A</v>
          </cell>
          <cell r="F942" t="e">
            <v>#N/A</v>
          </cell>
          <cell r="G942" t="e">
            <v>#N/A</v>
          </cell>
          <cell r="H942" t="e">
            <v>#N/A</v>
          </cell>
          <cell r="I942" t="e">
            <v>#N/A</v>
          </cell>
          <cell r="J942" t="e">
            <v>#N/A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</row>
        <row r="943">
          <cell r="B943">
            <v>0</v>
          </cell>
          <cell r="C943" t="e">
            <v>#N/A</v>
          </cell>
          <cell r="D943" t="e">
            <v>#N/A</v>
          </cell>
          <cell r="E943" t="e">
            <v>#N/A</v>
          </cell>
          <cell r="F943" t="e">
            <v>#N/A</v>
          </cell>
          <cell r="G943" t="e">
            <v>#N/A</v>
          </cell>
          <cell r="H943" t="e">
            <v>#N/A</v>
          </cell>
          <cell r="I943" t="e">
            <v>#N/A</v>
          </cell>
          <cell r="J943" t="e">
            <v>#N/A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</row>
        <row r="944">
          <cell r="B944">
            <v>0</v>
          </cell>
          <cell r="C944" t="e">
            <v>#N/A</v>
          </cell>
          <cell r="D944" t="e">
            <v>#N/A</v>
          </cell>
          <cell r="E944" t="e">
            <v>#N/A</v>
          </cell>
          <cell r="F944" t="e">
            <v>#N/A</v>
          </cell>
          <cell r="G944" t="e">
            <v>#N/A</v>
          </cell>
          <cell r="H944" t="e">
            <v>#N/A</v>
          </cell>
          <cell r="I944" t="e">
            <v>#N/A</v>
          </cell>
          <cell r="J944" t="e">
            <v>#N/A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</row>
        <row r="945">
          <cell r="B945">
            <v>0</v>
          </cell>
          <cell r="C945" t="e">
            <v>#N/A</v>
          </cell>
          <cell r="D945" t="e">
            <v>#N/A</v>
          </cell>
          <cell r="E945" t="e">
            <v>#N/A</v>
          </cell>
          <cell r="F945" t="e">
            <v>#N/A</v>
          </cell>
          <cell r="G945" t="e">
            <v>#N/A</v>
          </cell>
          <cell r="H945" t="e">
            <v>#N/A</v>
          </cell>
          <cell r="I945" t="e">
            <v>#N/A</v>
          </cell>
          <cell r="J945" t="e">
            <v>#N/A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</row>
        <row r="946">
          <cell r="B946">
            <v>0</v>
          </cell>
          <cell r="C946" t="e">
            <v>#N/A</v>
          </cell>
          <cell r="D946" t="e">
            <v>#N/A</v>
          </cell>
          <cell r="E946" t="e">
            <v>#N/A</v>
          </cell>
          <cell r="F946" t="e">
            <v>#N/A</v>
          </cell>
          <cell r="G946" t="e">
            <v>#N/A</v>
          </cell>
          <cell r="H946" t="e">
            <v>#N/A</v>
          </cell>
          <cell r="I946" t="e">
            <v>#N/A</v>
          </cell>
          <cell r="J946" t="e">
            <v>#N/A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</row>
        <row r="947">
          <cell r="B947">
            <v>0</v>
          </cell>
          <cell r="C947" t="e">
            <v>#N/A</v>
          </cell>
          <cell r="D947" t="e">
            <v>#N/A</v>
          </cell>
          <cell r="E947" t="e">
            <v>#N/A</v>
          </cell>
          <cell r="F947" t="e">
            <v>#N/A</v>
          </cell>
          <cell r="G947" t="e">
            <v>#N/A</v>
          </cell>
          <cell r="H947" t="e">
            <v>#N/A</v>
          </cell>
          <cell r="I947" t="e">
            <v>#N/A</v>
          </cell>
          <cell r="J947" t="e">
            <v>#N/A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</row>
        <row r="948">
          <cell r="B948">
            <v>0</v>
          </cell>
          <cell r="C948" t="e">
            <v>#N/A</v>
          </cell>
          <cell r="D948" t="e">
            <v>#N/A</v>
          </cell>
          <cell r="E948" t="e">
            <v>#N/A</v>
          </cell>
          <cell r="F948" t="e">
            <v>#N/A</v>
          </cell>
          <cell r="G948" t="e">
            <v>#N/A</v>
          </cell>
          <cell r="H948" t="e">
            <v>#N/A</v>
          </cell>
          <cell r="I948" t="e">
            <v>#N/A</v>
          </cell>
          <cell r="J948" t="e">
            <v>#N/A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</row>
        <row r="949">
          <cell r="B949">
            <v>0</v>
          </cell>
          <cell r="C949" t="e">
            <v>#N/A</v>
          </cell>
          <cell r="D949" t="e">
            <v>#N/A</v>
          </cell>
          <cell r="E949" t="e">
            <v>#N/A</v>
          </cell>
          <cell r="F949" t="e">
            <v>#N/A</v>
          </cell>
          <cell r="G949" t="e">
            <v>#N/A</v>
          </cell>
          <cell r="H949" t="e">
            <v>#N/A</v>
          </cell>
          <cell r="I949" t="e">
            <v>#N/A</v>
          </cell>
          <cell r="J949" t="e">
            <v>#N/A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</row>
        <row r="950">
          <cell r="B950">
            <v>0</v>
          </cell>
          <cell r="C950" t="e">
            <v>#N/A</v>
          </cell>
          <cell r="D950" t="e">
            <v>#N/A</v>
          </cell>
          <cell r="E950" t="e">
            <v>#N/A</v>
          </cell>
          <cell r="F950" t="e">
            <v>#N/A</v>
          </cell>
          <cell r="G950" t="e">
            <v>#N/A</v>
          </cell>
          <cell r="H950" t="e">
            <v>#N/A</v>
          </cell>
          <cell r="I950" t="e">
            <v>#N/A</v>
          </cell>
          <cell r="J950" t="e">
            <v>#N/A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</row>
        <row r="951">
          <cell r="B951">
            <v>0</v>
          </cell>
          <cell r="C951" t="e">
            <v>#N/A</v>
          </cell>
          <cell r="D951" t="e">
            <v>#N/A</v>
          </cell>
          <cell r="E951" t="e">
            <v>#N/A</v>
          </cell>
          <cell r="F951" t="e">
            <v>#N/A</v>
          </cell>
          <cell r="G951" t="e">
            <v>#N/A</v>
          </cell>
          <cell r="H951" t="e">
            <v>#N/A</v>
          </cell>
          <cell r="I951" t="e">
            <v>#N/A</v>
          </cell>
          <cell r="J951" t="e">
            <v>#N/A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</row>
        <row r="952">
          <cell r="B952">
            <v>0</v>
          </cell>
          <cell r="C952" t="e">
            <v>#N/A</v>
          </cell>
          <cell r="D952" t="e">
            <v>#N/A</v>
          </cell>
          <cell r="E952" t="e">
            <v>#N/A</v>
          </cell>
          <cell r="F952" t="e">
            <v>#N/A</v>
          </cell>
          <cell r="G952" t="e">
            <v>#N/A</v>
          </cell>
          <cell r="H952" t="e">
            <v>#N/A</v>
          </cell>
          <cell r="I952" t="e">
            <v>#N/A</v>
          </cell>
          <cell r="J952" t="e">
            <v>#N/A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</row>
        <row r="953">
          <cell r="B953">
            <v>0</v>
          </cell>
          <cell r="C953" t="e">
            <v>#N/A</v>
          </cell>
          <cell r="D953" t="e">
            <v>#N/A</v>
          </cell>
          <cell r="E953" t="e">
            <v>#N/A</v>
          </cell>
          <cell r="F953" t="e">
            <v>#N/A</v>
          </cell>
          <cell r="G953" t="e">
            <v>#N/A</v>
          </cell>
          <cell r="H953" t="e">
            <v>#N/A</v>
          </cell>
          <cell r="I953" t="e">
            <v>#N/A</v>
          </cell>
          <cell r="J953" t="e">
            <v>#N/A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</row>
        <row r="954">
          <cell r="B954">
            <v>0</v>
          </cell>
          <cell r="C954" t="e">
            <v>#N/A</v>
          </cell>
          <cell r="D954" t="e">
            <v>#N/A</v>
          </cell>
          <cell r="E954" t="e">
            <v>#N/A</v>
          </cell>
          <cell r="F954" t="e">
            <v>#N/A</v>
          </cell>
          <cell r="G954" t="e">
            <v>#N/A</v>
          </cell>
          <cell r="H954" t="e">
            <v>#N/A</v>
          </cell>
          <cell r="I954" t="e">
            <v>#N/A</v>
          </cell>
          <cell r="J954" t="e">
            <v>#N/A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</row>
        <row r="955">
          <cell r="B955">
            <v>0</v>
          </cell>
          <cell r="C955" t="e">
            <v>#N/A</v>
          </cell>
          <cell r="D955" t="e">
            <v>#N/A</v>
          </cell>
          <cell r="E955" t="e">
            <v>#N/A</v>
          </cell>
          <cell r="F955" t="e">
            <v>#N/A</v>
          </cell>
          <cell r="G955" t="e">
            <v>#N/A</v>
          </cell>
          <cell r="H955" t="e">
            <v>#N/A</v>
          </cell>
          <cell r="I955" t="e">
            <v>#N/A</v>
          </cell>
          <cell r="J955" t="e">
            <v>#N/A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</row>
        <row r="956">
          <cell r="B956">
            <v>0</v>
          </cell>
          <cell r="C956" t="e">
            <v>#N/A</v>
          </cell>
          <cell r="D956" t="e">
            <v>#N/A</v>
          </cell>
          <cell r="E956" t="e">
            <v>#N/A</v>
          </cell>
          <cell r="F956" t="e">
            <v>#N/A</v>
          </cell>
          <cell r="G956" t="e">
            <v>#N/A</v>
          </cell>
          <cell r="H956" t="e">
            <v>#N/A</v>
          </cell>
          <cell r="I956" t="e">
            <v>#N/A</v>
          </cell>
          <cell r="J956" t="e">
            <v>#N/A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</row>
        <row r="957">
          <cell r="B957">
            <v>0</v>
          </cell>
          <cell r="C957" t="e">
            <v>#N/A</v>
          </cell>
          <cell r="D957" t="e">
            <v>#N/A</v>
          </cell>
          <cell r="E957" t="e">
            <v>#N/A</v>
          </cell>
          <cell r="F957" t="e">
            <v>#N/A</v>
          </cell>
          <cell r="G957" t="e">
            <v>#N/A</v>
          </cell>
          <cell r="H957" t="e">
            <v>#N/A</v>
          </cell>
          <cell r="I957" t="e">
            <v>#N/A</v>
          </cell>
          <cell r="J957" t="e">
            <v>#N/A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</row>
        <row r="958">
          <cell r="B958">
            <v>0</v>
          </cell>
          <cell r="C958" t="e">
            <v>#N/A</v>
          </cell>
          <cell r="D958" t="e">
            <v>#N/A</v>
          </cell>
          <cell r="E958" t="e">
            <v>#N/A</v>
          </cell>
          <cell r="F958" t="e">
            <v>#N/A</v>
          </cell>
          <cell r="G958" t="e">
            <v>#N/A</v>
          </cell>
          <cell r="H958" t="e">
            <v>#N/A</v>
          </cell>
          <cell r="I958" t="e">
            <v>#N/A</v>
          </cell>
          <cell r="J958" t="e">
            <v>#N/A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</row>
        <row r="959">
          <cell r="B959">
            <v>0</v>
          </cell>
          <cell r="C959" t="e">
            <v>#N/A</v>
          </cell>
          <cell r="D959" t="e">
            <v>#N/A</v>
          </cell>
          <cell r="E959" t="e">
            <v>#N/A</v>
          </cell>
          <cell r="F959" t="e">
            <v>#N/A</v>
          </cell>
          <cell r="G959" t="e">
            <v>#N/A</v>
          </cell>
          <cell r="H959" t="e">
            <v>#N/A</v>
          </cell>
          <cell r="I959" t="e">
            <v>#N/A</v>
          </cell>
          <cell r="J959" t="e">
            <v>#N/A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</row>
        <row r="960">
          <cell r="B960">
            <v>0</v>
          </cell>
          <cell r="C960" t="e">
            <v>#N/A</v>
          </cell>
          <cell r="D960" t="e">
            <v>#N/A</v>
          </cell>
          <cell r="E960" t="e">
            <v>#N/A</v>
          </cell>
          <cell r="F960" t="e">
            <v>#N/A</v>
          </cell>
          <cell r="G960" t="e">
            <v>#N/A</v>
          </cell>
          <cell r="H960" t="e">
            <v>#N/A</v>
          </cell>
          <cell r="I960" t="e">
            <v>#N/A</v>
          </cell>
          <cell r="J960" t="e">
            <v>#N/A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</row>
        <row r="961">
          <cell r="B961">
            <v>0</v>
          </cell>
          <cell r="C961" t="e">
            <v>#N/A</v>
          </cell>
          <cell r="D961" t="e">
            <v>#N/A</v>
          </cell>
          <cell r="E961" t="e">
            <v>#N/A</v>
          </cell>
          <cell r="F961" t="e">
            <v>#N/A</v>
          </cell>
          <cell r="G961" t="e">
            <v>#N/A</v>
          </cell>
          <cell r="H961" t="e">
            <v>#N/A</v>
          </cell>
          <cell r="I961" t="e">
            <v>#N/A</v>
          </cell>
          <cell r="J961" t="e">
            <v>#N/A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</row>
        <row r="962">
          <cell r="B962">
            <v>0</v>
          </cell>
          <cell r="C962" t="e">
            <v>#N/A</v>
          </cell>
          <cell r="D962" t="e">
            <v>#N/A</v>
          </cell>
          <cell r="E962" t="e">
            <v>#N/A</v>
          </cell>
          <cell r="F962" t="e">
            <v>#N/A</v>
          </cell>
          <cell r="G962" t="e">
            <v>#N/A</v>
          </cell>
          <cell r="H962" t="e">
            <v>#N/A</v>
          </cell>
          <cell r="I962" t="e">
            <v>#N/A</v>
          </cell>
          <cell r="J962" t="e">
            <v>#N/A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</row>
        <row r="963">
          <cell r="B963">
            <v>0</v>
          </cell>
          <cell r="C963" t="e">
            <v>#N/A</v>
          </cell>
          <cell r="D963" t="e">
            <v>#N/A</v>
          </cell>
          <cell r="E963" t="e">
            <v>#N/A</v>
          </cell>
          <cell r="F963" t="e">
            <v>#N/A</v>
          </cell>
          <cell r="G963" t="e">
            <v>#N/A</v>
          </cell>
          <cell r="H963" t="e">
            <v>#N/A</v>
          </cell>
          <cell r="I963" t="e">
            <v>#N/A</v>
          </cell>
          <cell r="J963" t="e">
            <v>#N/A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</row>
        <row r="964">
          <cell r="B964">
            <v>0</v>
          </cell>
          <cell r="C964" t="e">
            <v>#N/A</v>
          </cell>
          <cell r="D964" t="e">
            <v>#N/A</v>
          </cell>
          <cell r="E964" t="e">
            <v>#N/A</v>
          </cell>
          <cell r="F964" t="e">
            <v>#N/A</v>
          </cell>
          <cell r="G964" t="e">
            <v>#N/A</v>
          </cell>
          <cell r="H964" t="e">
            <v>#N/A</v>
          </cell>
          <cell r="I964" t="e">
            <v>#N/A</v>
          </cell>
          <cell r="J964" t="e">
            <v>#N/A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</row>
        <row r="965">
          <cell r="B965">
            <v>0</v>
          </cell>
          <cell r="C965" t="e">
            <v>#N/A</v>
          </cell>
          <cell r="D965" t="e">
            <v>#N/A</v>
          </cell>
          <cell r="E965" t="e">
            <v>#N/A</v>
          </cell>
          <cell r="F965" t="e">
            <v>#N/A</v>
          </cell>
          <cell r="G965" t="e">
            <v>#N/A</v>
          </cell>
          <cell r="H965" t="e">
            <v>#N/A</v>
          </cell>
          <cell r="I965" t="e">
            <v>#N/A</v>
          </cell>
          <cell r="J965" t="e">
            <v>#N/A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</row>
        <row r="966">
          <cell r="B966">
            <v>0</v>
          </cell>
          <cell r="C966" t="e">
            <v>#N/A</v>
          </cell>
          <cell r="D966" t="e">
            <v>#N/A</v>
          </cell>
          <cell r="E966" t="e">
            <v>#N/A</v>
          </cell>
          <cell r="F966" t="e">
            <v>#N/A</v>
          </cell>
          <cell r="G966" t="e">
            <v>#N/A</v>
          </cell>
          <cell r="H966" t="e">
            <v>#N/A</v>
          </cell>
          <cell r="I966" t="e">
            <v>#N/A</v>
          </cell>
          <cell r="J966" t="e">
            <v>#N/A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</row>
        <row r="967">
          <cell r="B967">
            <v>0</v>
          </cell>
          <cell r="C967" t="e">
            <v>#N/A</v>
          </cell>
          <cell r="D967" t="e">
            <v>#N/A</v>
          </cell>
          <cell r="E967" t="e">
            <v>#N/A</v>
          </cell>
          <cell r="F967" t="e">
            <v>#N/A</v>
          </cell>
          <cell r="G967" t="e">
            <v>#N/A</v>
          </cell>
          <cell r="H967" t="e">
            <v>#N/A</v>
          </cell>
          <cell r="I967" t="e">
            <v>#N/A</v>
          </cell>
          <cell r="J967" t="e">
            <v>#N/A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</row>
        <row r="968">
          <cell r="B968">
            <v>0</v>
          </cell>
          <cell r="C968" t="e">
            <v>#N/A</v>
          </cell>
          <cell r="D968" t="e">
            <v>#N/A</v>
          </cell>
          <cell r="E968" t="e">
            <v>#N/A</v>
          </cell>
          <cell r="F968" t="e">
            <v>#N/A</v>
          </cell>
          <cell r="G968" t="e">
            <v>#N/A</v>
          </cell>
          <cell r="H968" t="e">
            <v>#N/A</v>
          </cell>
          <cell r="I968" t="e">
            <v>#N/A</v>
          </cell>
          <cell r="J968" t="e">
            <v>#N/A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</row>
        <row r="969">
          <cell r="B969">
            <v>0</v>
          </cell>
          <cell r="C969" t="e">
            <v>#N/A</v>
          </cell>
          <cell r="D969" t="e">
            <v>#N/A</v>
          </cell>
          <cell r="E969" t="e">
            <v>#N/A</v>
          </cell>
          <cell r="F969" t="e">
            <v>#N/A</v>
          </cell>
          <cell r="G969" t="e">
            <v>#N/A</v>
          </cell>
          <cell r="H969" t="e">
            <v>#N/A</v>
          </cell>
          <cell r="I969" t="e">
            <v>#N/A</v>
          </cell>
          <cell r="J969" t="e">
            <v>#N/A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</row>
        <row r="970">
          <cell r="B970">
            <v>0</v>
          </cell>
          <cell r="C970" t="e">
            <v>#N/A</v>
          </cell>
          <cell r="D970" t="e">
            <v>#N/A</v>
          </cell>
          <cell r="E970" t="e">
            <v>#N/A</v>
          </cell>
          <cell r="F970" t="e">
            <v>#N/A</v>
          </cell>
          <cell r="G970" t="e">
            <v>#N/A</v>
          </cell>
          <cell r="H970" t="e">
            <v>#N/A</v>
          </cell>
          <cell r="I970" t="e">
            <v>#N/A</v>
          </cell>
          <cell r="J970" t="e">
            <v>#N/A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</row>
        <row r="971">
          <cell r="B971">
            <v>0</v>
          </cell>
          <cell r="C971" t="e">
            <v>#N/A</v>
          </cell>
          <cell r="D971" t="e">
            <v>#N/A</v>
          </cell>
          <cell r="E971" t="e">
            <v>#N/A</v>
          </cell>
          <cell r="F971" t="e">
            <v>#N/A</v>
          </cell>
          <cell r="G971" t="e">
            <v>#N/A</v>
          </cell>
          <cell r="H971" t="e">
            <v>#N/A</v>
          </cell>
          <cell r="I971" t="e">
            <v>#N/A</v>
          </cell>
          <cell r="J971" t="e">
            <v>#N/A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</row>
        <row r="972">
          <cell r="B972">
            <v>0</v>
          </cell>
          <cell r="C972" t="e">
            <v>#N/A</v>
          </cell>
          <cell r="D972" t="e">
            <v>#N/A</v>
          </cell>
          <cell r="E972" t="e">
            <v>#N/A</v>
          </cell>
          <cell r="F972" t="e">
            <v>#N/A</v>
          </cell>
          <cell r="G972" t="e">
            <v>#N/A</v>
          </cell>
          <cell r="H972" t="e">
            <v>#N/A</v>
          </cell>
          <cell r="I972" t="e">
            <v>#N/A</v>
          </cell>
          <cell r="J972" t="e">
            <v>#N/A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</row>
        <row r="973">
          <cell r="B973">
            <v>0</v>
          </cell>
          <cell r="C973" t="e">
            <v>#N/A</v>
          </cell>
          <cell r="D973" t="e">
            <v>#N/A</v>
          </cell>
          <cell r="E973" t="e">
            <v>#N/A</v>
          </cell>
          <cell r="F973" t="e">
            <v>#N/A</v>
          </cell>
          <cell r="G973" t="e">
            <v>#N/A</v>
          </cell>
          <cell r="H973" t="e">
            <v>#N/A</v>
          </cell>
          <cell r="I973" t="e">
            <v>#N/A</v>
          </cell>
          <cell r="J973" t="e">
            <v>#N/A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</row>
        <row r="974">
          <cell r="B974">
            <v>0</v>
          </cell>
          <cell r="C974" t="e">
            <v>#N/A</v>
          </cell>
          <cell r="D974" t="e">
            <v>#N/A</v>
          </cell>
          <cell r="E974" t="e">
            <v>#N/A</v>
          </cell>
          <cell r="F974" t="e">
            <v>#N/A</v>
          </cell>
          <cell r="G974" t="e">
            <v>#N/A</v>
          </cell>
          <cell r="H974" t="e">
            <v>#N/A</v>
          </cell>
          <cell r="I974" t="e">
            <v>#N/A</v>
          </cell>
          <cell r="J974" t="e">
            <v>#N/A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</row>
        <row r="975">
          <cell r="B975">
            <v>0</v>
          </cell>
          <cell r="C975" t="e">
            <v>#N/A</v>
          </cell>
          <cell r="D975" t="e">
            <v>#N/A</v>
          </cell>
          <cell r="E975" t="e">
            <v>#N/A</v>
          </cell>
          <cell r="F975" t="e">
            <v>#N/A</v>
          </cell>
          <cell r="G975" t="e">
            <v>#N/A</v>
          </cell>
          <cell r="H975" t="e">
            <v>#N/A</v>
          </cell>
          <cell r="I975" t="e">
            <v>#N/A</v>
          </cell>
          <cell r="J975" t="e">
            <v>#N/A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</row>
        <row r="976">
          <cell r="B976">
            <v>0</v>
          </cell>
          <cell r="C976" t="e">
            <v>#N/A</v>
          </cell>
          <cell r="D976" t="e">
            <v>#N/A</v>
          </cell>
          <cell r="E976" t="e">
            <v>#N/A</v>
          </cell>
          <cell r="F976" t="e">
            <v>#N/A</v>
          </cell>
          <cell r="G976" t="e">
            <v>#N/A</v>
          </cell>
          <cell r="H976" t="e">
            <v>#N/A</v>
          </cell>
          <cell r="I976" t="e">
            <v>#N/A</v>
          </cell>
          <cell r="J976" t="e">
            <v>#N/A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</row>
        <row r="977">
          <cell r="B977">
            <v>0</v>
          </cell>
          <cell r="C977" t="e">
            <v>#N/A</v>
          </cell>
          <cell r="D977" t="e">
            <v>#N/A</v>
          </cell>
          <cell r="E977" t="e">
            <v>#N/A</v>
          </cell>
          <cell r="F977" t="e">
            <v>#N/A</v>
          </cell>
          <cell r="G977" t="e">
            <v>#N/A</v>
          </cell>
          <cell r="H977" t="e">
            <v>#N/A</v>
          </cell>
          <cell r="I977" t="e">
            <v>#N/A</v>
          </cell>
          <cell r="J977" t="e">
            <v>#N/A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</row>
        <row r="978">
          <cell r="B978">
            <v>0</v>
          </cell>
          <cell r="C978" t="e">
            <v>#N/A</v>
          </cell>
          <cell r="D978" t="e">
            <v>#N/A</v>
          </cell>
          <cell r="E978" t="e">
            <v>#N/A</v>
          </cell>
          <cell r="F978" t="e">
            <v>#N/A</v>
          </cell>
          <cell r="G978" t="e">
            <v>#N/A</v>
          </cell>
          <cell r="H978" t="e">
            <v>#N/A</v>
          </cell>
          <cell r="I978" t="e">
            <v>#N/A</v>
          </cell>
          <cell r="J978" t="e">
            <v>#N/A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</row>
        <row r="979">
          <cell r="B979">
            <v>0</v>
          </cell>
          <cell r="C979" t="e">
            <v>#N/A</v>
          </cell>
          <cell r="D979" t="e">
            <v>#N/A</v>
          </cell>
          <cell r="E979" t="e">
            <v>#N/A</v>
          </cell>
          <cell r="F979" t="e">
            <v>#N/A</v>
          </cell>
          <cell r="G979" t="e">
            <v>#N/A</v>
          </cell>
          <cell r="H979" t="e">
            <v>#N/A</v>
          </cell>
          <cell r="I979" t="e">
            <v>#N/A</v>
          </cell>
          <cell r="J979" t="e">
            <v>#N/A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</row>
        <row r="980">
          <cell r="B980">
            <v>0</v>
          </cell>
          <cell r="C980" t="e">
            <v>#N/A</v>
          </cell>
          <cell r="D980" t="e">
            <v>#N/A</v>
          </cell>
          <cell r="E980" t="e">
            <v>#N/A</v>
          </cell>
          <cell r="F980" t="e">
            <v>#N/A</v>
          </cell>
          <cell r="G980" t="e">
            <v>#N/A</v>
          </cell>
          <cell r="H980" t="e">
            <v>#N/A</v>
          </cell>
          <cell r="I980" t="e">
            <v>#N/A</v>
          </cell>
          <cell r="J980" t="e">
            <v>#N/A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</row>
        <row r="981">
          <cell r="B981">
            <v>0</v>
          </cell>
          <cell r="C981" t="e">
            <v>#N/A</v>
          </cell>
          <cell r="D981" t="e">
            <v>#N/A</v>
          </cell>
          <cell r="E981" t="e">
            <v>#N/A</v>
          </cell>
          <cell r="F981" t="e">
            <v>#N/A</v>
          </cell>
          <cell r="G981" t="e">
            <v>#N/A</v>
          </cell>
          <cell r="H981" t="e">
            <v>#N/A</v>
          </cell>
          <cell r="I981" t="e">
            <v>#N/A</v>
          </cell>
          <cell r="J981" t="e">
            <v>#N/A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</row>
        <row r="982">
          <cell r="B982">
            <v>0</v>
          </cell>
          <cell r="C982" t="e">
            <v>#N/A</v>
          </cell>
          <cell r="D982" t="e">
            <v>#N/A</v>
          </cell>
          <cell r="E982" t="e">
            <v>#N/A</v>
          </cell>
          <cell r="F982" t="e">
            <v>#N/A</v>
          </cell>
          <cell r="G982" t="e">
            <v>#N/A</v>
          </cell>
          <cell r="H982" t="e">
            <v>#N/A</v>
          </cell>
          <cell r="I982" t="e">
            <v>#N/A</v>
          </cell>
          <cell r="J982" t="e">
            <v>#N/A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</row>
        <row r="983">
          <cell r="B983">
            <v>0</v>
          </cell>
          <cell r="C983" t="e">
            <v>#N/A</v>
          </cell>
          <cell r="D983" t="e">
            <v>#N/A</v>
          </cell>
          <cell r="E983" t="e">
            <v>#N/A</v>
          </cell>
          <cell r="F983" t="e">
            <v>#N/A</v>
          </cell>
          <cell r="G983" t="e">
            <v>#N/A</v>
          </cell>
          <cell r="H983" t="e">
            <v>#N/A</v>
          </cell>
          <cell r="I983" t="e">
            <v>#N/A</v>
          </cell>
          <cell r="J983" t="e">
            <v>#N/A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</row>
        <row r="984">
          <cell r="B984">
            <v>0</v>
          </cell>
          <cell r="C984" t="e">
            <v>#N/A</v>
          </cell>
          <cell r="D984" t="e">
            <v>#N/A</v>
          </cell>
          <cell r="E984" t="e">
            <v>#N/A</v>
          </cell>
          <cell r="F984" t="e">
            <v>#N/A</v>
          </cell>
          <cell r="G984" t="e">
            <v>#N/A</v>
          </cell>
          <cell r="H984" t="e">
            <v>#N/A</v>
          </cell>
          <cell r="I984" t="e">
            <v>#N/A</v>
          </cell>
          <cell r="J984" t="e">
            <v>#N/A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</row>
        <row r="985">
          <cell r="B985">
            <v>0</v>
          </cell>
          <cell r="C985" t="e">
            <v>#N/A</v>
          </cell>
          <cell r="D985" t="e">
            <v>#N/A</v>
          </cell>
          <cell r="E985" t="e">
            <v>#N/A</v>
          </cell>
          <cell r="F985" t="e">
            <v>#N/A</v>
          </cell>
          <cell r="G985" t="e">
            <v>#N/A</v>
          </cell>
          <cell r="H985" t="e">
            <v>#N/A</v>
          </cell>
          <cell r="I985" t="e">
            <v>#N/A</v>
          </cell>
          <cell r="J985" t="e">
            <v>#N/A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</row>
        <row r="986">
          <cell r="B986">
            <v>0</v>
          </cell>
          <cell r="C986" t="e">
            <v>#N/A</v>
          </cell>
          <cell r="D986" t="e">
            <v>#N/A</v>
          </cell>
          <cell r="E986" t="e">
            <v>#N/A</v>
          </cell>
          <cell r="F986" t="e">
            <v>#N/A</v>
          </cell>
          <cell r="G986" t="e">
            <v>#N/A</v>
          </cell>
          <cell r="H986" t="e">
            <v>#N/A</v>
          </cell>
          <cell r="I986" t="e">
            <v>#N/A</v>
          </cell>
          <cell r="J986" t="e">
            <v>#N/A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</row>
        <row r="987">
          <cell r="B987">
            <v>0</v>
          </cell>
          <cell r="C987" t="e">
            <v>#N/A</v>
          </cell>
          <cell r="D987" t="e">
            <v>#N/A</v>
          </cell>
          <cell r="E987" t="e">
            <v>#N/A</v>
          </cell>
          <cell r="F987" t="e">
            <v>#N/A</v>
          </cell>
          <cell r="G987" t="e">
            <v>#N/A</v>
          </cell>
          <cell r="H987" t="e">
            <v>#N/A</v>
          </cell>
          <cell r="I987" t="e">
            <v>#N/A</v>
          </cell>
          <cell r="J987" t="e">
            <v>#N/A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</row>
        <row r="988">
          <cell r="B988">
            <v>0</v>
          </cell>
          <cell r="C988" t="e">
            <v>#N/A</v>
          </cell>
          <cell r="D988" t="e">
            <v>#N/A</v>
          </cell>
          <cell r="E988" t="e">
            <v>#N/A</v>
          </cell>
          <cell r="F988" t="e">
            <v>#N/A</v>
          </cell>
          <cell r="G988" t="e">
            <v>#N/A</v>
          </cell>
          <cell r="H988" t="e">
            <v>#N/A</v>
          </cell>
          <cell r="I988" t="e">
            <v>#N/A</v>
          </cell>
          <cell r="J988" t="e">
            <v>#N/A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</row>
        <row r="989">
          <cell r="B989">
            <v>0</v>
          </cell>
          <cell r="C989" t="e">
            <v>#N/A</v>
          </cell>
          <cell r="D989" t="e">
            <v>#N/A</v>
          </cell>
          <cell r="E989" t="e">
            <v>#N/A</v>
          </cell>
          <cell r="F989" t="e">
            <v>#N/A</v>
          </cell>
          <cell r="G989" t="e">
            <v>#N/A</v>
          </cell>
          <cell r="H989" t="e">
            <v>#N/A</v>
          </cell>
          <cell r="I989" t="e">
            <v>#N/A</v>
          </cell>
          <cell r="J989" t="e">
            <v>#N/A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</row>
        <row r="990">
          <cell r="B990">
            <v>0</v>
          </cell>
          <cell r="C990" t="e">
            <v>#N/A</v>
          </cell>
          <cell r="D990" t="e">
            <v>#N/A</v>
          </cell>
          <cell r="E990" t="e">
            <v>#N/A</v>
          </cell>
          <cell r="F990" t="e">
            <v>#N/A</v>
          </cell>
          <cell r="G990" t="e">
            <v>#N/A</v>
          </cell>
          <cell r="H990" t="e">
            <v>#N/A</v>
          </cell>
          <cell r="I990" t="e">
            <v>#N/A</v>
          </cell>
          <cell r="J990" t="e">
            <v>#N/A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</row>
        <row r="991">
          <cell r="B991">
            <v>0</v>
          </cell>
          <cell r="C991" t="e">
            <v>#N/A</v>
          </cell>
          <cell r="D991" t="e">
            <v>#N/A</v>
          </cell>
          <cell r="E991" t="e">
            <v>#N/A</v>
          </cell>
          <cell r="F991" t="e">
            <v>#N/A</v>
          </cell>
          <cell r="G991" t="e">
            <v>#N/A</v>
          </cell>
          <cell r="H991" t="e">
            <v>#N/A</v>
          </cell>
          <cell r="I991" t="e">
            <v>#N/A</v>
          </cell>
          <cell r="J991" t="e">
            <v>#N/A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</row>
        <row r="992">
          <cell r="B992">
            <v>0</v>
          </cell>
          <cell r="C992" t="e">
            <v>#N/A</v>
          </cell>
          <cell r="D992" t="e">
            <v>#N/A</v>
          </cell>
          <cell r="E992" t="e">
            <v>#N/A</v>
          </cell>
          <cell r="F992" t="e">
            <v>#N/A</v>
          </cell>
          <cell r="G992" t="e">
            <v>#N/A</v>
          </cell>
          <cell r="H992" t="e">
            <v>#N/A</v>
          </cell>
          <cell r="I992" t="e">
            <v>#N/A</v>
          </cell>
          <cell r="J992" t="e">
            <v>#N/A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</row>
        <row r="993">
          <cell r="B993">
            <v>0</v>
          </cell>
          <cell r="C993" t="e">
            <v>#N/A</v>
          </cell>
          <cell r="D993" t="e">
            <v>#N/A</v>
          </cell>
          <cell r="E993" t="e">
            <v>#N/A</v>
          </cell>
          <cell r="F993" t="e">
            <v>#N/A</v>
          </cell>
          <cell r="G993" t="e">
            <v>#N/A</v>
          </cell>
          <cell r="H993" t="e">
            <v>#N/A</v>
          </cell>
          <cell r="I993" t="e">
            <v>#N/A</v>
          </cell>
          <cell r="J993" t="e">
            <v>#N/A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</row>
        <row r="994">
          <cell r="B994">
            <v>0</v>
          </cell>
          <cell r="C994" t="e">
            <v>#N/A</v>
          </cell>
          <cell r="D994" t="e">
            <v>#N/A</v>
          </cell>
          <cell r="E994" t="e">
            <v>#N/A</v>
          </cell>
          <cell r="F994" t="e">
            <v>#N/A</v>
          </cell>
          <cell r="G994" t="e">
            <v>#N/A</v>
          </cell>
          <cell r="H994" t="e">
            <v>#N/A</v>
          </cell>
          <cell r="I994" t="e">
            <v>#N/A</v>
          </cell>
          <cell r="J994" t="e">
            <v>#N/A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</row>
        <row r="995">
          <cell r="B995">
            <v>0</v>
          </cell>
          <cell r="C995" t="e">
            <v>#N/A</v>
          </cell>
          <cell r="D995" t="e">
            <v>#N/A</v>
          </cell>
          <cell r="E995" t="e">
            <v>#N/A</v>
          </cell>
          <cell r="F995" t="e">
            <v>#N/A</v>
          </cell>
          <cell r="G995" t="e">
            <v>#N/A</v>
          </cell>
          <cell r="H995" t="e">
            <v>#N/A</v>
          </cell>
          <cell r="I995" t="e">
            <v>#N/A</v>
          </cell>
          <cell r="J995" t="e">
            <v>#N/A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</row>
        <row r="996">
          <cell r="B996">
            <v>0</v>
          </cell>
          <cell r="C996" t="e">
            <v>#N/A</v>
          </cell>
          <cell r="D996" t="e">
            <v>#N/A</v>
          </cell>
          <cell r="E996" t="e">
            <v>#N/A</v>
          </cell>
          <cell r="F996" t="e">
            <v>#N/A</v>
          </cell>
          <cell r="G996" t="e">
            <v>#N/A</v>
          </cell>
          <cell r="H996" t="e">
            <v>#N/A</v>
          </cell>
          <cell r="I996" t="e">
            <v>#N/A</v>
          </cell>
          <cell r="J996" t="e">
            <v>#N/A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</row>
        <row r="997">
          <cell r="B997">
            <v>0</v>
          </cell>
          <cell r="C997" t="e">
            <v>#N/A</v>
          </cell>
          <cell r="D997" t="e">
            <v>#N/A</v>
          </cell>
          <cell r="E997" t="e">
            <v>#N/A</v>
          </cell>
          <cell r="F997" t="e">
            <v>#N/A</v>
          </cell>
          <cell r="G997" t="e">
            <v>#N/A</v>
          </cell>
          <cell r="H997" t="e">
            <v>#N/A</v>
          </cell>
          <cell r="I997" t="e">
            <v>#N/A</v>
          </cell>
          <cell r="J997" t="e">
            <v>#N/A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</row>
        <row r="998">
          <cell r="B998">
            <v>0</v>
          </cell>
          <cell r="C998" t="e">
            <v>#N/A</v>
          </cell>
          <cell r="D998" t="e">
            <v>#N/A</v>
          </cell>
          <cell r="E998" t="e">
            <v>#N/A</v>
          </cell>
          <cell r="F998" t="e">
            <v>#N/A</v>
          </cell>
          <cell r="G998" t="e">
            <v>#N/A</v>
          </cell>
          <cell r="H998" t="e">
            <v>#N/A</v>
          </cell>
          <cell r="I998" t="e">
            <v>#N/A</v>
          </cell>
          <cell r="J998" t="e">
            <v>#N/A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</row>
        <row r="999">
          <cell r="B999">
            <v>0</v>
          </cell>
          <cell r="C999" t="e">
            <v>#N/A</v>
          </cell>
          <cell r="D999" t="e">
            <v>#N/A</v>
          </cell>
          <cell r="E999" t="e">
            <v>#N/A</v>
          </cell>
          <cell r="F999" t="e">
            <v>#N/A</v>
          </cell>
          <cell r="G999" t="e">
            <v>#N/A</v>
          </cell>
          <cell r="H999" t="e">
            <v>#N/A</v>
          </cell>
          <cell r="I999" t="e">
            <v>#N/A</v>
          </cell>
          <cell r="J999" t="e">
            <v>#N/A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</row>
        <row r="1000">
          <cell r="B1000">
            <v>0</v>
          </cell>
          <cell r="C1000" t="e">
            <v>#N/A</v>
          </cell>
          <cell r="D1000" t="e">
            <v>#N/A</v>
          </cell>
          <cell r="E1000" t="e">
            <v>#N/A</v>
          </cell>
          <cell r="F1000" t="e">
            <v>#N/A</v>
          </cell>
          <cell r="G1000" t="e">
            <v>#N/A</v>
          </cell>
          <cell r="H1000" t="e">
            <v>#N/A</v>
          </cell>
          <cell r="I1000" t="e">
            <v>#N/A</v>
          </cell>
          <cell r="J1000" t="e">
            <v>#N/A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</row>
        <row r="1001">
          <cell r="B1001">
            <v>0</v>
          </cell>
          <cell r="C1001" t="e">
            <v>#N/A</v>
          </cell>
          <cell r="D1001" t="e">
            <v>#N/A</v>
          </cell>
          <cell r="E1001" t="e">
            <v>#N/A</v>
          </cell>
          <cell r="F1001" t="e">
            <v>#N/A</v>
          </cell>
          <cell r="G1001" t="e">
            <v>#N/A</v>
          </cell>
          <cell r="H1001" t="e">
            <v>#N/A</v>
          </cell>
          <cell r="I1001" t="e">
            <v>#N/A</v>
          </cell>
          <cell r="J1001" t="e">
            <v>#N/A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</row>
        <row r="1002">
          <cell r="B1002">
            <v>0</v>
          </cell>
          <cell r="C1002" t="e">
            <v>#N/A</v>
          </cell>
          <cell r="D1002" t="e">
            <v>#N/A</v>
          </cell>
          <cell r="E1002" t="e">
            <v>#N/A</v>
          </cell>
          <cell r="F1002" t="e">
            <v>#N/A</v>
          </cell>
          <cell r="G1002" t="e">
            <v>#N/A</v>
          </cell>
          <cell r="H1002" t="e">
            <v>#N/A</v>
          </cell>
          <cell r="I1002" t="e">
            <v>#N/A</v>
          </cell>
          <cell r="J1002" t="e">
            <v>#N/A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</row>
        <row r="1003">
          <cell r="B1003">
            <v>0</v>
          </cell>
          <cell r="C1003" t="e">
            <v>#N/A</v>
          </cell>
          <cell r="D1003" t="e">
            <v>#N/A</v>
          </cell>
          <cell r="E1003" t="e">
            <v>#N/A</v>
          </cell>
          <cell r="F1003" t="e">
            <v>#N/A</v>
          </cell>
          <cell r="G1003" t="e">
            <v>#N/A</v>
          </cell>
          <cell r="H1003" t="e">
            <v>#N/A</v>
          </cell>
          <cell r="I1003" t="e">
            <v>#N/A</v>
          </cell>
          <cell r="J1003" t="e">
            <v>#N/A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</row>
        <row r="1004">
          <cell r="B1004">
            <v>0</v>
          </cell>
          <cell r="C1004" t="e">
            <v>#N/A</v>
          </cell>
          <cell r="D1004" t="e">
            <v>#N/A</v>
          </cell>
          <cell r="E1004" t="e">
            <v>#N/A</v>
          </cell>
          <cell r="F1004" t="e">
            <v>#N/A</v>
          </cell>
          <cell r="G1004" t="e">
            <v>#N/A</v>
          </cell>
          <cell r="H1004" t="e">
            <v>#N/A</v>
          </cell>
          <cell r="I1004" t="e">
            <v>#N/A</v>
          </cell>
          <cell r="J1004" t="e">
            <v>#N/A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</row>
        <row r="1005">
          <cell r="B1005">
            <v>0</v>
          </cell>
          <cell r="C1005" t="e">
            <v>#N/A</v>
          </cell>
          <cell r="D1005" t="e">
            <v>#N/A</v>
          </cell>
          <cell r="E1005" t="e">
            <v>#N/A</v>
          </cell>
          <cell r="F1005" t="e">
            <v>#N/A</v>
          </cell>
          <cell r="G1005" t="e">
            <v>#N/A</v>
          </cell>
          <cell r="H1005" t="e">
            <v>#N/A</v>
          </cell>
          <cell r="I1005" t="e">
            <v>#N/A</v>
          </cell>
          <cell r="J1005" t="e">
            <v>#N/A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</row>
        <row r="1006">
          <cell r="B1006">
            <v>0</v>
          </cell>
          <cell r="C1006" t="e">
            <v>#N/A</v>
          </cell>
          <cell r="D1006" t="e">
            <v>#N/A</v>
          </cell>
          <cell r="E1006" t="e">
            <v>#N/A</v>
          </cell>
          <cell r="F1006" t="e">
            <v>#N/A</v>
          </cell>
          <cell r="G1006" t="e">
            <v>#N/A</v>
          </cell>
          <cell r="H1006" t="e">
            <v>#N/A</v>
          </cell>
          <cell r="I1006" t="e">
            <v>#N/A</v>
          </cell>
          <cell r="J1006" t="e">
            <v>#N/A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</row>
        <row r="1007">
          <cell r="B1007">
            <v>0</v>
          </cell>
          <cell r="C1007" t="e">
            <v>#N/A</v>
          </cell>
          <cell r="D1007" t="e">
            <v>#N/A</v>
          </cell>
          <cell r="E1007" t="e">
            <v>#N/A</v>
          </cell>
          <cell r="F1007" t="e">
            <v>#N/A</v>
          </cell>
          <cell r="G1007" t="e">
            <v>#N/A</v>
          </cell>
          <cell r="H1007" t="e">
            <v>#N/A</v>
          </cell>
          <cell r="I1007" t="e">
            <v>#N/A</v>
          </cell>
          <cell r="J1007" t="e">
            <v>#N/A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</row>
        <row r="1008">
          <cell r="B1008">
            <v>0</v>
          </cell>
          <cell r="C1008" t="e">
            <v>#N/A</v>
          </cell>
          <cell r="D1008" t="e">
            <v>#N/A</v>
          </cell>
          <cell r="E1008" t="e">
            <v>#N/A</v>
          </cell>
          <cell r="F1008" t="e">
            <v>#N/A</v>
          </cell>
          <cell r="G1008" t="e">
            <v>#N/A</v>
          </cell>
          <cell r="H1008" t="e">
            <v>#N/A</v>
          </cell>
          <cell r="I1008" t="e">
            <v>#N/A</v>
          </cell>
          <cell r="J1008" t="e">
            <v>#N/A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</row>
        <row r="1009">
          <cell r="B1009">
            <v>0</v>
          </cell>
          <cell r="C1009" t="e">
            <v>#N/A</v>
          </cell>
          <cell r="D1009" t="e">
            <v>#N/A</v>
          </cell>
          <cell r="E1009" t="e">
            <v>#N/A</v>
          </cell>
          <cell r="F1009" t="e">
            <v>#N/A</v>
          </cell>
          <cell r="G1009" t="e">
            <v>#N/A</v>
          </cell>
          <cell r="H1009" t="e">
            <v>#N/A</v>
          </cell>
          <cell r="I1009" t="e">
            <v>#N/A</v>
          </cell>
          <cell r="J1009" t="e">
            <v>#N/A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</row>
        <row r="1010">
          <cell r="B1010">
            <v>0</v>
          </cell>
          <cell r="C1010" t="e">
            <v>#N/A</v>
          </cell>
          <cell r="D1010" t="e">
            <v>#N/A</v>
          </cell>
          <cell r="E1010" t="e">
            <v>#N/A</v>
          </cell>
          <cell r="F1010" t="e">
            <v>#N/A</v>
          </cell>
          <cell r="G1010" t="e">
            <v>#N/A</v>
          </cell>
          <cell r="H1010" t="e">
            <v>#N/A</v>
          </cell>
          <cell r="I1010" t="e">
            <v>#N/A</v>
          </cell>
          <cell r="J1010" t="e">
            <v>#N/A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</row>
        <row r="1011">
          <cell r="B1011">
            <v>0</v>
          </cell>
          <cell r="C1011" t="e">
            <v>#N/A</v>
          </cell>
          <cell r="D1011" t="e">
            <v>#N/A</v>
          </cell>
          <cell r="E1011" t="e">
            <v>#N/A</v>
          </cell>
          <cell r="F1011" t="e">
            <v>#N/A</v>
          </cell>
          <cell r="G1011" t="e">
            <v>#N/A</v>
          </cell>
          <cell r="H1011" t="e">
            <v>#N/A</v>
          </cell>
          <cell r="I1011" t="e">
            <v>#N/A</v>
          </cell>
          <cell r="J1011" t="e">
            <v>#N/A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</row>
        <row r="1012">
          <cell r="B1012">
            <v>0</v>
          </cell>
          <cell r="C1012" t="e">
            <v>#N/A</v>
          </cell>
          <cell r="D1012" t="e">
            <v>#N/A</v>
          </cell>
          <cell r="E1012" t="e">
            <v>#N/A</v>
          </cell>
          <cell r="F1012" t="e">
            <v>#N/A</v>
          </cell>
          <cell r="G1012" t="e">
            <v>#N/A</v>
          </cell>
          <cell r="H1012" t="e">
            <v>#N/A</v>
          </cell>
          <cell r="I1012" t="e">
            <v>#N/A</v>
          </cell>
          <cell r="J1012" t="e">
            <v>#N/A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</row>
        <row r="1013">
          <cell r="B1013">
            <v>0</v>
          </cell>
          <cell r="C1013" t="e">
            <v>#N/A</v>
          </cell>
          <cell r="D1013" t="e">
            <v>#N/A</v>
          </cell>
          <cell r="E1013" t="e">
            <v>#N/A</v>
          </cell>
          <cell r="F1013" t="e">
            <v>#N/A</v>
          </cell>
          <cell r="G1013" t="e">
            <v>#N/A</v>
          </cell>
          <cell r="H1013" t="e">
            <v>#N/A</v>
          </cell>
          <cell r="I1013" t="e">
            <v>#N/A</v>
          </cell>
          <cell r="J1013" t="e">
            <v>#N/A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</row>
        <row r="1014">
          <cell r="B1014">
            <v>0</v>
          </cell>
          <cell r="C1014" t="e">
            <v>#N/A</v>
          </cell>
          <cell r="D1014" t="e">
            <v>#N/A</v>
          </cell>
          <cell r="E1014" t="e">
            <v>#N/A</v>
          </cell>
          <cell r="F1014" t="e">
            <v>#N/A</v>
          </cell>
          <cell r="G1014" t="e">
            <v>#N/A</v>
          </cell>
          <cell r="H1014" t="e">
            <v>#N/A</v>
          </cell>
          <cell r="I1014" t="e">
            <v>#N/A</v>
          </cell>
          <cell r="J1014" t="e">
            <v>#N/A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</row>
        <row r="1015">
          <cell r="B1015">
            <v>0</v>
          </cell>
          <cell r="C1015" t="e">
            <v>#N/A</v>
          </cell>
          <cell r="D1015" t="e">
            <v>#N/A</v>
          </cell>
          <cell r="E1015" t="e">
            <v>#N/A</v>
          </cell>
          <cell r="F1015" t="e">
            <v>#N/A</v>
          </cell>
          <cell r="G1015" t="e">
            <v>#N/A</v>
          </cell>
          <cell r="H1015" t="e">
            <v>#N/A</v>
          </cell>
          <cell r="I1015" t="e">
            <v>#N/A</v>
          </cell>
          <cell r="J1015" t="e">
            <v>#N/A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</row>
        <row r="1016">
          <cell r="B1016">
            <v>0</v>
          </cell>
          <cell r="C1016" t="e">
            <v>#N/A</v>
          </cell>
          <cell r="D1016" t="e">
            <v>#N/A</v>
          </cell>
          <cell r="E1016" t="e">
            <v>#N/A</v>
          </cell>
          <cell r="F1016" t="e">
            <v>#N/A</v>
          </cell>
          <cell r="G1016" t="e">
            <v>#N/A</v>
          </cell>
          <cell r="H1016" t="e">
            <v>#N/A</v>
          </cell>
          <cell r="I1016" t="e">
            <v>#N/A</v>
          </cell>
          <cell r="J1016" t="e">
            <v>#N/A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</row>
        <row r="1017">
          <cell r="B1017">
            <v>0</v>
          </cell>
          <cell r="C1017" t="e">
            <v>#N/A</v>
          </cell>
          <cell r="D1017" t="e">
            <v>#N/A</v>
          </cell>
          <cell r="E1017" t="e">
            <v>#N/A</v>
          </cell>
          <cell r="F1017" t="e">
            <v>#N/A</v>
          </cell>
          <cell r="G1017" t="e">
            <v>#N/A</v>
          </cell>
          <cell r="H1017" t="e">
            <v>#N/A</v>
          </cell>
          <cell r="I1017" t="e">
            <v>#N/A</v>
          </cell>
          <cell r="J1017" t="e">
            <v>#N/A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</row>
        <row r="1018">
          <cell r="B1018">
            <v>0</v>
          </cell>
          <cell r="C1018" t="e">
            <v>#N/A</v>
          </cell>
          <cell r="D1018" t="e">
            <v>#N/A</v>
          </cell>
          <cell r="E1018" t="e">
            <v>#N/A</v>
          </cell>
          <cell r="F1018" t="e">
            <v>#N/A</v>
          </cell>
          <cell r="G1018" t="e">
            <v>#N/A</v>
          </cell>
          <cell r="H1018" t="e">
            <v>#N/A</v>
          </cell>
          <cell r="I1018" t="e">
            <v>#N/A</v>
          </cell>
          <cell r="J1018" t="e">
            <v>#N/A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</row>
        <row r="1019">
          <cell r="B1019">
            <v>0</v>
          </cell>
          <cell r="C1019" t="e">
            <v>#N/A</v>
          </cell>
          <cell r="D1019" t="e">
            <v>#N/A</v>
          </cell>
          <cell r="E1019" t="e">
            <v>#N/A</v>
          </cell>
          <cell r="F1019" t="e">
            <v>#N/A</v>
          </cell>
          <cell r="G1019" t="e">
            <v>#N/A</v>
          </cell>
          <cell r="H1019" t="e">
            <v>#N/A</v>
          </cell>
          <cell r="I1019" t="e">
            <v>#N/A</v>
          </cell>
          <cell r="J1019" t="e">
            <v>#N/A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</row>
        <row r="1020">
          <cell r="B1020">
            <v>0</v>
          </cell>
          <cell r="C1020" t="e">
            <v>#N/A</v>
          </cell>
          <cell r="D1020" t="e">
            <v>#N/A</v>
          </cell>
          <cell r="E1020" t="e">
            <v>#N/A</v>
          </cell>
          <cell r="F1020" t="e">
            <v>#N/A</v>
          </cell>
          <cell r="G1020" t="e">
            <v>#N/A</v>
          </cell>
          <cell r="H1020" t="e">
            <v>#N/A</v>
          </cell>
          <cell r="I1020" t="e">
            <v>#N/A</v>
          </cell>
          <cell r="J1020" t="e">
            <v>#N/A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</row>
        <row r="1021">
          <cell r="B1021">
            <v>0</v>
          </cell>
          <cell r="C1021" t="e">
            <v>#N/A</v>
          </cell>
          <cell r="D1021" t="e">
            <v>#N/A</v>
          </cell>
          <cell r="E1021" t="e">
            <v>#N/A</v>
          </cell>
          <cell r="F1021" t="e">
            <v>#N/A</v>
          </cell>
          <cell r="G1021" t="e">
            <v>#N/A</v>
          </cell>
          <cell r="H1021" t="e">
            <v>#N/A</v>
          </cell>
          <cell r="I1021" t="e">
            <v>#N/A</v>
          </cell>
          <cell r="J1021" t="e">
            <v>#N/A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</row>
        <row r="1022">
          <cell r="B1022">
            <v>0</v>
          </cell>
          <cell r="C1022" t="e">
            <v>#N/A</v>
          </cell>
          <cell r="D1022" t="e">
            <v>#N/A</v>
          </cell>
          <cell r="E1022" t="e">
            <v>#N/A</v>
          </cell>
          <cell r="F1022" t="e">
            <v>#N/A</v>
          </cell>
          <cell r="G1022" t="e">
            <v>#N/A</v>
          </cell>
          <cell r="H1022" t="e">
            <v>#N/A</v>
          </cell>
          <cell r="I1022" t="e">
            <v>#N/A</v>
          </cell>
          <cell r="J1022" t="e">
            <v>#N/A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</row>
        <row r="1023">
          <cell r="B1023">
            <v>0</v>
          </cell>
          <cell r="C1023" t="e">
            <v>#N/A</v>
          </cell>
          <cell r="D1023" t="e">
            <v>#N/A</v>
          </cell>
          <cell r="E1023" t="e">
            <v>#N/A</v>
          </cell>
          <cell r="F1023" t="e">
            <v>#N/A</v>
          </cell>
          <cell r="G1023" t="e">
            <v>#N/A</v>
          </cell>
          <cell r="H1023" t="e">
            <v>#N/A</v>
          </cell>
          <cell r="I1023" t="e">
            <v>#N/A</v>
          </cell>
          <cell r="J1023" t="e">
            <v>#N/A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</row>
        <row r="1024">
          <cell r="B1024">
            <v>0</v>
          </cell>
          <cell r="C1024" t="e">
            <v>#N/A</v>
          </cell>
          <cell r="D1024" t="e">
            <v>#N/A</v>
          </cell>
          <cell r="E1024" t="e">
            <v>#N/A</v>
          </cell>
          <cell r="F1024" t="e">
            <v>#N/A</v>
          </cell>
          <cell r="G1024" t="e">
            <v>#N/A</v>
          </cell>
          <cell r="H1024" t="e">
            <v>#N/A</v>
          </cell>
          <cell r="I1024" t="e">
            <v>#N/A</v>
          </cell>
          <cell r="J1024" t="e">
            <v>#N/A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</row>
        <row r="1025">
          <cell r="B1025">
            <v>0</v>
          </cell>
          <cell r="C1025" t="e">
            <v>#N/A</v>
          </cell>
          <cell r="D1025" t="e">
            <v>#N/A</v>
          </cell>
          <cell r="E1025" t="e">
            <v>#N/A</v>
          </cell>
          <cell r="F1025" t="e">
            <v>#N/A</v>
          </cell>
          <cell r="G1025" t="e">
            <v>#N/A</v>
          </cell>
          <cell r="H1025" t="e">
            <v>#N/A</v>
          </cell>
          <cell r="I1025" t="e">
            <v>#N/A</v>
          </cell>
          <cell r="J1025" t="e">
            <v>#N/A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</row>
        <row r="1026">
          <cell r="B1026">
            <v>0</v>
          </cell>
          <cell r="C1026" t="e">
            <v>#N/A</v>
          </cell>
          <cell r="D1026" t="e">
            <v>#N/A</v>
          </cell>
          <cell r="E1026" t="e">
            <v>#N/A</v>
          </cell>
          <cell r="F1026" t="e">
            <v>#N/A</v>
          </cell>
          <cell r="G1026" t="e">
            <v>#N/A</v>
          </cell>
          <cell r="H1026" t="e">
            <v>#N/A</v>
          </cell>
          <cell r="I1026" t="e">
            <v>#N/A</v>
          </cell>
          <cell r="J1026" t="e">
            <v>#N/A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</row>
        <row r="1027">
          <cell r="B1027">
            <v>0</v>
          </cell>
          <cell r="C1027" t="e">
            <v>#N/A</v>
          </cell>
          <cell r="D1027" t="e">
            <v>#N/A</v>
          </cell>
          <cell r="E1027" t="e">
            <v>#N/A</v>
          </cell>
          <cell r="F1027" t="e">
            <v>#N/A</v>
          </cell>
          <cell r="G1027" t="e">
            <v>#N/A</v>
          </cell>
          <cell r="H1027" t="e">
            <v>#N/A</v>
          </cell>
          <cell r="I1027" t="e">
            <v>#N/A</v>
          </cell>
          <cell r="J1027" t="e">
            <v>#N/A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</row>
        <row r="1028">
          <cell r="B1028">
            <v>0</v>
          </cell>
          <cell r="C1028" t="e">
            <v>#N/A</v>
          </cell>
          <cell r="D1028" t="e">
            <v>#N/A</v>
          </cell>
          <cell r="E1028" t="e">
            <v>#N/A</v>
          </cell>
          <cell r="F1028" t="e">
            <v>#N/A</v>
          </cell>
          <cell r="G1028" t="e">
            <v>#N/A</v>
          </cell>
          <cell r="H1028" t="e">
            <v>#N/A</v>
          </cell>
          <cell r="I1028" t="e">
            <v>#N/A</v>
          </cell>
          <cell r="J1028" t="e">
            <v>#N/A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</row>
        <row r="1029">
          <cell r="B1029">
            <v>0</v>
          </cell>
          <cell r="C1029" t="e">
            <v>#N/A</v>
          </cell>
          <cell r="D1029" t="e">
            <v>#N/A</v>
          </cell>
          <cell r="E1029" t="e">
            <v>#N/A</v>
          </cell>
          <cell r="F1029" t="e">
            <v>#N/A</v>
          </cell>
          <cell r="G1029" t="e">
            <v>#N/A</v>
          </cell>
          <cell r="H1029" t="e">
            <v>#N/A</v>
          </cell>
          <cell r="I1029" t="e">
            <v>#N/A</v>
          </cell>
          <cell r="J1029" t="e">
            <v>#N/A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</row>
        <row r="1030">
          <cell r="B1030">
            <v>0</v>
          </cell>
          <cell r="C1030" t="e">
            <v>#N/A</v>
          </cell>
          <cell r="D1030" t="e">
            <v>#N/A</v>
          </cell>
          <cell r="E1030" t="e">
            <v>#N/A</v>
          </cell>
          <cell r="F1030" t="e">
            <v>#N/A</v>
          </cell>
          <cell r="G1030" t="e">
            <v>#N/A</v>
          </cell>
          <cell r="H1030" t="e">
            <v>#N/A</v>
          </cell>
          <cell r="I1030" t="e">
            <v>#N/A</v>
          </cell>
          <cell r="J1030" t="e">
            <v>#N/A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</row>
        <row r="1031">
          <cell r="B1031">
            <v>0</v>
          </cell>
          <cell r="C1031" t="e">
            <v>#N/A</v>
          </cell>
          <cell r="D1031" t="e">
            <v>#N/A</v>
          </cell>
          <cell r="E1031" t="e">
            <v>#N/A</v>
          </cell>
          <cell r="F1031" t="e">
            <v>#N/A</v>
          </cell>
          <cell r="G1031" t="e">
            <v>#N/A</v>
          </cell>
          <cell r="H1031" t="e">
            <v>#N/A</v>
          </cell>
          <cell r="I1031" t="e">
            <v>#N/A</v>
          </cell>
          <cell r="J1031" t="e">
            <v>#N/A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</row>
        <row r="1032">
          <cell r="B1032">
            <v>0</v>
          </cell>
          <cell r="C1032" t="e">
            <v>#N/A</v>
          </cell>
          <cell r="D1032" t="e">
            <v>#N/A</v>
          </cell>
          <cell r="E1032" t="e">
            <v>#N/A</v>
          </cell>
          <cell r="F1032" t="e">
            <v>#N/A</v>
          </cell>
          <cell r="G1032" t="e">
            <v>#N/A</v>
          </cell>
          <cell r="H1032" t="e">
            <v>#N/A</v>
          </cell>
          <cell r="I1032" t="e">
            <v>#N/A</v>
          </cell>
          <cell r="J1032" t="e">
            <v>#N/A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</row>
        <row r="1033">
          <cell r="B1033">
            <v>0</v>
          </cell>
          <cell r="C1033" t="e">
            <v>#N/A</v>
          </cell>
          <cell r="D1033" t="e">
            <v>#N/A</v>
          </cell>
          <cell r="E1033" t="e">
            <v>#N/A</v>
          </cell>
          <cell r="F1033" t="e">
            <v>#N/A</v>
          </cell>
          <cell r="G1033" t="e">
            <v>#N/A</v>
          </cell>
          <cell r="H1033" t="e">
            <v>#N/A</v>
          </cell>
          <cell r="I1033" t="e">
            <v>#N/A</v>
          </cell>
          <cell r="J1033" t="e">
            <v>#N/A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</row>
        <row r="1034">
          <cell r="B1034">
            <v>0</v>
          </cell>
          <cell r="C1034" t="e">
            <v>#N/A</v>
          </cell>
          <cell r="D1034" t="e">
            <v>#N/A</v>
          </cell>
          <cell r="E1034" t="e">
            <v>#N/A</v>
          </cell>
          <cell r="F1034" t="e">
            <v>#N/A</v>
          </cell>
          <cell r="G1034" t="e">
            <v>#N/A</v>
          </cell>
          <cell r="H1034" t="e">
            <v>#N/A</v>
          </cell>
          <cell r="I1034" t="e">
            <v>#N/A</v>
          </cell>
          <cell r="J1034" t="e">
            <v>#N/A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</row>
        <row r="1035">
          <cell r="B1035">
            <v>0</v>
          </cell>
          <cell r="C1035" t="e">
            <v>#N/A</v>
          </cell>
          <cell r="D1035" t="e">
            <v>#N/A</v>
          </cell>
          <cell r="E1035" t="e">
            <v>#N/A</v>
          </cell>
          <cell r="F1035" t="e">
            <v>#N/A</v>
          </cell>
          <cell r="G1035" t="e">
            <v>#N/A</v>
          </cell>
          <cell r="H1035" t="e">
            <v>#N/A</v>
          </cell>
          <cell r="I1035" t="e">
            <v>#N/A</v>
          </cell>
          <cell r="J1035" t="e">
            <v>#N/A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</row>
        <row r="1036">
          <cell r="B1036">
            <v>0</v>
          </cell>
          <cell r="C1036" t="e">
            <v>#N/A</v>
          </cell>
          <cell r="D1036" t="e">
            <v>#N/A</v>
          </cell>
          <cell r="E1036" t="e">
            <v>#N/A</v>
          </cell>
          <cell r="F1036" t="e">
            <v>#N/A</v>
          </cell>
          <cell r="G1036" t="e">
            <v>#N/A</v>
          </cell>
          <cell r="H1036" t="e">
            <v>#N/A</v>
          </cell>
          <cell r="I1036" t="e">
            <v>#N/A</v>
          </cell>
          <cell r="J1036" t="e">
            <v>#N/A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</row>
        <row r="1037">
          <cell r="B1037">
            <v>0</v>
          </cell>
          <cell r="C1037" t="e">
            <v>#N/A</v>
          </cell>
          <cell r="D1037" t="e">
            <v>#N/A</v>
          </cell>
          <cell r="E1037" t="e">
            <v>#N/A</v>
          </cell>
          <cell r="F1037" t="e">
            <v>#N/A</v>
          </cell>
          <cell r="G1037" t="e">
            <v>#N/A</v>
          </cell>
          <cell r="H1037" t="e">
            <v>#N/A</v>
          </cell>
          <cell r="I1037" t="e">
            <v>#N/A</v>
          </cell>
          <cell r="J1037" t="e">
            <v>#N/A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</row>
        <row r="1038">
          <cell r="B1038">
            <v>0</v>
          </cell>
          <cell r="C1038" t="e">
            <v>#N/A</v>
          </cell>
          <cell r="D1038" t="e">
            <v>#N/A</v>
          </cell>
          <cell r="E1038" t="e">
            <v>#N/A</v>
          </cell>
          <cell r="F1038" t="e">
            <v>#N/A</v>
          </cell>
          <cell r="G1038" t="e">
            <v>#N/A</v>
          </cell>
          <cell r="H1038" t="e">
            <v>#N/A</v>
          </cell>
          <cell r="I1038" t="e">
            <v>#N/A</v>
          </cell>
          <cell r="J1038" t="e">
            <v>#N/A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</row>
        <row r="1039">
          <cell r="B1039">
            <v>0</v>
          </cell>
          <cell r="C1039" t="e">
            <v>#N/A</v>
          </cell>
          <cell r="D1039" t="e">
            <v>#N/A</v>
          </cell>
          <cell r="E1039" t="e">
            <v>#N/A</v>
          </cell>
          <cell r="F1039" t="e">
            <v>#N/A</v>
          </cell>
          <cell r="G1039" t="e">
            <v>#N/A</v>
          </cell>
          <cell r="H1039" t="e">
            <v>#N/A</v>
          </cell>
          <cell r="I1039" t="e">
            <v>#N/A</v>
          </cell>
          <cell r="J1039" t="e">
            <v>#N/A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</row>
        <row r="1040">
          <cell r="B1040">
            <v>0</v>
          </cell>
          <cell r="C1040" t="e">
            <v>#N/A</v>
          </cell>
          <cell r="D1040" t="e">
            <v>#N/A</v>
          </cell>
          <cell r="E1040" t="e">
            <v>#N/A</v>
          </cell>
          <cell r="F1040" t="e">
            <v>#N/A</v>
          </cell>
          <cell r="G1040" t="e">
            <v>#N/A</v>
          </cell>
          <cell r="H1040" t="e">
            <v>#N/A</v>
          </cell>
          <cell r="I1040" t="e">
            <v>#N/A</v>
          </cell>
          <cell r="J1040" t="e">
            <v>#N/A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</row>
        <row r="1041">
          <cell r="B1041">
            <v>0</v>
          </cell>
          <cell r="C1041" t="e">
            <v>#N/A</v>
          </cell>
          <cell r="D1041" t="e">
            <v>#N/A</v>
          </cell>
          <cell r="E1041" t="e">
            <v>#N/A</v>
          </cell>
          <cell r="F1041" t="e">
            <v>#N/A</v>
          </cell>
          <cell r="G1041" t="e">
            <v>#N/A</v>
          </cell>
          <cell r="H1041" t="e">
            <v>#N/A</v>
          </cell>
          <cell r="I1041" t="e">
            <v>#N/A</v>
          </cell>
          <cell r="J1041" t="e">
            <v>#N/A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</row>
        <row r="1042">
          <cell r="B1042">
            <v>0</v>
          </cell>
          <cell r="C1042" t="e">
            <v>#N/A</v>
          </cell>
          <cell r="D1042" t="e">
            <v>#N/A</v>
          </cell>
          <cell r="E1042" t="e">
            <v>#N/A</v>
          </cell>
          <cell r="F1042" t="e">
            <v>#N/A</v>
          </cell>
          <cell r="G1042" t="e">
            <v>#N/A</v>
          </cell>
          <cell r="H1042" t="e">
            <v>#N/A</v>
          </cell>
          <cell r="I1042" t="e">
            <v>#N/A</v>
          </cell>
          <cell r="J1042" t="e">
            <v>#N/A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</row>
        <row r="1043">
          <cell r="B1043">
            <v>0</v>
          </cell>
          <cell r="C1043" t="e">
            <v>#N/A</v>
          </cell>
          <cell r="D1043" t="e">
            <v>#N/A</v>
          </cell>
          <cell r="E1043" t="e">
            <v>#N/A</v>
          </cell>
          <cell r="F1043" t="e">
            <v>#N/A</v>
          </cell>
          <cell r="G1043" t="e">
            <v>#N/A</v>
          </cell>
          <cell r="H1043" t="e">
            <v>#N/A</v>
          </cell>
          <cell r="I1043" t="e">
            <v>#N/A</v>
          </cell>
          <cell r="J1043" t="e">
            <v>#N/A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</row>
        <row r="1044">
          <cell r="B1044">
            <v>0</v>
          </cell>
          <cell r="C1044" t="e">
            <v>#N/A</v>
          </cell>
          <cell r="D1044" t="e">
            <v>#N/A</v>
          </cell>
          <cell r="E1044" t="e">
            <v>#N/A</v>
          </cell>
          <cell r="F1044" t="e">
            <v>#N/A</v>
          </cell>
          <cell r="G1044" t="e">
            <v>#N/A</v>
          </cell>
          <cell r="H1044" t="e">
            <v>#N/A</v>
          </cell>
          <cell r="I1044" t="e">
            <v>#N/A</v>
          </cell>
          <cell r="J1044" t="e">
            <v>#N/A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</row>
        <row r="1045">
          <cell r="B1045">
            <v>0</v>
          </cell>
          <cell r="C1045" t="e">
            <v>#N/A</v>
          </cell>
          <cell r="D1045" t="e">
            <v>#N/A</v>
          </cell>
          <cell r="E1045" t="e">
            <v>#N/A</v>
          </cell>
          <cell r="F1045" t="e">
            <v>#N/A</v>
          </cell>
          <cell r="G1045" t="e">
            <v>#N/A</v>
          </cell>
          <cell r="H1045" t="e">
            <v>#N/A</v>
          </cell>
          <cell r="I1045" t="e">
            <v>#N/A</v>
          </cell>
          <cell r="J1045" t="e">
            <v>#N/A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</row>
        <row r="1046">
          <cell r="B1046">
            <v>0</v>
          </cell>
          <cell r="C1046" t="e">
            <v>#N/A</v>
          </cell>
          <cell r="D1046" t="e">
            <v>#N/A</v>
          </cell>
          <cell r="E1046" t="e">
            <v>#N/A</v>
          </cell>
          <cell r="F1046" t="e">
            <v>#N/A</v>
          </cell>
          <cell r="G1046" t="e">
            <v>#N/A</v>
          </cell>
          <cell r="H1046" t="e">
            <v>#N/A</v>
          </cell>
          <cell r="I1046" t="e">
            <v>#N/A</v>
          </cell>
          <cell r="J1046" t="e">
            <v>#N/A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</row>
        <row r="1047">
          <cell r="B1047">
            <v>0</v>
          </cell>
          <cell r="C1047" t="e">
            <v>#N/A</v>
          </cell>
          <cell r="D1047" t="e">
            <v>#N/A</v>
          </cell>
          <cell r="E1047" t="e">
            <v>#N/A</v>
          </cell>
          <cell r="F1047" t="e">
            <v>#N/A</v>
          </cell>
          <cell r="G1047" t="e">
            <v>#N/A</v>
          </cell>
          <cell r="H1047" t="e">
            <v>#N/A</v>
          </cell>
          <cell r="I1047" t="e">
            <v>#N/A</v>
          </cell>
          <cell r="J1047" t="e">
            <v>#N/A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</row>
        <row r="1048">
          <cell r="B1048">
            <v>0</v>
          </cell>
          <cell r="C1048" t="e">
            <v>#N/A</v>
          </cell>
          <cell r="D1048" t="e">
            <v>#N/A</v>
          </cell>
          <cell r="E1048" t="e">
            <v>#N/A</v>
          </cell>
          <cell r="F1048" t="e">
            <v>#N/A</v>
          </cell>
          <cell r="G1048" t="e">
            <v>#N/A</v>
          </cell>
          <cell r="H1048" t="e">
            <v>#N/A</v>
          </cell>
          <cell r="I1048" t="e">
            <v>#N/A</v>
          </cell>
          <cell r="J1048" t="e">
            <v>#N/A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</row>
        <row r="1049">
          <cell r="B1049">
            <v>0</v>
          </cell>
          <cell r="C1049" t="e">
            <v>#N/A</v>
          </cell>
          <cell r="D1049" t="e">
            <v>#N/A</v>
          </cell>
          <cell r="E1049" t="e">
            <v>#N/A</v>
          </cell>
          <cell r="F1049" t="e">
            <v>#N/A</v>
          </cell>
          <cell r="G1049" t="e">
            <v>#N/A</v>
          </cell>
          <cell r="H1049" t="e">
            <v>#N/A</v>
          </cell>
          <cell r="I1049" t="e">
            <v>#N/A</v>
          </cell>
          <cell r="J1049" t="e">
            <v>#N/A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</row>
        <row r="1050">
          <cell r="B1050">
            <v>0</v>
          </cell>
          <cell r="C1050" t="e">
            <v>#N/A</v>
          </cell>
          <cell r="D1050" t="e">
            <v>#N/A</v>
          </cell>
          <cell r="E1050" t="e">
            <v>#N/A</v>
          </cell>
          <cell r="F1050" t="e">
            <v>#N/A</v>
          </cell>
          <cell r="G1050" t="e">
            <v>#N/A</v>
          </cell>
          <cell r="H1050" t="e">
            <v>#N/A</v>
          </cell>
          <cell r="I1050" t="e">
            <v>#N/A</v>
          </cell>
          <cell r="J1050" t="e">
            <v>#N/A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</row>
        <row r="1051">
          <cell r="B1051">
            <v>0</v>
          </cell>
          <cell r="C1051" t="e">
            <v>#N/A</v>
          </cell>
          <cell r="D1051" t="e">
            <v>#N/A</v>
          </cell>
          <cell r="E1051" t="e">
            <v>#N/A</v>
          </cell>
          <cell r="F1051" t="e">
            <v>#N/A</v>
          </cell>
          <cell r="G1051" t="e">
            <v>#N/A</v>
          </cell>
          <cell r="H1051" t="e">
            <v>#N/A</v>
          </cell>
          <cell r="I1051" t="e">
            <v>#N/A</v>
          </cell>
          <cell r="J1051" t="e">
            <v>#N/A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</row>
        <row r="1052">
          <cell r="B1052">
            <v>0</v>
          </cell>
          <cell r="C1052" t="e">
            <v>#N/A</v>
          </cell>
          <cell r="D1052" t="e">
            <v>#N/A</v>
          </cell>
          <cell r="E1052" t="e">
            <v>#N/A</v>
          </cell>
          <cell r="F1052" t="e">
            <v>#N/A</v>
          </cell>
          <cell r="G1052" t="e">
            <v>#N/A</v>
          </cell>
          <cell r="H1052" t="e">
            <v>#N/A</v>
          </cell>
          <cell r="I1052" t="e">
            <v>#N/A</v>
          </cell>
          <cell r="J1052" t="e">
            <v>#N/A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</row>
        <row r="1053">
          <cell r="B1053">
            <v>0</v>
          </cell>
          <cell r="C1053" t="e">
            <v>#N/A</v>
          </cell>
          <cell r="D1053" t="e">
            <v>#N/A</v>
          </cell>
          <cell r="E1053" t="e">
            <v>#N/A</v>
          </cell>
          <cell r="F1053" t="e">
            <v>#N/A</v>
          </cell>
          <cell r="G1053" t="e">
            <v>#N/A</v>
          </cell>
          <cell r="H1053" t="e">
            <v>#N/A</v>
          </cell>
          <cell r="I1053" t="e">
            <v>#N/A</v>
          </cell>
          <cell r="J1053" t="e">
            <v>#N/A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</row>
        <row r="1054">
          <cell r="B1054">
            <v>0</v>
          </cell>
          <cell r="C1054" t="e">
            <v>#N/A</v>
          </cell>
          <cell r="D1054" t="e">
            <v>#N/A</v>
          </cell>
          <cell r="E1054" t="e">
            <v>#N/A</v>
          </cell>
          <cell r="F1054" t="e">
            <v>#N/A</v>
          </cell>
          <cell r="G1054" t="e">
            <v>#N/A</v>
          </cell>
          <cell r="H1054" t="e">
            <v>#N/A</v>
          </cell>
          <cell r="I1054" t="e">
            <v>#N/A</v>
          </cell>
          <cell r="J1054" t="e">
            <v>#N/A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</row>
        <row r="1055">
          <cell r="B1055">
            <v>0</v>
          </cell>
          <cell r="C1055" t="e">
            <v>#N/A</v>
          </cell>
          <cell r="D1055" t="e">
            <v>#N/A</v>
          </cell>
          <cell r="E1055" t="e">
            <v>#N/A</v>
          </cell>
          <cell r="F1055" t="e">
            <v>#N/A</v>
          </cell>
          <cell r="G1055" t="e">
            <v>#N/A</v>
          </cell>
          <cell r="H1055" t="e">
            <v>#N/A</v>
          </cell>
          <cell r="I1055" t="e">
            <v>#N/A</v>
          </cell>
          <cell r="J1055" t="e">
            <v>#N/A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</row>
        <row r="1056">
          <cell r="B1056">
            <v>0</v>
          </cell>
          <cell r="C1056" t="e">
            <v>#N/A</v>
          </cell>
          <cell r="D1056" t="e">
            <v>#N/A</v>
          </cell>
          <cell r="E1056" t="e">
            <v>#N/A</v>
          </cell>
          <cell r="F1056" t="e">
            <v>#N/A</v>
          </cell>
          <cell r="G1056" t="e">
            <v>#N/A</v>
          </cell>
          <cell r="H1056" t="e">
            <v>#N/A</v>
          </cell>
          <cell r="I1056" t="e">
            <v>#N/A</v>
          </cell>
          <cell r="J1056" t="e">
            <v>#N/A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</row>
        <row r="1057">
          <cell r="B1057">
            <v>0</v>
          </cell>
          <cell r="C1057" t="e">
            <v>#N/A</v>
          </cell>
          <cell r="D1057" t="e">
            <v>#N/A</v>
          </cell>
          <cell r="E1057" t="e">
            <v>#N/A</v>
          </cell>
          <cell r="F1057" t="e">
            <v>#N/A</v>
          </cell>
          <cell r="G1057" t="e">
            <v>#N/A</v>
          </cell>
          <cell r="H1057" t="e">
            <v>#N/A</v>
          </cell>
          <cell r="I1057" t="e">
            <v>#N/A</v>
          </cell>
          <cell r="J1057" t="e">
            <v>#N/A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</row>
        <row r="1058">
          <cell r="B1058">
            <v>0</v>
          </cell>
          <cell r="C1058" t="e">
            <v>#N/A</v>
          </cell>
          <cell r="D1058" t="e">
            <v>#N/A</v>
          </cell>
          <cell r="E1058" t="e">
            <v>#N/A</v>
          </cell>
          <cell r="F1058" t="e">
            <v>#N/A</v>
          </cell>
          <cell r="G1058" t="e">
            <v>#N/A</v>
          </cell>
          <cell r="H1058" t="e">
            <v>#N/A</v>
          </cell>
          <cell r="I1058" t="e">
            <v>#N/A</v>
          </cell>
          <cell r="J1058" t="e">
            <v>#N/A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</row>
        <row r="1059">
          <cell r="B1059">
            <v>0</v>
          </cell>
          <cell r="C1059" t="e">
            <v>#N/A</v>
          </cell>
          <cell r="D1059" t="e">
            <v>#N/A</v>
          </cell>
          <cell r="E1059" t="e">
            <v>#N/A</v>
          </cell>
          <cell r="F1059" t="e">
            <v>#N/A</v>
          </cell>
          <cell r="G1059" t="e">
            <v>#N/A</v>
          </cell>
          <cell r="H1059" t="e">
            <v>#N/A</v>
          </cell>
          <cell r="I1059" t="e">
            <v>#N/A</v>
          </cell>
          <cell r="J1059" t="e">
            <v>#N/A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</row>
        <row r="1060">
          <cell r="B1060">
            <v>0</v>
          </cell>
          <cell r="C1060" t="e">
            <v>#N/A</v>
          </cell>
          <cell r="D1060" t="e">
            <v>#N/A</v>
          </cell>
          <cell r="E1060" t="e">
            <v>#N/A</v>
          </cell>
          <cell r="F1060" t="e">
            <v>#N/A</v>
          </cell>
          <cell r="G1060" t="e">
            <v>#N/A</v>
          </cell>
          <cell r="H1060" t="e">
            <v>#N/A</v>
          </cell>
          <cell r="I1060" t="e">
            <v>#N/A</v>
          </cell>
          <cell r="J1060" t="e">
            <v>#N/A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</row>
        <row r="1061">
          <cell r="B1061">
            <v>0</v>
          </cell>
          <cell r="C1061" t="e">
            <v>#N/A</v>
          </cell>
          <cell r="D1061" t="e">
            <v>#N/A</v>
          </cell>
          <cell r="E1061" t="e">
            <v>#N/A</v>
          </cell>
          <cell r="F1061" t="e">
            <v>#N/A</v>
          </cell>
          <cell r="G1061" t="e">
            <v>#N/A</v>
          </cell>
          <cell r="H1061" t="e">
            <v>#N/A</v>
          </cell>
          <cell r="I1061" t="e">
            <v>#N/A</v>
          </cell>
          <cell r="J1061" t="e">
            <v>#N/A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</row>
        <row r="1062">
          <cell r="B1062">
            <v>0</v>
          </cell>
          <cell r="C1062" t="e">
            <v>#N/A</v>
          </cell>
          <cell r="D1062" t="e">
            <v>#N/A</v>
          </cell>
          <cell r="E1062" t="e">
            <v>#N/A</v>
          </cell>
          <cell r="F1062" t="e">
            <v>#N/A</v>
          </cell>
          <cell r="G1062" t="e">
            <v>#N/A</v>
          </cell>
          <cell r="H1062" t="e">
            <v>#N/A</v>
          </cell>
          <cell r="I1062" t="e">
            <v>#N/A</v>
          </cell>
          <cell r="J1062" t="e">
            <v>#N/A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</row>
        <row r="1063">
          <cell r="B1063">
            <v>0</v>
          </cell>
          <cell r="C1063" t="e">
            <v>#N/A</v>
          </cell>
          <cell r="D1063" t="e">
            <v>#N/A</v>
          </cell>
          <cell r="E1063" t="e">
            <v>#N/A</v>
          </cell>
          <cell r="F1063" t="e">
            <v>#N/A</v>
          </cell>
          <cell r="G1063" t="e">
            <v>#N/A</v>
          </cell>
          <cell r="H1063" t="e">
            <v>#N/A</v>
          </cell>
          <cell r="I1063" t="e">
            <v>#N/A</v>
          </cell>
          <cell r="J1063" t="e">
            <v>#N/A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</row>
        <row r="1064">
          <cell r="B1064">
            <v>0</v>
          </cell>
          <cell r="C1064" t="e">
            <v>#N/A</v>
          </cell>
          <cell r="D1064" t="e">
            <v>#N/A</v>
          </cell>
          <cell r="E1064" t="e">
            <v>#N/A</v>
          </cell>
          <cell r="F1064" t="e">
            <v>#N/A</v>
          </cell>
          <cell r="G1064" t="e">
            <v>#N/A</v>
          </cell>
          <cell r="H1064" t="e">
            <v>#N/A</v>
          </cell>
          <cell r="I1064" t="e">
            <v>#N/A</v>
          </cell>
          <cell r="J1064" t="e">
            <v>#N/A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</row>
        <row r="1065">
          <cell r="B1065">
            <v>0</v>
          </cell>
          <cell r="C1065" t="e">
            <v>#N/A</v>
          </cell>
          <cell r="D1065" t="e">
            <v>#N/A</v>
          </cell>
          <cell r="E1065" t="e">
            <v>#N/A</v>
          </cell>
          <cell r="F1065" t="e">
            <v>#N/A</v>
          </cell>
          <cell r="G1065" t="e">
            <v>#N/A</v>
          </cell>
          <cell r="H1065" t="e">
            <v>#N/A</v>
          </cell>
          <cell r="I1065" t="e">
            <v>#N/A</v>
          </cell>
          <cell r="J1065" t="e">
            <v>#N/A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</row>
        <row r="1066">
          <cell r="B1066">
            <v>0</v>
          </cell>
          <cell r="C1066" t="e">
            <v>#N/A</v>
          </cell>
          <cell r="D1066" t="e">
            <v>#N/A</v>
          </cell>
          <cell r="E1066" t="e">
            <v>#N/A</v>
          </cell>
          <cell r="F1066" t="e">
            <v>#N/A</v>
          </cell>
          <cell r="G1066" t="e">
            <v>#N/A</v>
          </cell>
          <cell r="H1066" t="e">
            <v>#N/A</v>
          </cell>
          <cell r="I1066" t="e">
            <v>#N/A</v>
          </cell>
          <cell r="J1066" t="e">
            <v>#N/A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</row>
        <row r="1067">
          <cell r="B1067">
            <v>0</v>
          </cell>
          <cell r="C1067" t="e">
            <v>#N/A</v>
          </cell>
          <cell r="D1067" t="e">
            <v>#N/A</v>
          </cell>
          <cell r="E1067" t="e">
            <v>#N/A</v>
          </cell>
          <cell r="F1067" t="e">
            <v>#N/A</v>
          </cell>
          <cell r="G1067" t="e">
            <v>#N/A</v>
          </cell>
          <cell r="H1067" t="e">
            <v>#N/A</v>
          </cell>
          <cell r="I1067" t="e">
            <v>#N/A</v>
          </cell>
          <cell r="J1067" t="e">
            <v>#N/A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</row>
        <row r="1068">
          <cell r="B1068">
            <v>0</v>
          </cell>
          <cell r="C1068" t="e">
            <v>#N/A</v>
          </cell>
          <cell r="D1068" t="e">
            <v>#N/A</v>
          </cell>
          <cell r="E1068" t="e">
            <v>#N/A</v>
          </cell>
          <cell r="F1068" t="e">
            <v>#N/A</v>
          </cell>
          <cell r="G1068" t="e">
            <v>#N/A</v>
          </cell>
          <cell r="H1068" t="e">
            <v>#N/A</v>
          </cell>
          <cell r="I1068" t="e">
            <v>#N/A</v>
          </cell>
          <cell r="J1068" t="e">
            <v>#N/A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</row>
        <row r="1069">
          <cell r="B1069">
            <v>0</v>
          </cell>
          <cell r="C1069" t="e">
            <v>#N/A</v>
          </cell>
          <cell r="D1069" t="e">
            <v>#N/A</v>
          </cell>
          <cell r="E1069" t="e">
            <v>#N/A</v>
          </cell>
          <cell r="F1069" t="e">
            <v>#N/A</v>
          </cell>
          <cell r="G1069" t="e">
            <v>#N/A</v>
          </cell>
          <cell r="H1069" t="e">
            <v>#N/A</v>
          </cell>
          <cell r="I1069" t="e">
            <v>#N/A</v>
          </cell>
          <cell r="J1069" t="e">
            <v>#N/A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</row>
        <row r="1070">
          <cell r="B1070">
            <v>0</v>
          </cell>
          <cell r="C1070" t="e">
            <v>#N/A</v>
          </cell>
          <cell r="D1070" t="e">
            <v>#N/A</v>
          </cell>
          <cell r="E1070" t="e">
            <v>#N/A</v>
          </cell>
          <cell r="F1070" t="e">
            <v>#N/A</v>
          </cell>
          <cell r="G1070" t="e">
            <v>#N/A</v>
          </cell>
          <cell r="H1070" t="e">
            <v>#N/A</v>
          </cell>
          <cell r="I1070" t="e">
            <v>#N/A</v>
          </cell>
          <cell r="J1070" t="e">
            <v>#N/A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</row>
        <row r="1071">
          <cell r="B1071">
            <v>0</v>
          </cell>
          <cell r="C1071" t="e">
            <v>#N/A</v>
          </cell>
          <cell r="D1071" t="e">
            <v>#N/A</v>
          </cell>
          <cell r="E1071" t="e">
            <v>#N/A</v>
          </cell>
          <cell r="F1071" t="e">
            <v>#N/A</v>
          </cell>
          <cell r="G1071" t="e">
            <v>#N/A</v>
          </cell>
          <cell r="H1071" t="e">
            <v>#N/A</v>
          </cell>
          <cell r="I1071" t="e">
            <v>#N/A</v>
          </cell>
          <cell r="J1071" t="e">
            <v>#N/A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</row>
        <row r="1072">
          <cell r="B1072">
            <v>0</v>
          </cell>
          <cell r="C1072" t="e">
            <v>#N/A</v>
          </cell>
          <cell r="D1072" t="e">
            <v>#N/A</v>
          </cell>
          <cell r="E1072" t="e">
            <v>#N/A</v>
          </cell>
          <cell r="F1072" t="e">
            <v>#N/A</v>
          </cell>
          <cell r="G1072" t="e">
            <v>#N/A</v>
          </cell>
          <cell r="H1072" t="e">
            <v>#N/A</v>
          </cell>
          <cell r="I1072" t="e">
            <v>#N/A</v>
          </cell>
          <cell r="J1072" t="e">
            <v>#N/A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</row>
        <row r="1073">
          <cell r="B1073">
            <v>0</v>
          </cell>
          <cell r="C1073" t="e">
            <v>#N/A</v>
          </cell>
          <cell r="D1073" t="e">
            <v>#N/A</v>
          </cell>
          <cell r="E1073" t="e">
            <v>#N/A</v>
          </cell>
          <cell r="F1073" t="e">
            <v>#N/A</v>
          </cell>
          <cell r="G1073" t="e">
            <v>#N/A</v>
          </cell>
          <cell r="H1073" t="e">
            <v>#N/A</v>
          </cell>
          <cell r="I1073" t="e">
            <v>#N/A</v>
          </cell>
          <cell r="J1073" t="e">
            <v>#N/A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</row>
        <row r="1074">
          <cell r="B1074">
            <v>0</v>
          </cell>
          <cell r="C1074" t="e">
            <v>#N/A</v>
          </cell>
          <cell r="D1074" t="e">
            <v>#N/A</v>
          </cell>
          <cell r="E1074" t="e">
            <v>#N/A</v>
          </cell>
          <cell r="F1074" t="e">
            <v>#N/A</v>
          </cell>
          <cell r="G1074" t="e">
            <v>#N/A</v>
          </cell>
          <cell r="H1074" t="e">
            <v>#N/A</v>
          </cell>
          <cell r="I1074" t="e">
            <v>#N/A</v>
          </cell>
          <cell r="J1074" t="e">
            <v>#N/A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</row>
        <row r="1075">
          <cell r="B1075">
            <v>0</v>
          </cell>
          <cell r="C1075" t="e">
            <v>#N/A</v>
          </cell>
          <cell r="D1075" t="e">
            <v>#N/A</v>
          </cell>
          <cell r="E1075" t="e">
            <v>#N/A</v>
          </cell>
          <cell r="F1075" t="e">
            <v>#N/A</v>
          </cell>
          <cell r="G1075" t="e">
            <v>#N/A</v>
          </cell>
          <cell r="H1075" t="e">
            <v>#N/A</v>
          </cell>
          <cell r="I1075" t="e">
            <v>#N/A</v>
          </cell>
          <cell r="J1075" t="e">
            <v>#N/A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</row>
        <row r="1076">
          <cell r="B1076">
            <v>0</v>
          </cell>
          <cell r="C1076" t="e">
            <v>#N/A</v>
          </cell>
          <cell r="D1076" t="e">
            <v>#N/A</v>
          </cell>
          <cell r="E1076" t="e">
            <v>#N/A</v>
          </cell>
          <cell r="F1076" t="e">
            <v>#N/A</v>
          </cell>
          <cell r="G1076" t="e">
            <v>#N/A</v>
          </cell>
          <cell r="H1076" t="e">
            <v>#N/A</v>
          </cell>
          <cell r="I1076" t="e">
            <v>#N/A</v>
          </cell>
          <cell r="J1076" t="e">
            <v>#N/A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</row>
        <row r="1077">
          <cell r="B1077">
            <v>0</v>
          </cell>
          <cell r="C1077" t="e">
            <v>#N/A</v>
          </cell>
          <cell r="D1077" t="e">
            <v>#N/A</v>
          </cell>
          <cell r="E1077" t="e">
            <v>#N/A</v>
          </cell>
          <cell r="F1077" t="e">
            <v>#N/A</v>
          </cell>
          <cell r="G1077" t="e">
            <v>#N/A</v>
          </cell>
          <cell r="H1077" t="e">
            <v>#N/A</v>
          </cell>
          <cell r="I1077" t="e">
            <v>#N/A</v>
          </cell>
          <cell r="J1077" t="e">
            <v>#N/A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</row>
        <row r="1078">
          <cell r="B1078">
            <v>0</v>
          </cell>
          <cell r="C1078" t="e">
            <v>#N/A</v>
          </cell>
          <cell r="D1078" t="e">
            <v>#N/A</v>
          </cell>
          <cell r="E1078" t="e">
            <v>#N/A</v>
          </cell>
          <cell r="F1078" t="e">
            <v>#N/A</v>
          </cell>
          <cell r="G1078" t="e">
            <v>#N/A</v>
          </cell>
          <cell r="H1078" t="e">
            <v>#N/A</v>
          </cell>
          <cell r="I1078" t="e">
            <v>#N/A</v>
          </cell>
          <cell r="J1078" t="e">
            <v>#N/A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</row>
        <row r="1079">
          <cell r="B1079">
            <v>0</v>
          </cell>
          <cell r="C1079" t="e">
            <v>#N/A</v>
          </cell>
          <cell r="D1079" t="e">
            <v>#N/A</v>
          </cell>
          <cell r="E1079" t="e">
            <v>#N/A</v>
          </cell>
          <cell r="F1079" t="e">
            <v>#N/A</v>
          </cell>
          <cell r="G1079" t="e">
            <v>#N/A</v>
          </cell>
          <cell r="H1079" t="e">
            <v>#N/A</v>
          </cell>
          <cell r="I1079" t="e">
            <v>#N/A</v>
          </cell>
          <cell r="J1079" t="e">
            <v>#N/A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</row>
        <row r="1080">
          <cell r="B1080">
            <v>0</v>
          </cell>
          <cell r="C1080" t="e">
            <v>#N/A</v>
          </cell>
          <cell r="D1080" t="e">
            <v>#N/A</v>
          </cell>
          <cell r="E1080" t="e">
            <v>#N/A</v>
          </cell>
          <cell r="F1080" t="e">
            <v>#N/A</v>
          </cell>
          <cell r="G1080" t="e">
            <v>#N/A</v>
          </cell>
          <cell r="H1080" t="e">
            <v>#N/A</v>
          </cell>
          <cell r="I1080" t="e">
            <v>#N/A</v>
          </cell>
          <cell r="J1080" t="e">
            <v>#N/A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</row>
        <row r="1081">
          <cell r="B1081">
            <v>0</v>
          </cell>
          <cell r="C1081" t="e">
            <v>#N/A</v>
          </cell>
          <cell r="D1081" t="e">
            <v>#N/A</v>
          </cell>
          <cell r="E1081" t="e">
            <v>#N/A</v>
          </cell>
          <cell r="F1081" t="e">
            <v>#N/A</v>
          </cell>
          <cell r="G1081" t="e">
            <v>#N/A</v>
          </cell>
          <cell r="H1081" t="e">
            <v>#N/A</v>
          </cell>
          <cell r="I1081" t="e">
            <v>#N/A</v>
          </cell>
          <cell r="J1081" t="e">
            <v>#N/A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</row>
        <row r="1082">
          <cell r="B1082">
            <v>0</v>
          </cell>
          <cell r="C1082" t="e">
            <v>#N/A</v>
          </cell>
          <cell r="D1082" t="e">
            <v>#N/A</v>
          </cell>
          <cell r="E1082" t="e">
            <v>#N/A</v>
          </cell>
          <cell r="F1082" t="e">
            <v>#N/A</v>
          </cell>
          <cell r="G1082" t="e">
            <v>#N/A</v>
          </cell>
          <cell r="H1082" t="e">
            <v>#N/A</v>
          </cell>
          <cell r="I1082" t="e">
            <v>#N/A</v>
          </cell>
          <cell r="J1082" t="e">
            <v>#N/A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</row>
        <row r="1083">
          <cell r="B1083">
            <v>0</v>
          </cell>
          <cell r="C1083" t="e">
            <v>#N/A</v>
          </cell>
          <cell r="D1083" t="e">
            <v>#N/A</v>
          </cell>
          <cell r="E1083" t="e">
            <v>#N/A</v>
          </cell>
          <cell r="F1083" t="e">
            <v>#N/A</v>
          </cell>
          <cell r="G1083" t="e">
            <v>#N/A</v>
          </cell>
          <cell r="H1083" t="e">
            <v>#N/A</v>
          </cell>
          <cell r="I1083" t="e">
            <v>#N/A</v>
          </cell>
          <cell r="J1083" t="e">
            <v>#N/A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</row>
        <row r="1084">
          <cell r="B1084">
            <v>0</v>
          </cell>
          <cell r="C1084" t="e">
            <v>#N/A</v>
          </cell>
          <cell r="D1084" t="e">
            <v>#N/A</v>
          </cell>
          <cell r="E1084" t="e">
            <v>#N/A</v>
          </cell>
          <cell r="F1084" t="e">
            <v>#N/A</v>
          </cell>
          <cell r="G1084" t="e">
            <v>#N/A</v>
          </cell>
          <cell r="H1084" t="e">
            <v>#N/A</v>
          </cell>
          <cell r="I1084" t="e">
            <v>#N/A</v>
          </cell>
          <cell r="J1084" t="e">
            <v>#N/A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</row>
        <row r="1085">
          <cell r="B1085">
            <v>0</v>
          </cell>
          <cell r="C1085" t="e">
            <v>#N/A</v>
          </cell>
          <cell r="D1085" t="e">
            <v>#N/A</v>
          </cell>
          <cell r="E1085" t="e">
            <v>#N/A</v>
          </cell>
          <cell r="F1085" t="e">
            <v>#N/A</v>
          </cell>
          <cell r="G1085" t="e">
            <v>#N/A</v>
          </cell>
          <cell r="H1085" t="e">
            <v>#N/A</v>
          </cell>
          <cell r="I1085" t="e">
            <v>#N/A</v>
          </cell>
          <cell r="J1085" t="e">
            <v>#N/A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</row>
        <row r="1086">
          <cell r="B1086">
            <v>0</v>
          </cell>
          <cell r="C1086" t="e">
            <v>#N/A</v>
          </cell>
          <cell r="D1086" t="e">
            <v>#N/A</v>
          </cell>
          <cell r="E1086" t="e">
            <v>#N/A</v>
          </cell>
          <cell r="F1086" t="e">
            <v>#N/A</v>
          </cell>
          <cell r="G1086" t="e">
            <v>#N/A</v>
          </cell>
          <cell r="H1086" t="e">
            <v>#N/A</v>
          </cell>
          <cell r="I1086" t="e">
            <v>#N/A</v>
          </cell>
          <cell r="J1086" t="e">
            <v>#N/A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</row>
        <row r="1087">
          <cell r="B1087">
            <v>0</v>
          </cell>
          <cell r="C1087" t="e">
            <v>#N/A</v>
          </cell>
          <cell r="D1087" t="e">
            <v>#N/A</v>
          </cell>
          <cell r="E1087" t="e">
            <v>#N/A</v>
          </cell>
          <cell r="F1087" t="e">
            <v>#N/A</v>
          </cell>
          <cell r="G1087" t="e">
            <v>#N/A</v>
          </cell>
          <cell r="H1087" t="e">
            <v>#N/A</v>
          </cell>
          <cell r="I1087" t="e">
            <v>#N/A</v>
          </cell>
          <cell r="J1087" t="e">
            <v>#N/A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</row>
        <row r="1088">
          <cell r="B1088">
            <v>0</v>
          </cell>
          <cell r="C1088" t="e">
            <v>#N/A</v>
          </cell>
          <cell r="D1088" t="e">
            <v>#N/A</v>
          </cell>
          <cell r="E1088" t="e">
            <v>#N/A</v>
          </cell>
          <cell r="F1088" t="e">
            <v>#N/A</v>
          </cell>
          <cell r="G1088" t="e">
            <v>#N/A</v>
          </cell>
          <cell r="H1088" t="e">
            <v>#N/A</v>
          </cell>
          <cell r="I1088" t="e">
            <v>#N/A</v>
          </cell>
          <cell r="J1088" t="e">
            <v>#N/A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</row>
        <row r="1089">
          <cell r="B1089">
            <v>0</v>
          </cell>
          <cell r="C1089" t="e">
            <v>#N/A</v>
          </cell>
          <cell r="D1089" t="e">
            <v>#N/A</v>
          </cell>
          <cell r="E1089" t="e">
            <v>#N/A</v>
          </cell>
          <cell r="F1089" t="e">
            <v>#N/A</v>
          </cell>
          <cell r="G1089" t="e">
            <v>#N/A</v>
          </cell>
          <cell r="H1089" t="e">
            <v>#N/A</v>
          </cell>
          <cell r="I1089" t="e">
            <v>#N/A</v>
          </cell>
          <cell r="J1089" t="e">
            <v>#N/A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</row>
        <row r="1090">
          <cell r="B1090">
            <v>0</v>
          </cell>
          <cell r="C1090" t="e">
            <v>#N/A</v>
          </cell>
          <cell r="D1090" t="e">
            <v>#N/A</v>
          </cell>
          <cell r="E1090" t="e">
            <v>#N/A</v>
          </cell>
          <cell r="F1090" t="e">
            <v>#N/A</v>
          </cell>
          <cell r="G1090" t="e">
            <v>#N/A</v>
          </cell>
          <cell r="H1090" t="e">
            <v>#N/A</v>
          </cell>
          <cell r="I1090" t="e">
            <v>#N/A</v>
          </cell>
          <cell r="J1090" t="e">
            <v>#N/A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</row>
        <row r="1091">
          <cell r="B1091">
            <v>0</v>
          </cell>
          <cell r="C1091" t="e">
            <v>#N/A</v>
          </cell>
          <cell r="D1091" t="e">
            <v>#N/A</v>
          </cell>
          <cell r="E1091" t="e">
            <v>#N/A</v>
          </cell>
          <cell r="F1091" t="e">
            <v>#N/A</v>
          </cell>
          <cell r="G1091" t="e">
            <v>#N/A</v>
          </cell>
          <cell r="H1091" t="e">
            <v>#N/A</v>
          </cell>
          <cell r="I1091" t="e">
            <v>#N/A</v>
          </cell>
          <cell r="J1091" t="e">
            <v>#N/A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</row>
        <row r="1092">
          <cell r="B1092">
            <v>0</v>
          </cell>
          <cell r="C1092" t="e">
            <v>#N/A</v>
          </cell>
          <cell r="D1092" t="e">
            <v>#N/A</v>
          </cell>
          <cell r="E1092" t="e">
            <v>#N/A</v>
          </cell>
          <cell r="F1092" t="e">
            <v>#N/A</v>
          </cell>
          <cell r="G1092" t="e">
            <v>#N/A</v>
          </cell>
          <cell r="H1092" t="e">
            <v>#N/A</v>
          </cell>
          <cell r="I1092" t="e">
            <v>#N/A</v>
          </cell>
          <cell r="J1092" t="e">
            <v>#N/A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</row>
        <row r="1093">
          <cell r="B1093">
            <v>0</v>
          </cell>
          <cell r="C1093" t="e">
            <v>#N/A</v>
          </cell>
          <cell r="D1093" t="e">
            <v>#N/A</v>
          </cell>
          <cell r="E1093" t="e">
            <v>#N/A</v>
          </cell>
          <cell r="F1093" t="e">
            <v>#N/A</v>
          </cell>
          <cell r="G1093" t="e">
            <v>#N/A</v>
          </cell>
          <cell r="H1093" t="e">
            <v>#N/A</v>
          </cell>
          <cell r="I1093" t="e">
            <v>#N/A</v>
          </cell>
          <cell r="J1093" t="e">
            <v>#N/A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</row>
        <row r="1094">
          <cell r="B1094">
            <v>0</v>
          </cell>
          <cell r="C1094" t="e">
            <v>#N/A</v>
          </cell>
          <cell r="D1094" t="e">
            <v>#N/A</v>
          </cell>
          <cell r="E1094" t="e">
            <v>#N/A</v>
          </cell>
          <cell r="F1094" t="e">
            <v>#N/A</v>
          </cell>
          <cell r="G1094" t="e">
            <v>#N/A</v>
          </cell>
          <cell r="H1094" t="e">
            <v>#N/A</v>
          </cell>
          <cell r="I1094" t="e">
            <v>#N/A</v>
          </cell>
          <cell r="J1094" t="e">
            <v>#N/A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</row>
        <row r="1095">
          <cell r="B1095">
            <v>0</v>
          </cell>
          <cell r="C1095" t="e">
            <v>#N/A</v>
          </cell>
          <cell r="D1095" t="e">
            <v>#N/A</v>
          </cell>
          <cell r="E1095" t="e">
            <v>#N/A</v>
          </cell>
          <cell r="F1095" t="e">
            <v>#N/A</v>
          </cell>
          <cell r="G1095" t="e">
            <v>#N/A</v>
          </cell>
          <cell r="H1095" t="e">
            <v>#N/A</v>
          </cell>
          <cell r="I1095" t="e">
            <v>#N/A</v>
          </cell>
          <cell r="J1095" t="e">
            <v>#N/A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</row>
        <row r="1096">
          <cell r="B1096">
            <v>0</v>
          </cell>
          <cell r="C1096" t="e">
            <v>#N/A</v>
          </cell>
          <cell r="D1096" t="e">
            <v>#N/A</v>
          </cell>
          <cell r="E1096" t="e">
            <v>#N/A</v>
          </cell>
          <cell r="F1096" t="e">
            <v>#N/A</v>
          </cell>
          <cell r="G1096" t="e">
            <v>#N/A</v>
          </cell>
          <cell r="H1096" t="e">
            <v>#N/A</v>
          </cell>
          <cell r="I1096" t="e">
            <v>#N/A</v>
          </cell>
          <cell r="J1096" t="e">
            <v>#N/A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</row>
        <row r="1097">
          <cell r="B1097">
            <v>0</v>
          </cell>
          <cell r="C1097" t="e">
            <v>#N/A</v>
          </cell>
          <cell r="D1097" t="e">
            <v>#N/A</v>
          </cell>
          <cell r="E1097" t="e">
            <v>#N/A</v>
          </cell>
          <cell r="F1097" t="e">
            <v>#N/A</v>
          </cell>
          <cell r="G1097" t="e">
            <v>#N/A</v>
          </cell>
          <cell r="H1097" t="e">
            <v>#N/A</v>
          </cell>
          <cell r="I1097" t="e">
            <v>#N/A</v>
          </cell>
          <cell r="J1097" t="e">
            <v>#N/A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</row>
        <row r="1098">
          <cell r="B1098">
            <v>0</v>
          </cell>
          <cell r="C1098" t="e">
            <v>#N/A</v>
          </cell>
          <cell r="D1098" t="e">
            <v>#N/A</v>
          </cell>
          <cell r="E1098" t="e">
            <v>#N/A</v>
          </cell>
          <cell r="F1098" t="e">
            <v>#N/A</v>
          </cell>
          <cell r="G1098" t="e">
            <v>#N/A</v>
          </cell>
          <cell r="H1098" t="e">
            <v>#N/A</v>
          </cell>
          <cell r="I1098" t="e">
            <v>#N/A</v>
          </cell>
          <cell r="J1098" t="e">
            <v>#N/A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</row>
        <row r="1099">
          <cell r="B1099">
            <v>0</v>
          </cell>
          <cell r="C1099" t="e">
            <v>#N/A</v>
          </cell>
          <cell r="D1099" t="e">
            <v>#N/A</v>
          </cell>
          <cell r="E1099" t="e">
            <v>#N/A</v>
          </cell>
          <cell r="F1099" t="e">
            <v>#N/A</v>
          </cell>
          <cell r="G1099" t="e">
            <v>#N/A</v>
          </cell>
          <cell r="H1099" t="e">
            <v>#N/A</v>
          </cell>
          <cell r="I1099" t="e">
            <v>#N/A</v>
          </cell>
          <cell r="J1099" t="e">
            <v>#N/A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</row>
        <row r="1100">
          <cell r="B1100">
            <v>0</v>
          </cell>
          <cell r="C1100" t="e">
            <v>#N/A</v>
          </cell>
          <cell r="D1100" t="e">
            <v>#N/A</v>
          </cell>
          <cell r="E1100" t="e">
            <v>#N/A</v>
          </cell>
          <cell r="F1100" t="e">
            <v>#N/A</v>
          </cell>
          <cell r="G1100" t="e">
            <v>#N/A</v>
          </cell>
          <cell r="H1100" t="e">
            <v>#N/A</v>
          </cell>
          <cell r="I1100" t="e">
            <v>#N/A</v>
          </cell>
          <cell r="J1100" t="e">
            <v>#N/A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</row>
        <row r="1101">
          <cell r="B1101">
            <v>0</v>
          </cell>
          <cell r="C1101" t="e">
            <v>#N/A</v>
          </cell>
          <cell r="D1101" t="e">
            <v>#N/A</v>
          </cell>
          <cell r="E1101" t="e">
            <v>#N/A</v>
          </cell>
          <cell r="F1101" t="e">
            <v>#N/A</v>
          </cell>
          <cell r="G1101" t="e">
            <v>#N/A</v>
          </cell>
          <cell r="H1101" t="e">
            <v>#N/A</v>
          </cell>
          <cell r="I1101" t="e">
            <v>#N/A</v>
          </cell>
          <cell r="J1101" t="e">
            <v>#N/A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</row>
        <row r="1102">
          <cell r="B1102">
            <v>0</v>
          </cell>
          <cell r="C1102" t="e">
            <v>#N/A</v>
          </cell>
          <cell r="D1102" t="e">
            <v>#N/A</v>
          </cell>
          <cell r="E1102" t="e">
            <v>#N/A</v>
          </cell>
          <cell r="F1102" t="e">
            <v>#N/A</v>
          </cell>
          <cell r="G1102" t="e">
            <v>#N/A</v>
          </cell>
          <cell r="H1102" t="e">
            <v>#N/A</v>
          </cell>
          <cell r="I1102" t="e">
            <v>#N/A</v>
          </cell>
          <cell r="J1102" t="e">
            <v>#N/A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</row>
        <row r="1103">
          <cell r="B1103">
            <v>0</v>
          </cell>
          <cell r="C1103" t="e">
            <v>#N/A</v>
          </cell>
          <cell r="D1103" t="e">
            <v>#N/A</v>
          </cell>
          <cell r="E1103" t="e">
            <v>#N/A</v>
          </cell>
          <cell r="F1103" t="e">
            <v>#N/A</v>
          </cell>
          <cell r="G1103" t="e">
            <v>#N/A</v>
          </cell>
          <cell r="H1103" t="e">
            <v>#N/A</v>
          </cell>
          <cell r="I1103" t="e">
            <v>#N/A</v>
          </cell>
          <cell r="J1103" t="e">
            <v>#N/A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</row>
        <row r="1104">
          <cell r="B1104">
            <v>0</v>
          </cell>
          <cell r="C1104" t="e">
            <v>#N/A</v>
          </cell>
          <cell r="D1104" t="e">
            <v>#N/A</v>
          </cell>
          <cell r="E1104" t="e">
            <v>#N/A</v>
          </cell>
          <cell r="F1104" t="e">
            <v>#N/A</v>
          </cell>
          <cell r="G1104" t="e">
            <v>#N/A</v>
          </cell>
          <cell r="H1104" t="e">
            <v>#N/A</v>
          </cell>
          <cell r="I1104" t="e">
            <v>#N/A</v>
          </cell>
          <cell r="J1104" t="e">
            <v>#N/A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</row>
        <row r="1105">
          <cell r="B1105">
            <v>0</v>
          </cell>
          <cell r="C1105" t="e">
            <v>#N/A</v>
          </cell>
          <cell r="D1105" t="e">
            <v>#N/A</v>
          </cell>
          <cell r="E1105" t="e">
            <v>#N/A</v>
          </cell>
          <cell r="F1105" t="e">
            <v>#N/A</v>
          </cell>
          <cell r="G1105" t="e">
            <v>#N/A</v>
          </cell>
          <cell r="H1105" t="e">
            <v>#N/A</v>
          </cell>
          <cell r="I1105" t="e">
            <v>#N/A</v>
          </cell>
          <cell r="J1105" t="e">
            <v>#N/A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</row>
        <row r="1106">
          <cell r="B1106">
            <v>0</v>
          </cell>
          <cell r="C1106" t="e">
            <v>#N/A</v>
          </cell>
          <cell r="D1106" t="e">
            <v>#N/A</v>
          </cell>
          <cell r="E1106" t="e">
            <v>#N/A</v>
          </cell>
          <cell r="F1106" t="e">
            <v>#N/A</v>
          </cell>
          <cell r="G1106" t="e">
            <v>#N/A</v>
          </cell>
          <cell r="H1106" t="e">
            <v>#N/A</v>
          </cell>
          <cell r="I1106" t="e">
            <v>#N/A</v>
          </cell>
          <cell r="J1106" t="e">
            <v>#N/A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</row>
        <row r="1107">
          <cell r="B1107">
            <v>0</v>
          </cell>
          <cell r="C1107" t="e">
            <v>#N/A</v>
          </cell>
          <cell r="D1107" t="e">
            <v>#N/A</v>
          </cell>
          <cell r="E1107" t="e">
            <v>#N/A</v>
          </cell>
          <cell r="F1107" t="e">
            <v>#N/A</v>
          </cell>
          <cell r="G1107" t="e">
            <v>#N/A</v>
          </cell>
          <cell r="H1107" t="e">
            <v>#N/A</v>
          </cell>
          <cell r="I1107" t="e">
            <v>#N/A</v>
          </cell>
          <cell r="J1107" t="e">
            <v>#N/A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</row>
        <row r="1108">
          <cell r="B1108">
            <v>0</v>
          </cell>
          <cell r="C1108" t="e">
            <v>#N/A</v>
          </cell>
          <cell r="D1108" t="e">
            <v>#N/A</v>
          </cell>
          <cell r="E1108" t="e">
            <v>#N/A</v>
          </cell>
          <cell r="F1108" t="e">
            <v>#N/A</v>
          </cell>
          <cell r="G1108" t="e">
            <v>#N/A</v>
          </cell>
          <cell r="H1108" t="e">
            <v>#N/A</v>
          </cell>
          <cell r="I1108" t="e">
            <v>#N/A</v>
          </cell>
          <cell r="J1108" t="e">
            <v>#N/A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</row>
        <row r="1109">
          <cell r="B1109">
            <v>0</v>
          </cell>
          <cell r="C1109" t="e">
            <v>#N/A</v>
          </cell>
          <cell r="D1109" t="e">
            <v>#N/A</v>
          </cell>
          <cell r="E1109" t="e">
            <v>#N/A</v>
          </cell>
          <cell r="F1109" t="e">
            <v>#N/A</v>
          </cell>
          <cell r="G1109" t="e">
            <v>#N/A</v>
          </cell>
          <cell r="H1109" t="e">
            <v>#N/A</v>
          </cell>
          <cell r="I1109" t="e">
            <v>#N/A</v>
          </cell>
          <cell r="J1109" t="e">
            <v>#N/A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</row>
        <row r="1110">
          <cell r="B1110">
            <v>0</v>
          </cell>
          <cell r="C1110" t="e">
            <v>#N/A</v>
          </cell>
          <cell r="D1110" t="e">
            <v>#N/A</v>
          </cell>
          <cell r="E1110" t="e">
            <v>#N/A</v>
          </cell>
          <cell r="F1110" t="e">
            <v>#N/A</v>
          </cell>
          <cell r="G1110" t="e">
            <v>#N/A</v>
          </cell>
          <cell r="H1110" t="e">
            <v>#N/A</v>
          </cell>
          <cell r="I1110" t="e">
            <v>#N/A</v>
          </cell>
          <cell r="J1110" t="e">
            <v>#N/A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</row>
        <row r="1111">
          <cell r="B1111">
            <v>0</v>
          </cell>
          <cell r="C1111" t="e">
            <v>#N/A</v>
          </cell>
          <cell r="D1111" t="e">
            <v>#N/A</v>
          </cell>
          <cell r="E1111" t="e">
            <v>#N/A</v>
          </cell>
          <cell r="F1111" t="e">
            <v>#N/A</v>
          </cell>
          <cell r="G1111" t="e">
            <v>#N/A</v>
          </cell>
          <cell r="H1111" t="e">
            <v>#N/A</v>
          </cell>
          <cell r="I1111" t="e">
            <v>#N/A</v>
          </cell>
          <cell r="J1111" t="e">
            <v>#N/A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</row>
        <row r="1112">
          <cell r="B1112">
            <v>0</v>
          </cell>
          <cell r="C1112" t="e">
            <v>#N/A</v>
          </cell>
          <cell r="D1112" t="e">
            <v>#N/A</v>
          </cell>
          <cell r="E1112" t="e">
            <v>#N/A</v>
          </cell>
          <cell r="F1112" t="e">
            <v>#N/A</v>
          </cell>
          <cell r="G1112" t="e">
            <v>#N/A</v>
          </cell>
          <cell r="H1112" t="e">
            <v>#N/A</v>
          </cell>
          <cell r="I1112" t="e">
            <v>#N/A</v>
          </cell>
          <cell r="J1112" t="e">
            <v>#N/A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</row>
        <row r="1113">
          <cell r="B1113">
            <v>0</v>
          </cell>
          <cell r="C1113" t="e">
            <v>#N/A</v>
          </cell>
          <cell r="D1113" t="e">
            <v>#N/A</v>
          </cell>
          <cell r="E1113" t="e">
            <v>#N/A</v>
          </cell>
          <cell r="F1113" t="e">
            <v>#N/A</v>
          </cell>
          <cell r="G1113" t="e">
            <v>#N/A</v>
          </cell>
          <cell r="H1113" t="e">
            <v>#N/A</v>
          </cell>
          <cell r="I1113" t="e">
            <v>#N/A</v>
          </cell>
          <cell r="J1113" t="e">
            <v>#N/A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</row>
        <row r="1114">
          <cell r="B1114">
            <v>0</v>
          </cell>
          <cell r="C1114" t="e">
            <v>#N/A</v>
          </cell>
          <cell r="D1114" t="e">
            <v>#N/A</v>
          </cell>
          <cell r="E1114" t="e">
            <v>#N/A</v>
          </cell>
          <cell r="F1114" t="e">
            <v>#N/A</v>
          </cell>
          <cell r="G1114" t="e">
            <v>#N/A</v>
          </cell>
          <cell r="H1114" t="e">
            <v>#N/A</v>
          </cell>
          <cell r="I1114" t="e">
            <v>#N/A</v>
          </cell>
          <cell r="J1114" t="e">
            <v>#N/A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</row>
        <row r="1115">
          <cell r="B1115">
            <v>0</v>
          </cell>
          <cell r="C1115" t="e">
            <v>#N/A</v>
          </cell>
          <cell r="D1115" t="e">
            <v>#N/A</v>
          </cell>
          <cell r="E1115" t="e">
            <v>#N/A</v>
          </cell>
          <cell r="F1115" t="e">
            <v>#N/A</v>
          </cell>
          <cell r="G1115" t="e">
            <v>#N/A</v>
          </cell>
          <cell r="H1115" t="e">
            <v>#N/A</v>
          </cell>
          <cell r="I1115" t="e">
            <v>#N/A</v>
          </cell>
          <cell r="J1115" t="e">
            <v>#N/A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</row>
        <row r="1116">
          <cell r="B1116">
            <v>0</v>
          </cell>
          <cell r="C1116" t="e">
            <v>#N/A</v>
          </cell>
          <cell r="D1116" t="e">
            <v>#N/A</v>
          </cell>
          <cell r="E1116" t="e">
            <v>#N/A</v>
          </cell>
          <cell r="F1116" t="e">
            <v>#N/A</v>
          </cell>
          <cell r="G1116" t="e">
            <v>#N/A</v>
          </cell>
          <cell r="H1116" t="e">
            <v>#N/A</v>
          </cell>
          <cell r="I1116" t="e">
            <v>#N/A</v>
          </cell>
          <cell r="J1116" t="e">
            <v>#N/A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</row>
        <row r="1117">
          <cell r="B1117">
            <v>0</v>
          </cell>
          <cell r="C1117" t="e">
            <v>#N/A</v>
          </cell>
          <cell r="D1117" t="e">
            <v>#N/A</v>
          </cell>
          <cell r="E1117" t="e">
            <v>#N/A</v>
          </cell>
          <cell r="F1117" t="e">
            <v>#N/A</v>
          </cell>
          <cell r="G1117" t="e">
            <v>#N/A</v>
          </cell>
          <cell r="H1117" t="e">
            <v>#N/A</v>
          </cell>
          <cell r="I1117" t="e">
            <v>#N/A</v>
          </cell>
          <cell r="J1117" t="e">
            <v>#N/A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</row>
        <row r="1118">
          <cell r="B1118">
            <v>0</v>
          </cell>
          <cell r="C1118" t="e">
            <v>#N/A</v>
          </cell>
          <cell r="D1118" t="e">
            <v>#N/A</v>
          </cell>
          <cell r="E1118" t="e">
            <v>#N/A</v>
          </cell>
          <cell r="F1118" t="e">
            <v>#N/A</v>
          </cell>
          <cell r="G1118" t="e">
            <v>#N/A</v>
          </cell>
          <cell r="H1118" t="e">
            <v>#N/A</v>
          </cell>
          <cell r="I1118" t="e">
            <v>#N/A</v>
          </cell>
          <cell r="J1118" t="e">
            <v>#N/A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</row>
        <row r="1119">
          <cell r="B1119">
            <v>0</v>
          </cell>
          <cell r="C1119" t="e">
            <v>#N/A</v>
          </cell>
          <cell r="D1119" t="e">
            <v>#N/A</v>
          </cell>
          <cell r="E1119" t="e">
            <v>#N/A</v>
          </cell>
          <cell r="F1119" t="e">
            <v>#N/A</v>
          </cell>
          <cell r="G1119" t="e">
            <v>#N/A</v>
          </cell>
          <cell r="H1119" t="e">
            <v>#N/A</v>
          </cell>
          <cell r="I1119" t="e">
            <v>#N/A</v>
          </cell>
          <cell r="J1119" t="e">
            <v>#N/A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</row>
        <row r="1120">
          <cell r="B1120">
            <v>0</v>
          </cell>
          <cell r="C1120" t="e">
            <v>#N/A</v>
          </cell>
          <cell r="D1120" t="e">
            <v>#N/A</v>
          </cell>
          <cell r="E1120" t="e">
            <v>#N/A</v>
          </cell>
          <cell r="F1120" t="e">
            <v>#N/A</v>
          </cell>
          <cell r="G1120" t="e">
            <v>#N/A</v>
          </cell>
          <cell r="H1120" t="e">
            <v>#N/A</v>
          </cell>
          <cell r="I1120" t="e">
            <v>#N/A</v>
          </cell>
          <cell r="J1120" t="e">
            <v>#N/A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</row>
        <row r="1121">
          <cell r="B1121">
            <v>0</v>
          </cell>
          <cell r="C1121" t="e">
            <v>#N/A</v>
          </cell>
          <cell r="D1121" t="e">
            <v>#N/A</v>
          </cell>
          <cell r="E1121" t="e">
            <v>#N/A</v>
          </cell>
          <cell r="F1121" t="e">
            <v>#N/A</v>
          </cell>
          <cell r="G1121" t="e">
            <v>#N/A</v>
          </cell>
          <cell r="H1121" t="e">
            <v>#N/A</v>
          </cell>
          <cell r="I1121" t="e">
            <v>#N/A</v>
          </cell>
          <cell r="J1121" t="e">
            <v>#N/A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</row>
        <row r="1122">
          <cell r="B1122">
            <v>0</v>
          </cell>
          <cell r="C1122" t="e">
            <v>#N/A</v>
          </cell>
          <cell r="D1122" t="e">
            <v>#N/A</v>
          </cell>
          <cell r="E1122" t="e">
            <v>#N/A</v>
          </cell>
          <cell r="F1122" t="e">
            <v>#N/A</v>
          </cell>
          <cell r="G1122" t="e">
            <v>#N/A</v>
          </cell>
          <cell r="H1122" t="e">
            <v>#N/A</v>
          </cell>
          <cell r="I1122" t="e">
            <v>#N/A</v>
          </cell>
          <cell r="J1122" t="e">
            <v>#N/A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</row>
        <row r="1123">
          <cell r="B1123">
            <v>0</v>
          </cell>
          <cell r="C1123" t="e">
            <v>#N/A</v>
          </cell>
          <cell r="D1123" t="e">
            <v>#N/A</v>
          </cell>
          <cell r="E1123" t="e">
            <v>#N/A</v>
          </cell>
          <cell r="F1123" t="e">
            <v>#N/A</v>
          </cell>
          <cell r="G1123" t="e">
            <v>#N/A</v>
          </cell>
          <cell r="H1123" t="e">
            <v>#N/A</v>
          </cell>
          <cell r="I1123" t="e">
            <v>#N/A</v>
          </cell>
          <cell r="J1123" t="e">
            <v>#N/A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</row>
        <row r="1124">
          <cell r="B1124">
            <v>0</v>
          </cell>
          <cell r="C1124" t="e">
            <v>#N/A</v>
          </cell>
          <cell r="D1124" t="e">
            <v>#N/A</v>
          </cell>
          <cell r="E1124" t="e">
            <v>#N/A</v>
          </cell>
          <cell r="F1124" t="e">
            <v>#N/A</v>
          </cell>
          <cell r="G1124" t="e">
            <v>#N/A</v>
          </cell>
          <cell r="H1124" t="e">
            <v>#N/A</v>
          </cell>
          <cell r="I1124" t="e">
            <v>#N/A</v>
          </cell>
          <cell r="J1124" t="e">
            <v>#N/A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</row>
        <row r="1125">
          <cell r="B1125">
            <v>0</v>
          </cell>
          <cell r="C1125" t="e">
            <v>#N/A</v>
          </cell>
          <cell r="D1125" t="e">
            <v>#N/A</v>
          </cell>
          <cell r="E1125" t="e">
            <v>#N/A</v>
          </cell>
          <cell r="F1125" t="e">
            <v>#N/A</v>
          </cell>
          <cell r="G1125" t="e">
            <v>#N/A</v>
          </cell>
          <cell r="H1125" t="e">
            <v>#N/A</v>
          </cell>
          <cell r="I1125" t="e">
            <v>#N/A</v>
          </cell>
          <cell r="J1125" t="e">
            <v>#N/A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</row>
        <row r="1126">
          <cell r="B1126">
            <v>0</v>
          </cell>
          <cell r="C1126" t="e">
            <v>#N/A</v>
          </cell>
          <cell r="D1126" t="e">
            <v>#N/A</v>
          </cell>
          <cell r="E1126" t="e">
            <v>#N/A</v>
          </cell>
          <cell r="F1126" t="e">
            <v>#N/A</v>
          </cell>
          <cell r="G1126" t="e">
            <v>#N/A</v>
          </cell>
          <cell r="H1126" t="e">
            <v>#N/A</v>
          </cell>
          <cell r="I1126" t="e">
            <v>#N/A</v>
          </cell>
          <cell r="J1126" t="e">
            <v>#N/A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</row>
        <row r="1127">
          <cell r="B1127">
            <v>0</v>
          </cell>
          <cell r="C1127" t="e">
            <v>#N/A</v>
          </cell>
          <cell r="D1127" t="e">
            <v>#N/A</v>
          </cell>
          <cell r="E1127" t="e">
            <v>#N/A</v>
          </cell>
          <cell r="F1127" t="e">
            <v>#N/A</v>
          </cell>
          <cell r="G1127" t="e">
            <v>#N/A</v>
          </cell>
          <cell r="H1127" t="e">
            <v>#N/A</v>
          </cell>
          <cell r="I1127" t="e">
            <v>#N/A</v>
          </cell>
          <cell r="J1127" t="e">
            <v>#N/A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</row>
        <row r="1128">
          <cell r="B1128">
            <v>0</v>
          </cell>
          <cell r="C1128" t="e">
            <v>#N/A</v>
          </cell>
          <cell r="D1128" t="e">
            <v>#N/A</v>
          </cell>
          <cell r="E1128" t="e">
            <v>#N/A</v>
          </cell>
          <cell r="F1128" t="e">
            <v>#N/A</v>
          </cell>
          <cell r="G1128" t="e">
            <v>#N/A</v>
          </cell>
          <cell r="H1128" t="e">
            <v>#N/A</v>
          </cell>
          <cell r="I1128" t="e">
            <v>#N/A</v>
          </cell>
          <cell r="J1128" t="e">
            <v>#N/A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</row>
        <row r="1129">
          <cell r="B1129">
            <v>0</v>
          </cell>
          <cell r="C1129" t="e">
            <v>#N/A</v>
          </cell>
          <cell r="D1129" t="e">
            <v>#N/A</v>
          </cell>
          <cell r="E1129" t="e">
            <v>#N/A</v>
          </cell>
          <cell r="F1129" t="e">
            <v>#N/A</v>
          </cell>
          <cell r="G1129" t="e">
            <v>#N/A</v>
          </cell>
          <cell r="H1129" t="e">
            <v>#N/A</v>
          </cell>
          <cell r="I1129" t="e">
            <v>#N/A</v>
          </cell>
          <cell r="J1129" t="e">
            <v>#N/A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</row>
        <row r="1130">
          <cell r="B1130">
            <v>0</v>
          </cell>
          <cell r="C1130" t="e">
            <v>#N/A</v>
          </cell>
          <cell r="D1130" t="e">
            <v>#N/A</v>
          </cell>
          <cell r="E1130" t="e">
            <v>#N/A</v>
          </cell>
          <cell r="F1130" t="e">
            <v>#N/A</v>
          </cell>
          <cell r="G1130" t="e">
            <v>#N/A</v>
          </cell>
          <cell r="H1130" t="e">
            <v>#N/A</v>
          </cell>
          <cell r="I1130" t="e">
            <v>#N/A</v>
          </cell>
          <cell r="J1130" t="e">
            <v>#N/A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</row>
        <row r="1131">
          <cell r="B1131">
            <v>0</v>
          </cell>
          <cell r="C1131" t="e">
            <v>#N/A</v>
          </cell>
          <cell r="D1131" t="e">
            <v>#N/A</v>
          </cell>
          <cell r="E1131" t="e">
            <v>#N/A</v>
          </cell>
          <cell r="F1131" t="e">
            <v>#N/A</v>
          </cell>
          <cell r="G1131" t="e">
            <v>#N/A</v>
          </cell>
          <cell r="H1131" t="e">
            <v>#N/A</v>
          </cell>
          <cell r="I1131" t="e">
            <v>#N/A</v>
          </cell>
          <cell r="J1131" t="e">
            <v>#N/A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</row>
        <row r="1132">
          <cell r="B1132">
            <v>0</v>
          </cell>
          <cell r="C1132" t="e">
            <v>#N/A</v>
          </cell>
          <cell r="D1132" t="e">
            <v>#N/A</v>
          </cell>
          <cell r="E1132" t="e">
            <v>#N/A</v>
          </cell>
          <cell r="F1132" t="e">
            <v>#N/A</v>
          </cell>
          <cell r="G1132" t="e">
            <v>#N/A</v>
          </cell>
          <cell r="H1132" t="e">
            <v>#N/A</v>
          </cell>
          <cell r="I1132" t="e">
            <v>#N/A</v>
          </cell>
          <cell r="J1132" t="e">
            <v>#N/A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</row>
        <row r="1133">
          <cell r="B1133">
            <v>0</v>
          </cell>
          <cell r="C1133" t="e">
            <v>#N/A</v>
          </cell>
          <cell r="D1133" t="e">
            <v>#N/A</v>
          </cell>
          <cell r="E1133" t="e">
            <v>#N/A</v>
          </cell>
          <cell r="F1133" t="e">
            <v>#N/A</v>
          </cell>
          <cell r="G1133" t="e">
            <v>#N/A</v>
          </cell>
          <cell r="H1133" t="e">
            <v>#N/A</v>
          </cell>
          <cell r="I1133" t="e">
            <v>#N/A</v>
          </cell>
          <cell r="J1133" t="e">
            <v>#N/A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</row>
        <row r="1134">
          <cell r="B1134">
            <v>0</v>
          </cell>
          <cell r="C1134" t="e">
            <v>#N/A</v>
          </cell>
          <cell r="D1134" t="e">
            <v>#N/A</v>
          </cell>
          <cell r="E1134" t="e">
            <v>#N/A</v>
          </cell>
          <cell r="F1134" t="e">
            <v>#N/A</v>
          </cell>
          <cell r="G1134" t="e">
            <v>#N/A</v>
          </cell>
          <cell r="H1134" t="e">
            <v>#N/A</v>
          </cell>
          <cell r="I1134" t="e">
            <v>#N/A</v>
          </cell>
          <cell r="J1134" t="e">
            <v>#N/A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</row>
        <row r="1135">
          <cell r="B1135">
            <v>0</v>
          </cell>
          <cell r="C1135" t="e">
            <v>#N/A</v>
          </cell>
          <cell r="D1135" t="e">
            <v>#N/A</v>
          </cell>
          <cell r="E1135" t="e">
            <v>#N/A</v>
          </cell>
          <cell r="F1135" t="e">
            <v>#N/A</v>
          </cell>
          <cell r="G1135" t="e">
            <v>#N/A</v>
          </cell>
          <cell r="H1135" t="e">
            <v>#N/A</v>
          </cell>
          <cell r="I1135" t="e">
            <v>#N/A</v>
          </cell>
          <cell r="J1135" t="e">
            <v>#N/A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</row>
        <row r="1136">
          <cell r="B1136">
            <v>0</v>
          </cell>
          <cell r="C1136" t="e">
            <v>#N/A</v>
          </cell>
          <cell r="D1136" t="e">
            <v>#N/A</v>
          </cell>
          <cell r="E1136" t="e">
            <v>#N/A</v>
          </cell>
          <cell r="F1136" t="e">
            <v>#N/A</v>
          </cell>
          <cell r="G1136" t="e">
            <v>#N/A</v>
          </cell>
          <cell r="H1136" t="e">
            <v>#N/A</v>
          </cell>
          <cell r="I1136" t="e">
            <v>#N/A</v>
          </cell>
          <cell r="J1136" t="e">
            <v>#N/A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</row>
        <row r="1137">
          <cell r="B1137">
            <v>0</v>
          </cell>
          <cell r="C1137" t="e">
            <v>#N/A</v>
          </cell>
          <cell r="D1137" t="e">
            <v>#N/A</v>
          </cell>
          <cell r="E1137" t="e">
            <v>#N/A</v>
          </cell>
          <cell r="F1137" t="e">
            <v>#N/A</v>
          </cell>
          <cell r="G1137" t="e">
            <v>#N/A</v>
          </cell>
          <cell r="H1137" t="e">
            <v>#N/A</v>
          </cell>
          <cell r="I1137" t="e">
            <v>#N/A</v>
          </cell>
          <cell r="J1137" t="e">
            <v>#N/A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</row>
        <row r="1138">
          <cell r="B1138">
            <v>0</v>
          </cell>
          <cell r="C1138" t="e">
            <v>#N/A</v>
          </cell>
          <cell r="D1138" t="e">
            <v>#N/A</v>
          </cell>
          <cell r="E1138" t="e">
            <v>#N/A</v>
          </cell>
          <cell r="F1138" t="e">
            <v>#N/A</v>
          </cell>
          <cell r="G1138" t="e">
            <v>#N/A</v>
          </cell>
          <cell r="H1138" t="e">
            <v>#N/A</v>
          </cell>
          <cell r="I1138" t="e">
            <v>#N/A</v>
          </cell>
          <cell r="J1138" t="e">
            <v>#N/A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</row>
        <row r="1139">
          <cell r="B1139">
            <v>0</v>
          </cell>
          <cell r="C1139" t="e">
            <v>#N/A</v>
          </cell>
          <cell r="D1139" t="e">
            <v>#N/A</v>
          </cell>
          <cell r="E1139" t="e">
            <v>#N/A</v>
          </cell>
          <cell r="F1139" t="e">
            <v>#N/A</v>
          </cell>
          <cell r="G1139" t="e">
            <v>#N/A</v>
          </cell>
          <cell r="H1139" t="e">
            <v>#N/A</v>
          </cell>
          <cell r="I1139" t="e">
            <v>#N/A</v>
          </cell>
          <cell r="J1139" t="e">
            <v>#N/A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</row>
        <row r="1140">
          <cell r="B1140">
            <v>0</v>
          </cell>
          <cell r="C1140" t="e">
            <v>#N/A</v>
          </cell>
          <cell r="D1140" t="e">
            <v>#N/A</v>
          </cell>
          <cell r="E1140" t="e">
            <v>#N/A</v>
          </cell>
          <cell r="F1140" t="e">
            <v>#N/A</v>
          </cell>
          <cell r="G1140" t="e">
            <v>#N/A</v>
          </cell>
          <cell r="H1140" t="e">
            <v>#N/A</v>
          </cell>
          <cell r="I1140" t="e">
            <v>#N/A</v>
          </cell>
          <cell r="J1140" t="e">
            <v>#N/A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</row>
        <row r="1141">
          <cell r="B1141">
            <v>0</v>
          </cell>
          <cell r="C1141" t="e">
            <v>#N/A</v>
          </cell>
          <cell r="D1141" t="e">
            <v>#N/A</v>
          </cell>
          <cell r="E1141" t="e">
            <v>#N/A</v>
          </cell>
          <cell r="F1141" t="e">
            <v>#N/A</v>
          </cell>
          <cell r="G1141" t="e">
            <v>#N/A</v>
          </cell>
          <cell r="H1141" t="e">
            <v>#N/A</v>
          </cell>
          <cell r="I1141" t="e">
            <v>#N/A</v>
          </cell>
          <cell r="J1141" t="e">
            <v>#N/A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</row>
        <row r="1142">
          <cell r="B1142">
            <v>0</v>
          </cell>
          <cell r="C1142" t="e">
            <v>#N/A</v>
          </cell>
          <cell r="D1142" t="e">
            <v>#N/A</v>
          </cell>
          <cell r="E1142" t="e">
            <v>#N/A</v>
          </cell>
          <cell r="F1142" t="e">
            <v>#N/A</v>
          </cell>
          <cell r="G1142" t="e">
            <v>#N/A</v>
          </cell>
          <cell r="H1142" t="e">
            <v>#N/A</v>
          </cell>
          <cell r="I1142" t="e">
            <v>#N/A</v>
          </cell>
          <cell r="J1142" t="e">
            <v>#N/A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</row>
        <row r="1143">
          <cell r="B1143">
            <v>0</v>
          </cell>
          <cell r="C1143" t="e">
            <v>#N/A</v>
          </cell>
          <cell r="D1143" t="e">
            <v>#N/A</v>
          </cell>
          <cell r="E1143" t="e">
            <v>#N/A</v>
          </cell>
          <cell r="F1143" t="e">
            <v>#N/A</v>
          </cell>
          <cell r="G1143" t="e">
            <v>#N/A</v>
          </cell>
          <cell r="H1143" t="e">
            <v>#N/A</v>
          </cell>
          <cell r="I1143" t="e">
            <v>#N/A</v>
          </cell>
          <cell r="J1143" t="e">
            <v>#N/A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</row>
        <row r="1144">
          <cell r="B1144">
            <v>0</v>
          </cell>
          <cell r="C1144" t="e">
            <v>#N/A</v>
          </cell>
          <cell r="D1144" t="e">
            <v>#N/A</v>
          </cell>
          <cell r="E1144" t="e">
            <v>#N/A</v>
          </cell>
          <cell r="F1144" t="e">
            <v>#N/A</v>
          </cell>
          <cell r="G1144" t="e">
            <v>#N/A</v>
          </cell>
          <cell r="H1144" t="e">
            <v>#N/A</v>
          </cell>
          <cell r="I1144" t="e">
            <v>#N/A</v>
          </cell>
          <cell r="J1144" t="e">
            <v>#N/A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</row>
        <row r="1145">
          <cell r="B1145">
            <v>0</v>
          </cell>
          <cell r="C1145" t="e">
            <v>#N/A</v>
          </cell>
          <cell r="D1145" t="e">
            <v>#N/A</v>
          </cell>
          <cell r="E1145" t="e">
            <v>#N/A</v>
          </cell>
          <cell r="F1145" t="e">
            <v>#N/A</v>
          </cell>
          <cell r="G1145" t="e">
            <v>#N/A</v>
          </cell>
          <cell r="H1145" t="e">
            <v>#N/A</v>
          </cell>
          <cell r="I1145" t="e">
            <v>#N/A</v>
          </cell>
          <cell r="J1145" t="e">
            <v>#N/A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</row>
        <row r="1146">
          <cell r="B1146">
            <v>0</v>
          </cell>
          <cell r="C1146" t="e">
            <v>#N/A</v>
          </cell>
          <cell r="D1146" t="e">
            <v>#N/A</v>
          </cell>
          <cell r="E1146" t="e">
            <v>#N/A</v>
          </cell>
          <cell r="F1146" t="e">
            <v>#N/A</v>
          </cell>
          <cell r="G1146" t="e">
            <v>#N/A</v>
          </cell>
          <cell r="H1146" t="e">
            <v>#N/A</v>
          </cell>
          <cell r="I1146" t="e">
            <v>#N/A</v>
          </cell>
          <cell r="J1146" t="e">
            <v>#N/A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</row>
        <row r="1147">
          <cell r="B1147">
            <v>0</v>
          </cell>
          <cell r="C1147" t="e">
            <v>#N/A</v>
          </cell>
          <cell r="D1147" t="e">
            <v>#N/A</v>
          </cell>
          <cell r="E1147" t="e">
            <v>#N/A</v>
          </cell>
          <cell r="F1147" t="e">
            <v>#N/A</v>
          </cell>
          <cell r="G1147" t="e">
            <v>#N/A</v>
          </cell>
          <cell r="H1147" t="e">
            <v>#N/A</v>
          </cell>
          <cell r="I1147" t="e">
            <v>#N/A</v>
          </cell>
          <cell r="J1147" t="e">
            <v>#N/A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</row>
        <row r="1148">
          <cell r="B1148">
            <v>0</v>
          </cell>
          <cell r="C1148" t="e">
            <v>#N/A</v>
          </cell>
          <cell r="D1148" t="e">
            <v>#N/A</v>
          </cell>
          <cell r="E1148" t="e">
            <v>#N/A</v>
          </cell>
          <cell r="F1148" t="e">
            <v>#N/A</v>
          </cell>
          <cell r="G1148" t="e">
            <v>#N/A</v>
          </cell>
          <cell r="H1148" t="e">
            <v>#N/A</v>
          </cell>
          <cell r="I1148" t="e">
            <v>#N/A</v>
          </cell>
          <cell r="J1148" t="e">
            <v>#N/A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</row>
        <row r="1149">
          <cell r="B1149">
            <v>0</v>
          </cell>
          <cell r="C1149" t="e">
            <v>#N/A</v>
          </cell>
          <cell r="D1149" t="e">
            <v>#N/A</v>
          </cell>
          <cell r="E1149" t="e">
            <v>#N/A</v>
          </cell>
          <cell r="F1149" t="e">
            <v>#N/A</v>
          </cell>
          <cell r="G1149" t="e">
            <v>#N/A</v>
          </cell>
          <cell r="H1149" t="e">
            <v>#N/A</v>
          </cell>
          <cell r="I1149" t="e">
            <v>#N/A</v>
          </cell>
          <cell r="J1149" t="e">
            <v>#N/A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</row>
        <row r="1150">
          <cell r="B1150">
            <v>0</v>
          </cell>
          <cell r="C1150" t="e">
            <v>#N/A</v>
          </cell>
          <cell r="D1150" t="e">
            <v>#N/A</v>
          </cell>
          <cell r="E1150" t="e">
            <v>#N/A</v>
          </cell>
          <cell r="F1150" t="e">
            <v>#N/A</v>
          </cell>
          <cell r="G1150" t="e">
            <v>#N/A</v>
          </cell>
          <cell r="H1150" t="e">
            <v>#N/A</v>
          </cell>
          <cell r="I1150" t="e">
            <v>#N/A</v>
          </cell>
          <cell r="J1150" t="e">
            <v>#N/A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</row>
        <row r="1151">
          <cell r="B1151">
            <v>0</v>
          </cell>
          <cell r="C1151" t="e">
            <v>#N/A</v>
          </cell>
          <cell r="D1151" t="e">
            <v>#N/A</v>
          </cell>
          <cell r="E1151" t="e">
            <v>#N/A</v>
          </cell>
          <cell r="F1151" t="e">
            <v>#N/A</v>
          </cell>
          <cell r="G1151" t="e">
            <v>#N/A</v>
          </cell>
          <cell r="H1151" t="e">
            <v>#N/A</v>
          </cell>
          <cell r="I1151" t="e">
            <v>#N/A</v>
          </cell>
          <cell r="J1151" t="e">
            <v>#N/A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</row>
        <row r="1152">
          <cell r="B1152">
            <v>0</v>
          </cell>
          <cell r="C1152" t="e">
            <v>#N/A</v>
          </cell>
          <cell r="D1152" t="e">
            <v>#N/A</v>
          </cell>
          <cell r="E1152" t="e">
            <v>#N/A</v>
          </cell>
          <cell r="F1152" t="e">
            <v>#N/A</v>
          </cell>
          <cell r="G1152" t="e">
            <v>#N/A</v>
          </cell>
          <cell r="H1152" t="e">
            <v>#N/A</v>
          </cell>
          <cell r="I1152" t="e">
            <v>#N/A</v>
          </cell>
          <cell r="J1152" t="e">
            <v>#N/A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</row>
        <row r="1153">
          <cell r="B1153">
            <v>0</v>
          </cell>
          <cell r="C1153" t="e">
            <v>#N/A</v>
          </cell>
          <cell r="D1153" t="e">
            <v>#N/A</v>
          </cell>
          <cell r="E1153" t="e">
            <v>#N/A</v>
          </cell>
          <cell r="F1153" t="e">
            <v>#N/A</v>
          </cell>
          <cell r="G1153" t="e">
            <v>#N/A</v>
          </cell>
          <cell r="H1153" t="e">
            <v>#N/A</v>
          </cell>
          <cell r="I1153" t="e">
            <v>#N/A</v>
          </cell>
          <cell r="J1153" t="e">
            <v>#N/A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</row>
        <row r="1154">
          <cell r="B1154">
            <v>0</v>
          </cell>
          <cell r="C1154" t="e">
            <v>#N/A</v>
          </cell>
          <cell r="D1154" t="e">
            <v>#N/A</v>
          </cell>
          <cell r="E1154" t="e">
            <v>#N/A</v>
          </cell>
          <cell r="F1154" t="e">
            <v>#N/A</v>
          </cell>
          <cell r="G1154" t="e">
            <v>#N/A</v>
          </cell>
          <cell r="H1154" t="e">
            <v>#N/A</v>
          </cell>
          <cell r="I1154" t="e">
            <v>#N/A</v>
          </cell>
          <cell r="J1154" t="e">
            <v>#N/A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</row>
        <row r="1155">
          <cell r="B1155">
            <v>0</v>
          </cell>
          <cell r="C1155" t="e">
            <v>#N/A</v>
          </cell>
          <cell r="D1155" t="e">
            <v>#N/A</v>
          </cell>
          <cell r="E1155" t="e">
            <v>#N/A</v>
          </cell>
          <cell r="F1155" t="e">
            <v>#N/A</v>
          </cell>
          <cell r="G1155" t="e">
            <v>#N/A</v>
          </cell>
          <cell r="H1155" t="e">
            <v>#N/A</v>
          </cell>
          <cell r="I1155" t="e">
            <v>#N/A</v>
          </cell>
          <cell r="J1155" t="e">
            <v>#N/A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</row>
        <row r="1156">
          <cell r="B1156">
            <v>0</v>
          </cell>
          <cell r="C1156" t="e">
            <v>#N/A</v>
          </cell>
          <cell r="D1156" t="e">
            <v>#N/A</v>
          </cell>
          <cell r="E1156" t="e">
            <v>#N/A</v>
          </cell>
          <cell r="F1156" t="e">
            <v>#N/A</v>
          </cell>
          <cell r="G1156" t="e">
            <v>#N/A</v>
          </cell>
          <cell r="H1156" t="e">
            <v>#N/A</v>
          </cell>
          <cell r="I1156" t="e">
            <v>#N/A</v>
          </cell>
          <cell r="J1156" t="e">
            <v>#N/A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</row>
        <row r="1157">
          <cell r="B1157">
            <v>0</v>
          </cell>
          <cell r="C1157" t="e">
            <v>#N/A</v>
          </cell>
          <cell r="D1157" t="e">
            <v>#N/A</v>
          </cell>
          <cell r="E1157" t="e">
            <v>#N/A</v>
          </cell>
          <cell r="F1157" t="e">
            <v>#N/A</v>
          </cell>
          <cell r="G1157" t="e">
            <v>#N/A</v>
          </cell>
          <cell r="H1157" t="e">
            <v>#N/A</v>
          </cell>
          <cell r="I1157" t="e">
            <v>#N/A</v>
          </cell>
          <cell r="J1157" t="e">
            <v>#N/A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</row>
        <row r="1158">
          <cell r="B1158">
            <v>0</v>
          </cell>
          <cell r="C1158" t="e">
            <v>#N/A</v>
          </cell>
          <cell r="D1158" t="e">
            <v>#N/A</v>
          </cell>
          <cell r="E1158" t="e">
            <v>#N/A</v>
          </cell>
          <cell r="F1158" t="e">
            <v>#N/A</v>
          </cell>
          <cell r="G1158" t="e">
            <v>#N/A</v>
          </cell>
          <cell r="H1158" t="e">
            <v>#N/A</v>
          </cell>
          <cell r="I1158" t="e">
            <v>#N/A</v>
          </cell>
          <cell r="J1158" t="e">
            <v>#N/A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</row>
        <row r="1159">
          <cell r="B1159">
            <v>0</v>
          </cell>
          <cell r="C1159" t="e">
            <v>#N/A</v>
          </cell>
          <cell r="D1159" t="e">
            <v>#N/A</v>
          </cell>
          <cell r="E1159" t="e">
            <v>#N/A</v>
          </cell>
          <cell r="F1159" t="e">
            <v>#N/A</v>
          </cell>
          <cell r="G1159" t="e">
            <v>#N/A</v>
          </cell>
          <cell r="H1159" t="e">
            <v>#N/A</v>
          </cell>
          <cell r="I1159" t="e">
            <v>#N/A</v>
          </cell>
          <cell r="J1159" t="e">
            <v>#N/A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</row>
        <row r="1160">
          <cell r="B1160">
            <v>0</v>
          </cell>
          <cell r="C1160" t="e">
            <v>#N/A</v>
          </cell>
          <cell r="D1160" t="e">
            <v>#N/A</v>
          </cell>
          <cell r="E1160" t="e">
            <v>#N/A</v>
          </cell>
          <cell r="F1160" t="e">
            <v>#N/A</v>
          </cell>
          <cell r="G1160" t="e">
            <v>#N/A</v>
          </cell>
          <cell r="H1160" t="e">
            <v>#N/A</v>
          </cell>
          <cell r="I1160" t="e">
            <v>#N/A</v>
          </cell>
          <cell r="J1160" t="e">
            <v>#N/A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</row>
        <row r="1161">
          <cell r="B1161">
            <v>0</v>
          </cell>
          <cell r="C1161" t="e">
            <v>#N/A</v>
          </cell>
          <cell r="D1161" t="e">
            <v>#N/A</v>
          </cell>
          <cell r="E1161" t="e">
            <v>#N/A</v>
          </cell>
          <cell r="F1161" t="e">
            <v>#N/A</v>
          </cell>
          <cell r="G1161" t="e">
            <v>#N/A</v>
          </cell>
          <cell r="H1161" t="e">
            <v>#N/A</v>
          </cell>
          <cell r="I1161" t="e">
            <v>#N/A</v>
          </cell>
          <cell r="J1161" t="e">
            <v>#N/A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</row>
        <row r="1162">
          <cell r="B1162">
            <v>0</v>
          </cell>
          <cell r="C1162" t="e">
            <v>#N/A</v>
          </cell>
          <cell r="D1162" t="e">
            <v>#N/A</v>
          </cell>
          <cell r="E1162" t="e">
            <v>#N/A</v>
          </cell>
          <cell r="F1162" t="e">
            <v>#N/A</v>
          </cell>
          <cell r="G1162" t="e">
            <v>#N/A</v>
          </cell>
          <cell r="H1162" t="e">
            <v>#N/A</v>
          </cell>
          <cell r="I1162" t="e">
            <v>#N/A</v>
          </cell>
          <cell r="J1162" t="e">
            <v>#N/A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</row>
        <row r="1163">
          <cell r="B1163">
            <v>0</v>
          </cell>
          <cell r="C1163" t="e">
            <v>#N/A</v>
          </cell>
          <cell r="D1163" t="e">
            <v>#N/A</v>
          </cell>
          <cell r="E1163" t="e">
            <v>#N/A</v>
          </cell>
          <cell r="F1163" t="e">
            <v>#N/A</v>
          </cell>
          <cell r="G1163" t="e">
            <v>#N/A</v>
          </cell>
          <cell r="H1163" t="e">
            <v>#N/A</v>
          </cell>
          <cell r="I1163" t="e">
            <v>#N/A</v>
          </cell>
          <cell r="J1163" t="e">
            <v>#N/A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</row>
        <row r="1164">
          <cell r="B1164">
            <v>0</v>
          </cell>
          <cell r="C1164" t="e">
            <v>#N/A</v>
          </cell>
          <cell r="D1164" t="e">
            <v>#N/A</v>
          </cell>
          <cell r="E1164" t="e">
            <v>#N/A</v>
          </cell>
          <cell r="F1164" t="e">
            <v>#N/A</v>
          </cell>
          <cell r="G1164" t="e">
            <v>#N/A</v>
          </cell>
          <cell r="H1164" t="e">
            <v>#N/A</v>
          </cell>
          <cell r="I1164" t="e">
            <v>#N/A</v>
          </cell>
          <cell r="J1164" t="e">
            <v>#N/A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</row>
        <row r="1165">
          <cell r="B1165">
            <v>0</v>
          </cell>
          <cell r="C1165" t="e">
            <v>#N/A</v>
          </cell>
          <cell r="D1165" t="e">
            <v>#N/A</v>
          </cell>
          <cell r="E1165" t="e">
            <v>#N/A</v>
          </cell>
          <cell r="F1165" t="e">
            <v>#N/A</v>
          </cell>
          <cell r="G1165" t="e">
            <v>#N/A</v>
          </cell>
          <cell r="H1165" t="e">
            <v>#N/A</v>
          </cell>
          <cell r="I1165" t="e">
            <v>#N/A</v>
          </cell>
          <cell r="J1165" t="e">
            <v>#N/A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</row>
        <row r="1166">
          <cell r="B1166">
            <v>0</v>
          </cell>
          <cell r="C1166" t="e">
            <v>#N/A</v>
          </cell>
          <cell r="D1166" t="e">
            <v>#N/A</v>
          </cell>
          <cell r="E1166" t="e">
            <v>#N/A</v>
          </cell>
          <cell r="F1166" t="e">
            <v>#N/A</v>
          </cell>
          <cell r="G1166" t="e">
            <v>#N/A</v>
          </cell>
          <cell r="H1166" t="e">
            <v>#N/A</v>
          </cell>
          <cell r="I1166" t="e">
            <v>#N/A</v>
          </cell>
          <cell r="J1166" t="e">
            <v>#N/A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</row>
        <row r="1167">
          <cell r="B1167">
            <v>0</v>
          </cell>
          <cell r="C1167" t="e">
            <v>#N/A</v>
          </cell>
          <cell r="D1167" t="e">
            <v>#N/A</v>
          </cell>
          <cell r="E1167" t="e">
            <v>#N/A</v>
          </cell>
          <cell r="F1167" t="e">
            <v>#N/A</v>
          </cell>
          <cell r="G1167" t="e">
            <v>#N/A</v>
          </cell>
          <cell r="H1167" t="e">
            <v>#N/A</v>
          </cell>
          <cell r="I1167" t="e">
            <v>#N/A</v>
          </cell>
          <cell r="J1167" t="e">
            <v>#N/A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</row>
        <row r="1168">
          <cell r="B1168">
            <v>0</v>
          </cell>
          <cell r="C1168" t="e">
            <v>#N/A</v>
          </cell>
          <cell r="D1168" t="e">
            <v>#N/A</v>
          </cell>
          <cell r="E1168" t="e">
            <v>#N/A</v>
          </cell>
          <cell r="F1168" t="e">
            <v>#N/A</v>
          </cell>
          <cell r="G1168" t="e">
            <v>#N/A</v>
          </cell>
          <cell r="H1168" t="e">
            <v>#N/A</v>
          </cell>
          <cell r="I1168" t="e">
            <v>#N/A</v>
          </cell>
          <cell r="J1168" t="e">
            <v>#N/A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</row>
        <row r="1169">
          <cell r="B1169">
            <v>0</v>
          </cell>
          <cell r="C1169" t="e">
            <v>#N/A</v>
          </cell>
          <cell r="D1169" t="e">
            <v>#N/A</v>
          </cell>
          <cell r="E1169" t="e">
            <v>#N/A</v>
          </cell>
          <cell r="F1169" t="e">
            <v>#N/A</v>
          </cell>
          <cell r="G1169" t="e">
            <v>#N/A</v>
          </cell>
          <cell r="H1169" t="e">
            <v>#N/A</v>
          </cell>
          <cell r="I1169" t="e">
            <v>#N/A</v>
          </cell>
          <cell r="J1169" t="e">
            <v>#N/A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</row>
        <row r="1170">
          <cell r="B1170">
            <v>0</v>
          </cell>
          <cell r="C1170" t="e">
            <v>#N/A</v>
          </cell>
          <cell r="D1170" t="e">
            <v>#N/A</v>
          </cell>
          <cell r="E1170" t="e">
            <v>#N/A</v>
          </cell>
          <cell r="F1170" t="e">
            <v>#N/A</v>
          </cell>
          <cell r="G1170" t="e">
            <v>#N/A</v>
          </cell>
          <cell r="H1170" t="e">
            <v>#N/A</v>
          </cell>
          <cell r="I1170" t="e">
            <v>#N/A</v>
          </cell>
          <cell r="J1170" t="e">
            <v>#N/A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</row>
        <row r="1171">
          <cell r="B1171">
            <v>0</v>
          </cell>
          <cell r="C1171" t="e">
            <v>#N/A</v>
          </cell>
          <cell r="D1171" t="e">
            <v>#N/A</v>
          </cell>
          <cell r="E1171" t="e">
            <v>#N/A</v>
          </cell>
          <cell r="F1171" t="e">
            <v>#N/A</v>
          </cell>
          <cell r="G1171" t="e">
            <v>#N/A</v>
          </cell>
          <cell r="H1171" t="e">
            <v>#N/A</v>
          </cell>
          <cell r="I1171" t="e">
            <v>#N/A</v>
          </cell>
          <cell r="J1171" t="e">
            <v>#N/A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</row>
        <row r="1172">
          <cell r="B1172">
            <v>0</v>
          </cell>
          <cell r="C1172" t="e">
            <v>#N/A</v>
          </cell>
          <cell r="D1172" t="e">
            <v>#N/A</v>
          </cell>
          <cell r="E1172" t="e">
            <v>#N/A</v>
          </cell>
          <cell r="F1172" t="e">
            <v>#N/A</v>
          </cell>
          <cell r="G1172" t="e">
            <v>#N/A</v>
          </cell>
          <cell r="H1172" t="e">
            <v>#N/A</v>
          </cell>
          <cell r="I1172" t="e">
            <v>#N/A</v>
          </cell>
          <cell r="J1172" t="e">
            <v>#N/A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</row>
        <row r="1173">
          <cell r="B1173">
            <v>0</v>
          </cell>
          <cell r="C1173" t="e">
            <v>#N/A</v>
          </cell>
          <cell r="D1173" t="e">
            <v>#N/A</v>
          </cell>
          <cell r="E1173" t="e">
            <v>#N/A</v>
          </cell>
          <cell r="F1173" t="e">
            <v>#N/A</v>
          </cell>
          <cell r="G1173" t="e">
            <v>#N/A</v>
          </cell>
          <cell r="H1173" t="e">
            <v>#N/A</v>
          </cell>
          <cell r="I1173" t="e">
            <v>#N/A</v>
          </cell>
          <cell r="J1173" t="e">
            <v>#N/A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</row>
        <row r="1174">
          <cell r="B1174">
            <v>0</v>
          </cell>
          <cell r="C1174" t="e">
            <v>#N/A</v>
          </cell>
          <cell r="D1174" t="e">
            <v>#N/A</v>
          </cell>
          <cell r="E1174" t="e">
            <v>#N/A</v>
          </cell>
          <cell r="F1174" t="e">
            <v>#N/A</v>
          </cell>
          <cell r="G1174" t="e">
            <v>#N/A</v>
          </cell>
          <cell r="H1174" t="e">
            <v>#N/A</v>
          </cell>
          <cell r="I1174" t="e">
            <v>#N/A</v>
          </cell>
          <cell r="J1174" t="e">
            <v>#N/A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</row>
        <row r="1175">
          <cell r="B1175">
            <v>0</v>
          </cell>
          <cell r="C1175" t="e">
            <v>#N/A</v>
          </cell>
          <cell r="D1175" t="e">
            <v>#N/A</v>
          </cell>
          <cell r="E1175" t="e">
            <v>#N/A</v>
          </cell>
          <cell r="F1175" t="e">
            <v>#N/A</v>
          </cell>
          <cell r="G1175" t="e">
            <v>#N/A</v>
          </cell>
          <cell r="H1175" t="e">
            <v>#N/A</v>
          </cell>
          <cell r="I1175" t="e">
            <v>#N/A</v>
          </cell>
          <cell r="J1175" t="e">
            <v>#N/A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</row>
        <row r="1176">
          <cell r="B1176">
            <v>0</v>
          </cell>
          <cell r="C1176" t="e">
            <v>#N/A</v>
          </cell>
          <cell r="D1176" t="e">
            <v>#N/A</v>
          </cell>
          <cell r="E1176" t="e">
            <v>#N/A</v>
          </cell>
          <cell r="F1176" t="e">
            <v>#N/A</v>
          </cell>
          <cell r="G1176" t="e">
            <v>#N/A</v>
          </cell>
          <cell r="H1176" t="e">
            <v>#N/A</v>
          </cell>
          <cell r="I1176" t="e">
            <v>#N/A</v>
          </cell>
          <cell r="J1176" t="e">
            <v>#N/A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</row>
        <row r="1177">
          <cell r="B1177">
            <v>0</v>
          </cell>
          <cell r="C1177" t="e">
            <v>#N/A</v>
          </cell>
          <cell r="D1177" t="e">
            <v>#N/A</v>
          </cell>
          <cell r="E1177" t="e">
            <v>#N/A</v>
          </cell>
          <cell r="F1177" t="e">
            <v>#N/A</v>
          </cell>
          <cell r="G1177" t="e">
            <v>#N/A</v>
          </cell>
          <cell r="H1177" t="e">
            <v>#N/A</v>
          </cell>
          <cell r="I1177" t="e">
            <v>#N/A</v>
          </cell>
          <cell r="J1177" t="e">
            <v>#N/A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</row>
        <row r="1178">
          <cell r="B1178">
            <v>0</v>
          </cell>
          <cell r="C1178" t="e">
            <v>#N/A</v>
          </cell>
          <cell r="D1178" t="e">
            <v>#N/A</v>
          </cell>
          <cell r="E1178" t="e">
            <v>#N/A</v>
          </cell>
          <cell r="F1178" t="e">
            <v>#N/A</v>
          </cell>
          <cell r="G1178" t="e">
            <v>#N/A</v>
          </cell>
          <cell r="H1178" t="e">
            <v>#N/A</v>
          </cell>
          <cell r="I1178" t="e">
            <v>#N/A</v>
          </cell>
          <cell r="J1178" t="e">
            <v>#N/A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</row>
        <row r="1179">
          <cell r="B1179">
            <v>0</v>
          </cell>
          <cell r="C1179" t="e">
            <v>#N/A</v>
          </cell>
          <cell r="D1179" t="e">
            <v>#N/A</v>
          </cell>
          <cell r="E1179" t="e">
            <v>#N/A</v>
          </cell>
          <cell r="F1179" t="e">
            <v>#N/A</v>
          </cell>
          <cell r="G1179" t="e">
            <v>#N/A</v>
          </cell>
          <cell r="H1179" t="e">
            <v>#N/A</v>
          </cell>
          <cell r="I1179" t="e">
            <v>#N/A</v>
          </cell>
          <cell r="J1179" t="e">
            <v>#N/A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</row>
        <row r="1180">
          <cell r="B1180">
            <v>0</v>
          </cell>
          <cell r="C1180" t="e">
            <v>#N/A</v>
          </cell>
          <cell r="D1180" t="e">
            <v>#N/A</v>
          </cell>
          <cell r="E1180" t="e">
            <v>#N/A</v>
          </cell>
          <cell r="F1180" t="e">
            <v>#N/A</v>
          </cell>
          <cell r="G1180" t="e">
            <v>#N/A</v>
          </cell>
          <cell r="H1180" t="e">
            <v>#N/A</v>
          </cell>
          <cell r="I1180" t="e">
            <v>#N/A</v>
          </cell>
          <cell r="J1180" t="e">
            <v>#N/A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</row>
        <row r="1181">
          <cell r="B1181">
            <v>0</v>
          </cell>
          <cell r="C1181" t="e">
            <v>#N/A</v>
          </cell>
          <cell r="D1181" t="e">
            <v>#N/A</v>
          </cell>
          <cell r="E1181" t="e">
            <v>#N/A</v>
          </cell>
          <cell r="F1181" t="e">
            <v>#N/A</v>
          </cell>
          <cell r="G1181" t="e">
            <v>#N/A</v>
          </cell>
          <cell r="H1181" t="e">
            <v>#N/A</v>
          </cell>
          <cell r="I1181" t="e">
            <v>#N/A</v>
          </cell>
          <cell r="J1181" t="e">
            <v>#N/A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</row>
        <row r="1182">
          <cell r="B1182">
            <v>0</v>
          </cell>
          <cell r="C1182" t="e">
            <v>#N/A</v>
          </cell>
          <cell r="D1182" t="e">
            <v>#N/A</v>
          </cell>
          <cell r="E1182" t="e">
            <v>#N/A</v>
          </cell>
          <cell r="F1182" t="e">
            <v>#N/A</v>
          </cell>
          <cell r="G1182" t="e">
            <v>#N/A</v>
          </cell>
          <cell r="H1182" t="e">
            <v>#N/A</v>
          </cell>
          <cell r="I1182" t="e">
            <v>#N/A</v>
          </cell>
          <cell r="J1182" t="e">
            <v>#N/A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</row>
        <row r="1183">
          <cell r="B1183">
            <v>0</v>
          </cell>
          <cell r="C1183" t="e">
            <v>#N/A</v>
          </cell>
          <cell r="D1183" t="e">
            <v>#N/A</v>
          </cell>
          <cell r="E1183" t="e">
            <v>#N/A</v>
          </cell>
          <cell r="F1183" t="e">
            <v>#N/A</v>
          </cell>
          <cell r="G1183" t="e">
            <v>#N/A</v>
          </cell>
          <cell r="H1183" t="e">
            <v>#N/A</v>
          </cell>
          <cell r="I1183" t="e">
            <v>#N/A</v>
          </cell>
          <cell r="J1183" t="e">
            <v>#N/A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</row>
        <row r="1184">
          <cell r="B1184">
            <v>0</v>
          </cell>
          <cell r="C1184" t="e">
            <v>#N/A</v>
          </cell>
          <cell r="D1184" t="e">
            <v>#N/A</v>
          </cell>
          <cell r="E1184" t="e">
            <v>#N/A</v>
          </cell>
          <cell r="F1184" t="e">
            <v>#N/A</v>
          </cell>
          <cell r="G1184" t="e">
            <v>#N/A</v>
          </cell>
          <cell r="H1184" t="e">
            <v>#N/A</v>
          </cell>
          <cell r="I1184" t="e">
            <v>#N/A</v>
          </cell>
          <cell r="J1184" t="e">
            <v>#N/A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</row>
        <row r="1185">
          <cell r="B1185">
            <v>0</v>
          </cell>
          <cell r="C1185" t="e">
            <v>#N/A</v>
          </cell>
          <cell r="D1185" t="e">
            <v>#N/A</v>
          </cell>
          <cell r="E1185" t="e">
            <v>#N/A</v>
          </cell>
          <cell r="F1185" t="e">
            <v>#N/A</v>
          </cell>
          <cell r="G1185" t="e">
            <v>#N/A</v>
          </cell>
          <cell r="H1185" t="e">
            <v>#N/A</v>
          </cell>
          <cell r="I1185" t="e">
            <v>#N/A</v>
          </cell>
          <cell r="J1185" t="e">
            <v>#N/A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</row>
        <row r="1186">
          <cell r="B1186">
            <v>0</v>
          </cell>
          <cell r="C1186" t="e">
            <v>#N/A</v>
          </cell>
          <cell r="D1186" t="e">
            <v>#N/A</v>
          </cell>
          <cell r="E1186" t="e">
            <v>#N/A</v>
          </cell>
          <cell r="F1186" t="e">
            <v>#N/A</v>
          </cell>
          <cell r="G1186" t="e">
            <v>#N/A</v>
          </cell>
          <cell r="H1186" t="e">
            <v>#N/A</v>
          </cell>
          <cell r="I1186" t="e">
            <v>#N/A</v>
          </cell>
          <cell r="J1186" t="e">
            <v>#N/A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</row>
        <row r="1187">
          <cell r="B1187">
            <v>0</v>
          </cell>
          <cell r="C1187" t="e">
            <v>#N/A</v>
          </cell>
          <cell r="D1187" t="e">
            <v>#N/A</v>
          </cell>
          <cell r="E1187" t="e">
            <v>#N/A</v>
          </cell>
          <cell r="F1187" t="e">
            <v>#N/A</v>
          </cell>
          <cell r="G1187" t="e">
            <v>#N/A</v>
          </cell>
          <cell r="H1187" t="e">
            <v>#N/A</v>
          </cell>
          <cell r="I1187" t="e">
            <v>#N/A</v>
          </cell>
          <cell r="J1187" t="e">
            <v>#N/A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</row>
        <row r="1188">
          <cell r="B1188" t="e">
            <v>#VALUE!</v>
          </cell>
          <cell r="C1188" t="e">
            <v>#VALUE!</v>
          </cell>
          <cell r="D1188" t="e">
            <v>#VALUE!</v>
          </cell>
          <cell r="E1188" t="e">
            <v>#VALUE!</v>
          </cell>
          <cell r="F1188" t="e">
            <v>#VALUE!</v>
          </cell>
          <cell r="G1188" t="e">
            <v>#VALUE!</v>
          </cell>
          <cell r="H1188" t="e">
            <v>#VALUE!</v>
          </cell>
          <cell r="I1188" t="e">
            <v>#VALUE!</v>
          </cell>
          <cell r="J1188" t="e">
            <v>#VALUE!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</row>
        <row r="1189">
          <cell r="B1189" t="e">
            <v>#VALUE!</v>
          </cell>
          <cell r="C1189" t="e">
            <v>#VALUE!</v>
          </cell>
          <cell r="D1189" t="e">
            <v>#VALUE!</v>
          </cell>
          <cell r="E1189" t="e">
            <v>#VALUE!</v>
          </cell>
          <cell r="F1189" t="e">
            <v>#VALUE!</v>
          </cell>
          <cell r="G1189" t="e">
            <v>#VALUE!</v>
          </cell>
          <cell r="H1189" t="e">
            <v>#VALUE!</v>
          </cell>
          <cell r="I1189" t="e">
            <v>#VALUE!</v>
          </cell>
          <cell r="J1189" t="e">
            <v>#VALUE!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</row>
        <row r="1190">
          <cell r="B1190" t="e">
            <v>#VALUE!</v>
          </cell>
          <cell r="C1190" t="e">
            <v>#VALUE!</v>
          </cell>
          <cell r="D1190" t="e">
            <v>#VALUE!</v>
          </cell>
          <cell r="E1190" t="e">
            <v>#VALUE!</v>
          </cell>
          <cell r="F1190" t="e">
            <v>#VALUE!</v>
          </cell>
          <cell r="G1190" t="e">
            <v>#VALUE!</v>
          </cell>
          <cell r="H1190" t="e">
            <v>#VALUE!</v>
          </cell>
          <cell r="I1190" t="e">
            <v>#VALUE!</v>
          </cell>
          <cell r="J1190" t="e">
            <v>#VALUE!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</row>
        <row r="1191">
          <cell r="B1191" t="e">
            <v>#VALUE!</v>
          </cell>
          <cell r="C1191" t="e">
            <v>#VALUE!</v>
          </cell>
          <cell r="D1191" t="e">
            <v>#VALUE!</v>
          </cell>
          <cell r="E1191" t="e">
            <v>#VALUE!</v>
          </cell>
          <cell r="F1191" t="e">
            <v>#VALUE!</v>
          </cell>
          <cell r="G1191" t="e">
            <v>#VALUE!</v>
          </cell>
          <cell r="H1191" t="e">
            <v>#VALUE!</v>
          </cell>
          <cell r="I1191" t="e">
            <v>#VALUE!</v>
          </cell>
          <cell r="J1191" t="e">
            <v>#VALUE!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</row>
        <row r="1192">
          <cell r="B1192" t="e">
            <v>#VALUE!</v>
          </cell>
          <cell r="C1192" t="e">
            <v>#VALUE!</v>
          </cell>
          <cell r="D1192" t="e">
            <v>#VALUE!</v>
          </cell>
          <cell r="E1192" t="e">
            <v>#VALUE!</v>
          </cell>
          <cell r="F1192" t="e">
            <v>#VALUE!</v>
          </cell>
          <cell r="G1192" t="e">
            <v>#VALUE!</v>
          </cell>
          <cell r="H1192" t="e">
            <v>#VALUE!</v>
          </cell>
          <cell r="I1192" t="e">
            <v>#VALUE!</v>
          </cell>
          <cell r="J1192" t="e">
            <v>#VALUE!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</row>
        <row r="1193">
          <cell r="B1193" t="e">
            <v>#VALUE!</v>
          </cell>
          <cell r="C1193" t="e">
            <v>#VALUE!</v>
          </cell>
          <cell r="D1193" t="e">
            <v>#VALUE!</v>
          </cell>
          <cell r="E1193" t="e">
            <v>#VALUE!</v>
          </cell>
          <cell r="F1193" t="e">
            <v>#VALUE!</v>
          </cell>
          <cell r="G1193" t="e">
            <v>#VALUE!</v>
          </cell>
          <cell r="H1193" t="e">
            <v>#VALUE!</v>
          </cell>
          <cell r="I1193" t="e">
            <v>#VALUE!</v>
          </cell>
          <cell r="J1193" t="e">
            <v>#VALUE!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</row>
        <row r="1194">
          <cell r="B1194" t="e">
            <v>#VALUE!</v>
          </cell>
          <cell r="C1194" t="e">
            <v>#VALUE!</v>
          </cell>
          <cell r="D1194" t="e">
            <v>#VALUE!</v>
          </cell>
          <cell r="E1194" t="e">
            <v>#VALUE!</v>
          </cell>
          <cell r="F1194" t="e">
            <v>#VALUE!</v>
          </cell>
          <cell r="G1194" t="e">
            <v>#VALUE!</v>
          </cell>
          <cell r="H1194" t="e">
            <v>#VALUE!</v>
          </cell>
          <cell r="I1194" t="e">
            <v>#VALUE!</v>
          </cell>
          <cell r="J1194" t="e">
            <v>#VALUE!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</row>
        <row r="1195">
          <cell r="B1195" t="e">
            <v>#VALUE!</v>
          </cell>
          <cell r="C1195" t="e">
            <v>#VALUE!</v>
          </cell>
          <cell r="D1195" t="e">
            <v>#VALUE!</v>
          </cell>
          <cell r="E1195" t="e">
            <v>#VALUE!</v>
          </cell>
          <cell r="F1195" t="e">
            <v>#VALUE!</v>
          </cell>
          <cell r="G1195" t="e">
            <v>#VALUE!</v>
          </cell>
          <cell r="H1195" t="e">
            <v>#VALUE!</v>
          </cell>
          <cell r="I1195" t="e">
            <v>#VALUE!</v>
          </cell>
          <cell r="J1195" t="e">
            <v>#VALUE!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</row>
        <row r="1196">
          <cell r="B1196" t="e">
            <v>#VALUE!</v>
          </cell>
          <cell r="C1196" t="e">
            <v>#VALUE!</v>
          </cell>
          <cell r="D1196" t="e">
            <v>#VALUE!</v>
          </cell>
          <cell r="E1196" t="e">
            <v>#VALUE!</v>
          </cell>
          <cell r="F1196" t="e">
            <v>#VALUE!</v>
          </cell>
          <cell r="G1196" t="e">
            <v>#VALUE!</v>
          </cell>
          <cell r="H1196" t="e">
            <v>#VALUE!</v>
          </cell>
          <cell r="I1196" t="e">
            <v>#VALUE!</v>
          </cell>
          <cell r="J1196" t="e">
            <v>#VALUE!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</row>
        <row r="1197">
          <cell r="B1197" t="e">
            <v>#VALUE!</v>
          </cell>
          <cell r="C1197" t="e">
            <v>#VALUE!</v>
          </cell>
          <cell r="D1197" t="e">
            <v>#VALUE!</v>
          </cell>
          <cell r="E1197" t="e">
            <v>#VALUE!</v>
          </cell>
          <cell r="F1197" t="e">
            <v>#VALUE!</v>
          </cell>
          <cell r="G1197" t="e">
            <v>#VALUE!</v>
          </cell>
          <cell r="H1197" t="e">
            <v>#VALUE!</v>
          </cell>
          <cell r="I1197" t="e">
            <v>#VALUE!</v>
          </cell>
          <cell r="J1197" t="e">
            <v>#VALUE!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</row>
        <row r="1198">
          <cell r="B1198" t="e">
            <v>#VALUE!</v>
          </cell>
          <cell r="C1198" t="e">
            <v>#VALUE!</v>
          </cell>
          <cell r="D1198" t="e">
            <v>#VALUE!</v>
          </cell>
          <cell r="E1198" t="e">
            <v>#VALUE!</v>
          </cell>
          <cell r="F1198" t="e">
            <v>#VALUE!</v>
          </cell>
          <cell r="G1198" t="e">
            <v>#VALUE!</v>
          </cell>
          <cell r="H1198" t="e">
            <v>#VALUE!</v>
          </cell>
          <cell r="I1198" t="e">
            <v>#VALUE!</v>
          </cell>
          <cell r="J1198" t="e">
            <v>#VALUE!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</row>
        <row r="1199">
          <cell r="B1199" t="e">
            <v>#VALUE!</v>
          </cell>
          <cell r="C1199" t="e">
            <v>#VALUE!</v>
          </cell>
          <cell r="D1199" t="e">
            <v>#VALUE!</v>
          </cell>
          <cell r="E1199" t="e">
            <v>#VALUE!</v>
          </cell>
          <cell r="F1199" t="e">
            <v>#VALUE!</v>
          </cell>
          <cell r="G1199" t="e">
            <v>#VALUE!</v>
          </cell>
          <cell r="H1199" t="e">
            <v>#VALUE!</v>
          </cell>
          <cell r="I1199" t="e">
            <v>#VALUE!</v>
          </cell>
          <cell r="J1199" t="e">
            <v>#VALUE!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</row>
        <row r="1200">
          <cell r="B1200" t="e">
            <v>#VALUE!</v>
          </cell>
          <cell r="C1200" t="e">
            <v>#VALUE!</v>
          </cell>
          <cell r="D1200" t="e">
            <v>#VALUE!</v>
          </cell>
          <cell r="E1200" t="e">
            <v>#VALUE!</v>
          </cell>
          <cell r="F1200" t="e">
            <v>#VALUE!</v>
          </cell>
          <cell r="G1200" t="e">
            <v>#VALUE!</v>
          </cell>
          <cell r="H1200" t="e">
            <v>#VALUE!</v>
          </cell>
          <cell r="I1200" t="e">
            <v>#VALUE!</v>
          </cell>
          <cell r="J1200" t="e">
            <v>#VALUE!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 الشركه 2018"/>
      <sheetName val="الاجانب 2018"/>
      <sheetName val="حركه العمل الشهريه"/>
      <sheetName val="تفاصيل الراتب"/>
      <sheetName val="اليوميه المستمره"/>
      <sheetName val="السلفيات الطويله"/>
      <sheetName val="الاثاث"/>
      <sheetName val="السلفيات الطويله (2)"/>
      <sheetName val="salary DEC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  <sheetName val="MDI"/>
      <sheetName val="Sheet1"/>
    </sheetNames>
    <sheetDataSet>
      <sheetData sheetId="0">
        <row r="1">
          <cell r="A1" t="str">
            <v>الرقم الوظيفي</v>
          </cell>
        </row>
      </sheetData>
      <sheetData sheetId="1">
        <row r="2">
          <cell r="A2">
            <v>1</v>
          </cell>
        </row>
      </sheetData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575;&#1604;&#1578;&#1602;&#1610;&#1610;&#1605;%202018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SP%202018\SP\&#1575;&#1604;&#1578;&#1602;&#1610;&#1610;&#1605;%202018%20n2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134.62081990741" createdVersion="3" refreshedVersion="3" minRefreshableVersion="3" recordCount="307">
  <cacheSource type="worksheet">
    <worksheetSource name="Table1" r:id="rId2"/>
  </cacheSource>
  <cacheFields count="64">
    <cacheField name="متسلسل" numFmtId="0">
      <sharedItems containsNonDate="0" containsString="0" containsBlank="1"/>
    </cacheField>
    <cacheField name="الرقم الوظيفي" numFmtId="0">
      <sharedItems containsBlank="1" containsMixedTypes="1" containsNumber="1" containsInteger="1" minValue="-1" maxValue="8505"/>
    </cacheField>
    <cacheField name="الاسم" numFmtId="0">
      <sharedItems containsBlank="1" containsMixedTypes="1" containsNumber="1" containsInteger="1" minValue="0" maxValue="0" count="295">
        <e v="#N/A"/>
        <s v="احمد عبدالرحيم ابوبكر محمد"/>
        <s v="محمد بابكر محمد الامين"/>
        <s v="كمال عبدالمجيد عبدون طه"/>
        <s v="مصطفى قمرالدوله ابراهيم "/>
        <s v="على احمد على بابكر"/>
        <s v="قاسم عبدالرازق عثمان مرزوق"/>
        <s v="فارس حمدان عبدالله فارس"/>
        <s v="هشام عيسى محمد عبدالكريم"/>
        <s v="محمد الياس حسين فضل"/>
        <s v="على يحى بن يحى عبدالله"/>
        <s v="زهير محمد محمد صالح "/>
        <s v="حسن سند احمد بليله"/>
        <s v="اسحق محمد عبدالله "/>
        <s v="عبدالجبار ابكر عبدالله احمد"/>
        <s v="صبرى الهادى الامين محمد"/>
        <s v="ابكر اسحق ابكر فضل"/>
        <s v="عبدالظاهر الرشيد محمد عثمان"/>
        <s v="قمر يحى محمد مهدى"/>
        <s v="عبدالسلام عيسى محمد "/>
        <s v="على عبدالرحيم العاقب "/>
        <s v="ادريس موسى عثمان موسى"/>
        <s v="الفاتح على عبدالله الامين"/>
        <s v="نصرالدين صديق ادم محمد"/>
        <s v="محمد احمد محمد سليمان"/>
        <s v="ماهر ضيف الله سليمان جابر"/>
        <s v="ابوالقاسم محمد احمد جبريل"/>
        <s v="تاج الدين على عبداللطيف "/>
        <s v="المهل العوض مبارك على"/>
        <s v="عبدالرحمن عبدالله عبدالكبير"/>
        <s v="طه احمد محمد ابراهيم"/>
        <s v="نزار خيرى حسن صالح"/>
        <s v="عاصم محمد فضل ابراهيم"/>
        <s v="عبدالمنعم مصطفى ابراهيم "/>
        <s v="زاهر سراج عوض على"/>
        <s v="الرفاعى الصادق بشير اسحق"/>
        <s v="محمد على عبدالرحيم ابوبكر"/>
        <s v="جعفر مصطفى على "/>
        <s v="زكى الصديق محمد مصطفى"/>
        <s v="عاطف محمد احمد"/>
        <s v="عباس عبدالله على بابكر"/>
        <s v="على الامين محمد على"/>
        <s v="حسب الرسول عبدالرحمن  "/>
        <s v="محمد عثمان عبدالله محمد"/>
        <s v="ابوبكر على نعمان على"/>
        <s v="ادم الحسن محمد نور ابراهيم"/>
        <s v="عبدالعظيم موسى نورالجليل "/>
        <s v="صلاح جلال حسن عبدالله"/>
        <s v="عماد الدين حمزه ادريس فضل"/>
        <s v="وليد عيسى عبدالله عثمان "/>
        <s v="ميسره ابراهيم المبارك محمد"/>
        <s v="احمد حسن باباى حامد"/>
        <s v="على احمد موسى"/>
        <s v="الطيب امبلى احمد"/>
        <s v="يوسف عوض ابراهيم محمد"/>
        <s v="خلف الله عبدالصادق محمد احمد"/>
        <s v="محمد الامين حامد الامين"/>
        <s v="على ابراهيم النعيم الحاج"/>
        <s v="فتحى عبدالوهاب الطيب محمد"/>
        <s v="الامين صباح الخير محمد احمد"/>
        <s v="عثمان سليمان حمد"/>
        <s v="الامين الحاج محمد الطيب"/>
        <s v="المبارك محمد ابراهيم"/>
        <s v="ادم عبدالشافع امام محمد"/>
        <s v="مزمل عبدالله مزمل"/>
        <s v="محمد عبدالرحمن قرشى ناصر"/>
        <s v="عبد الله عبد الكريم عبد الله"/>
        <s v="عيدالله احمد الضيف"/>
        <s v="عماد الدين ادم محمد عبدالله"/>
        <s v="حسن محمد حسن كرم الله"/>
        <s v="على محمد على عثمان"/>
        <s v="دفع الله سعيد محمد احمد"/>
        <s v="سفيان يوسف مختار"/>
        <s v="عبدالوكيل الجيلانى الختيم"/>
        <s v="محمد عبدالمنعم عطا الفضيل"/>
        <s v="ابراهيم عبدالماجد جاد الله"/>
        <s v="مقبول حماد كمريا توتو"/>
        <s v="موسى محمد حماد ماهل"/>
        <s v="نزار عوض حسين محمد"/>
        <s v="سلافه يونس حسن وقيع الله"/>
        <s v="حمزه جاد الله ادريس جاد الله"/>
        <s v="محمد عبدالله محمد الطاهر"/>
        <s v="عبدالحليم صالح احمد موسى"/>
        <s v="علم الدين ابراهيم النور اسحق"/>
        <s v="خضر ابراهيم خضر محمد"/>
        <s v="محمد صلاح جعفر حمد"/>
        <s v="احمد محمد موسى حسن"/>
        <s v="امير احمد البشرى"/>
        <s v="الحاج بليله عمر"/>
        <s v="عبدالخالق حسن محمد  "/>
        <s v="الفاتح محمد عامر"/>
        <s v="معاذ مجذوب بشير"/>
        <s v="يوسف دفع الله الحسين"/>
        <s v="مصعب اسماعيل الشيخ"/>
        <s v="عبدالله فيصل بدوى"/>
        <s v="يوسف حمد خالد"/>
        <s v="احمد ابكر على محمد"/>
        <s v="عصام الامين الحاج"/>
        <s v="على عمر احمد سبوبه"/>
        <s v="بشرى الطيب حسب الله ضوالبيت"/>
        <s v="على بشير الزين بشير"/>
        <s v="الهادى محى الدين احمد"/>
        <s v="محمد محمود محمد"/>
        <s v="عاطف ابراهيم محمد احمد"/>
        <s v="الحاج العباس الزبير"/>
        <s v="عادل ابراهيم محمد احمد"/>
        <s v="احمد البشرى محمد احمد"/>
        <s v="مشاور قسم الله عبدالله"/>
        <s v="حافظ يعقوب ادريس"/>
        <s v="زاهر عبدالله حميد"/>
        <s v="منى محجوب حسن"/>
        <s v="يوسف فاروق عباس"/>
        <s v="عاطف محمود عمر محمود"/>
        <s v="ياسر وداعه الله سعيد"/>
        <s v="محمد ادم عبدالعزيز"/>
        <s v="محمد الامين ابراهيم"/>
        <s v="عاصم محمد سعيد احمد"/>
        <s v="النور خميس سعيد شاكر"/>
        <s v="عطا الفضيل محمد عبد محمد "/>
        <s v="يعقوب السوار محمد ادم"/>
        <s v="عبدالله زايد اسماعيل توتو"/>
        <s v="مجاهد عبدالرحمن عبد الوهاب"/>
        <s v="هشام ادم على محمد الحاج"/>
        <s v="محمد الهادى عبدالرحمن"/>
        <s v="عابدين بخيت عبدالفضيل"/>
        <s v="رانى عمر الامين"/>
        <s v="سعيد احمد محمد سعيد"/>
        <s v="صالح يعقوب محمد"/>
        <s v="ناصر ابراهيم ادريس عشر"/>
        <s v="حسن النور اسماعيل خيرى"/>
        <s v="اصف نور الدائم بابكر"/>
        <s v="ابراهيم عثمان الحاج محمد"/>
        <s v="الضى الساير على جبريل"/>
        <s v="الحاج محمد الحسن موسى محمد"/>
        <s v="فرح محمد ياسين سليمان"/>
        <s v="موسى عبدالله محمد احمد"/>
        <s v="محمد عمر احمد حمد النيل"/>
        <s v="عثمان جادين الامين حمد"/>
        <s v="الياقوت محمد احمد عبدالله"/>
        <s v="عبدالجبار ابراهيم صالح"/>
        <s v="عبدالعزيز الامين محمد "/>
        <s v="محمد عبيد الله على حامد"/>
        <s v="الهادى على مصطفى عجبنا"/>
        <s v="عصام يوسف مقبل سوركتى"/>
        <s v="بهاء الدين يوسف مقبل"/>
        <s v="سليم الشيخ محمد احمد"/>
        <s v="صابر عبده الجيلى شايب"/>
        <s v="مزاهر ابراهيم "/>
        <s v="عمر عبدالرحمن البشير"/>
        <s v="احمد مبارك احمد عبدالله"/>
        <s v="خالد احمد قنديل خلف الله"/>
        <s v="التجانى محمد زين"/>
        <s v="سراج الدين محمد خميس"/>
        <s v="ابوبكر فاروق عوض الله"/>
        <s v="يحى عطيه حلوف"/>
        <s v="عيسي احمد المهدى"/>
        <s v="سماح محمد تيراب احمد"/>
        <s v="محمد فائز حسن محمد"/>
        <s v="احمد عبدالوهاب الامين العبيد"/>
        <s v="كمال عبدالرحمن احمد"/>
        <s v="عبدالرحمن موسى محمد"/>
        <s v="محمد خضر محمد"/>
        <s v="عبدالرحمن اسماعيل محمد"/>
        <s v="الطاهر محمد ابكر علي"/>
        <s v="محمد على دليل محمد"/>
        <s v="مهند حاج حمد محمد عثمان"/>
        <s v="عادل حسن المومن ابراهيم"/>
        <s v="وليد شمس الدين شريف"/>
        <s v="محمد يوسف محمد يوسف"/>
        <s v="سبت على جابر اوش"/>
        <s v="صلاح الدين بشير"/>
        <s v="محمد الحاج عبدالله التوم"/>
        <s v="على محمد المهدى سعيد"/>
        <s v="فواز توفيق محمد صادق"/>
        <s v="بركات حميده النعمه بركات"/>
        <s v="هشام فتحى محمد صالح"/>
        <s v="رماح صلاح الدين سالم رفاعى"/>
        <s v="حسين عثمان سيد حمد"/>
        <s v="محمد بشير عبدالكريم الهادى"/>
        <s v="مصطفى جاروط مصطفى جاروط"/>
        <s v="مدثر على النور اسماعيل"/>
        <s v="عبد الرحمن ادم اسماعيل حماد"/>
        <s v="محمد بخيت عثمان الصديق"/>
        <s v="عثمان على عثمان على"/>
        <s v="جمال حامد عبد الكريم العبيد"/>
        <s v="الشيخ محمد ادم احمد"/>
        <s v="بهاء الدين الحاج الصديق محمد"/>
        <s v="محمد عدلان عبد الرحمن احمد"/>
        <s v="حمدى النور محمد حمد"/>
        <s v="منتصر محمد الامين حسن"/>
        <s v="السر كباشى احمد ازرق"/>
        <s v="بريمه اسماعيل جوده توتو"/>
        <s v="حافظ عبدالقادر ماصع عبد الفراج"/>
        <s v="عبدالله محمد ادم حسب الله"/>
        <s v="ضو البيت حسن حسين حمدان"/>
        <s v="بدرالدين عثمان عوض الكريم فضل الله"/>
        <s v="محمد عبداللطيف فضل المولى الغزالى"/>
        <s v="النعيم الامين حامد الامين"/>
        <s v="محمد عوض ابراهيم شرفى"/>
        <s v="نادر كافى دلدوم تيه"/>
        <s v="حيدر عالم محمود صالح"/>
        <s v="يوسف شرف الدين احمد محمد"/>
        <s v="محمد احمد عبدالرحمن عبدالمحمود"/>
        <s v="مهند موسى احمد النعيم"/>
        <s v="عادل ضوالبيت ادم ضوالبيت"/>
        <s v="احمد حامد الحاج امين"/>
        <s v="هشام صالح رمضان جمعه"/>
        <s v="عادل عبد الوهاب نوار يسن"/>
        <s v="اياد بشير بابكر إبراهيم"/>
        <s v="فتح الرحمن عبدالله محمد على"/>
        <s v="عبدالمطلب طه احمد الدالى"/>
        <s v="عزيزه ابكر يوسف شعيب"/>
        <s v="عابدين الامين موسى الامين"/>
        <s v="ادم محمد احمد ادم"/>
        <s v="على إدريس عبدالله دلدوم"/>
        <s v="سوسن الشيخ سيد احمد "/>
        <s v="سلمان عثمان عوض الكريم فضل الله"/>
        <s v="محمد جلال الدين فضل الله فرج الله"/>
        <s v="مصطفى حسين عثمان سربل"/>
        <s v="التجانى سعد التجانى كورى"/>
        <s v="بكرى إسماعيل رحال كوكو"/>
        <s v="محمد المرتضى الجودة مرجب احمد"/>
        <s v="حيدر هاشم ميرغنى احمد"/>
        <s v="خالد احمد النعيم الحاج"/>
        <s v="إدريس إسماعيل إدريس حمدنا الله"/>
        <s v="صلاح ابو زيد بخيت خير السيد"/>
        <s v="محمد احمد مهدى حولى"/>
        <s v="محمد عثمان محمد موسى"/>
        <s v="محمد ادم جابر احمد"/>
        <s v="يحى محمد على محمد شريف"/>
        <s v="مسلم بشير عبدالقادر إبراهيم"/>
        <s v="محمد احمد الحاج عثمان "/>
        <s v="بلال عبد الرحمن كودى "/>
        <s v="يوسف زكى الصديق محمد"/>
        <s v="محمد ابوبكر الامين ارباب"/>
        <s v="موسى صالح موسى زائد"/>
        <s v="محمدالسيد عيسى محمد عيسى"/>
        <s v="طارق سيد محمد احمد"/>
        <s v="على عبدالجليل عبدالرحمن محمد"/>
        <s v="عبدالمنعم ادم محمد احمد"/>
        <s v="مجاهد حسن على"/>
        <s v="احمد بشير ابكر عيسى"/>
        <s v="محمد ادم اسماعيل ادم"/>
        <s v="محمد الساير فضالى"/>
        <s v="معتز الرشيد خشم الموس"/>
        <s v="عبدالمنعم عبالرحمن مصطفى"/>
        <s v="رفيده البدرى محمد محمد نور"/>
        <s v="فتح الرحمن عباس رحمه محمد"/>
        <s v="عوض الله هجو الفكى"/>
        <s v="صدام عبداللطيف فضل المولى الغزالى"/>
        <s v="عبد الله العوض ادريس"/>
        <s v="محمد عمران محمد احمد"/>
        <s v="باشا محمد تركاس محمد"/>
        <s v="عبد الفتاح محمد عبدالله عبدالسلام"/>
        <s v="الطاهر على محمد"/>
        <s v="محمد  حسن عثمان"/>
        <s v="على الطاهر على محمد"/>
        <s v="فاطمه عمر محمد عمر"/>
        <s v="عامر الطاهر على محمد"/>
        <s v="معتز عمر مصطفى"/>
        <s v="فايز عوض"/>
        <s v="عثمان سراج"/>
        <s v="ميرغنى طه سوركتى"/>
        <s v="محمد مهدى ابو"/>
        <s v="مايكل يوهانس"/>
        <s v="عمر العوض حسن"/>
        <s v="عمر احمد محمد"/>
        <s v="احمد محمد سليمان محمد على"/>
        <s v="متولى عبدالرحيم"/>
        <s v="احمد عبدالعزيز"/>
        <s v="ميناس عبدالوهاب"/>
        <s v="عفاف الطاهر قرشي"/>
        <s v="سلمى عباس عبدالله"/>
        <s v="كمبال حسن "/>
        <s v="نشوه داؤد فرح احمد"/>
        <s v="عبدالله حسن سعيد"/>
        <s v="بلال عثمان"/>
        <s v="مجدى شمس الدين"/>
        <s v="سيف الدين محمد حسين"/>
        <s v="المعز احمد سعيد"/>
        <s v="بله حامد"/>
        <s v="عبدالمنعم موسي "/>
        <s v="امال عثمان"/>
        <s v="خليل فرح احمد"/>
        <s v="الطيب عبدالرحمن جمعه الطيب"/>
        <s v="احمد زهير حسن عبدالله"/>
        <s v="حيدر جمال عبد الله"/>
        <s v="عبدالحميد حسن على الطائف"/>
        <s v="عبدالقادر عبدالدافع كرار"/>
        <s v="محمد سيف الدين"/>
        <s v="عماد السنوسي محمد احمد"/>
        <s v="حسين حماد فرح الدور"/>
        <s v="المقداد صالح سليمان حمد"/>
        <m/>
        <n v="0" u="1"/>
      </sharedItems>
    </cacheField>
    <cacheField name="المنشأه" numFmtId="0">
      <sharedItems containsBlank="1" containsMixedTypes="1" containsNumber="1" containsInteger="1" minValue="0" maxValue="0" count="9">
        <e v="#N/A"/>
        <s v="المصنع"/>
        <s v="الرئاسه"/>
        <s v="السودانى الايطالى"/>
        <s v="المكتب الاقليمي"/>
        <s v="م الاداره"/>
        <s v="مستشارين"/>
        <m/>
        <n v="0" u="1"/>
      </sharedItems>
    </cacheField>
    <cacheField name="القسم" numFmtId="0">
      <sharedItems containsBlank="1" containsMixedTypes="1" containsNumber="1" containsInteger="1" minValue="0" maxValue="0" count="23">
        <e v="#N/A"/>
        <s v="الاداره"/>
        <s v="المستودعات"/>
        <s v="الامن و الحركه"/>
        <s v="الانتاج"/>
        <s v="الميكانيكا"/>
        <s v="الكهرباء"/>
        <s v="الخدمات"/>
        <s v="الماليه"/>
        <s v="الموارد البشريه"/>
        <s v="الجوده"/>
        <s v="الرقابه الداخليه"/>
        <s v="الوحده العلاجيه"/>
        <s v="الكمبيوتر"/>
        <s v="الاليات"/>
        <s v="الالكترونيات"/>
        <s v="التخليص"/>
        <s v="العلاقات العامه"/>
        <s v="التحصيل"/>
        <s v="المشتريات"/>
        <s v="المبيعات"/>
        <m/>
        <n v="0" u="1"/>
      </sharedItems>
    </cacheField>
    <cacheField name="الوحده" numFmtId="0">
      <sharedItems containsBlank="1" containsMixedTypes="1" containsNumber="1" containsInteger="1" minValue="0" maxValue="0"/>
    </cacheField>
    <cacheField name="الوظيفه" numFmtId="0">
      <sharedItems containsBlank="1" containsMixedTypes="1" containsNumber="1" containsInteger="1" minValue="0" maxValue="0" count="82">
        <e v="#N/A"/>
        <s v="المدير الادارى"/>
        <s v="امين مستودع ق غ"/>
        <s v="مسئول مستودع الخام"/>
        <s v="مدير المستودعات"/>
        <s v="فرد امن"/>
        <s v="مدير الامن و الحركه"/>
        <s v=" مدير الانتاج"/>
        <s v="مشرف ورديه"/>
        <s v="مشغل"/>
        <s v="فورمان"/>
        <s v="فنى ميكانيكا"/>
        <s v="علاقات عامه"/>
        <s v="مشغل مميز"/>
        <s v="مساعد مشغل"/>
        <s v="مشغل كرين"/>
        <s v="خراط"/>
        <s v="تقنى ميكانيكا"/>
        <s v="مدير الصيانه الميكانيكيه"/>
        <s v="مدير الصيانه الكهربائيه"/>
        <s v="فنى كهرباء"/>
        <s v="عامل"/>
        <s v="محاسب"/>
        <s v="مسئول مستودع الاسكراب"/>
        <s v="سائق اليات"/>
        <s v="نائب مدير الموارد المكلف"/>
        <s v="مسئول مستودع ق غ"/>
        <s v="امين مستودع م ج"/>
        <s v="موظف موارد بشريه"/>
        <s v=" مشغل كرين"/>
        <s v="امين مسودع ق غ"/>
        <s v="رئيس حسابات المصنع"/>
        <s v="تقنى كهرباء"/>
        <s v="مسئول قسم الجوده"/>
        <s v="مراجع"/>
        <s v="مراقب انتاج"/>
        <s v="موظف مشتروات"/>
        <s v="سكرتيرة"/>
        <s v="ممرض"/>
        <s v="امين مستودع خام"/>
        <s v="مهندس كمبيوتر"/>
        <s v="مشرف صيانه"/>
        <s v="امين مستودع ا س"/>
        <s v="مدخل بيانات"/>
        <s v="حداد"/>
        <s v="مشرف خدمات"/>
        <s v="حداد صيانه"/>
        <s v="فنى لف موتورات"/>
        <s v="امين مستودع"/>
        <s v="امين ميزان"/>
        <s v="مسئول مستوع ا س"/>
        <s v="سائق"/>
        <s v="تقنى ميكانيكا اليات"/>
        <s v="فورمان مخارط"/>
        <s v="فنىالكترونيات"/>
        <s v="فني تبريد وتكيف"/>
        <s v="مسئول قسم الاليات"/>
        <s v="فنى صيانه عامه"/>
        <s v="جنائني"/>
        <s v="مهندس صيانه"/>
        <s v="فنى معمل"/>
        <s v="تقنى انتاج جوده"/>
        <s v="مهندس الكترونيات"/>
        <s v="تقنى الكترونيات"/>
        <s v="مهندس كهرباء"/>
        <s v="سباك"/>
        <s v="خفير"/>
        <s v="مدير السودانى الايطالى"/>
        <s v="موظف مبيعات"/>
        <s v="مندوب مبيعات"/>
        <s v="مهندس مشاريع"/>
        <s v="مدير المكتب الاقليمي"/>
        <s v="مخلص"/>
        <s v="مدير قسم الكمبيوتر"/>
        <n v="0"/>
        <s v="سكرتير تنفيذي"/>
        <s v="رئيس حسابات"/>
        <s v="مبيعات"/>
        <s v="مستشار"/>
        <s v="المستشار المالى"/>
        <s v="فني اليات"/>
        <m/>
      </sharedItems>
    </cacheField>
    <cacheField name="الدرجه الوظيفيه" numFmtId="0">
      <sharedItems containsBlank="1" count="8">
        <m/>
        <s v="A"/>
        <s v="D"/>
        <s v="B"/>
        <s v="C"/>
        <s v="F"/>
        <s v="E"/>
        <s v="AA" u="1"/>
      </sharedItems>
    </cacheField>
    <cacheField name="الدرجه الاكاديميه" numFmtId="0">
      <sharedItems containsBlank="1"/>
    </cacheField>
    <cacheField name="المؤهل الرئيسي" numFmtId="0">
      <sharedItems containsBlank="1" containsMixedTypes="1" containsNumber="1" containsInteger="1" minValue="0" maxValue="0"/>
    </cacheField>
    <cacheField name="التخصص" numFmtId="0">
      <sharedItems containsBlank="1" containsMixedTypes="1" containsNumber="1" containsInteger="1" minValue="0" maxValue="0"/>
    </cacheField>
    <cacheField name="تاريخ التعيين" numFmtId="14">
      <sharedItems containsDate="1" containsBlank="1" containsMixedTypes="1" minDate="2006-01-12T00:00:00" maxDate="2017-12-07T00:00:00"/>
    </cacheField>
    <cacheField name="اخر العام" numFmtId="0">
      <sharedItems containsNonDate="0" containsDate="1" containsString="0" containsBlank="1" minDate="2017-12-31T00:00:00" maxDate="2018-01-01T00:00:00"/>
    </cacheField>
    <cacheField name="الراتب ديسمبر 2017" numFmtId="3">
      <sharedItems containsBlank="1" containsMixedTypes="1" containsNumber="1" minValue="0" maxValue="20000"/>
    </cacheField>
    <cacheField name="سنوات الخدمه" numFmtId="0">
      <sharedItems containsBlank="1" containsMixedTypes="1" containsNumber="1" containsInteger="1" minValue="0" maxValue="11"/>
    </cacheField>
    <cacheField name="الشهور اقل من سنه" numFmtId="0">
      <sharedItems containsBlank="1" containsMixedTypes="1" containsNumber="1" containsInteger="1" minValue="0" maxValue="11"/>
    </cacheField>
    <cacheField name="نسبه سنين الخدمه" numFmtId="2">
      <sharedItems containsBlank="1" containsMixedTypes="1" containsNumber="1" minValue="0" maxValue="23.76"/>
    </cacheField>
    <cacheField name="السنوات على راتب ديسمبر" numFmtId="3">
      <sharedItems containsBlank="1" containsMixedTypes="1" containsNumber="1" minValue="0" maxValue="4352"/>
    </cacheField>
    <cacheField name="السنوات على الراتب الجديد" numFmtId="3">
      <sharedItems containsBlank="1" containsMixedTypes="1" containsNumber="1" minValue="0" maxValue="6658.56"/>
    </cacheField>
    <cacheField name="Column3" numFmtId="3">
      <sharedItems containsNonDate="0" containsString="0" containsBlank="1"/>
    </cacheField>
    <cacheField name="Column32" numFmtId="3">
      <sharedItems containsNonDate="0" containsString="0" containsBlank="1"/>
    </cacheField>
    <cacheField name="إتقان العمل الموكل اليه" numFmtId="0">
      <sharedItems containsBlank="1" containsMixedTypes="1" containsNumber="1" containsInteger="1" minValue="2" maxValue="8"/>
    </cacheField>
    <cacheField name="القيام بواجبه دون توجيه" numFmtId="0">
      <sharedItems containsBlank="1" containsMixedTypes="1" containsNumber="1" minValue="2" maxValue="5"/>
    </cacheField>
    <cacheField name="المحافظه علي اوقات العمل" numFmtId="0">
      <sharedItems containsBlank="1" containsMixedTypes="1" containsNumber="1" minValue="1" maxValue="5"/>
    </cacheField>
    <cacheField name="القدره علي تدريب غيره" numFmtId="0">
      <sharedItems containsBlank="1" containsMixedTypes="1" containsNumber="1" minValue="0" maxValue="5"/>
    </cacheField>
    <cacheField name="قابل للتعلم و التطور" numFmtId="0">
      <sharedItems containsBlank="1" containsMixedTypes="1" containsNumber="1" minValue="0" maxValue="4"/>
    </cacheField>
    <cacheField name="امكانيه تحمل مسؤليات اكبر" numFmtId="0">
      <sharedItems containsBlank="1" containsMixedTypes="1" containsNumber="1" minValue="0" maxValue="4"/>
    </cacheField>
    <cacheField name="انجاز العمل في الوقت المحدد" numFmtId="0">
      <sharedItems containsBlank="1" containsMixedTypes="1" containsNumber="1" minValue="0" maxValue="6"/>
    </cacheField>
    <cacheField name="العمل  بروح الفريق الواحد" numFmtId="0">
      <sharedItems containsBlank="1" containsMixedTypes="1" containsNumber="1" minValue="1" maxValue="4"/>
    </cacheField>
    <cacheField name="تنفيذ التوجيه المباشر" numFmtId="0">
      <sharedItems containsBlank="1" containsMixedTypes="1" containsNumber="1" minValue="2" maxValue="45"/>
    </cacheField>
    <cacheField name="المجموع" numFmtId="0">
      <sharedItems containsBlank="1" containsMixedTypes="1" containsNumber="1" minValue="0" maxValue="45"/>
    </cacheField>
    <cacheField name="1" numFmtId="0">
      <sharedItems containsNonDate="0" containsString="0" containsBlank="1"/>
    </cacheField>
    <cacheField name="التقييد  باللوائح و تنفيذالتوجيه" numFmtId="0">
      <sharedItems containsBlank="1" containsMixedTypes="1" containsNumber="1" containsInteger="1" minValue="5" maxValue="10"/>
    </cacheField>
    <cacheField name="الحضور العام" numFmtId="0">
      <sharedItems containsBlank="1" containsMixedTypes="1" containsNumber="1" containsInteger="1" minValue="1" maxValue="15"/>
    </cacheField>
    <cacheField name="الانذارات" numFmtId="0">
      <sharedItems containsBlank="1" containsMixedTypes="1" containsNumber="1" containsInteger="1" minValue="0" maxValue="15"/>
    </cacheField>
    <cacheField name="الاستيضاحات" numFmtId="0">
      <sharedItems containsBlank="1" containsMixedTypes="1" containsNumber="1" containsInteger="1" minValue="0" maxValue="7"/>
    </cacheField>
    <cacheField name="المحافظه علي اوقات العمل2" numFmtId="0">
      <sharedItems containsBlank="1" containsMixedTypes="1" containsNumber="1" containsInteger="1" minValue="2" maxValue="5"/>
    </cacheField>
    <cacheField name="اتباع اجراءات السلامه" numFmtId="0">
      <sharedItems containsBlank="1" containsMixedTypes="1" containsNumber="1" containsInteger="1" minValue="3" maxValue="55"/>
    </cacheField>
    <cacheField name="المجموع2" numFmtId="0">
      <sharedItems containsBlank="1" containsMixedTypes="1" containsNumber="1" containsInteger="1" minValue="0" maxValue="55"/>
    </cacheField>
    <cacheField name="2" numFmtId="0">
      <sharedItems containsNonDate="0" containsString="0" containsBlank="1"/>
    </cacheField>
    <cacheField name="المجموع 1+2" numFmtId="0">
      <sharedItems containsBlank="1" containsMixedTypes="1" containsNumber="1" minValue="0" maxValue="100"/>
    </cacheField>
    <cacheField name="1+2" numFmtId="0">
      <sharedItems containsNonDate="0" containsString="0" containsBlank="1"/>
    </cacheField>
    <cacheField name="مدير القسم المباشر" numFmtId="0">
      <sharedItems containsBlank="1" containsMixedTypes="1" containsNumber="1" containsInteger="1" minValue="2" maxValue="10"/>
    </cacheField>
    <cacheField name="مدير الموارد البشريه" numFmtId="0">
      <sharedItems containsBlank="1"/>
    </cacheField>
    <cacheField name="مدير المصنع" numFmtId="0">
      <sharedItems containsBlank="1"/>
    </cacheField>
    <cacheField name="المدير العام" numFmtId="0">
      <sharedItems containsBlank="1"/>
    </cacheField>
    <cacheField name="المجموع3" numFmtId="0">
      <sharedItems containsBlank="1" containsMixedTypes="1" containsNumber="1" containsInteger="1" minValue="55" maxValue="55"/>
    </cacheField>
    <cacheField name="نسبه التقييم الرئيسي 2017" numFmtId="0">
      <sharedItems containsString="0" containsBlank="1" containsNumber="1" minValue="0" maxValue="53"/>
    </cacheField>
    <cacheField name="مبلغ التقييم النسبي 2017" numFmtId="0">
      <sharedItems containsBlank="1" containsMixedTypes="1" containsNumber="1" minValue="0" maxValue="10600"/>
    </cacheField>
    <cacheField name="الراتب 2017+النسبه" numFmtId="3">
      <sharedItems containsBlank="1" containsMixedTypes="1" containsNumber="1" minValue="0" maxValue="30600"/>
    </cacheField>
    <cacheField name="فروقات الحد الادني" numFmtId="3">
      <sharedItems containsBlank="1" containsMixedTypes="1" containsNumber="1" minValue="69.520800000000236" maxValue="2130.8000000000002"/>
    </cacheField>
    <cacheField name="الحد الادني" numFmtId="0">
      <sharedItems containsBlank="1" containsMixedTypes="1" containsNumber="1" containsInteger="1" minValue="3000" maxValue="5000"/>
    </cacheField>
    <cacheField name="الراتب 2017 + النسبه + الفرق" numFmtId="0">
      <sharedItems containsBlank="1" containsMixedTypes="1" containsNumber="1" minValue="3000" maxValue="30600"/>
    </cacheField>
    <cacheField name="الراتب المقترح 1" numFmtId="3">
      <sharedItems containsBlank="1" containsMixedTypes="1" containsNumber="1" minValue="3000" maxValue="34952"/>
    </cacheField>
    <cacheField name="الزياده" numFmtId="3">
      <sharedItems containsBlank="1" containsMixedTypes="1" containsNumber="1" minValue="1170.7199999999998" maxValue="14952"/>
    </cacheField>
    <cacheField name="نسبه" numFmtId="0">
      <sharedItems containsBlank="1" containsMixedTypes="1" containsNumber="1" minValue="40.800000000000011" maxValue="168.26666666666668"/>
    </cacheField>
    <cacheField name="الراتب القترح 2" numFmtId="3">
      <sharedItems containsBlank="1" containsMixedTypes="1" containsNumber="1" minValue="3000" maxValue="34952"/>
    </cacheField>
    <cacheField name="الزياده2" numFmtId="3">
      <sharedItems containsBlank="1" containsMixedTypes="1" containsNumber="1" minValue="1170.7199999999998" maxValue="14952"/>
    </cacheField>
    <cacheField name="النسبه" numFmtId="0">
      <sharedItems containsBlank="1" containsMixedTypes="1" containsNumber="1" minValue="40.800000000000011" maxValue="168.26666666666668"/>
    </cacheField>
    <cacheField name="التعديل" numFmtId="2">
      <sharedItems containsString="0" containsBlank="1" containsNumber="1" containsInteger="1" minValue="782" maxValue="1722"/>
    </cacheField>
    <cacheField name="جبر الرقم" numFmtId="0">
      <sharedItems containsString="0" containsBlank="1" containsNumber="1" containsInteger="1" minValue="1" maxValue="9"/>
    </cacheField>
    <cacheField name="الراتب النهائي" numFmtId="3">
      <sharedItems containsMixedTypes="1" containsNumber="1" minValue="0" maxValue="34960"/>
    </cacheField>
    <cacheField name="Column1" numFmtId="0">
      <sharedItems containsMixedTypes="1" containsNumber="1" minValue="0" maxValue="1165.3333333333333"/>
    </cacheField>
    <cacheField name="Column2" numFmtId="0">
      <sharedItems containsString="0" containsBlank="1" containsNumber="1" containsInteger="1" minValue="100" maxValue="1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3521.530346527776" createdVersion="5" refreshedVersion="5" minRefreshableVersion="3" recordCount="351">
  <cacheSource type="worksheet">
    <worksheetSource name="Table1" r:id="rId2"/>
  </cacheSource>
  <cacheFields count="61">
    <cacheField name="الرقم الوظيفي" numFmtId="0">
      <sharedItems containsMixedTypes="1" containsNumber="1" containsInteger="1" minValue="-1" maxValue="8507"/>
    </cacheField>
    <cacheField name="الاسم" numFmtId="0">
      <sharedItems count="339">
        <e v="#N/A"/>
        <s v="احمد عبدالرحيم ابوبكر محمد"/>
        <s v="كمال عبدالمجيد عبدون طه"/>
        <s v="مصطفى قمرالدوله ابراهيم إدريس"/>
        <s v="على احمد على بابكر"/>
        <s v="هشام عيسى محمد عبدالكريم"/>
        <s v="محمد الياس حسين فضل"/>
        <s v="على يحى بن يحى عبدالله"/>
        <s v="زهير محمد محمد صالح "/>
        <s v="حسن سند احمد بليله"/>
        <s v="اسحق محمد عبدالله محمد"/>
        <s v="عبدالجبار ابكر عبدالله احمد"/>
        <s v="صبرى الهادى الامين محمد"/>
        <s v="عبدالظاهر الرشيد محمد عثمان"/>
        <s v="قمر يحى محمد مهدى"/>
        <s v="عبدالسلام عيسى محمد عبدالكريم"/>
        <s v="على عبدالرحيم العاقب احمد"/>
        <s v="ادريس موسى عثمان موسى"/>
        <s v="الفاتح على عبدالله الامين"/>
        <s v="نصرالدين صديق ادم محمد"/>
        <s v="محمد احمد محمد سليمان"/>
        <s v="ماهر ضيف الله سليمان جابر"/>
        <s v="ابوالقاسم محمد احمد جبريل"/>
        <s v="تاج الدين على عبداللطيف سعيد"/>
        <s v="المهل العوض مبارك على"/>
        <s v="عبدالرحمن عبدالله عبدالكبير ابراهيم"/>
        <s v="طه احمد محمد ابراهيم"/>
        <s v="نزار خيرى حسن صالح"/>
        <s v="عاصم محمد فضل ابراهيم"/>
        <s v="عبدالمنعم مصطفى ابراهيم محمد"/>
        <s v="زاهر سراج عوض على"/>
        <s v="الرفاعى الصادق بشير اسحق"/>
        <s v="محمد على عبدالرحيم ابوبكر"/>
        <s v="جعفر مصطفى على محمد"/>
        <s v="زكى الصديق محمد مصطفى"/>
        <s v="عاطف محمد احمد عثمان"/>
        <s v="عباس عبدالله على بابكر"/>
        <s v="على الامين محمد على"/>
        <s v="حسب الرسول عبدالرحمن الطيب الحسن"/>
        <s v="محمد عثمان عبدالله محمد"/>
        <s v="ابوبكر على نعمان على"/>
        <s v="ادم الحسن محمد نور ابراهيم"/>
        <s v="عبدالعظيم موسى نورالجليل تهور"/>
        <s v="صلاح جلال حسن عبدالله"/>
        <s v="عماد الدين حمزه ادريس فضل"/>
        <s v="وليد عيسى عبدالله عثمان "/>
        <s v="ميسره ابراهيم المبارك محمد"/>
        <s v="احمد حسن باباى حامد"/>
        <s v="على احمد موسى محمد"/>
        <s v="الطيب امبلى احمد محمد"/>
        <s v="يوسف عوض ابراهيم محمد"/>
        <s v="خلف الله عبدالصادق محمد احمد"/>
        <s v="محمد الامين حامد الامين"/>
        <s v="على ابراهيم النعيم الحاج"/>
        <s v="فتحى عبدالوهاب الطيب محمد"/>
        <s v="الامين صباح الخير محمد احمد"/>
        <s v="عثمان سليمان محمد احمد"/>
        <s v="الامين الحاج محمد الطيب"/>
        <s v="المبارك محمد ابراهيم عبدالله"/>
        <s v="ادم عبدالشافع امام محمد"/>
        <s v="مزمل عبدالله مزمل عبدالله"/>
        <s v="محمد عبدالرحمن قرشى ناصر"/>
        <s v="عبد الله عبد الكريم عبد الله عبدالكريم"/>
        <s v="عيدالله احمد الضيف عبدالله"/>
        <s v="عماد الدين ادم محمد عبدالله"/>
        <s v="حسن محمد حسن كرم الله"/>
        <s v="على محمد على عثمان"/>
        <s v="دفع الله سعيد محمد احمد"/>
        <s v="سفيان يوسف مختار محمد الحاج"/>
        <s v="عبدالوكيل الجيلانى الختيم حسين"/>
        <s v="محمد عبدالمنعم عطا الفضيل خليفه"/>
        <s v="ابراهيم عبدالماجد جاد الله عبدالماجد"/>
        <s v="مقبول حماد كمريا توتو"/>
        <s v="موسى محمد حماد ماهل"/>
        <s v="نزار عوض حسين محمد"/>
        <s v="سلافه يونس حسن وقيع الله"/>
        <s v="حمزه جاد الله ادريس جاد الله"/>
        <s v="محمد عبدالله محمد الطاهر"/>
        <s v="معتز عوض مساعد محمد على"/>
        <s v="عبدالحليم صالح احمد موسى"/>
        <s v="علم الدين ابراهيم النور اسحق"/>
        <s v="خضر ابراهيم خضر محمد"/>
        <s v="محمد صلاح جعفر حمد"/>
        <s v="احمد محمد موسى حسن"/>
        <s v="امير احمد البشرى عبدالرحيم"/>
        <s v="الحاج بليله عمر بليله"/>
        <s v="عبدالخالق حسن محمد ابراهيم"/>
        <s v="معتز موسى وجين دارموس"/>
        <s v="الفاتح محمد عامر سليمان"/>
        <s v="معاذ مجزوب بشير محمد"/>
        <s v="يوسف دفع الله الحسين بابكر"/>
        <s v="مصعب اسماعيل الشيخ محمد"/>
        <s v="عبدالله فيصل بدوى احمد"/>
        <s v="يوسف حمد خالد على"/>
        <s v="احمد ابكر على محمد"/>
        <s v="عصام الامين الحاج البشير"/>
        <s v="على عمر احمد سبوبه"/>
        <s v="بشرى الطيب حسب الله ضوالبيت"/>
        <s v="على بشير الزين بشير"/>
        <s v="الهادى محى الدين احمد النزير"/>
        <s v="محمد محمود محمد الطيب"/>
        <s v="عاطف ابراهيم محمد احمد"/>
        <s v="الحاج العباس الزبير الحاج"/>
        <s v="عادل ابراهيم محمد احمد"/>
        <s v="احمد البشرى محمد احمد"/>
        <s v="مشاور قسم الله عبدالله قسم الله"/>
        <s v="حافظ يعقوب ادريس عبدالرحيم"/>
        <s v="زاهر عبدالله حميد عمر"/>
        <s v="يوسف فاروق عباس سعيد"/>
        <s v="عاطف محمود عمر محمود"/>
        <s v="ياسر وداعه الله سعيد قسم الله"/>
        <s v="محمد ادم عبدالعزيز الحاج"/>
        <s v="محمد الامين ابراهيم الامين"/>
        <s v="عاصم محمد سعيد احمد"/>
        <s v="عطا الفضيل محمد عيد محمد "/>
        <s v="يعقوب السوار محمد ادم"/>
        <s v="عبدالله زايد اسماعيل توتو"/>
        <s v="احمد محمد زين احمد"/>
        <s v="مجاهد عبدالرحمن عبد الوهاب الامين"/>
        <s v="هشام ادم على محمد الحاج"/>
        <s v="محمد الهادى عبدالرحمن"/>
        <s v="عابدين بخيت عبدالفضيل اسماعيل"/>
        <s v="رانى عمر الامين محمد احمد"/>
        <s v="سعيد احمد محمد سعيد"/>
        <s v="صالح يعقوب محمد ابراهيم"/>
        <s v="ناصر ابراهيم ادريس عشر"/>
        <s v="حسن النور اسماعيل خيرى"/>
        <s v="اصف نور الدائم بابكر الحسن"/>
        <s v="ابراهيم عثمان الحاج محمد"/>
        <s v="الضى الساير على جبريل"/>
        <s v="الحاج محمد الحسن موسى محمد"/>
        <s v="فرح محمد ياسين سليمان"/>
        <s v="موسى عبدالله محمد احمد"/>
        <s v="محمد عمر احمد حمد النيل"/>
        <s v="عثمان جادين الامين حمد"/>
        <s v="الياقوت محمد احمد عبدالله"/>
        <s v="عبدالجبار ابراهيم صالح شرف الدين"/>
        <s v="عبدالعزيز الامين محمد حمدالنيل"/>
        <s v="محمد عبيد الله على حامد"/>
        <s v="الهادى على مصطفى عجبنا"/>
        <s v="عصام يوسف مقبل سوركتى"/>
        <s v="بهاء الدين يوسف مقبل سوركتى"/>
        <s v="سليم الشيخ محمد احمد"/>
        <s v="صابر عبده الجيلى شايب"/>
        <s v="اسعد الطيب مصطفى عباس "/>
        <s v="مزاهر ابراهيم بشاره محمد"/>
        <s v="عمر عبدالرحمن البشير عمر"/>
        <s v="احمد مبارك احمد عبدالله"/>
        <s v="خالد احمد قنديل خلف الله"/>
        <s v="التجانى محمد زين احمد محمد"/>
        <s v="سراج الدين محمد خميس ادم"/>
        <s v="ابوبكر فاروق عوض الله عوض السيد"/>
        <s v="يحى عطيه حلوف حماد"/>
        <s v="سماح محمد تيراب احمد"/>
        <s v="محمد فائز حسن محمد"/>
        <s v="احمد عبدالوهاب الامين العبيد"/>
        <s v="كمال عبدالرحمن احمد عبدالله"/>
        <s v="عبدالرحمن موسى محمد عبدالرحمن"/>
        <s v="محمد خضر محمد صديق"/>
        <s v="عبدالرحمن اسماعيل محمد على"/>
        <s v="الطاهر محمد ابكر علي"/>
        <s v="محمد على دليل محمد"/>
        <s v="عادل حسن المومن ابراهيم"/>
        <s v="وليد شمس الدين شريف جاويش"/>
        <s v="محمد يوسف محمد يوسف"/>
        <s v="سبت على جابر اوش"/>
        <s v="صلاح الدين بشير احمد"/>
        <s v="محمد الحاج عبدالله التوم"/>
        <s v="على محمد المهدى سعيد"/>
        <s v="فواز توفيق محمد صادق"/>
        <s v="بركات حميده النعمه بركات"/>
        <s v="هشام فتحى محمد صالح"/>
        <s v="طلال محمد سليمان محمد على"/>
        <s v="رماح صلاح الدين سالم رفاى"/>
        <s v="حسين عثمان سيد حمد"/>
        <s v="محمد بشير عبدالكريم الهادى"/>
        <s v="مصطفى جاروط مصطفى جاروط"/>
        <s v="مدثر على النور اسماعيل"/>
        <s v="عبد الرحمن ادم اسماعيل حماد"/>
        <s v="محمد بخيت عثمان الصديق"/>
        <s v="عثمان على عثمان على"/>
        <s v="جمال حامد عبد الكريم العبيد"/>
        <s v="الشيخ محمد ادم احمد"/>
        <s v="بهاء الدين الحاج الصديق محمد"/>
        <s v="محمد عدلان عبد الرحمن احمد"/>
        <s v="حمدى النور محمد حمد"/>
        <s v="السر كباشى احمد ازرق"/>
        <s v="بريمه اسماعيل جوده توتو"/>
        <s v="عبدالله محمد ادم حسب الله"/>
        <s v="بدرالدين عثمان عوض الكريم فضل الله"/>
        <s v="النعيم الامين حامد الامين"/>
        <s v="محمد عوض ابراهيم شرفى"/>
        <s v="حيدر عالم محمود صالح"/>
        <s v="يوسف شرف الدين احمد محمد"/>
        <s v="محمد احمد عبدالرحمن عبدالمحمود"/>
        <s v="مهند موسى احمد النعيم"/>
        <s v="عادل ضوالبيت ادم ضوالبيت"/>
        <s v="عادل عبد الوهاب نوار يسن"/>
        <s v="اياد بشير بابكر إبراهيم"/>
        <s v="فتح الرحمن عبدالله محمد على"/>
        <s v="عبدالمطلب طه احمد الدالى"/>
        <s v="عزيزه ابكر يوسف شعيب"/>
        <s v="عابدين الامين موسى الامين"/>
        <s v="ادم محمد احمد ادم"/>
        <s v="سوسن الشيخ سيد احمد "/>
        <s v="محمد جلال الدين فضل الله فرج الله"/>
        <s v="مصطفى حسين عثمان سربل"/>
        <s v="التجانى سعد التجانى كورى"/>
        <s v="بكرى إسماعيل رحال كوكو"/>
        <s v="محمد المرتضى الجوده مرجب احمد"/>
        <s v="حيدر هاشم ميرغنى احمد"/>
        <s v="النعيم حامد موسى محمد"/>
        <s v="إدريس إسماعيل إدريس حمدنا الله"/>
        <s v="صلاح ابو زيد بخيت خير السيد"/>
        <s v="محمد احمد مهدى حولى"/>
        <s v="محمد عثمان محمد موسى"/>
        <s v="يحى محمد على محمد شريف"/>
        <s v="مسلم بشير عبدالقادر إبراهيم"/>
        <s v="محمد احمد الحاج عثمان "/>
        <s v="بلال عبد الرحمن كودى الازيرق"/>
        <s v="يوسف زكى الصديق محمد"/>
        <s v="موسى صالح موسى زائد"/>
        <s v="محمدالسيد عيسى محمد عيسى"/>
        <s v="طارق سيد محمد احمد"/>
        <s v="مجاهد حسن على عبدالرحمن"/>
        <s v="احمد بشير ابكر عيسى"/>
        <s v="محمد ادم اسماعيل ادم"/>
        <s v="الصادق اسحق عثمان حماد"/>
        <s v="حاتم عبدون عبدالرحيم محمد"/>
        <s v="حمزه دحيش حمزه احمد"/>
        <s v="محمد عيسى محمد قرين"/>
        <s v="المعتصم الياس حسين فضل"/>
        <s v="معتز عمر مصطفى حماد"/>
        <s v="سيف الدين محمد حسين احمد"/>
        <s v="احمد عبدالعزيز مصطفى احمد"/>
        <s v="كمبال حسن كمبال احمد"/>
        <s v="صفوان صلاح عبده احمد"/>
        <s v="محمد عبده محمد احمد"/>
        <s v="احمد عبدالمنعم محمد فضل المولى"/>
        <s v="منير كمال محمد احمد مصطفى"/>
        <s v="محمد موسى هجرو صالح"/>
        <s v="محمد عبدالحى يسن ادم"/>
        <s v="طه عبدالمنعم طه مصطفى"/>
        <s v="محمد حسين مصطفى مناوى"/>
        <s v="مهند محمد سيد احمد بابكر"/>
        <s v="الدين اسحق الطاهر حسن"/>
        <s v="محمد مدنى مكى حمد"/>
        <s v="نورالدين عبدالفتاح خيرالله نقد"/>
        <s v="محمد احمد محمد الحسن"/>
        <s v="وليد حافظ خير مضوى"/>
        <s v="خالد الفكى إسماعيل نصر"/>
        <s v="صلاح الدين الطاهر محمد النور"/>
        <s v="عصام الدين إسماعيل زين العابدين عباس"/>
        <s v="مياده الرشيد عبدالعزيز احمد"/>
        <s v="محمد احمد ادم محمد"/>
        <s v="بابكر حسن احمد بابكر"/>
        <s v="عبدالباقى ابراهيم عبدالله الحاج"/>
        <s v="نادر خليفه عبدالرحمن حسين"/>
        <s v="محمد يحى عثمان ادم"/>
        <s v="محمد طه محمد احمد"/>
        <s v="معروف محمد عبدالعزيز احمد"/>
        <s v="حسن على بادى يحى"/>
        <s v="ابراهيم حامد ابراهيم بابكر"/>
        <s v="محمد عيسى النور جابر"/>
        <s v="فضل السيد محجوب فضل السيد دسوقى"/>
        <s v="محمد النيل بابكر عبدالباقى"/>
        <s v="مصطفى الامين عبدالرحيم عبدالله"/>
        <s v="محمد الساير فضالى الحلو"/>
        <s v="معتز الرشيد خشم الموس احمد"/>
        <s v="عبدالمنعم عبدالرحمن مصطفى بابكر"/>
        <s v="رفيده البدرى محمد محمد نور"/>
        <s v="فتح الرحمن عباس رحمه محمد"/>
        <s v="عوض الله هجو الفكى سليم"/>
        <s v="صدام عبداللطيف فضل المولى الغزالى"/>
        <s v="عبد الله العوض ادريس حسن"/>
        <s v="محمد عمران محمد احمد"/>
        <s v="باشا محمد تركاس محمد"/>
        <s v="عبد الفتاح محمد عبدالله عبدالسلام"/>
        <s v="الطاهر على محمد"/>
        <s v="محمد  حسن عثمان صالح"/>
        <s v="على الطاهر على محمد"/>
        <s v="فاطمه عمر محمد عمر"/>
        <s v="عامر الطاهر على محمد"/>
        <s v="عمر عثمان محمد عثمان"/>
        <s v="روان مصطفى محمد خليفه"/>
        <s v="فايز عوض ابراهيم محمد"/>
        <s v="عثمان سراج عوض على"/>
        <s v="ميرغنى طه سوركتى شكرليه"/>
        <s v="محمد مهدى ابو محمد"/>
        <s v="مايكل يوهانس"/>
        <s v="عمر العوض حسن الامام"/>
        <s v="عمر احمد محمد عمر"/>
        <s v="احمد محمد سليمان محمد على"/>
        <s v="ميناس عبدالوهاب الامين حسن"/>
        <s v="عفاف الطاهر قرشي حسن"/>
        <s v="سلمى عباس عبدالله تيه"/>
        <s v="تسفاى دسو ابلى"/>
        <s v="نشوه داؤد فرح احمد"/>
        <s v="عبدالله حسن سعيد عبدالكريم"/>
        <s v="بلال عثمان بلال صالح"/>
        <s v="المعز احمد سعيد احمد"/>
        <s v="بله حامد ابراهيم"/>
        <s v="امال عثمان محمد"/>
        <s v="عبدالمنعم موسي ادريس الياس"/>
        <s v="فارس حمدان عبدالله فارس"/>
        <s v="عبدالرحيم موسى ادم محمد"/>
        <s v="هشام بشري محمد احمد"/>
        <s v="انور سليمان ادم محمد"/>
        <s v="جعفر الزاكى عبدالرحيم احمد"/>
        <s v="حسن سليمان محمد نور"/>
        <s v="محمد حوى النبى الفضل بابكر"/>
        <s v="تقوى إدريس كورى تيه"/>
        <s v="قاسم عبدالرازق عثمان مرزوق"/>
        <s v="السر على النذير عبدالعليم"/>
        <s v="سامى عبدالله ادم محمد"/>
        <s v="ناجى عبدالله محمد على صالح"/>
        <s v="نعمات عبدالرحيم محمد عثمان عبدالعزيز"/>
        <s v="احمد عبدالوهاب صالح داؤود"/>
        <s v="عبدالرحمن ابراهيم سنهورى الامين"/>
        <s v="عمادالدين بله محمد ادم"/>
        <s v="محمد سيف الدين محمد حسين"/>
        <s v="عماد السنوسي محمد احمد"/>
        <s v="خليل فرح احمد محمد"/>
        <s v="حسين حماد فرح الدور موسى"/>
        <s v="احمد زهير حسن عبدالله"/>
        <s v="حيدر جمال عبد الله"/>
        <s v="الطيب عبدالرحمن جمعه الطيب"/>
        <s v="عبدالقادر عبدالدافع كرار عمر"/>
        <s v="المقداد صالح سليمان حمد"/>
        <s v="عبد الحميد حسن على الطائف"/>
        <s v="الصادق ضحيه مطر محمد"/>
        <s v="بابكر محمد عبد القادر ابراهيم"/>
        <s v="محمد فضل طمبل فضل"/>
        <s v="محمد احمد موسى حسن"/>
        <s v="عادل جمال"/>
        <s v="ابراهيم عوض موسى محمد"/>
        <s v="عبدالرحمن ساكن حسن ابكر"/>
        <s v="يسريه سمير احمد سليمان" u="1"/>
        <s v="مجدى شمس الدين محمد بابكر" u="1"/>
      </sharedItems>
    </cacheField>
    <cacheField name="المنشأه" numFmtId="0">
      <sharedItems containsMixedTypes="1" containsNumber="1" containsInteger="1" minValue="0" maxValue="0" count="9">
        <e v="#N/A"/>
        <s v="المصنع"/>
        <s v="الرئاسه"/>
        <s v="السودانى الايطالى"/>
        <s v="المكتب الاقليمي"/>
        <s v="مستشارين"/>
        <s v="م الاداره"/>
        <s v="التعدين"/>
        <n v="0" u="1"/>
      </sharedItems>
    </cacheField>
    <cacheField name="القسم" numFmtId="0">
      <sharedItems containsMixedTypes="1" containsNumber="1" containsInteger="1" minValue="0" maxValue="0" count="21">
        <e v="#N/A"/>
        <s v="الاداره"/>
        <s v="المستودعات"/>
        <s v="الانتاج"/>
        <s v="الميكانيكا"/>
        <s v="الكهرباء"/>
        <s v="الخدمات"/>
        <s v="الماليه"/>
        <s v="الموارد البشريه"/>
        <s v="الجوده"/>
        <s v="الرقابه الداخليه"/>
        <s v="الوحده العلاجيه"/>
        <s v="الامن و الحركه"/>
        <s v="الكمبيوتر"/>
        <s v="الاليات"/>
        <s v="الالكترونيات"/>
        <s v="العلاقات العامه"/>
        <n v="0"/>
        <s v="التخليص"/>
        <s v="التحصيل"/>
        <s v="المشتريات"/>
      </sharedItems>
    </cacheField>
    <cacheField name="الوحده" numFmtId="0">
      <sharedItems containsMixedTypes="1" containsNumber="1" containsInteger="1" minValue="0" maxValue="0"/>
    </cacheField>
    <cacheField name="الوظيفه" numFmtId="0">
      <sharedItems containsMixedTypes="1" containsNumber="1" containsInteger="1" minValue="0" maxValue="0" count="87">
        <e v="#N/A"/>
        <s v="المدير الادارى"/>
        <s v="امين مستودع ق غ"/>
        <s v="مسئول مستودع الخام"/>
        <s v="مدير المستودعات"/>
        <s v=" مدير الانتاج"/>
        <s v="مشرف ورديه"/>
        <s v="فورمان"/>
        <s v="مشغل"/>
        <s v="فنى ميكانيكا"/>
        <s v="علاقات عامه"/>
        <s v="مساعد مشغل"/>
        <s v="مشغل كرين"/>
        <s v="خراط"/>
        <s v="تقنى ميكانيكا"/>
        <s v="مدير الصيانه الميكانيكيه"/>
        <s v="مدير الصيانه الكهربائيه"/>
        <s v="فنى كهرباء"/>
        <s v="عامل"/>
        <s v="محاسب"/>
        <s v="مسئول مستودع الاسكراب"/>
        <s v="سائق اليات"/>
        <s v="نائب مدير الموارد المكلف"/>
        <s v="مسئول مستودع ق غ"/>
        <s v="امين مستودع م ج"/>
        <s v="موظف موارد بشريه"/>
        <s v="امين مسودع ق غ"/>
        <s v="رئيس حسابات المصنع"/>
        <s v="تقنى كهرباء"/>
        <s v="مسئول قسم الجوده"/>
        <s v="مراجع"/>
        <s v="مراقب انتاج"/>
        <s v="موظف مشتروات"/>
        <s v="سكرتيرة"/>
        <s v="ممرض"/>
        <s v="فرد امن"/>
        <s v="امين مستودع خام"/>
        <s v="مهندس كمبيوتر"/>
        <s v="مشرف صيانه"/>
        <s v="امين مستودع ا س"/>
        <s v="مشرف خدمات"/>
        <s v="حداد صيانه"/>
        <s v="فنى لف موتورات"/>
        <s v="امين مستودع"/>
        <s v="امين ميزان"/>
        <s v="مسئول مستوع ا س"/>
        <s v="سائق"/>
        <s v="تقنى صيانة"/>
        <s v="مدخل بيانات"/>
        <s v="تقنى ميكانيكا اليات"/>
        <s v="فورمان مخارط"/>
        <s v="فنىالكترونيات"/>
        <s v="فني تبريد وتكيف"/>
        <s v="عداد"/>
        <s v="مسئول قسم الاليات"/>
        <s v="فنى صيانه عامه"/>
        <s v="جنائني"/>
        <s v="مهندس صيانه"/>
        <s v="فنى معمل"/>
        <s v="تقنى انتاج جوده"/>
        <s v="مهندس الكترونيات"/>
        <s v="تقنى الكترونيات"/>
        <s v="سباك"/>
        <s v="مدير قسم الكمبيوتر"/>
        <n v="0"/>
        <s v="سكرتير تنفيذي"/>
        <s v="فنى تبريد وتكييف"/>
        <s v="موظف قسم تجارى"/>
        <s v="فنى كهربائي"/>
        <s v="مهندس ميكانيكا"/>
        <s v="خفير"/>
        <s v="مدير السودانى الايطالى"/>
        <s v="موظف مبيعات"/>
        <s v="مندوب مبيعات"/>
        <s v="مهندس مشاريع"/>
        <s v="مدير المكتب الاقليمي"/>
        <s v="مخلص"/>
        <s v="رئيس حسابات"/>
        <s v="مستشار"/>
        <s v="المستشار المالى"/>
        <s v="مدير الامن و الحركه"/>
        <s v="فنى سباكة"/>
        <s v="مسئول الوحدة الصحية"/>
        <s v="مديرمالى"/>
        <s v="فني اليات"/>
        <s v="سائق رافعة شوكية"/>
        <s v="فنى صيانه + سائق اليات"/>
      </sharedItems>
    </cacheField>
    <cacheField name="المؤهل الرئيسي" numFmtId="0">
      <sharedItems containsMixedTypes="1" containsNumber="1" containsInteger="1" minValue="0" maxValue="0"/>
    </cacheField>
    <cacheField name="التخصص" numFmtId="0">
      <sharedItems containsMixedTypes="1" containsNumber="1" containsInteger="1" minValue="0" maxValue="0"/>
    </cacheField>
    <cacheField name="الدرجه الاكاديميه " numFmtId="0">
      <sharedItems/>
    </cacheField>
    <cacheField name="درجه التوسيط" numFmtId="0">
      <sharedItems containsBlank="1" count="22">
        <m/>
        <s v="B"/>
        <s v="O"/>
        <s v="I"/>
        <s v="D"/>
        <s v="T"/>
        <s v="C"/>
        <s v="G"/>
        <s v="L"/>
        <s v="P"/>
        <s v="S"/>
        <s v="Q"/>
        <s v="H"/>
        <s v="J"/>
        <s v="F"/>
        <s v="U"/>
        <s v="R"/>
        <s v="V"/>
        <s v="K"/>
        <s v="M"/>
        <s v="A"/>
        <s v="N"/>
      </sharedItems>
    </cacheField>
    <cacheField name="تاريخ التعيين" numFmtId="14">
      <sharedItems containsDate="1" containsMixedTypes="1" minDate="1899-12-30T00:00:00" maxDate="2019-01-01T00:00:00"/>
    </cacheField>
    <cacheField name="اخر العام" numFmtId="14">
      <sharedItems containsSemiMixedTypes="0" containsNonDate="0" containsDate="1" containsString="0" minDate="2018-12-31T00:00:00" maxDate="2019-01-01T00:00:00"/>
    </cacheField>
    <cacheField name="سنوات الخدمه" numFmtId="0">
      <sharedItems containsMixedTypes="1" containsNumber="1" containsInteger="1" minValue="0" maxValue="118"/>
    </cacheField>
    <cacheField name="الشهور اقل من سنه" numFmtId="0">
      <sharedItems containsMixedTypes="1" containsNumber="1" containsInteger="1" minValue="0" maxValue="11"/>
    </cacheField>
    <cacheField name="نسبه سنين الخدمه" numFmtId="2">
      <sharedItems containsMixedTypes="1" containsNumber="1" minValue="0" maxValue="237.76"/>
    </cacheField>
    <cacheField name="راتب ديسمبر 2018" numFmtId="0">
      <sharedItems containsSemiMixedTypes="0" containsString="0" containsNumber="1" containsInteger="1" minValue="0" maxValue="50000"/>
    </cacheField>
    <cacheField name="السنوات على راتب ديسمبر" numFmtId="0">
      <sharedItems containsMixedTypes="1" containsNumber="1" minValue="0" maxValue="12125.76"/>
    </cacheField>
    <cacheField name="إتقان العمل الموكل اليه" numFmtId="0">
      <sharedItems containsBlank="1" containsMixedTypes="1" containsNumber="1" containsInteger="1" minValue="0" maxValue="5"/>
    </cacheField>
    <cacheField name="القيام بواجبه دون توجيه" numFmtId="0">
      <sharedItems containsBlank="1" containsMixedTypes="1" containsNumber="1" containsInteger="1" minValue="0" maxValue="5"/>
    </cacheField>
    <cacheField name="المحافظه علي اوقات العمل" numFmtId="0">
      <sharedItems containsBlank="1" containsMixedTypes="1" containsNumber="1" containsInteger="1" minValue="0" maxValue="5"/>
    </cacheField>
    <cacheField name="القدره علي تدريب غيره" numFmtId="0">
      <sharedItems containsBlank="1" containsMixedTypes="1" containsNumber="1" containsInteger="1" minValue="0" maxValue="3"/>
    </cacheField>
    <cacheField name="قابل للتعلم و التطور" numFmtId="0">
      <sharedItems containsBlank="1" containsMixedTypes="1" containsNumber="1" containsInteger="1" minValue="0" maxValue="3"/>
    </cacheField>
    <cacheField name="امكانيه تحمل مسؤليات اكبر" numFmtId="0">
      <sharedItems containsBlank="1" containsMixedTypes="1" containsNumber="1" containsInteger="1" minValue="0" maxValue="3"/>
    </cacheField>
    <cacheField name="انجاز العمل في الوقت المحدد" numFmtId="0">
      <sharedItems containsBlank="1" containsMixedTypes="1" containsNumber="1" containsInteger="1" minValue="0" maxValue="3"/>
    </cacheField>
    <cacheField name="العمل  بروح الفريق الواحد" numFmtId="0">
      <sharedItems containsBlank="1" containsMixedTypes="1" containsNumber="1" containsInteger="1" minValue="0" maxValue="3"/>
    </cacheField>
    <cacheField name="تنفيذ التوجيه المباشر" numFmtId="0">
      <sharedItems containsBlank="1" containsMixedTypes="1" containsNumber="1" containsInteger="1" minValue="1" maxValue="5"/>
    </cacheField>
    <cacheField name="المجموع" numFmtId="0">
      <sharedItems containsMixedTypes="1" containsNumber="1" containsInteger="1" minValue="0" maxValue="35"/>
    </cacheField>
    <cacheField name="التقييد  باللوائح و تنفيذالتوجيه" numFmtId="0">
      <sharedItems containsBlank="1" containsMixedTypes="1" containsNumber="1" containsInteger="1" minValue="0" maxValue="15"/>
    </cacheField>
    <cacheField name="الحضور العام" numFmtId="0">
      <sharedItems containsBlank="1" containsMixedTypes="1" containsNumber="1" containsInteger="1" minValue="0" maxValue="15"/>
    </cacheField>
    <cacheField name="الانذارات" numFmtId="0">
      <sharedItems containsBlank="1" containsMixedTypes="1" containsNumber="1" containsInteger="1" minValue="0" maxValue="15"/>
    </cacheField>
    <cacheField name="الاستيضاحات" numFmtId="0">
      <sharedItems containsBlank="1" containsMixedTypes="1" containsNumber="1" containsInteger="1" minValue="0" maxValue="15"/>
    </cacheField>
    <cacheField name="المحافظه علي اوقات العمل2" numFmtId="0">
      <sharedItems containsBlank="1" containsMixedTypes="1" containsNumber="1" containsInteger="1" minValue="0" maxValue="5"/>
    </cacheField>
    <cacheField name="اتباع اجراءات السلامه" numFmtId="0">
      <sharedItems containsBlank="1" containsMixedTypes="1" containsNumber="1" containsInteger="1" minValue="0" maxValue="3"/>
    </cacheField>
    <cacheField name="المجموع2" numFmtId="0">
      <sharedItems containsMixedTypes="1" containsNumber="1" containsInteger="1" minValue="0" maxValue="65"/>
    </cacheField>
    <cacheField name="المجموع 1+2" numFmtId="0">
      <sharedItems containsMixedTypes="1" containsNumber="1" containsInteger="1" minValue="0" maxValue="100"/>
    </cacheField>
    <cacheField name="مدير القسم المباشر" numFmtId="0">
      <sharedItems containsBlank="1" containsMixedTypes="1" containsNumber="1" containsInteger="1" minValue="1" maxValue="10"/>
    </cacheField>
    <cacheField name="مدير الموارد البشريه" numFmtId="0">
      <sharedItems containsBlank="1" containsMixedTypes="1" containsNumber="1" containsInteger="1" minValue="2" maxValue="2"/>
    </cacheField>
    <cacheField name="مدير المصنع" numFmtId="0">
      <sharedItems containsBlank="1" containsMixedTypes="1" containsNumber="1" containsInteger="1" minValue="3" maxValue="3"/>
    </cacheField>
    <cacheField name="المدير العام" numFmtId="0">
      <sharedItems containsBlank="1" containsMixedTypes="1" containsNumber="1" containsInteger="1" minValue="4" maxValue="9"/>
    </cacheField>
    <cacheField name="المجموع3" numFmtId="0">
      <sharedItems containsBlank="1" containsMixedTypes="1" containsNumber="1" containsInteger="1" minValue="10" maxValue="55"/>
    </cacheField>
    <cacheField name="نسبه التقييم الرئيسي 2018" numFmtId="0">
      <sharedItems containsString="0" containsBlank="1" containsNumber="1" minValue="0" maxValue="60"/>
    </cacheField>
    <cacheField name="مبلغ التقييم النسبي 2018" numFmtId="3">
      <sharedItems containsSemiMixedTypes="0" containsString="0" containsNumber="1" minValue="0" maxValue="20976"/>
    </cacheField>
    <cacheField name="الراتب 2018+النسبه" numFmtId="3">
      <sharedItems containsSemiMixedTypes="0" containsString="0" containsNumber="1" minValue="0" maxValue="69200"/>
    </cacheField>
    <cacheField name="فروقات الحد الادني" numFmtId="3">
      <sharedItems containsMixedTypes="1" containsNumber="1" minValue="0" maxValue="50000"/>
    </cacheField>
    <cacheField name="الحد الادني" numFmtId="0">
      <sharedItems containsMixedTypes="1" containsNumber="1" containsInteger="1" minValue="4000" maxValue="80000"/>
    </cacheField>
    <cacheField name="الراتب 2018 + النسبه + الفرق" numFmtId="0">
      <sharedItems containsMixedTypes="1" containsNumber="1" minValue="4175.34" maxValue="80000"/>
    </cacheField>
    <cacheField name="الزياده" numFmtId="3">
      <sharedItems containsMixedTypes="1" containsNumber="1" minValue="510" maxValue="50000"/>
    </cacheField>
    <cacheField name="نسبه" numFmtId="0">
      <sharedItems containsMixedTypes="1" containsNumber="1" minValue="11.35857461024499" maxValue="270.37037037037038"/>
    </cacheField>
    <cacheField name="التعديل" numFmtId="2">
      <sharedItems containsMixedTypes="1" containsNumber="1" minValue="0" maxValue="10000"/>
    </cacheField>
    <cacheField name="جبر الرقم" numFmtId="3">
      <sharedItems containsMixedTypes="1" containsNumber="1" minValue="0" maxValue="14"/>
    </cacheField>
    <cacheField name="الزياده النهائيه" numFmtId="3">
      <sharedItems containsMixedTypes="1" containsNumber="1" minValue="510" maxValue="50000"/>
    </cacheField>
    <cacheField name="الراتب النهائي" numFmtId="3">
      <sharedItems containsMixedTypes="1" containsNumber="1" minValue="4180" maxValue="80000"/>
    </cacheField>
    <cacheField name="نسبه الزياده النهائيه" numFmtId="0">
      <sharedItems containsMixedTypes="1" containsNumber="1" minValue="11.35857461024499" maxValue="455.55555555555554"/>
    </cacheField>
    <cacheField name="راتب ديسمبر" numFmtId="0">
      <sharedItems containsSemiMixedTypes="0" containsString="0" containsNumber="1" containsInteger="1" minValue="0" maxValue="50000"/>
    </cacheField>
    <cacheField name="التعديل حتي" numFmtId="0">
      <sharedItems containsString="0" containsBlank="1" containsNumber="1" containsInteger="1" minValue="5000" maxValue="30000"/>
    </cacheField>
    <cacheField name="الجبر حتي" numFmtId="0">
      <sharedItems containsMixedTypes="1" containsNumber="1" minValue="4180" maxValue="80000"/>
    </cacheField>
    <cacheField name="رن" numFmtId="0">
      <sharedItems containsMixedTypes="1" containsNumber="1" minValue="4175.34" maxValue="80000"/>
    </cacheField>
    <cacheField name="Column3" numFmtId="0">
      <sharedItems containsMixedTypes="1" containsNumber="1" minValue="-24950" maxValue="50000"/>
    </cacheField>
    <cacheField name="Column4" numFmtId="0">
      <sharedItems containsMixedTypes="1" containsNumber="1" minValue="-80000" maxValue="10000"/>
    </cacheField>
    <cacheField name="kkk" numFmtId="0">
      <sharedItems containsMixedTypes="1" containsNumber="1" minValue="4175.34" maxValue="80000"/>
    </cacheField>
    <cacheField name="Column5" numFmtId="0">
      <sharedItems containsBlank="1" containsMixedTypes="1" containsNumber="1" minValue="0" maxValue="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7">
  <r>
    <m/>
    <n v="-1"/>
    <x v="0"/>
    <x v="0"/>
    <x v="0"/>
    <e v="#N/A"/>
    <x v="0"/>
    <x v="0"/>
    <m/>
    <e v="#N/A"/>
    <e v="#N/A"/>
    <e v="#N/A"/>
    <d v="2017-12-31T00:00:00"/>
    <n v="0"/>
    <e v="#N/A"/>
    <e v="#N/A"/>
    <n v="0"/>
    <n v="0"/>
    <e v="#N/A"/>
    <m/>
    <m/>
    <s v="I"/>
    <s v="II"/>
    <s v="III"/>
    <s v="IV"/>
    <s v="V"/>
    <s v="VI"/>
    <s v="VII"/>
    <s v="VIII"/>
    <s v="IX"/>
    <s v="A"/>
    <m/>
    <s v="I"/>
    <s v="II"/>
    <s v="III"/>
    <s v="IV"/>
    <s v="V"/>
    <s v="VI"/>
    <s v="B"/>
    <m/>
    <s v="A+B"/>
    <m/>
    <s v="I"/>
    <s v="II"/>
    <s v="III"/>
    <s v="IV"/>
    <s v="C"/>
    <n v="0.53"/>
    <n v="0"/>
    <n v="0"/>
    <e v="#N/A"/>
    <e v="#N/A"/>
    <e v="#N/A"/>
    <e v="#N/A"/>
    <e v="#N/A"/>
    <e v="#N/A"/>
    <e v="#N/A"/>
    <e v="#N/A"/>
    <e v="#N/A"/>
    <m/>
    <m/>
    <e v="#N/A"/>
    <e v="#N/A"/>
    <m/>
  </r>
  <r>
    <m/>
    <n v="0"/>
    <x v="0"/>
    <x v="0"/>
    <x v="0"/>
    <e v="#N/A"/>
    <x v="0"/>
    <x v="0"/>
    <m/>
    <e v="#N/A"/>
    <e v="#N/A"/>
    <d v="2017-12-01T00:00:00"/>
    <d v="2017-12-31T00:00:00"/>
    <n v="0"/>
    <n v="0"/>
    <n v="0"/>
    <n v="0"/>
    <n v="0"/>
    <e v="#N/A"/>
    <m/>
    <m/>
    <s v="VI"/>
    <s v="V"/>
    <s v="V"/>
    <s v="V"/>
    <s v="IV"/>
    <s v="IV"/>
    <s v="VI"/>
    <s v="IV"/>
    <s v="VI"/>
    <s v="XXXXV"/>
    <m/>
    <s v="X"/>
    <s v="XV"/>
    <s v="XV"/>
    <s v="VII"/>
    <s v="V"/>
    <s v="III"/>
    <s v="XXXXXV"/>
    <m/>
    <s v="L"/>
    <m/>
    <s v="X"/>
    <s v="X"/>
    <s v="X"/>
    <s v="X"/>
    <s v="XXXX"/>
    <m/>
    <n v="0"/>
    <n v="0"/>
    <e v="#N/A"/>
    <e v="#N/A"/>
    <e v="#N/A"/>
    <e v="#N/A"/>
    <e v="#N/A"/>
    <e v="#N/A"/>
    <e v="#N/A"/>
    <e v="#N/A"/>
    <e v="#N/A"/>
    <m/>
    <m/>
    <e v="#N/A"/>
    <e v="#N/A"/>
    <m/>
  </r>
  <r>
    <m/>
    <n v="1"/>
    <x v="1"/>
    <x v="1"/>
    <x v="1"/>
    <s v="الاداره"/>
    <x v="1"/>
    <x v="1"/>
    <s v="A"/>
    <n v="0"/>
    <n v="0"/>
    <d v="2007-01-01T00:00:00"/>
    <d v="2017-12-31T00:00:00"/>
    <n v="20000"/>
    <n v="10"/>
    <n v="11"/>
    <n v="21.76"/>
    <n v="4352"/>
    <n v="6658.56"/>
    <m/>
    <m/>
    <n v="6"/>
    <n v="5"/>
    <n v="5"/>
    <n v="5"/>
    <n v="4"/>
    <n v="4"/>
    <n v="6"/>
    <n v="4"/>
    <n v="6"/>
    <n v="45"/>
    <m/>
    <n v="10"/>
    <n v="15"/>
    <n v="15"/>
    <n v="7"/>
    <n v="5"/>
    <n v="3"/>
    <n v="55"/>
    <m/>
    <n v="100"/>
    <m/>
    <m/>
    <m/>
    <m/>
    <m/>
    <m/>
    <n v="53"/>
    <n v="10600"/>
    <n v="30600"/>
    <m/>
    <n v="5000"/>
    <n v="30600"/>
    <n v="34952"/>
    <n v="14952"/>
    <n v="74.760000000000005"/>
    <n v="34952"/>
    <n v="14952"/>
    <n v="74.760000000000005"/>
    <m/>
    <n v="8"/>
    <n v="34960"/>
    <n v="1165.3333333333333"/>
    <m/>
  </r>
  <r>
    <m/>
    <n v="5"/>
    <x v="2"/>
    <x v="1"/>
    <x v="2"/>
    <s v="قطع الغيار"/>
    <x v="2"/>
    <x v="2"/>
    <m/>
    <s v="شهاده ثانويه"/>
    <n v="0"/>
    <d v="2006-12-01T00:00:00"/>
    <d v="2017-12-31T00:00:00"/>
    <n v="2870"/>
    <n v="11"/>
    <n v="0"/>
    <n v="22"/>
    <n v="631.4"/>
    <n v="922.53854000000001"/>
    <m/>
    <m/>
    <n v="5"/>
    <n v="4"/>
    <n v="4"/>
    <n v="3"/>
    <n v="3"/>
    <n v="3"/>
    <n v="4"/>
    <n v="4"/>
    <n v="5"/>
    <n v="35"/>
    <m/>
    <n v="10"/>
    <n v="14"/>
    <n v="15"/>
    <n v="5"/>
    <n v="5"/>
    <n v="3"/>
    <n v="52"/>
    <m/>
    <n v="87"/>
    <m/>
    <m/>
    <m/>
    <m/>
    <m/>
    <m/>
    <n v="46.11"/>
    <n v="1323.357"/>
    <n v="4193.357"/>
    <m/>
    <n v="4000"/>
    <n v="4193.357"/>
    <n v="4824.7569999999996"/>
    <n v="1954.7569999999996"/>
    <n v="68.109999999999985"/>
    <n v="4824.7569999999996"/>
    <n v="1954.7569999999996"/>
    <n v="68.109999999999985"/>
    <m/>
    <n v="5"/>
    <n v="4829.7569999999996"/>
    <n v="160.99189999999999"/>
    <m/>
  </r>
  <r>
    <m/>
    <n v="6"/>
    <x v="3"/>
    <x v="1"/>
    <x v="2"/>
    <s v="قطع الغيار"/>
    <x v="2"/>
    <x v="2"/>
    <m/>
    <n v="0"/>
    <n v="0"/>
    <d v="2007-02-01T00:00:00"/>
    <d v="2017-12-31T00:00:00"/>
    <n v="3000"/>
    <n v="10"/>
    <n v="10"/>
    <n v="21.6"/>
    <n v="648.00000000000011"/>
    <n v="967.39920000000006"/>
    <m/>
    <m/>
    <n v="5"/>
    <n v="4"/>
    <n v="4"/>
    <n v="4"/>
    <n v="3"/>
    <n v="3"/>
    <n v="6"/>
    <n v="4"/>
    <n v="6"/>
    <n v="39"/>
    <m/>
    <n v="10"/>
    <n v="14"/>
    <n v="15"/>
    <n v="7"/>
    <n v="5"/>
    <n v="3"/>
    <n v="54"/>
    <m/>
    <n v="93"/>
    <m/>
    <m/>
    <m/>
    <m/>
    <m/>
    <m/>
    <n v="49.29"/>
    <n v="1478.7"/>
    <n v="4478.7"/>
    <m/>
    <n v="4000"/>
    <n v="4478.7"/>
    <n v="5126.7"/>
    <n v="2126.6999999999998"/>
    <n v="70.89"/>
    <n v="5126.7"/>
    <n v="2126.6999999999998"/>
    <n v="70.89"/>
    <m/>
    <n v="3"/>
    <n v="5129.7"/>
    <n v="170.98999999999998"/>
    <m/>
  </r>
  <r>
    <m/>
    <n v="8"/>
    <x v="4"/>
    <x v="1"/>
    <x v="2"/>
    <s v="الخام"/>
    <x v="3"/>
    <x v="3"/>
    <m/>
    <s v="بكلاريوس"/>
    <s v="محاسبه"/>
    <d v="2007-02-17T00:00:00"/>
    <d v="2017-12-31T00:00:00"/>
    <n v="3692"/>
    <n v="10"/>
    <n v="10"/>
    <n v="21.6"/>
    <n v="797.47200000000009"/>
    <n v="1203.2257536000002"/>
    <m/>
    <m/>
    <n v="5"/>
    <n v="5"/>
    <n v="5"/>
    <n v="4"/>
    <n v="4"/>
    <n v="4"/>
    <n v="5"/>
    <n v="4"/>
    <n v="6"/>
    <n v="42"/>
    <m/>
    <n v="10"/>
    <n v="14"/>
    <n v="15"/>
    <n v="7"/>
    <n v="5"/>
    <n v="3"/>
    <n v="54"/>
    <m/>
    <n v="96"/>
    <m/>
    <m/>
    <m/>
    <m/>
    <m/>
    <m/>
    <n v="50.88"/>
    <n v="1878.4896000000001"/>
    <n v="5570.4895999999999"/>
    <m/>
    <n v="5000"/>
    <n v="5570.4895999999999"/>
    <n v="6367.9615999999996"/>
    <n v="2675.9615999999996"/>
    <n v="72.47999999999999"/>
    <n v="6367.9615999999996"/>
    <n v="2675.9615999999996"/>
    <n v="72.47999999999999"/>
    <m/>
    <n v="2"/>
    <n v="6369.9615999999996"/>
    <n v="212.33205333333333"/>
    <m/>
  </r>
  <r>
    <m/>
    <n v="9"/>
    <x v="5"/>
    <x v="1"/>
    <x v="2"/>
    <s v="مدير قسم"/>
    <x v="4"/>
    <x v="1"/>
    <s v="B"/>
    <s v="دبلوم تقني"/>
    <s v="محاسبة"/>
    <d v="2007-01-15T00:00:00"/>
    <d v="2017-12-31T00:00:00"/>
    <n v="7248"/>
    <n v="10"/>
    <n v="11"/>
    <n v="21.76"/>
    <n v="1577.1648"/>
    <n v="2362.9083033600004"/>
    <m/>
    <m/>
    <n v="4"/>
    <n v="5"/>
    <n v="5"/>
    <n v="4"/>
    <n v="4"/>
    <n v="3"/>
    <n v="5"/>
    <n v="4"/>
    <n v="6"/>
    <n v="40"/>
    <m/>
    <n v="10"/>
    <n v="14"/>
    <n v="15"/>
    <n v="7"/>
    <n v="5"/>
    <n v="3"/>
    <n v="54"/>
    <m/>
    <n v="94"/>
    <m/>
    <m/>
    <m/>
    <m/>
    <m/>
    <m/>
    <n v="49.82"/>
    <n v="3610.9535999999998"/>
    <n v="10858.953600000001"/>
    <m/>
    <n v="5000"/>
    <n v="10858.953600000001"/>
    <n v="12436.118400000001"/>
    <n v="5188.1184000000012"/>
    <n v="71.580000000000013"/>
    <n v="12436.118400000001"/>
    <n v="5188.1184000000012"/>
    <n v="71.580000000000013"/>
    <m/>
    <n v="4"/>
    <n v="12440.118400000001"/>
    <n v="414.67061333333339"/>
    <m/>
  </r>
  <r>
    <m/>
    <n v="12"/>
    <x v="6"/>
    <x v="1"/>
    <x v="3"/>
    <s v="الامن"/>
    <x v="5"/>
    <x v="2"/>
    <m/>
    <n v="0"/>
    <n v="0"/>
    <d v="2007-03-01T00:00:00"/>
    <d v="2017-12-31T00:00:00"/>
    <n v="2244"/>
    <n v="10"/>
    <n v="9"/>
    <n v="21.44"/>
    <n v="481.11360000000002"/>
    <n v="857.6"/>
    <m/>
    <m/>
    <n v="6"/>
    <n v="5"/>
    <n v="5"/>
    <n v="5"/>
    <n v="3"/>
    <n v="3"/>
    <n v="5"/>
    <n v="4"/>
    <n v="6"/>
    <n v="42"/>
    <m/>
    <n v="9"/>
    <n v="14"/>
    <n v="15"/>
    <n v="7"/>
    <n v="4"/>
    <n v="3"/>
    <n v="52"/>
    <m/>
    <n v="94"/>
    <m/>
    <n v="10"/>
    <m/>
    <m/>
    <m/>
    <m/>
    <n v="49.82"/>
    <n v="1117.9607999999998"/>
    <n v="3361.9607999999998"/>
    <n v="638.03920000000016"/>
    <n v="4000"/>
    <n v="4000"/>
    <n v="4481.1135999999997"/>
    <n v="2237.1135999999997"/>
    <n v="99.693119429589999"/>
    <n v="4481.1135999999997"/>
    <n v="2237.1135999999997"/>
    <n v="99.693119429589999"/>
    <m/>
    <n v="9"/>
    <n v="4490.1135999999997"/>
    <n v="149.67045333333331"/>
    <m/>
  </r>
  <r>
    <m/>
    <n v="13"/>
    <x v="7"/>
    <x v="1"/>
    <x v="3"/>
    <s v="مدير قسم "/>
    <x v="6"/>
    <x v="1"/>
    <m/>
    <s v="شهاده ثانويه"/>
    <n v="0"/>
    <d v="2007-01-09T00:00:00"/>
    <d v="2017-12-31T00:00:00"/>
    <n v="4222"/>
    <n v="10"/>
    <n v="11"/>
    <n v="21.76"/>
    <n v="918.70720000000006"/>
    <n v="1371.5379788800001"/>
    <m/>
    <m/>
    <n v="6"/>
    <n v="5"/>
    <n v="4"/>
    <n v="4"/>
    <n v="3"/>
    <n v="4"/>
    <n v="4"/>
    <n v="4"/>
    <n v="6"/>
    <n v="40"/>
    <m/>
    <n v="10"/>
    <n v="14"/>
    <n v="15"/>
    <n v="7"/>
    <n v="4"/>
    <n v="3"/>
    <n v="53"/>
    <m/>
    <n v="93"/>
    <m/>
    <m/>
    <m/>
    <m/>
    <m/>
    <m/>
    <n v="49.29"/>
    <n v="2081.0237999999999"/>
    <n v="6303.0237999999999"/>
    <m/>
    <n v="5000"/>
    <n v="6303.0237999999999"/>
    <n v="7221.7309999999998"/>
    <n v="2999.7309999999998"/>
    <n v="71.05"/>
    <n v="7221.7309999999998"/>
    <n v="2999.7309999999998"/>
    <n v="71.05"/>
    <m/>
    <n v="8"/>
    <n v="7229.7309999999998"/>
    <n v="240.99103333333332"/>
    <m/>
  </r>
  <r>
    <m/>
    <n v="16"/>
    <x v="8"/>
    <x v="1"/>
    <x v="4"/>
    <s v="مدير قسم"/>
    <x v="7"/>
    <x v="1"/>
    <s v="B"/>
    <s v="دبلوم تقني"/>
    <s v="هندسة ميكانيكية ( قوى )"/>
    <d v="2006-12-12T00:00:00"/>
    <d v="2017-12-31T00:00:00"/>
    <n v="15000"/>
    <n v="11"/>
    <n v="0"/>
    <n v="22"/>
    <n v="3300"/>
    <n v="4961.55"/>
    <m/>
    <m/>
    <n v="5"/>
    <n v="5"/>
    <n v="4"/>
    <n v="5"/>
    <n v="4"/>
    <n v="4"/>
    <n v="6"/>
    <n v="3"/>
    <n v="6"/>
    <n v="42"/>
    <m/>
    <n v="9"/>
    <n v="15"/>
    <n v="15"/>
    <n v="7"/>
    <n v="4"/>
    <n v="3"/>
    <n v="53"/>
    <m/>
    <n v="95"/>
    <m/>
    <m/>
    <m/>
    <m/>
    <m/>
    <m/>
    <n v="50.35"/>
    <n v="7552.5000000000009"/>
    <n v="22552.5"/>
    <m/>
    <n v="5000"/>
    <n v="22552.5"/>
    <n v="25852.5"/>
    <n v="10852.5"/>
    <n v="72.349999999999994"/>
    <n v="25852.5"/>
    <n v="10852.5"/>
    <n v="72.349999999999994"/>
    <m/>
    <n v="7"/>
    <n v="25859.5"/>
    <n v="861.98333333333335"/>
    <m/>
  </r>
  <r>
    <m/>
    <n v="17"/>
    <x v="9"/>
    <x v="1"/>
    <x v="4"/>
    <s v="الاشراف"/>
    <x v="8"/>
    <x v="3"/>
    <m/>
    <n v="0"/>
    <n v="0"/>
    <d v="2006-12-01T00:00:00"/>
    <d v="2017-12-31T00:00:00"/>
    <n v="7500"/>
    <n v="11"/>
    <n v="0"/>
    <n v="22"/>
    <n v="1650"/>
    <n v="2489.52"/>
    <m/>
    <m/>
    <n v="6"/>
    <n v="5"/>
    <n v="5"/>
    <n v="5"/>
    <n v="4"/>
    <n v="4"/>
    <n v="6"/>
    <n v="4"/>
    <n v="6"/>
    <n v="45"/>
    <m/>
    <n v="9"/>
    <n v="13"/>
    <n v="15"/>
    <n v="7"/>
    <n v="4"/>
    <n v="3"/>
    <n v="51"/>
    <m/>
    <n v="96"/>
    <m/>
    <m/>
    <m/>
    <m/>
    <m/>
    <m/>
    <n v="50.88"/>
    <n v="3816"/>
    <n v="11316"/>
    <m/>
    <n v="5000"/>
    <n v="11316"/>
    <n v="12966"/>
    <n v="5466"/>
    <n v="72.88"/>
    <n v="12966"/>
    <n v="5466"/>
    <n v="72.88"/>
    <m/>
    <n v="4"/>
    <n v="12970"/>
    <n v="432.33333333333331"/>
    <m/>
  </r>
  <r>
    <m/>
    <n v="18"/>
    <x v="10"/>
    <x v="1"/>
    <x v="4"/>
    <s v="المواسير"/>
    <x v="9"/>
    <x v="4"/>
    <m/>
    <n v="0"/>
    <n v="0"/>
    <d v="2006-12-01T00:00:00"/>
    <d v="2017-12-31T00:00:00"/>
    <n v="3000"/>
    <n v="11"/>
    <n v="0"/>
    <n v="22"/>
    <n v="660"/>
    <n v="1002.8040000000002"/>
    <m/>
    <m/>
    <n v="6"/>
    <n v="5"/>
    <n v="5"/>
    <n v="5"/>
    <n v="4"/>
    <n v="4"/>
    <n v="6"/>
    <n v="4"/>
    <n v="5"/>
    <n v="44"/>
    <m/>
    <n v="10"/>
    <n v="14"/>
    <n v="15"/>
    <n v="7"/>
    <n v="5"/>
    <n v="3"/>
    <n v="54"/>
    <m/>
    <n v="98"/>
    <m/>
    <m/>
    <m/>
    <m/>
    <m/>
    <m/>
    <n v="51.940000000000005"/>
    <n v="1558.2000000000003"/>
    <n v="4558.2000000000007"/>
    <m/>
    <n v="4500"/>
    <n v="4558.2000000000007"/>
    <n v="5218.2000000000007"/>
    <n v="2218.2000000000007"/>
    <n v="73.940000000000026"/>
    <n v="5218.2000000000007"/>
    <n v="2218.2000000000007"/>
    <n v="73.940000000000026"/>
    <n v="782"/>
    <m/>
    <n v="6000.2000000000007"/>
    <n v="200.00666666666669"/>
    <m/>
  </r>
  <r>
    <m/>
    <n v="19"/>
    <x v="11"/>
    <x v="1"/>
    <x v="4"/>
    <s v="المواسير"/>
    <x v="10"/>
    <x v="3"/>
    <s v="B"/>
    <s v="دبلوم تقني"/>
    <s v="هندسة ميكانيكية ( إنتاج )"/>
    <d v="2006-12-12T00:00:00"/>
    <d v="2017-12-31T00:00:00"/>
    <n v="4080"/>
    <n v="11"/>
    <n v="0"/>
    <n v="22"/>
    <n v="897.6"/>
    <n v="1320.99792"/>
    <m/>
    <m/>
    <n v="5"/>
    <n v="5"/>
    <n v="4"/>
    <n v="4"/>
    <n v="4"/>
    <n v="4"/>
    <n v="6"/>
    <n v="4"/>
    <n v="6"/>
    <n v="42"/>
    <m/>
    <n v="8"/>
    <n v="15"/>
    <n v="12"/>
    <n v="5"/>
    <n v="4"/>
    <n v="3"/>
    <n v="47"/>
    <m/>
    <n v="89"/>
    <m/>
    <m/>
    <m/>
    <m/>
    <m/>
    <m/>
    <n v="47.17"/>
    <n v="1924.5360000000001"/>
    <n v="6004.5360000000001"/>
    <m/>
    <n v="5000"/>
    <n v="6004.5360000000001"/>
    <n v="6902.1360000000004"/>
    <n v="2822.1360000000004"/>
    <n v="69.170000000000016"/>
    <n v="6902.1360000000004"/>
    <n v="2822.1360000000004"/>
    <n v="69.170000000000016"/>
    <n v="1098"/>
    <m/>
    <n v="8000.1360000000004"/>
    <n v="266.6712"/>
    <m/>
  </r>
  <r>
    <m/>
    <n v="20"/>
    <x v="12"/>
    <x v="1"/>
    <x v="4"/>
    <s v="المواسير"/>
    <x v="9"/>
    <x v="4"/>
    <m/>
    <n v="0"/>
    <n v="0"/>
    <d v="2006-12-01T00:00:00"/>
    <d v="2017-12-31T00:00:00"/>
    <n v="2457"/>
    <n v="11"/>
    <n v="0"/>
    <n v="22"/>
    <n v="540.54"/>
    <n v="990"/>
    <m/>
    <m/>
    <n v="6"/>
    <n v="5"/>
    <n v="5"/>
    <n v="3"/>
    <n v="3"/>
    <n v="3"/>
    <n v="6"/>
    <n v="4"/>
    <n v="6"/>
    <n v="41"/>
    <m/>
    <n v="9"/>
    <n v="15"/>
    <n v="15"/>
    <n v="7"/>
    <n v="4"/>
    <n v="3"/>
    <n v="53"/>
    <m/>
    <n v="94"/>
    <m/>
    <m/>
    <m/>
    <m/>
    <m/>
    <m/>
    <n v="49.82"/>
    <n v="1224.0773999999999"/>
    <n v="3681.0774000000001"/>
    <n v="818.92259999999987"/>
    <n v="4500"/>
    <n v="4500"/>
    <n v="5040.54"/>
    <n v="2583.54"/>
    <n v="105.15018315018315"/>
    <n v="5040.54"/>
    <n v="2583.54"/>
    <n v="105.15018315018315"/>
    <m/>
    <n v="9"/>
    <n v="5049.54"/>
    <n v="168.31800000000001"/>
    <m/>
  </r>
  <r>
    <m/>
    <n v="21"/>
    <x v="13"/>
    <x v="1"/>
    <x v="5"/>
    <s v="صيانه عامه"/>
    <x v="11"/>
    <x v="2"/>
    <m/>
    <n v="0"/>
    <n v="0"/>
    <d v="2006-12-13T00:00:00"/>
    <d v="2017-12-31T00:00:00"/>
    <n v="2600"/>
    <n v="11"/>
    <n v="0"/>
    <n v="22"/>
    <n v="572"/>
    <n v="880"/>
    <m/>
    <m/>
    <n v="5"/>
    <n v="4.5"/>
    <n v="5"/>
    <n v="4"/>
    <n v="3.5"/>
    <n v="3.5"/>
    <n v="5"/>
    <n v="4"/>
    <n v="5.5"/>
    <n v="40"/>
    <m/>
    <n v="9"/>
    <n v="14"/>
    <n v="15"/>
    <n v="5"/>
    <n v="4"/>
    <n v="3"/>
    <n v="50"/>
    <m/>
    <n v="90"/>
    <m/>
    <n v="8"/>
    <m/>
    <m/>
    <m/>
    <m/>
    <n v="47.7"/>
    <n v="1240.2"/>
    <n v="3840.2"/>
    <n v="159.80000000000018"/>
    <n v="4000"/>
    <n v="4000"/>
    <n v="4572"/>
    <n v="1972"/>
    <n v="75.84615384615384"/>
    <n v="4572"/>
    <n v="1972"/>
    <n v="75.84615384615384"/>
    <m/>
    <n v="8"/>
    <n v="4580"/>
    <n v="152.66666666666666"/>
    <m/>
  </r>
  <r>
    <m/>
    <n v="22"/>
    <x v="14"/>
    <x v="1"/>
    <x v="4"/>
    <s v="الزوايا"/>
    <x v="9"/>
    <x v="4"/>
    <m/>
    <n v="0"/>
    <n v="0"/>
    <d v="2006-12-01T00:00:00"/>
    <d v="2017-12-31T00:00:00"/>
    <n v="2640"/>
    <n v="11"/>
    <n v="0"/>
    <n v="22"/>
    <n v="580.79999999999995"/>
    <n v="990"/>
    <m/>
    <m/>
    <n v="5"/>
    <n v="4"/>
    <n v="5"/>
    <n v="4"/>
    <n v="4"/>
    <n v="3"/>
    <n v="5"/>
    <n v="4"/>
    <n v="4"/>
    <n v="38"/>
    <m/>
    <n v="10"/>
    <n v="15"/>
    <n v="15"/>
    <n v="7"/>
    <n v="5"/>
    <n v="3"/>
    <n v="55"/>
    <m/>
    <n v="93"/>
    <m/>
    <m/>
    <m/>
    <m/>
    <m/>
    <m/>
    <n v="49.29"/>
    <n v="1301.2560000000001"/>
    <n v="3941.2560000000003"/>
    <n v="558.74399999999969"/>
    <n v="4500"/>
    <n v="4500"/>
    <n v="5080.8"/>
    <n v="2440.8000000000002"/>
    <n v="92.454545454545467"/>
    <n v="5080.8"/>
    <n v="2440.8000000000002"/>
    <n v="92.454545454545467"/>
    <m/>
    <n v="9"/>
    <n v="5089.8"/>
    <n v="169.66"/>
    <m/>
  </r>
  <r>
    <m/>
    <n v="25"/>
    <x v="15"/>
    <x v="1"/>
    <x v="1"/>
    <s v="مكلف"/>
    <x v="12"/>
    <x v="2"/>
    <m/>
    <s v="تدريب مهني"/>
    <n v="0"/>
    <d v="2006-01-12T00:00:00"/>
    <d v="2017-12-31T00:00:00"/>
    <n v="2470"/>
    <n v="11"/>
    <n v="11"/>
    <n v="23.76"/>
    <n v="586.87199999999996"/>
    <n v="950.4"/>
    <m/>
    <m/>
    <n v="5"/>
    <n v="5"/>
    <n v="4"/>
    <n v="4"/>
    <n v="4"/>
    <n v="3"/>
    <n v="6"/>
    <n v="4"/>
    <n v="6"/>
    <n v="41"/>
    <m/>
    <n v="8"/>
    <n v="13"/>
    <n v="15"/>
    <n v="7"/>
    <n v="5"/>
    <n v="3"/>
    <n v="51"/>
    <m/>
    <n v="92"/>
    <m/>
    <m/>
    <m/>
    <m/>
    <m/>
    <m/>
    <n v="48.760000000000005"/>
    <n v="1204.3720000000001"/>
    <n v="3674.3720000000003"/>
    <n v="325.6279999999997"/>
    <n v="4000"/>
    <n v="4000"/>
    <n v="4586.8720000000003"/>
    <n v="2116.8720000000003"/>
    <n v="85.7033198380567"/>
    <n v="4586.8720000000003"/>
    <n v="2116.8720000000003"/>
    <n v="85.7033198380567"/>
    <m/>
    <n v="3"/>
    <n v="4589.8720000000003"/>
    <n v="152.99573333333333"/>
    <m/>
  </r>
  <r>
    <m/>
    <n v="26"/>
    <x v="16"/>
    <x v="1"/>
    <x v="4"/>
    <s v="المواسير"/>
    <x v="13"/>
    <x v="4"/>
    <s v="C"/>
    <s v="تدريب مهني"/>
    <s v="ماكينات"/>
    <d v="2006-12-11T00:00:00"/>
    <d v="2017-12-31T00:00:00"/>
    <n v="4080"/>
    <n v="11"/>
    <n v="0"/>
    <n v="22"/>
    <n v="897.6"/>
    <n v="1368.5707199999999"/>
    <m/>
    <m/>
    <n v="6"/>
    <n v="5"/>
    <n v="5"/>
    <n v="5"/>
    <n v="4"/>
    <n v="4"/>
    <n v="6"/>
    <n v="4"/>
    <n v="6"/>
    <n v="45"/>
    <m/>
    <n v="10"/>
    <n v="14"/>
    <n v="15"/>
    <n v="7"/>
    <n v="5"/>
    <n v="3"/>
    <n v="54"/>
    <m/>
    <n v="99"/>
    <m/>
    <m/>
    <m/>
    <m/>
    <m/>
    <m/>
    <n v="52.470000000000006"/>
    <n v="2140.7760000000003"/>
    <n v="6220.7759999999998"/>
    <m/>
    <n v="4500"/>
    <n v="6220.7759999999998"/>
    <n v="7118.3760000000002"/>
    <n v="3038.3760000000002"/>
    <n v="74.470000000000013"/>
    <n v="7118.3760000000002"/>
    <n v="3038.3760000000002"/>
    <n v="74.470000000000013"/>
    <m/>
    <n v="2"/>
    <n v="7120.3760000000002"/>
    <n v="237.34586666666667"/>
    <m/>
  </r>
  <r>
    <m/>
    <n v="28"/>
    <x v="17"/>
    <x v="1"/>
    <x v="4"/>
    <s v="المواسير"/>
    <x v="14"/>
    <x v="2"/>
    <m/>
    <s v="شهاده ثانويه"/>
    <n v="0"/>
    <d v="2006-12-01T00:00:00"/>
    <d v="2017-12-31T00:00:00"/>
    <n v="2200"/>
    <n v="11"/>
    <n v="0"/>
    <n v="22"/>
    <n v="484"/>
    <n v="880"/>
    <m/>
    <m/>
    <n v="6"/>
    <n v="5"/>
    <n v="5"/>
    <n v="2"/>
    <n v="2"/>
    <n v="2"/>
    <n v="6"/>
    <n v="4"/>
    <n v="6"/>
    <n v="38"/>
    <m/>
    <n v="10"/>
    <n v="14"/>
    <n v="15"/>
    <n v="7"/>
    <n v="5"/>
    <n v="3"/>
    <n v="54"/>
    <m/>
    <n v="92"/>
    <m/>
    <m/>
    <m/>
    <m/>
    <m/>
    <m/>
    <n v="48.760000000000005"/>
    <n v="1072.72"/>
    <n v="3272.7200000000003"/>
    <n v="727.27999999999975"/>
    <n v="4000"/>
    <n v="4000"/>
    <n v="4484"/>
    <n v="2284"/>
    <n v="103.81818181818181"/>
    <n v="4484"/>
    <n v="2284"/>
    <n v="103.81818181818181"/>
    <m/>
    <n v="6"/>
    <n v="4490"/>
    <n v="149.66666666666666"/>
    <m/>
  </r>
  <r>
    <m/>
    <n v="29"/>
    <x v="18"/>
    <x v="1"/>
    <x v="2"/>
    <s v="التحميل"/>
    <x v="15"/>
    <x v="2"/>
    <m/>
    <n v="0"/>
    <n v="0"/>
    <d v="2007-02-07T00:00:00"/>
    <d v="2017-12-31T00:00:00"/>
    <n v="2000"/>
    <n v="10"/>
    <n v="10"/>
    <n v="21.6"/>
    <n v="432.00000000000006"/>
    <n v="864.00000000000011"/>
    <m/>
    <m/>
    <n v="6"/>
    <n v="5"/>
    <n v="4"/>
    <n v="4"/>
    <n v="3"/>
    <n v="3"/>
    <n v="5"/>
    <n v="3"/>
    <n v="6"/>
    <n v="39"/>
    <m/>
    <n v="10"/>
    <n v="13"/>
    <n v="12"/>
    <n v="5"/>
    <n v="5"/>
    <n v="3"/>
    <n v="48"/>
    <m/>
    <n v="87"/>
    <m/>
    <m/>
    <m/>
    <m/>
    <m/>
    <m/>
    <n v="46.11"/>
    <n v="922.2"/>
    <n v="2922.2"/>
    <n v="1077.8000000000002"/>
    <n v="4000"/>
    <n v="4000"/>
    <n v="4432"/>
    <n v="2432"/>
    <n v="121.6"/>
    <n v="4432"/>
    <n v="2432"/>
    <n v="121.6"/>
    <m/>
    <n v="8"/>
    <n v="4440"/>
    <n v="148"/>
    <m/>
  </r>
  <r>
    <m/>
    <n v="31"/>
    <x v="19"/>
    <x v="1"/>
    <x v="4"/>
    <s v="المواسير"/>
    <x v="10"/>
    <x v="3"/>
    <m/>
    <s v="شهاده ثانويه"/>
    <n v="0"/>
    <d v="2007-01-06T00:00:00"/>
    <d v="2017-12-31T00:00:00"/>
    <n v="4500"/>
    <n v="10"/>
    <n v="11"/>
    <n v="21.76"/>
    <n v="979.2"/>
    <n v="1487.7964800000002"/>
    <m/>
    <m/>
    <n v="6"/>
    <n v="5"/>
    <n v="5"/>
    <n v="5"/>
    <n v="4"/>
    <n v="4"/>
    <n v="6"/>
    <n v="4"/>
    <n v="6"/>
    <n v="45"/>
    <m/>
    <n v="10"/>
    <n v="14"/>
    <n v="15"/>
    <n v="7"/>
    <n v="4"/>
    <n v="3"/>
    <n v="53"/>
    <m/>
    <n v="98"/>
    <m/>
    <m/>
    <m/>
    <m/>
    <m/>
    <m/>
    <n v="51.940000000000005"/>
    <n v="2337.3000000000002"/>
    <n v="6837.3"/>
    <m/>
    <n v="5000"/>
    <n v="6837.3"/>
    <n v="7816.5"/>
    <n v="3316.5"/>
    <n v="73.7"/>
    <n v="7816.5"/>
    <n v="3316.5"/>
    <n v="73.7"/>
    <n v="1183"/>
    <m/>
    <n v="8999.5"/>
    <n v="299.98333333333335"/>
    <m/>
  </r>
  <r>
    <m/>
    <n v="32"/>
    <x v="20"/>
    <x v="1"/>
    <x v="5"/>
    <s v="المخارط"/>
    <x v="16"/>
    <x v="4"/>
    <m/>
    <n v="0"/>
    <n v="0"/>
    <d v="2007-02-12T00:00:00"/>
    <d v="2017-12-31T00:00:00"/>
    <n v="2964"/>
    <n v="10"/>
    <n v="10"/>
    <n v="21.6"/>
    <n v="640.22400000000005"/>
    <n v="972.00000000000011"/>
    <m/>
    <m/>
    <n v="5"/>
    <n v="4"/>
    <n v="5"/>
    <n v="3"/>
    <n v="2"/>
    <n v="2"/>
    <n v="4"/>
    <n v="3"/>
    <n v="4"/>
    <n v="32"/>
    <m/>
    <n v="9"/>
    <n v="13"/>
    <n v="15"/>
    <n v="5"/>
    <n v="4"/>
    <n v="3"/>
    <n v="49"/>
    <m/>
    <n v="81"/>
    <m/>
    <n v="7"/>
    <m/>
    <m/>
    <m/>
    <m/>
    <n v="42.93"/>
    <n v="1272.4452000000001"/>
    <n v="4236.4452000000001"/>
    <n v="263.55479999999989"/>
    <n v="4500"/>
    <n v="4500"/>
    <n v="5140.2240000000002"/>
    <n v="2176.2240000000002"/>
    <n v="73.421862348178138"/>
    <n v="5140.2240000000002"/>
    <n v="2176.2240000000002"/>
    <n v="73.421862348178138"/>
    <m/>
    <m/>
    <n v="5140.2240000000002"/>
    <n v="171.3408"/>
    <m/>
  </r>
  <r>
    <m/>
    <n v="33"/>
    <x v="21"/>
    <x v="1"/>
    <x v="5"/>
    <s v="صيانه عامه"/>
    <x v="17"/>
    <x v="4"/>
    <s v="B"/>
    <s v="دبلوم تقني"/>
    <s v="هندسة ميكانيكية ( قوى )"/>
    <d v="2007-01-13T00:00:00"/>
    <d v="2017-12-31T00:00:00"/>
    <n v="4560"/>
    <n v="10"/>
    <n v="11"/>
    <n v="21.76"/>
    <n v="992.25600000000009"/>
    <n v="1465.5621120000003"/>
    <m/>
    <m/>
    <n v="6"/>
    <n v="4.5"/>
    <n v="4"/>
    <n v="4.5"/>
    <n v="3.5"/>
    <n v="3.5"/>
    <n v="5.5"/>
    <n v="3.5"/>
    <n v="5"/>
    <n v="40"/>
    <m/>
    <n v="9"/>
    <n v="14"/>
    <n v="15"/>
    <n v="5"/>
    <n v="4"/>
    <n v="3"/>
    <n v="50"/>
    <m/>
    <n v="90"/>
    <m/>
    <n v="9"/>
    <m/>
    <m/>
    <m/>
    <m/>
    <n v="47.7"/>
    <n v="2175.1200000000003"/>
    <n v="6735.1200000000008"/>
    <m/>
    <n v="4500"/>
    <n v="6735.1200000000008"/>
    <n v="7727.3760000000011"/>
    <n v="3167.3760000000011"/>
    <n v="69.460000000000022"/>
    <n v="7727.3760000000011"/>
    <n v="3167.3760000000011"/>
    <n v="69.460000000000022"/>
    <m/>
    <n v="3"/>
    <n v="7730.3760000000011"/>
    <n v="257.67920000000004"/>
    <m/>
  </r>
  <r>
    <m/>
    <n v="34"/>
    <x v="22"/>
    <x v="1"/>
    <x v="4"/>
    <s v="الزوايا"/>
    <x v="14"/>
    <x v="2"/>
    <m/>
    <n v="0"/>
    <n v="0"/>
    <d v="2007-01-16T00:00:00"/>
    <d v="2017-12-31T00:00:00"/>
    <n v="2244"/>
    <n v="10"/>
    <n v="11"/>
    <n v="21.76"/>
    <n v="488.29440000000005"/>
    <n v="870.40000000000009"/>
    <m/>
    <m/>
    <n v="4"/>
    <n v="4"/>
    <n v="4"/>
    <n v="1"/>
    <n v="1"/>
    <n v="1"/>
    <n v="6"/>
    <n v="4"/>
    <n v="6"/>
    <n v="31"/>
    <m/>
    <n v="9"/>
    <n v="14"/>
    <n v="15"/>
    <n v="7"/>
    <n v="4"/>
    <n v="3"/>
    <n v="52"/>
    <m/>
    <n v="83"/>
    <m/>
    <m/>
    <m/>
    <m/>
    <m/>
    <m/>
    <n v="43.99"/>
    <n v="987.13560000000007"/>
    <n v="3231.1356000000001"/>
    <n v="768.86439999999993"/>
    <n v="4000"/>
    <n v="4000"/>
    <n v="4488.2943999999998"/>
    <n v="2244.2943999999998"/>
    <n v="100.01311942959001"/>
    <n v="4488.2943999999998"/>
    <n v="2244.2943999999998"/>
    <n v="100.01311942959001"/>
    <m/>
    <n v="2"/>
    <n v="4490.2943999999998"/>
    <n v="149.67648"/>
    <m/>
  </r>
  <r>
    <m/>
    <n v="36"/>
    <x v="23"/>
    <x v="1"/>
    <x v="5"/>
    <s v="صيانه عامه"/>
    <x v="11"/>
    <x v="2"/>
    <s v="C"/>
    <s v="تدريب مهني"/>
    <n v="0"/>
    <d v="2007-02-07T00:00:00"/>
    <d v="2017-12-31T00:00:00"/>
    <n v="3500"/>
    <n v="10"/>
    <n v="10"/>
    <n v="21.6"/>
    <n v="756.00000000000011"/>
    <n v="1128.6324"/>
    <m/>
    <m/>
    <n v="5"/>
    <n v="4.5"/>
    <n v="4"/>
    <n v="4.5"/>
    <n v="4"/>
    <n v="3.5"/>
    <n v="5"/>
    <n v="4"/>
    <n v="4.5"/>
    <n v="39"/>
    <m/>
    <n v="10"/>
    <n v="14"/>
    <n v="15"/>
    <n v="7"/>
    <n v="5"/>
    <n v="3"/>
    <n v="54"/>
    <m/>
    <n v="93"/>
    <m/>
    <n v="8"/>
    <m/>
    <m/>
    <m/>
    <m/>
    <n v="49.29"/>
    <n v="1725.15"/>
    <n v="5225.1499999999996"/>
    <m/>
    <n v="4000"/>
    <n v="5225.1499999999996"/>
    <n v="5981.15"/>
    <n v="2481.1499999999996"/>
    <n v="70.889999999999986"/>
    <n v="5981.15"/>
    <n v="2481.1499999999996"/>
    <n v="70.889999999999986"/>
    <m/>
    <n v="9"/>
    <n v="5990.15"/>
    <n v="199.67166666666665"/>
    <m/>
  </r>
  <r>
    <m/>
    <n v="37"/>
    <x v="24"/>
    <x v="1"/>
    <x v="5"/>
    <s v="مدير قسم"/>
    <x v="18"/>
    <x v="1"/>
    <s v="A"/>
    <s v="بكلاريوس الشرف"/>
    <s v="هندسة تكنولوجية - ميكانيكية"/>
    <d v="2007-03-01T00:00:00"/>
    <d v="2017-12-31T00:00:00"/>
    <n v="8000"/>
    <n v="10"/>
    <n v="9"/>
    <n v="21.44"/>
    <n v="1715.2"/>
    <n v="2551.53152"/>
    <m/>
    <m/>
    <n v="5"/>
    <n v="4"/>
    <n v="4"/>
    <n v="5"/>
    <n v="4"/>
    <n v="4"/>
    <n v="6"/>
    <n v="4"/>
    <n v="6"/>
    <n v="42"/>
    <m/>
    <n v="8"/>
    <n v="14"/>
    <n v="15"/>
    <n v="7"/>
    <n v="3"/>
    <n v="3"/>
    <n v="50"/>
    <m/>
    <n v="92"/>
    <m/>
    <m/>
    <m/>
    <m/>
    <m/>
    <m/>
    <n v="48.760000000000005"/>
    <n v="3900.8"/>
    <n v="11900.8"/>
    <m/>
    <n v="5000"/>
    <n v="11900.8"/>
    <n v="13616"/>
    <n v="5616"/>
    <n v="70.2"/>
    <n v="13616"/>
    <n v="5616"/>
    <n v="70.2"/>
    <m/>
    <n v="4"/>
    <n v="13620"/>
    <n v="454"/>
    <m/>
  </r>
  <r>
    <m/>
    <n v="38"/>
    <x v="25"/>
    <x v="1"/>
    <x v="6"/>
    <s v="مدير قسم"/>
    <x v="19"/>
    <x v="1"/>
    <s v="A"/>
    <s v="بكلاريوس الشرف"/>
    <s v="هندسة كهرباء"/>
    <d v="2006-12-01T00:00:00"/>
    <d v="2017-12-31T00:00:00"/>
    <n v="8000"/>
    <n v="11"/>
    <n v="0"/>
    <n v="22"/>
    <n v="1760"/>
    <n v="2646.16"/>
    <m/>
    <m/>
    <n v="5"/>
    <n v="5"/>
    <n v="4"/>
    <n v="4"/>
    <n v="4"/>
    <n v="4"/>
    <n v="6"/>
    <n v="4"/>
    <n v="6"/>
    <n v="42"/>
    <m/>
    <n v="9"/>
    <n v="14"/>
    <n v="15"/>
    <n v="7"/>
    <n v="5"/>
    <n v="3"/>
    <n v="53"/>
    <m/>
    <n v="95"/>
    <m/>
    <m/>
    <m/>
    <m/>
    <m/>
    <m/>
    <n v="50.35"/>
    <n v="4028.0000000000005"/>
    <n v="12028"/>
    <m/>
    <n v="5000"/>
    <n v="12028"/>
    <n v="13788"/>
    <n v="5788"/>
    <n v="72.349999999999994"/>
    <n v="13788"/>
    <n v="5788"/>
    <n v="72.349999999999994"/>
    <m/>
    <n v="2"/>
    <n v="13790"/>
    <n v="459.66666666666669"/>
    <m/>
  </r>
  <r>
    <m/>
    <n v="39"/>
    <x v="26"/>
    <x v="1"/>
    <x v="6"/>
    <s v="كهرباء عامه"/>
    <x v="20"/>
    <x v="2"/>
    <s v="C"/>
    <s v="شهاده كورس"/>
    <s v="حاسوب"/>
    <d v="2006-12-01T00:00:00"/>
    <d v="2017-12-31T00:00:00"/>
    <n v="3600"/>
    <n v="11"/>
    <n v="0"/>
    <n v="22"/>
    <n v="792"/>
    <n v="1152.9936"/>
    <m/>
    <m/>
    <n v="5"/>
    <n v="5"/>
    <n v="5"/>
    <n v="5"/>
    <n v="4"/>
    <n v="4"/>
    <n v="5"/>
    <n v="4"/>
    <n v="6"/>
    <n v="43"/>
    <m/>
    <n v="9"/>
    <n v="13"/>
    <n v="12"/>
    <n v="2"/>
    <n v="4"/>
    <n v="3"/>
    <n v="43"/>
    <m/>
    <n v="86"/>
    <m/>
    <n v="7"/>
    <m/>
    <m/>
    <m/>
    <m/>
    <n v="45.580000000000005"/>
    <n v="1640.88"/>
    <n v="5240.88"/>
    <m/>
    <n v="4000"/>
    <n v="5240.88"/>
    <n v="6032.88"/>
    <n v="2432.88"/>
    <n v="67.58"/>
    <n v="6032.88"/>
    <n v="2432.88"/>
    <n v="67.58"/>
    <m/>
    <n v="7"/>
    <n v="6039.88"/>
    <n v="201.32933333333332"/>
    <m/>
  </r>
  <r>
    <m/>
    <n v="40"/>
    <x v="27"/>
    <x v="1"/>
    <x v="6"/>
    <s v="كهرباء عامه"/>
    <x v="20"/>
    <x v="2"/>
    <s v="C"/>
    <s v="تدريب مهني"/>
    <s v="كهرباء عامة"/>
    <d v="2006-12-01T00:00:00"/>
    <d v="2017-12-31T00:00:00"/>
    <n v="2600"/>
    <n v="11"/>
    <n v="0"/>
    <n v="22"/>
    <n v="572"/>
    <n v="880"/>
    <m/>
    <m/>
    <n v="5"/>
    <n v="4"/>
    <n v="5"/>
    <n v="5"/>
    <n v="3"/>
    <n v="3"/>
    <n v="5"/>
    <n v="4"/>
    <n v="6"/>
    <n v="40"/>
    <m/>
    <n v="9"/>
    <n v="14"/>
    <n v="15"/>
    <n v="7"/>
    <n v="4"/>
    <n v="3"/>
    <n v="52"/>
    <m/>
    <n v="92"/>
    <m/>
    <n v="7"/>
    <m/>
    <m/>
    <m/>
    <m/>
    <n v="48.760000000000005"/>
    <n v="1267.76"/>
    <n v="3867.76"/>
    <n v="132.23999999999978"/>
    <n v="4000"/>
    <n v="4000"/>
    <n v="4572"/>
    <n v="1972"/>
    <n v="75.84615384615384"/>
    <n v="4572"/>
    <n v="1972"/>
    <n v="75.84615384615384"/>
    <m/>
    <n v="8"/>
    <n v="4580"/>
    <n v="152.66666666666666"/>
    <m/>
  </r>
  <r>
    <m/>
    <n v="42"/>
    <x v="28"/>
    <x v="1"/>
    <x v="7"/>
    <s v="الكافتريا"/>
    <x v="21"/>
    <x v="5"/>
    <m/>
    <n v="0"/>
    <n v="0"/>
    <d v="2007-01-06T00:00:00"/>
    <d v="2017-12-31T00:00:00"/>
    <n v="1870"/>
    <n v="10"/>
    <n v="11"/>
    <n v="21.76"/>
    <n v="406.91200000000003"/>
    <n v="652.80000000000007"/>
    <m/>
    <m/>
    <n v="5"/>
    <n v="5"/>
    <n v="4"/>
    <n v="4"/>
    <n v="2"/>
    <n v="2"/>
    <n v="6"/>
    <n v="4"/>
    <n v="6"/>
    <n v="38"/>
    <m/>
    <n v="9"/>
    <n v="14"/>
    <n v="15"/>
    <n v="7"/>
    <n v="5"/>
    <n v="3"/>
    <n v="53"/>
    <m/>
    <n v="91"/>
    <m/>
    <m/>
    <m/>
    <m/>
    <m/>
    <m/>
    <n v="48.230000000000004"/>
    <n v="901.90100000000007"/>
    <n v="2771.9009999999998"/>
    <n v="228.09900000000016"/>
    <n v="3000"/>
    <n v="3000"/>
    <n v="3406.9120000000003"/>
    <n v="1536.9120000000003"/>
    <n v="82.18780748663103"/>
    <n v="3406.9120000000003"/>
    <n v="1536.9120000000003"/>
    <n v="82.18780748663103"/>
    <m/>
    <n v="3"/>
    <n v="3409.9120000000003"/>
    <n v="113.66373333333334"/>
    <m/>
  </r>
  <r>
    <m/>
    <n v="43"/>
    <x v="29"/>
    <x v="1"/>
    <x v="7"/>
    <s v="البوفيه"/>
    <x v="21"/>
    <x v="2"/>
    <m/>
    <n v="0"/>
    <n v="0"/>
    <d v="2015-02-10T00:00:00"/>
    <d v="2017-12-31T00:00:00"/>
    <n v="1870"/>
    <n v="2"/>
    <n v="10"/>
    <n v="5.6"/>
    <n v="104.71999999999998"/>
    <n v="223.99999999999997"/>
    <m/>
    <m/>
    <n v="5"/>
    <n v="5"/>
    <n v="3"/>
    <n v="3"/>
    <n v="4"/>
    <n v="3"/>
    <n v="6"/>
    <n v="2"/>
    <n v="6"/>
    <n v="37"/>
    <m/>
    <n v="9"/>
    <n v="13"/>
    <n v="15"/>
    <n v="7"/>
    <n v="3"/>
    <n v="3"/>
    <n v="50"/>
    <m/>
    <n v="87"/>
    <m/>
    <m/>
    <m/>
    <m/>
    <m/>
    <m/>
    <n v="46.11"/>
    <n v="862.25700000000006"/>
    <n v="2732.2570000000001"/>
    <n v="1267.7429999999999"/>
    <n v="4000"/>
    <n v="4000"/>
    <n v="4104.72"/>
    <n v="2234.7200000000003"/>
    <n v="119.50374331550805"/>
    <n v="4104.72"/>
    <n v="2234.7200000000003"/>
    <n v="119.50374331550805"/>
    <m/>
    <n v="5"/>
    <n v="4109.72"/>
    <n v="136.99066666666667"/>
    <m/>
  </r>
  <r>
    <m/>
    <n v="45"/>
    <x v="30"/>
    <x v="1"/>
    <x v="7"/>
    <s v="الكافتريا"/>
    <x v="21"/>
    <x v="2"/>
    <m/>
    <n v="0"/>
    <n v="0"/>
    <d v="2007-02-07T00:00:00"/>
    <d v="2017-12-31T00:00:00"/>
    <n v="2000"/>
    <n v="10"/>
    <n v="10"/>
    <n v="21.6"/>
    <n v="432.00000000000006"/>
    <n v="864.00000000000011"/>
    <m/>
    <m/>
    <n v="5"/>
    <n v="5"/>
    <n v="4"/>
    <n v="4"/>
    <n v="4"/>
    <n v="3"/>
    <n v="6"/>
    <n v="4"/>
    <n v="6"/>
    <n v="41"/>
    <m/>
    <n v="9"/>
    <n v="14"/>
    <n v="15"/>
    <n v="7"/>
    <n v="5"/>
    <n v="3"/>
    <n v="53"/>
    <m/>
    <n v="94"/>
    <m/>
    <m/>
    <m/>
    <m/>
    <m/>
    <m/>
    <n v="49.82"/>
    <n v="996.4"/>
    <n v="2996.4"/>
    <n v="1003.5999999999999"/>
    <n v="4000"/>
    <n v="4000"/>
    <n v="4432"/>
    <n v="2432"/>
    <n v="121.6"/>
    <n v="4432"/>
    <n v="2432"/>
    <n v="121.6"/>
    <m/>
    <n v="8"/>
    <n v="4440"/>
    <n v="148"/>
    <m/>
  </r>
  <r>
    <m/>
    <n v="47"/>
    <x v="31"/>
    <x v="1"/>
    <x v="4"/>
    <s v="الاشراف"/>
    <x v="8"/>
    <x v="3"/>
    <m/>
    <n v="0"/>
    <n v="0"/>
    <d v="2008-02-08T00:00:00"/>
    <d v="2017-12-31T00:00:00"/>
    <n v="6500"/>
    <n v="9"/>
    <n v="10"/>
    <n v="19.600000000000001"/>
    <n v="1274"/>
    <n v="1922.2112000000002"/>
    <m/>
    <m/>
    <n v="6"/>
    <n v="5"/>
    <n v="5"/>
    <n v="5"/>
    <n v="4"/>
    <n v="4"/>
    <n v="6"/>
    <n v="4"/>
    <n v="6"/>
    <n v="45"/>
    <m/>
    <n v="9"/>
    <n v="13"/>
    <n v="15"/>
    <n v="7"/>
    <n v="4"/>
    <n v="3"/>
    <n v="51"/>
    <m/>
    <n v="96"/>
    <m/>
    <m/>
    <m/>
    <m/>
    <m/>
    <m/>
    <n v="50.88"/>
    <n v="3307.2000000000003"/>
    <n v="9807.2000000000007"/>
    <m/>
    <n v="5000"/>
    <n v="9807.2000000000007"/>
    <n v="11081.2"/>
    <n v="4581.2000000000007"/>
    <n v="70.480000000000018"/>
    <n v="11081.2"/>
    <n v="4581.2000000000007"/>
    <n v="70.480000000000018"/>
    <m/>
    <n v="9"/>
    <n v="11090.2"/>
    <n v="369.67333333333335"/>
    <m/>
  </r>
  <r>
    <m/>
    <n v="51"/>
    <x v="32"/>
    <x v="1"/>
    <x v="8"/>
    <s v="الخزنه"/>
    <x v="22"/>
    <x v="4"/>
    <s v="B"/>
    <s v="دبلوم تقني"/>
    <s v="محاسبة"/>
    <d v="2008-11-01T00:00:00"/>
    <d v="2017-12-31T00:00:00"/>
    <n v="3500"/>
    <n v="9"/>
    <n v="1"/>
    <n v="18.16"/>
    <n v="635.6"/>
    <n v="948.88724000000002"/>
    <m/>
    <m/>
    <n v="6"/>
    <n v="5"/>
    <n v="4"/>
    <n v="5"/>
    <n v="4"/>
    <n v="3"/>
    <n v="6"/>
    <n v="4"/>
    <n v="5"/>
    <n v="42"/>
    <m/>
    <n v="8"/>
    <n v="13"/>
    <n v="15"/>
    <n v="7"/>
    <n v="5"/>
    <n v="3"/>
    <n v="51"/>
    <m/>
    <n v="93"/>
    <m/>
    <n v="10"/>
    <m/>
    <m/>
    <m/>
    <m/>
    <n v="49.29"/>
    <n v="1725.15"/>
    <n v="5225.1499999999996"/>
    <m/>
    <n v="4500"/>
    <n v="5225.1499999999996"/>
    <n v="5860.75"/>
    <n v="2360.75"/>
    <n v="67.45"/>
    <n v="5860.75"/>
    <n v="2360.75"/>
    <n v="67.45"/>
    <m/>
    <n v="9"/>
    <n v="5869.75"/>
    <n v="195.65833333333333"/>
    <m/>
  </r>
  <r>
    <m/>
    <n v="52"/>
    <x v="33"/>
    <x v="1"/>
    <x v="4"/>
    <s v="الزوايا"/>
    <x v="14"/>
    <x v="2"/>
    <m/>
    <n v="0"/>
    <n v="0"/>
    <d v="2009-06-01T00:00:00"/>
    <d v="2017-12-31T00:00:00"/>
    <n v="1870"/>
    <n v="8"/>
    <n v="6"/>
    <n v="16.96"/>
    <n v="317.15199999999999"/>
    <n v="678.4"/>
    <m/>
    <m/>
    <n v="4"/>
    <n v="4"/>
    <n v="4"/>
    <n v="1"/>
    <n v="1"/>
    <n v="1"/>
    <n v="6"/>
    <n v="4"/>
    <n v="6"/>
    <n v="31"/>
    <m/>
    <n v="9"/>
    <n v="14"/>
    <n v="15"/>
    <n v="7"/>
    <n v="4"/>
    <n v="3"/>
    <n v="52"/>
    <m/>
    <n v="83"/>
    <m/>
    <m/>
    <m/>
    <m/>
    <m/>
    <m/>
    <n v="43.99"/>
    <n v="822.61300000000006"/>
    <n v="2692.6130000000003"/>
    <n v="1307.3869999999997"/>
    <n v="4000"/>
    <n v="4000"/>
    <n v="4317.152"/>
    <n v="2447.152"/>
    <n v="130.86374331550803"/>
    <n v="4317.152"/>
    <n v="2447.152"/>
    <n v="130.86374331550803"/>
    <m/>
    <n v="3"/>
    <n v="4320.152"/>
    <n v="144.00506666666666"/>
    <m/>
  </r>
  <r>
    <m/>
    <n v="54"/>
    <x v="34"/>
    <x v="1"/>
    <x v="2"/>
    <s v="الاسكراب"/>
    <x v="23"/>
    <x v="2"/>
    <m/>
    <n v="0"/>
    <n v="0"/>
    <d v="2009-06-04T00:00:00"/>
    <d v="2017-12-31T00:00:00"/>
    <n v="2000"/>
    <n v="8"/>
    <n v="6"/>
    <n v="16.96"/>
    <n v="339.2"/>
    <n v="678.4"/>
    <m/>
    <m/>
    <n v="5"/>
    <n v="3"/>
    <n v="4"/>
    <n v="3"/>
    <n v="3"/>
    <n v="3"/>
    <n v="5"/>
    <n v="3"/>
    <n v="4"/>
    <n v="33"/>
    <m/>
    <n v="9"/>
    <n v="12"/>
    <n v="15"/>
    <n v="7"/>
    <n v="4"/>
    <n v="3"/>
    <n v="50"/>
    <m/>
    <n v="83"/>
    <m/>
    <m/>
    <m/>
    <m/>
    <m/>
    <m/>
    <n v="43.99"/>
    <n v="879.80000000000007"/>
    <n v="2879.8"/>
    <n v="1120.1999999999998"/>
    <n v="4000"/>
    <n v="4000"/>
    <n v="4339.2"/>
    <n v="2339.1999999999998"/>
    <n v="116.96"/>
    <n v="4339.2"/>
    <n v="2339.1999999999998"/>
    <n v="116.96"/>
    <m/>
    <n v="1"/>
    <n v="4340.2"/>
    <n v="144.67333333333332"/>
    <m/>
  </r>
  <r>
    <m/>
    <n v="55"/>
    <x v="35"/>
    <x v="1"/>
    <x v="4"/>
    <s v="اليات"/>
    <x v="24"/>
    <x v="4"/>
    <m/>
    <n v="0"/>
    <n v="0"/>
    <d v="2009-06-15T00:00:00"/>
    <d v="2017-12-31T00:00:00"/>
    <n v="3200"/>
    <n v="8"/>
    <n v="6"/>
    <n v="16.96"/>
    <n v="542.72"/>
    <n v="813.10310399999992"/>
    <m/>
    <m/>
    <n v="6"/>
    <n v="5"/>
    <n v="5"/>
    <n v="4"/>
    <n v="4"/>
    <n v="4"/>
    <n v="6"/>
    <n v="4"/>
    <n v="6"/>
    <n v="44"/>
    <m/>
    <n v="9"/>
    <n v="14"/>
    <n v="15"/>
    <n v="5"/>
    <n v="4"/>
    <n v="3"/>
    <n v="50"/>
    <m/>
    <n v="94"/>
    <m/>
    <m/>
    <m/>
    <m/>
    <m/>
    <m/>
    <n v="49.82"/>
    <n v="1594.24"/>
    <n v="4794.24"/>
    <m/>
    <n v="4500"/>
    <n v="4794.24"/>
    <n v="5336.96"/>
    <n v="2136.96"/>
    <n v="66.78"/>
    <n v="5336.96"/>
    <n v="2136.96"/>
    <n v="66.78"/>
    <m/>
    <n v="3"/>
    <n v="5339.96"/>
    <n v="177.99866666666668"/>
    <m/>
  </r>
  <r>
    <m/>
    <n v="58"/>
    <x v="36"/>
    <x v="1"/>
    <x v="9"/>
    <s v="موظف"/>
    <x v="25"/>
    <x v="1"/>
    <s v="A"/>
    <s v="بكلاريوس"/>
    <s v="إدارة الاعمال"/>
    <d v="2009-07-19T00:00:00"/>
    <d v="2017-12-31T00:00:00"/>
    <n v="5000"/>
    <n v="8"/>
    <n v="5"/>
    <n v="16.8"/>
    <n v="840"/>
    <n v="1249.5840000000001"/>
    <m/>
    <m/>
    <n v="6"/>
    <n v="5"/>
    <n v="4"/>
    <n v="5"/>
    <n v="4"/>
    <n v="4"/>
    <n v="5"/>
    <n v="4"/>
    <n v="5"/>
    <n v="42"/>
    <m/>
    <n v="8"/>
    <n v="13"/>
    <n v="15"/>
    <n v="7"/>
    <n v="4"/>
    <n v="3"/>
    <n v="50"/>
    <m/>
    <n v="92"/>
    <m/>
    <m/>
    <m/>
    <m/>
    <m/>
    <m/>
    <n v="48.760000000000005"/>
    <n v="2438"/>
    <n v="7438"/>
    <m/>
    <n v="5000"/>
    <n v="7438"/>
    <n v="8278"/>
    <n v="3278"/>
    <n v="65.56"/>
    <n v="8278"/>
    <n v="3278"/>
    <n v="65.56"/>
    <n v="1722"/>
    <m/>
    <n v="10000"/>
    <n v="333.33333333333331"/>
    <m/>
  </r>
  <r>
    <m/>
    <n v="60"/>
    <x v="37"/>
    <x v="1"/>
    <x v="4"/>
    <s v="المواسير"/>
    <x v="14"/>
    <x v="2"/>
    <m/>
    <n v="0"/>
    <n v="0"/>
    <d v="2009-08-03T00:00:00"/>
    <d v="2017-12-31T00:00:00"/>
    <n v="2244"/>
    <n v="8"/>
    <n v="4"/>
    <n v="16.64"/>
    <n v="373.40159999999997"/>
    <n v="665.6"/>
    <m/>
    <m/>
    <n v="6"/>
    <n v="5"/>
    <n v="5"/>
    <n v="3"/>
    <n v="3"/>
    <n v="2"/>
    <n v="6"/>
    <n v="4"/>
    <n v="6"/>
    <n v="40"/>
    <m/>
    <n v="10"/>
    <n v="14"/>
    <n v="15"/>
    <n v="7"/>
    <n v="5"/>
    <n v="3"/>
    <n v="54"/>
    <m/>
    <n v="94"/>
    <m/>
    <m/>
    <m/>
    <m/>
    <m/>
    <m/>
    <n v="49.82"/>
    <n v="1117.9607999999998"/>
    <n v="3361.9607999999998"/>
    <n v="638.03920000000016"/>
    <n v="4000"/>
    <n v="4000"/>
    <n v="4373.4016000000001"/>
    <n v="2129.4016000000001"/>
    <n v="94.893119429590016"/>
    <n v="4373.4016000000001"/>
    <n v="2129.4016000000001"/>
    <n v="94.893119429590016"/>
    <m/>
    <n v="7"/>
    <n v="4380.4016000000001"/>
    <n v="146.01338666666666"/>
    <m/>
  </r>
  <r>
    <m/>
    <n v="62"/>
    <x v="38"/>
    <x v="1"/>
    <x v="2"/>
    <s v="قطع الغيار"/>
    <x v="26"/>
    <x v="3"/>
    <s v="A"/>
    <s v="بكلاريوس"/>
    <s v="محاسبة"/>
    <d v="2009-10-19T00:00:00"/>
    <d v="2017-12-31T00:00:00"/>
    <n v="4800"/>
    <n v="8"/>
    <n v="2"/>
    <n v="16.32"/>
    <n v="783.36"/>
    <n v="1177.7817600000001"/>
    <m/>
    <m/>
    <n v="6"/>
    <n v="4"/>
    <n v="5"/>
    <n v="5"/>
    <n v="3"/>
    <n v="3"/>
    <n v="5"/>
    <n v="4"/>
    <n v="6"/>
    <n v="41"/>
    <m/>
    <n v="10"/>
    <n v="14"/>
    <n v="15"/>
    <n v="7"/>
    <n v="5"/>
    <n v="3"/>
    <n v="54"/>
    <m/>
    <n v="95"/>
    <m/>
    <m/>
    <m/>
    <m/>
    <m/>
    <m/>
    <n v="50.35"/>
    <n v="2416.8000000000002"/>
    <n v="7216.8"/>
    <m/>
    <n v="5000"/>
    <n v="7216.8"/>
    <n v="8000.16"/>
    <n v="3200.16"/>
    <n v="66.67"/>
    <n v="8000.16"/>
    <n v="3200.16"/>
    <n v="66.67"/>
    <m/>
    <m/>
    <n v="8000.16"/>
    <n v="266.67199999999997"/>
    <m/>
  </r>
  <r>
    <m/>
    <n v="65"/>
    <x v="39"/>
    <x v="1"/>
    <x v="2"/>
    <s v="المنتج الجاهز"/>
    <x v="27"/>
    <x v="4"/>
    <m/>
    <s v="دبلوم وسيط"/>
    <s v="تقنيه معلومات"/>
    <d v="2013-12-18T00:00:00"/>
    <d v="2017-12-31T00:00:00"/>
    <n v="2600"/>
    <n v="4"/>
    <n v="0"/>
    <n v="8"/>
    <n v="208"/>
    <n v="360"/>
    <m/>
    <m/>
    <n v="4"/>
    <n v="4"/>
    <n v="4"/>
    <n v="3"/>
    <n v="3"/>
    <n v="3"/>
    <n v="4"/>
    <n v="3"/>
    <n v="5"/>
    <n v="33"/>
    <m/>
    <n v="9"/>
    <n v="13"/>
    <n v="15"/>
    <n v="7"/>
    <n v="5"/>
    <n v="3"/>
    <n v="52"/>
    <m/>
    <n v="85"/>
    <m/>
    <m/>
    <m/>
    <m/>
    <m/>
    <m/>
    <n v="45.050000000000004"/>
    <n v="1171.3000000000002"/>
    <n v="3771.3"/>
    <n v="728.69999999999982"/>
    <n v="4500"/>
    <n v="4500"/>
    <n v="4708"/>
    <n v="2108"/>
    <n v="81.07692307692308"/>
    <n v="4708"/>
    <n v="2108"/>
    <n v="81.07692307692308"/>
    <m/>
    <n v="2"/>
    <n v="4710"/>
    <n v="157"/>
    <m/>
  </r>
  <r>
    <m/>
    <n v="66"/>
    <x v="40"/>
    <x v="1"/>
    <x v="4"/>
    <s v="الاشراف"/>
    <x v="8"/>
    <x v="3"/>
    <m/>
    <n v="0"/>
    <n v="0"/>
    <d v="2010-09-09T00:00:00"/>
    <d v="2017-12-31T00:00:00"/>
    <n v="2496"/>
    <n v="7"/>
    <n v="3"/>
    <n v="14.48"/>
    <n v="361.42080000000004"/>
    <n v="724.00000000000011"/>
    <m/>
    <m/>
    <n v="4"/>
    <n v="4"/>
    <n v="4"/>
    <n v="3"/>
    <n v="2"/>
    <n v="2"/>
    <n v="4"/>
    <n v="4"/>
    <n v="6"/>
    <n v="33"/>
    <m/>
    <n v="9"/>
    <n v="14"/>
    <n v="15"/>
    <n v="7"/>
    <n v="4"/>
    <n v="3"/>
    <n v="52"/>
    <m/>
    <n v="85"/>
    <m/>
    <m/>
    <m/>
    <m/>
    <m/>
    <m/>
    <n v="45.050000000000004"/>
    <n v="1124.4480000000001"/>
    <n v="3620.4480000000003"/>
    <n v="1379.5519999999997"/>
    <n v="5000"/>
    <n v="5000"/>
    <n v="5361.4207999999999"/>
    <n v="2865.4207999999999"/>
    <n v="114.80051282051281"/>
    <n v="5361.4207999999999"/>
    <n v="2865.4207999999999"/>
    <n v="114.80051282051281"/>
    <m/>
    <n v="9"/>
    <n v="5370.4207999999999"/>
    <n v="179.01402666666667"/>
    <m/>
  </r>
  <r>
    <m/>
    <n v="68"/>
    <x v="41"/>
    <x v="1"/>
    <x v="4"/>
    <s v="الصاج والزنك"/>
    <x v="14"/>
    <x v="2"/>
    <m/>
    <n v="0"/>
    <n v="0"/>
    <d v="2010-09-01T00:00:00"/>
    <d v="2017-12-31T00:00:00"/>
    <n v="2244"/>
    <n v="7"/>
    <n v="3"/>
    <n v="14.48"/>
    <n v="324.93120000000005"/>
    <n v="579.20000000000005"/>
    <m/>
    <m/>
    <n v="4"/>
    <n v="5"/>
    <n v="4"/>
    <n v="1"/>
    <n v="2"/>
    <n v="2"/>
    <n v="6"/>
    <n v="4"/>
    <n v="6"/>
    <n v="34"/>
    <m/>
    <n v="9"/>
    <n v="14"/>
    <n v="15"/>
    <n v="7"/>
    <n v="5"/>
    <n v="3"/>
    <n v="53"/>
    <m/>
    <n v="87"/>
    <m/>
    <m/>
    <m/>
    <m/>
    <m/>
    <m/>
    <n v="46.11"/>
    <n v="1034.7084"/>
    <n v="3278.7084"/>
    <n v="721.29160000000002"/>
    <n v="4000"/>
    <n v="4000"/>
    <n v="4324.9312"/>
    <n v="2080.9312"/>
    <n v="92.733119429590019"/>
    <n v="4324.9312"/>
    <n v="2080.9312"/>
    <n v="92.733119429590019"/>
    <m/>
    <n v="5"/>
    <n v="4329.9312"/>
    <n v="144.33104"/>
    <m/>
  </r>
  <r>
    <m/>
    <n v="71"/>
    <x v="42"/>
    <x v="1"/>
    <x v="2"/>
    <s v="المنتج الجاهز"/>
    <x v="27"/>
    <x v="3"/>
    <s v="A"/>
    <s v="بكلاريوس الشرف"/>
    <s v="محاسبة"/>
    <d v="2010-10-07T00:00:00"/>
    <d v="2017-12-31T00:00:00"/>
    <n v="3250"/>
    <n v="7"/>
    <n v="2"/>
    <n v="14.32"/>
    <n v="465.4"/>
    <n v="716"/>
    <m/>
    <m/>
    <n v="6"/>
    <n v="5"/>
    <n v="4"/>
    <n v="5"/>
    <n v="4"/>
    <n v="4"/>
    <n v="6"/>
    <n v="4"/>
    <n v="5"/>
    <n v="43"/>
    <m/>
    <n v="10"/>
    <n v="14"/>
    <n v="15"/>
    <n v="7"/>
    <n v="5"/>
    <n v="3"/>
    <n v="54"/>
    <m/>
    <n v="97"/>
    <m/>
    <n v="9"/>
    <m/>
    <m/>
    <m/>
    <m/>
    <n v="51.410000000000004"/>
    <n v="1670.825"/>
    <n v="4920.8249999999998"/>
    <n v="79.175000000000182"/>
    <n v="5000"/>
    <n v="5000"/>
    <n v="5465.4"/>
    <n v="2215.3999999999996"/>
    <n v="68.166153846153833"/>
    <n v="5465.4"/>
    <n v="2215.3999999999996"/>
    <n v="68.166153846153833"/>
    <m/>
    <n v="5"/>
    <n v="5470.4"/>
    <n v="182.34666666666666"/>
    <m/>
  </r>
  <r>
    <m/>
    <n v="72"/>
    <x v="43"/>
    <x v="1"/>
    <x v="9"/>
    <s v="موظف"/>
    <x v="28"/>
    <x v="2"/>
    <m/>
    <s v="شهاده ثانويه"/>
    <n v="0"/>
    <d v="2010-10-20T00:00:00"/>
    <d v="2017-12-31T00:00:00"/>
    <n v="2500"/>
    <n v="7"/>
    <n v="2"/>
    <n v="14.32"/>
    <n v="358"/>
    <n v="572.79999999999995"/>
    <m/>
    <m/>
    <n v="6"/>
    <n v="4"/>
    <n v="5"/>
    <n v="4"/>
    <n v="4"/>
    <n v="4"/>
    <n v="5"/>
    <n v="4"/>
    <n v="6"/>
    <n v="42"/>
    <m/>
    <n v="10"/>
    <n v="14"/>
    <n v="15"/>
    <n v="7"/>
    <n v="5"/>
    <n v="3"/>
    <n v="54"/>
    <m/>
    <n v="96"/>
    <m/>
    <m/>
    <m/>
    <m/>
    <m/>
    <m/>
    <n v="50.88"/>
    <n v="1272"/>
    <n v="3772"/>
    <n v="228"/>
    <n v="4000"/>
    <n v="4000"/>
    <n v="4358"/>
    <n v="1858"/>
    <n v="74.319999999999993"/>
    <n v="4358"/>
    <n v="1858"/>
    <n v="74.319999999999993"/>
    <m/>
    <n v="2"/>
    <n v="4360"/>
    <n v="145.33333333333334"/>
    <m/>
  </r>
  <r>
    <m/>
    <n v="73"/>
    <x v="44"/>
    <x v="1"/>
    <x v="8"/>
    <n v="0"/>
    <x v="22"/>
    <x v="3"/>
    <s v="A"/>
    <s v="بكلاريوس الشرف"/>
    <s v="تامين"/>
    <d v="2010-10-24T00:00:00"/>
    <d v="2017-12-31T00:00:00"/>
    <n v="3000"/>
    <n v="7"/>
    <n v="2"/>
    <n v="14.32"/>
    <n v="429.59999999999997"/>
    <n v="716"/>
    <m/>
    <m/>
    <n v="6"/>
    <n v="5"/>
    <n v="4"/>
    <n v="4"/>
    <n v="3"/>
    <n v="4"/>
    <n v="5"/>
    <n v="4"/>
    <n v="6"/>
    <n v="41"/>
    <m/>
    <n v="8"/>
    <n v="14"/>
    <n v="15"/>
    <n v="5"/>
    <n v="4"/>
    <n v="3"/>
    <n v="49"/>
    <m/>
    <n v="90"/>
    <m/>
    <n v="10"/>
    <m/>
    <m/>
    <m/>
    <m/>
    <n v="47.7"/>
    <n v="1431"/>
    <n v="4431"/>
    <n v="569"/>
    <n v="5000"/>
    <n v="5000"/>
    <n v="5429.6"/>
    <n v="2429.6000000000004"/>
    <n v="80.986666666666679"/>
    <n v="5429.6"/>
    <n v="2429.6000000000004"/>
    <n v="80.986666666666679"/>
    <m/>
    <m/>
    <n v="5429.6"/>
    <n v="180.98666666666668"/>
    <m/>
  </r>
  <r>
    <m/>
    <n v="76"/>
    <x v="45"/>
    <x v="1"/>
    <x v="4"/>
    <s v="المواسير"/>
    <x v="10"/>
    <x v="3"/>
    <s v="B"/>
    <s v="دبلوم تقني"/>
    <s v="هندسة ميكانيكية ( إنتاج )"/>
    <d v="2010-12-14T00:00:00"/>
    <d v="2017-12-31T00:00:00"/>
    <n v="4810"/>
    <n v="7"/>
    <n v="0"/>
    <n v="14"/>
    <n v="673.40000000000009"/>
    <n v="1001.7498400000001"/>
    <m/>
    <m/>
    <n v="5"/>
    <n v="4"/>
    <n v="4"/>
    <n v="5"/>
    <n v="4"/>
    <n v="3"/>
    <n v="6"/>
    <n v="4"/>
    <n v="5"/>
    <n v="40"/>
    <m/>
    <n v="9"/>
    <n v="14"/>
    <n v="15"/>
    <n v="7"/>
    <n v="4"/>
    <n v="3"/>
    <n v="52"/>
    <m/>
    <n v="92"/>
    <m/>
    <m/>
    <m/>
    <m/>
    <m/>
    <m/>
    <n v="48.760000000000005"/>
    <n v="2345.3560000000002"/>
    <n v="7155.3559999999998"/>
    <m/>
    <n v="5000"/>
    <n v="7155.3559999999998"/>
    <n v="7828.7559999999994"/>
    <n v="3018.7559999999994"/>
    <n v="62.759999999999984"/>
    <n v="7828.7559999999994"/>
    <n v="3018.7559999999994"/>
    <n v="62.759999999999984"/>
    <n v="1171"/>
    <m/>
    <n v="8999.7559999999994"/>
    <n v="299.99186666666662"/>
    <m/>
  </r>
  <r>
    <m/>
    <n v="78"/>
    <x v="46"/>
    <x v="1"/>
    <x v="2"/>
    <s v="التحميل"/>
    <x v="15"/>
    <x v="2"/>
    <m/>
    <n v="0"/>
    <n v="0"/>
    <d v="2011-01-18T00:00:00"/>
    <d v="2017-12-31T00:00:00"/>
    <n v="2000"/>
    <n v="6"/>
    <n v="11"/>
    <n v="13.76"/>
    <n v="275.2"/>
    <n v="550.4"/>
    <m/>
    <m/>
    <n v="5"/>
    <n v="3"/>
    <n v="3"/>
    <n v="4"/>
    <n v="3"/>
    <n v="3"/>
    <n v="4"/>
    <n v="2"/>
    <n v="4"/>
    <n v="31"/>
    <m/>
    <n v="7"/>
    <n v="13"/>
    <n v="15"/>
    <n v="7"/>
    <n v="4"/>
    <n v="3"/>
    <n v="49"/>
    <m/>
    <n v="80"/>
    <m/>
    <m/>
    <m/>
    <m/>
    <m/>
    <m/>
    <n v="42.400000000000006"/>
    <n v="848.00000000000011"/>
    <n v="2848"/>
    <n v="1152"/>
    <n v="4000"/>
    <n v="4000"/>
    <n v="4275.2"/>
    <n v="2275.1999999999998"/>
    <n v="113.75999999999999"/>
    <n v="4275.2"/>
    <n v="2275.1999999999998"/>
    <n v="113.75999999999999"/>
    <m/>
    <n v="5"/>
    <n v="4280.2"/>
    <n v="142.67333333333332"/>
    <m/>
  </r>
  <r>
    <m/>
    <n v="80"/>
    <x v="47"/>
    <x v="1"/>
    <x v="2"/>
    <s v="التحميل"/>
    <x v="29"/>
    <x v="2"/>
    <s v="C"/>
    <s v="تدريب مهني"/>
    <n v="0"/>
    <d v="2011-02-02T00:00:00"/>
    <d v="2017-12-31T00:00:00"/>
    <n v="2000"/>
    <n v="6"/>
    <n v="10"/>
    <n v="13.6"/>
    <n v="272"/>
    <n v="544"/>
    <m/>
    <m/>
    <n v="5"/>
    <n v="4"/>
    <n v="5"/>
    <n v="5"/>
    <n v="3"/>
    <n v="3"/>
    <n v="5"/>
    <n v="3"/>
    <n v="6"/>
    <n v="39"/>
    <m/>
    <n v="9"/>
    <n v="13"/>
    <n v="12"/>
    <n v="5"/>
    <n v="4"/>
    <n v="3"/>
    <n v="46"/>
    <m/>
    <n v="85"/>
    <m/>
    <m/>
    <m/>
    <m/>
    <m/>
    <m/>
    <n v="45.050000000000004"/>
    <n v="901.00000000000011"/>
    <n v="2901"/>
    <n v="1099"/>
    <n v="4000"/>
    <n v="4000"/>
    <n v="4272"/>
    <n v="2272"/>
    <n v="113.6"/>
    <n v="4272"/>
    <n v="2272"/>
    <n v="113.6"/>
    <m/>
    <n v="8"/>
    <n v="4280"/>
    <n v="142.66666666666666"/>
    <m/>
  </r>
  <r>
    <m/>
    <n v="89"/>
    <x v="48"/>
    <x v="1"/>
    <x v="2"/>
    <s v="التحميل"/>
    <x v="29"/>
    <x v="2"/>
    <m/>
    <s v="شهاده ثانويه"/>
    <n v="0"/>
    <d v="2011-04-21T00:00:00"/>
    <d v="2017-12-31T00:00:00"/>
    <n v="2000"/>
    <n v="6"/>
    <n v="8"/>
    <n v="13.28"/>
    <n v="265.60000000000002"/>
    <n v="531.20000000000005"/>
    <m/>
    <m/>
    <n v="5"/>
    <n v="4"/>
    <n v="5"/>
    <n v="5"/>
    <n v="3"/>
    <n v="3"/>
    <n v="5"/>
    <n v="3"/>
    <n v="6"/>
    <n v="39"/>
    <m/>
    <n v="9"/>
    <n v="15"/>
    <n v="15"/>
    <n v="7"/>
    <n v="5"/>
    <n v="3"/>
    <n v="54"/>
    <m/>
    <n v="93"/>
    <m/>
    <m/>
    <m/>
    <m/>
    <m/>
    <m/>
    <n v="49.29"/>
    <n v="985.8"/>
    <n v="2985.8"/>
    <n v="1014.1999999999998"/>
    <n v="4000"/>
    <n v="4000"/>
    <n v="4265.6000000000004"/>
    <n v="2265.6000000000004"/>
    <n v="113.28000000000002"/>
    <n v="4265.6000000000004"/>
    <n v="2265.6000000000004"/>
    <n v="113.28000000000002"/>
    <m/>
    <n v="4"/>
    <n v="4269.6000000000004"/>
    <n v="142.32000000000002"/>
    <m/>
  </r>
  <r>
    <m/>
    <n v="90"/>
    <x v="49"/>
    <x v="1"/>
    <x v="2"/>
    <s v="التحميل"/>
    <x v="15"/>
    <x v="2"/>
    <m/>
    <n v="0"/>
    <n v="0"/>
    <d v="2011-04-21T00:00:00"/>
    <d v="2017-12-31T00:00:00"/>
    <n v="2100"/>
    <n v="6"/>
    <n v="8"/>
    <n v="13.28"/>
    <n v="278.88"/>
    <n v="531.20000000000005"/>
    <m/>
    <m/>
    <n v="5"/>
    <n v="4"/>
    <n v="4"/>
    <n v="4"/>
    <n v="3"/>
    <n v="3"/>
    <n v="6"/>
    <n v="4"/>
    <n v="6"/>
    <n v="39"/>
    <m/>
    <n v="9"/>
    <n v="13"/>
    <n v="15"/>
    <n v="7"/>
    <n v="4"/>
    <n v="3"/>
    <n v="51"/>
    <m/>
    <n v="90"/>
    <m/>
    <m/>
    <m/>
    <m/>
    <m/>
    <m/>
    <n v="47.7"/>
    <n v="1001.7"/>
    <n v="3101.7"/>
    <n v="898.30000000000018"/>
    <n v="4000"/>
    <n v="4000"/>
    <n v="4278.88"/>
    <n v="2178.88"/>
    <n v="103.75619047619048"/>
    <n v="4278.88"/>
    <n v="2178.88"/>
    <n v="103.75619047619048"/>
    <m/>
    <n v="1"/>
    <n v="4279.88"/>
    <n v="142.66266666666667"/>
    <m/>
  </r>
  <r>
    <m/>
    <n v="93"/>
    <x v="50"/>
    <x v="1"/>
    <x v="4"/>
    <s v="المواسير"/>
    <x v="9"/>
    <x v="4"/>
    <s v="B"/>
    <s v="دبلوم تقني"/>
    <s v="هندسة ميكانيكية ( إنتاج )"/>
    <d v="2011-05-22T00:00:00"/>
    <d v="2017-12-31T00:00:00"/>
    <n v="2600"/>
    <n v="6"/>
    <n v="7"/>
    <n v="13.120000000000001"/>
    <n v="341.12"/>
    <n v="590.40000000000009"/>
    <m/>
    <m/>
    <n v="6"/>
    <n v="5"/>
    <n v="5"/>
    <n v="3"/>
    <n v="3"/>
    <n v="3"/>
    <n v="5"/>
    <n v="4"/>
    <n v="6"/>
    <n v="40"/>
    <m/>
    <n v="9"/>
    <n v="13"/>
    <n v="15"/>
    <n v="3"/>
    <n v="4"/>
    <n v="3"/>
    <n v="47"/>
    <m/>
    <n v="87"/>
    <m/>
    <m/>
    <m/>
    <m/>
    <m/>
    <m/>
    <n v="46.11"/>
    <n v="1198.8600000000001"/>
    <n v="3798.86"/>
    <n v="701.13999999999987"/>
    <n v="4500"/>
    <n v="4500"/>
    <n v="4841.12"/>
    <n v="2241.12"/>
    <n v="86.196923076923071"/>
    <n v="4841.12"/>
    <n v="2241.12"/>
    <n v="86.196923076923071"/>
    <m/>
    <n v="9"/>
    <n v="4850.12"/>
    <n v="161.67066666666668"/>
    <m/>
  </r>
  <r>
    <m/>
    <n v="94"/>
    <x v="51"/>
    <x v="1"/>
    <x v="2"/>
    <s v="قطع الغيار"/>
    <x v="30"/>
    <x v="2"/>
    <m/>
    <s v="شهاده متوسطه"/>
    <n v="0"/>
    <d v="2011-06-18T00:00:00"/>
    <d v="2017-12-31T00:00:00"/>
    <n v="2000"/>
    <n v="6"/>
    <n v="6"/>
    <n v="12.96"/>
    <n v="259.20000000000005"/>
    <n v="518.40000000000009"/>
    <m/>
    <m/>
    <n v="4"/>
    <n v="3"/>
    <n v="4"/>
    <n v="4"/>
    <n v="3"/>
    <n v="3"/>
    <n v="5"/>
    <n v="3"/>
    <n v="5"/>
    <n v="34"/>
    <m/>
    <n v="10"/>
    <n v="9"/>
    <n v="15"/>
    <n v="7"/>
    <n v="5"/>
    <n v="3"/>
    <n v="49"/>
    <m/>
    <n v="83"/>
    <m/>
    <m/>
    <m/>
    <m/>
    <m/>
    <m/>
    <n v="43.99"/>
    <n v="879.80000000000007"/>
    <n v="2879.8"/>
    <n v="1120.1999999999998"/>
    <n v="4000"/>
    <n v="4000"/>
    <n v="4259.2"/>
    <n v="2259.1999999999998"/>
    <n v="112.96"/>
    <n v="4259.2"/>
    <n v="2259.1999999999998"/>
    <n v="112.96"/>
    <m/>
    <n v="1"/>
    <n v="4260.2"/>
    <n v="142.00666666666666"/>
    <m/>
  </r>
  <r>
    <m/>
    <n v="98"/>
    <x v="52"/>
    <x v="1"/>
    <x v="4"/>
    <s v="المواسير"/>
    <x v="14"/>
    <x v="2"/>
    <m/>
    <n v="0"/>
    <n v="0"/>
    <d v="2013-11-16T00:00:00"/>
    <d v="2017-12-31T00:00:00"/>
    <n v="2244"/>
    <n v="4"/>
    <n v="1"/>
    <n v="8.16"/>
    <n v="183.11040000000003"/>
    <n v="326.40000000000003"/>
    <m/>
    <m/>
    <n v="6"/>
    <n v="5"/>
    <n v="5"/>
    <n v="3"/>
    <n v="3"/>
    <n v="3"/>
    <n v="6"/>
    <n v="4"/>
    <n v="6"/>
    <n v="41"/>
    <m/>
    <n v="9"/>
    <n v="14"/>
    <n v="12"/>
    <n v="5"/>
    <n v="5"/>
    <n v="3"/>
    <n v="48"/>
    <m/>
    <n v="89"/>
    <m/>
    <m/>
    <m/>
    <m/>
    <m/>
    <m/>
    <n v="47.17"/>
    <n v="1058.4947999999999"/>
    <n v="3302.4947999999999"/>
    <n v="697.50520000000006"/>
    <n v="4000"/>
    <n v="4000"/>
    <n v="4183.1103999999996"/>
    <n v="1939.1103999999996"/>
    <n v="86.413119429589997"/>
    <n v="4183.1103999999996"/>
    <n v="1939.1103999999996"/>
    <n v="86.413119429589997"/>
    <m/>
    <n v="7"/>
    <n v="4190.1103999999996"/>
    <n v="139.67034666666666"/>
    <m/>
  </r>
  <r>
    <m/>
    <n v="101"/>
    <x v="53"/>
    <x v="2"/>
    <x v="8"/>
    <n v="0"/>
    <x v="31"/>
    <x v="1"/>
    <s v="A"/>
    <s v="بكلاريوس"/>
    <s v="إدارة الاعمال"/>
    <d v="2007-01-01T00:00:00"/>
    <d v="2017-12-31T00:00:00"/>
    <n v="10000"/>
    <n v="10"/>
    <n v="11"/>
    <n v="21.76"/>
    <n v="2176"/>
    <n v="3271.6160000000004"/>
    <m/>
    <m/>
    <n v="6"/>
    <n v="5"/>
    <n v="4"/>
    <n v="4"/>
    <n v="4"/>
    <n v="4"/>
    <n v="5"/>
    <n v="4"/>
    <n v="6"/>
    <n v="42"/>
    <m/>
    <n v="9"/>
    <n v="14"/>
    <n v="15"/>
    <n v="7"/>
    <n v="5"/>
    <n v="3"/>
    <n v="53"/>
    <m/>
    <n v="95"/>
    <m/>
    <n v="10"/>
    <m/>
    <m/>
    <m/>
    <m/>
    <n v="50.35"/>
    <n v="5035.0000000000009"/>
    <n v="15035"/>
    <m/>
    <n v="5000"/>
    <n v="15035"/>
    <n v="17211"/>
    <n v="7211"/>
    <n v="72.11"/>
    <n v="17211"/>
    <n v="7211"/>
    <n v="72.11"/>
    <m/>
    <n v="9"/>
    <n v="17220"/>
    <n v="574"/>
    <m/>
  </r>
  <r>
    <m/>
    <n v="103"/>
    <x v="54"/>
    <x v="1"/>
    <x v="6"/>
    <s v="كهرباء عامه"/>
    <x v="32"/>
    <x v="4"/>
    <s v="B"/>
    <s v="دبلوم تقني"/>
    <s v="هندسة كهرباء"/>
    <d v="2011-08-04T00:00:00"/>
    <d v="2017-12-31T00:00:00"/>
    <n v="2900"/>
    <n v="6"/>
    <n v="4"/>
    <n v="12.64"/>
    <n v="366.56000000000006"/>
    <n v="568.80000000000007"/>
    <m/>
    <m/>
    <n v="5"/>
    <n v="4"/>
    <n v="4"/>
    <n v="4"/>
    <n v="3"/>
    <n v="3"/>
    <n v="5"/>
    <n v="3"/>
    <n v="5"/>
    <n v="36"/>
    <m/>
    <n v="9"/>
    <n v="13"/>
    <n v="9"/>
    <n v="3"/>
    <n v="4"/>
    <n v="3"/>
    <n v="41"/>
    <m/>
    <n v="77"/>
    <m/>
    <n v="7"/>
    <m/>
    <m/>
    <m/>
    <m/>
    <n v="40.81"/>
    <n v="1183.49"/>
    <n v="4083.49"/>
    <n v="416.51000000000022"/>
    <n v="4500"/>
    <n v="4500"/>
    <n v="4866.5600000000004"/>
    <n v="1966.5600000000004"/>
    <n v="67.81241379310346"/>
    <n v="4866.5600000000004"/>
    <n v="1966.5600000000004"/>
    <n v="67.81241379310346"/>
    <m/>
    <n v="3"/>
    <n v="4869.5600000000004"/>
    <n v="162.31866666666667"/>
    <m/>
  </r>
  <r>
    <m/>
    <n v="108"/>
    <x v="55"/>
    <x v="1"/>
    <x v="4"/>
    <s v="المواسير"/>
    <x v="14"/>
    <x v="2"/>
    <m/>
    <n v="0"/>
    <n v="0"/>
    <d v="2011-10-09T00:00:00"/>
    <d v="2017-12-31T00:00:00"/>
    <n v="2600"/>
    <n v="6"/>
    <n v="2"/>
    <n v="12.32"/>
    <n v="320.32"/>
    <n v="492.8"/>
    <m/>
    <m/>
    <n v="4"/>
    <n v="4"/>
    <n v="4"/>
    <n v="3"/>
    <n v="3"/>
    <n v="3"/>
    <n v="6"/>
    <n v="4"/>
    <n v="6"/>
    <n v="37"/>
    <m/>
    <n v="9"/>
    <n v="14"/>
    <n v="12"/>
    <n v="5"/>
    <n v="4"/>
    <n v="3"/>
    <n v="47"/>
    <m/>
    <n v="84"/>
    <m/>
    <m/>
    <m/>
    <m/>
    <m/>
    <m/>
    <n v="44.52"/>
    <n v="1157.5200000000002"/>
    <n v="3757.5200000000004"/>
    <n v="242.47999999999956"/>
    <n v="4000"/>
    <n v="4000"/>
    <n v="4320.32"/>
    <n v="1720.3199999999997"/>
    <n v="66.166153846153833"/>
    <n v="4320.32"/>
    <n v="1720.3199999999997"/>
    <n v="66.166153846153833"/>
    <m/>
    <m/>
    <n v="4320.32"/>
    <n v="144.01066666666665"/>
    <m/>
  </r>
  <r>
    <m/>
    <n v="112"/>
    <x v="56"/>
    <x v="1"/>
    <x v="4"/>
    <s v="المواسير"/>
    <x v="14"/>
    <x v="2"/>
    <m/>
    <s v="شهاده ثانويه"/>
    <n v="0"/>
    <d v="2014-03-08T00:00:00"/>
    <d v="2017-12-31T00:00:00"/>
    <n v="2244"/>
    <n v="3"/>
    <n v="9"/>
    <n v="7.4399999999999995"/>
    <n v="166.95359999999999"/>
    <n v="297.59999999999997"/>
    <m/>
    <m/>
    <n v="4"/>
    <n v="3"/>
    <n v="3"/>
    <n v="1"/>
    <n v="1"/>
    <n v="1"/>
    <n v="3"/>
    <n v="3"/>
    <n v="4"/>
    <n v="23"/>
    <m/>
    <n v="8"/>
    <n v="13"/>
    <n v="12"/>
    <n v="3"/>
    <n v="4"/>
    <n v="3"/>
    <n v="43"/>
    <m/>
    <n v="66"/>
    <m/>
    <m/>
    <m/>
    <m/>
    <m/>
    <m/>
    <n v="34.980000000000004"/>
    <n v="784.95120000000009"/>
    <n v="3028.9512"/>
    <n v="971.04880000000003"/>
    <n v="4000"/>
    <n v="4000"/>
    <n v="4166.9535999999998"/>
    <n v="1922.9535999999998"/>
    <n v="85.693119429589999"/>
    <n v="4166.9535999999998"/>
    <n v="1922.9535999999998"/>
    <n v="85.693119429589999"/>
    <m/>
    <n v="3"/>
    <n v="4169.9535999999998"/>
    <n v="138.99845333333332"/>
    <m/>
  </r>
  <r>
    <m/>
    <n v="113"/>
    <x v="57"/>
    <x v="1"/>
    <x v="6"/>
    <s v="كهرباء عامه"/>
    <x v="20"/>
    <x v="2"/>
    <m/>
    <s v="شهاده ثانويه"/>
    <n v="0"/>
    <d v="2016-04-16T00:00:00"/>
    <d v="2017-12-31T00:00:00"/>
    <n v="2400"/>
    <n v="1"/>
    <n v="8"/>
    <n v="3.2800000000000002"/>
    <n v="78.720000000000013"/>
    <n v="131.20000000000002"/>
    <m/>
    <m/>
    <n v="5"/>
    <n v="4"/>
    <n v="4"/>
    <n v="4"/>
    <n v="3"/>
    <n v="3"/>
    <n v="5"/>
    <n v="4"/>
    <n v="6"/>
    <n v="38"/>
    <m/>
    <n v="9"/>
    <n v="14"/>
    <n v="12"/>
    <n v="3"/>
    <n v="4"/>
    <n v="3"/>
    <n v="45"/>
    <m/>
    <n v="83"/>
    <m/>
    <n v="10"/>
    <m/>
    <m/>
    <m/>
    <m/>
    <n v="43.99"/>
    <n v="1055.76"/>
    <n v="3455.76"/>
    <n v="544.23999999999978"/>
    <n v="4000"/>
    <n v="4000"/>
    <n v="4078.72"/>
    <n v="1678.7199999999998"/>
    <n v="69.946666666666658"/>
    <n v="4078.72"/>
    <n v="1678.7199999999998"/>
    <n v="69.946666666666658"/>
    <m/>
    <n v="1"/>
    <n v="4079.72"/>
    <n v="135.99066666666667"/>
    <m/>
  </r>
  <r>
    <m/>
    <n v="114"/>
    <x v="58"/>
    <x v="1"/>
    <x v="4"/>
    <s v="الصاج والزنك"/>
    <x v="14"/>
    <x v="2"/>
    <m/>
    <n v="0"/>
    <n v="0"/>
    <d v="2011-10-01T00:00:00"/>
    <d v="2017-12-31T00:00:00"/>
    <n v="2100"/>
    <n v="6"/>
    <n v="2"/>
    <n v="12.32"/>
    <n v="258.72000000000003"/>
    <n v="492.8"/>
    <m/>
    <m/>
    <n v="4"/>
    <n v="4"/>
    <n v="4"/>
    <n v="3"/>
    <n v="3"/>
    <n v="2"/>
    <n v="5"/>
    <n v="4"/>
    <n v="6"/>
    <n v="35"/>
    <m/>
    <n v="9"/>
    <n v="13"/>
    <n v="15"/>
    <n v="5"/>
    <n v="4"/>
    <n v="3"/>
    <n v="49"/>
    <m/>
    <n v="84"/>
    <m/>
    <m/>
    <m/>
    <m/>
    <m/>
    <m/>
    <n v="44.52"/>
    <n v="934.92000000000007"/>
    <n v="3034.92"/>
    <n v="965.07999999999993"/>
    <n v="4000"/>
    <n v="4000"/>
    <n v="4258.72"/>
    <n v="2158.7200000000003"/>
    <n v="102.79619047619049"/>
    <n v="4258.72"/>
    <n v="2158.7200000000003"/>
    <n v="102.79619047619049"/>
    <m/>
    <n v="1"/>
    <n v="4259.72"/>
    <n v="141.99066666666667"/>
    <m/>
  </r>
  <r>
    <m/>
    <n v="127"/>
    <x v="59"/>
    <x v="1"/>
    <x v="4"/>
    <s v="المواسير"/>
    <x v="9"/>
    <x v="4"/>
    <m/>
    <n v="0"/>
    <n v="0"/>
    <d v="2012-01-11T00:00:00"/>
    <d v="2017-12-31T00:00:00"/>
    <n v="2470"/>
    <n v="5"/>
    <n v="11"/>
    <n v="11.76"/>
    <n v="290.47199999999998"/>
    <n v="529.19999999999993"/>
    <m/>
    <m/>
    <n v="5"/>
    <n v="4"/>
    <n v="5"/>
    <n v="3"/>
    <n v="3"/>
    <n v="3"/>
    <n v="6"/>
    <n v="4"/>
    <n v="4"/>
    <n v="37"/>
    <m/>
    <n v="9"/>
    <n v="14"/>
    <n v="15"/>
    <n v="5"/>
    <n v="5"/>
    <n v="3"/>
    <n v="51"/>
    <m/>
    <n v="88"/>
    <m/>
    <m/>
    <m/>
    <m/>
    <m/>
    <m/>
    <n v="46.64"/>
    <n v="1152.008"/>
    <n v="3622.0079999999998"/>
    <n v="877.99200000000019"/>
    <n v="4500"/>
    <n v="4500"/>
    <n v="4790.4719999999998"/>
    <n v="2320.4719999999998"/>
    <n v="93.94623481781376"/>
    <n v="4790.4719999999998"/>
    <n v="2320.4719999999998"/>
    <n v="93.94623481781376"/>
    <m/>
    <m/>
    <n v="4790.4719999999998"/>
    <n v="159.6824"/>
    <m/>
  </r>
  <r>
    <m/>
    <n v="128"/>
    <x v="60"/>
    <x v="1"/>
    <x v="4"/>
    <s v="الصاج والزنك"/>
    <x v="14"/>
    <x v="2"/>
    <s v="C"/>
    <s v="تدريب مهني"/>
    <n v="0"/>
    <d v="2012-01-11T00:00:00"/>
    <d v="2017-12-31T00:00:00"/>
    <n v="2057"/>
    <n v="5"/>
    <n v="11"/>
    <n v="11.76"/>
    <n v="241.9032"/>
    <n v="470.4"/>
    <m/>
    <m/>
    <n v="6"/>
    <n v="5"/>
    <n v="5"/>
    <n v="3"/>
    <n v="3"/>
    <n v="3"/>
    <n v="6"/>
    <n v="4"/>
    <n v="6"/>
    <n v="41"/>
    <m/>
    <n v="9"/>
    <n v="14"/>
    <n v="15"/>
    <n v="3"/>
    <n v="5"/>
    <n v="3"/>
    <n v="49"/>
    <m/>
    <n v="90"/>
    <m/>
    <m/>
    <m/>
    <m/>
    <m/>
    <m/>
    <n v="47.7"/>
    <n v="981.18900000000008"/>
    <n v="3038.1890000000003"/>
    <n v="961.81099999999969"/>
    <n v="4000"/>
    <n v="4000"/>
    <n v="4241.9031999999997"/>
    <n v="2184.9031999999997"/>
    <n v="106.21794846864364"/>
    <n v="4241.9031999999997"/>
    <n v="2184.9031999999997"/>
    <n v="106.21794846864364"/>
    <m/>
    <n v="8"/>
    <n v="4249.9031999999997"/>
    <n v="141.66343999999998"/>
    <m/>
  </r>
  <r>
    <m/>
    <n v="130"/>
    <x v="61"/>
    <x v="1"/>
    <x v="2"/>
    <n v="0"/>
    <x v="2"/>
    <x v="2"/>
    <m/>
    <s v="بكلاريوس الشرف"/>
    <s v="هندسة تصنيع غذائى"/>
    <d v="2017-11-02T00:00:00"/>
    <d v="2017-12-31T00:00:00"/>
    <n v="2000"/>
    <n v="0"/>
    <n v="1"/>
    <n v="0.16"/>
    <n v="3.2"/>
    <n v="6.4"/>
    <m/>
    <m/>
    <m/>
    <m/>
    <m/>
    <m/>
    <m/>
    <m/>
    <m/>
    <m/>
    <m/>
    <n v="0"/>
    <m/>
    <n v="8"/>
    <n v="14"/>
    <n v="15"/>
    <n v="7"/>
    <n v="3"/>
    <n v="3"/>
    <n v="50"/>
    <m/>
    <n v="50"/>
    <m/>
    <m/>
    <m/>
    <m/>
    <m/>
    <m/>
    <n v="26.5"/>
    <n v="530"/>
    <n v="2530"/>
    <n v="1470"/>
    <n v="4000"/>
    <n v="4000"/>
    <n v="4003.2"/>
    <n v="2003.1999999999998"/>
    <n v="100.16"/>
    <n v="4003.2"/>
    <n v="2003.1999999999998"/>
    <n v="100.16"/>
    <m/>
    <m/>
    <n v="4003.2"/>
    <n v="133.44"/>
    <m/>
  </r>
  <r>
    <m/>
    <n v="138"/>
    <x v="62"/>
    <x v="1"/>
    <x v="10"/>
    <n v="0"/>
    <x v="33"/>
    <x v="1"/>
    <m/>
    <s v="شهاده ثانويه"/>
    <n v="0"/>
    <d v="2012-01-17T00:00:00"/>
    <d v="2017-12-31T00:00:00"/>
    <n v="2550"/>
    <n v="5"/>
    <n v="11"/>
    <n v="11.76"/>
    <n v="299.88"/>
    <n v="588"/>
    <m/>
    <m/>
    <n v="5"/>
    <n v="4"/>
    <n v="4"/>
    <n v="5"/>
    <n v="4"/>
    <n v="4"/>
    <n v="6"/>
    <n v="4"/>
    <n v="6"/>
    <n v="42"/>
    <m/>
    <n v="9"/>
    <n v="14"/>
    <n v="15"/>
    <n v="7"/>
    <n v="4"/>
    <n v="3"/>
    <n v="52"/>
    <m/>
    <n v="94"/>
    <m/>
    <m/>
    <m/>
    <m/>
    <m/>
    <m/>
    <n v="49.82"/>
    <n v="1270.4099999999999"/>
    <n v="3820.41"/>
    <n v="1179.5900000000001"/>
    <n v="5000"/>
    <n v="5000"/>
    <n v="5299.88"/>
    <n v="2749.88"/>
    <n v="107.83843137254902"/>
    <n v="5299.88"/>
    <n v="2749.88"/>
    <n v="107.83843137254902"/>
    <m/>
    <m/>
    <n v="5299.88"/>
    <n v="176.66266666666667"/>
    <m/>
  </r>
  <r>
    <m/>
    <n v="140"/>
    <x v="63"/>
    <x v="1"/>
    <x v="4"/>
    <s v="المواسير"/>
    <x v="14"/>
    <x v="2"/>
    <m/>
    <n v="0"/>
    <n v="0"/>
    <d v="2012-01-18T00:00:00"/>
    <d v="2017-12-31T00:00:00"/>
    <n v="2150.5"/>
    <n v="5"/>
    <n v="11"/>
    <n v="11.76"/>
    <n v="252.89879999999999"/>
    <n v="470.4"/>
    <m/>
    <m/>
    <n v="6"/>
    <n v="5"/>
    <n v="5"/>
    <n v="3"/>
    <n v="3"/>
    <n v="2"/>
    <n v="6"/>
    <n v="4"/>
    <n v="6"/>
    <n v="40"/>
    <m/>
    <n v="9"/>
    <n v="14"/>
    <n v="15"/>
    <n v="7"/>
    <n v="3"/>
    <n v="3"/>
    <n v="51"/>
    <m/>
    <n v="91"/>
    <m/>
    <m/>
    <m/>
    <m/>
    <m/>
    <m/>
    <n v="48.230000000000004"/>
    <n v="1037.1861500000002"/>
    <n v="3187.6861500000005"/>
    <n v="812.31384999999955"/>
    <n v="4000"/>
    <n v="4000"/>
    <n v="4252.8987999999999"/>
    <n v="2102.3987999999999"/>
    <n v="97.763255056963501"/>
    <n v="4252.8987999999999"/>
    <n v="2102.3987999999999"/>
    <n v="97.763255056963501"/>
    <m/>
    <n v="7"/>
    <n v="4259.8987999999999"/>
    <n v="141.99662666666666"/>
    <m/>
  </r>
  <r>
    <m/>
    <n v="141"/>
    <x v="64"/>
    <x v="1"/>
    <x v="11"/>
    <n v="0"/>
    <x v="34"/>
    <x v="1"/>
    <s v="A"/>
    <s v="بكلاريوس"/>
    <s v="العلوم  فى الدراسات الاقتصاديه والاجتماعيه"/>
    <d v="2011-12-15T00:00:00"/>
    <d v="2017-12-31T00:00:00"/>
    <n v="6735"/>
    <n v="6"/>
    <n v="0"/>
    <n v="12"/>
    <n v="808.19999999999993"/>
    <n v="1129.4594999999999"/>
    <m/>
    <m/>
    <n v="5"/>
    <n v="4"/>
    <n v="1"/>
    <n v="4"/>
    <n v="4"/>
    <n v="4"/>
    <n v="5"/>
    <n v="3"/>
    <n v="5"/>
    <n v="35"/>
    <m/>
    <n v="8"/>
    <n v="10"/>
    <n v="15"/>
    <n v="1"/>
    <n v="3"/>
    <n v="3"/>
    <n v="40"/>
    <m/>
    <n v="75"/>
    <m/>
    <m/>
    <m/>
    <m/>
    <m/>
    <m/>
    <n v="39.75"/>
    <n v="2677.1624999999999"/>
    <n v="9412.1625000000004"/>
    <m/>
    <n v="5000"/>
    <n v="9412.1625000000004"/>
    <n v="10220.362500000001"/>
    <n v="3485.3625000000011"/>
    <n v="51.750000000000021"/>
    <n v="10220.362500000001"/>
    <n v="3485.3625000000011"/>
    <n v="51.750000000000021"/>
    <m/>
    <m/>
    <n v="10220.362500000001"/>
    <n v="340.67875000000004"/>
    <m/>
  </r>
  <r>
    <m/>
    <n v="144"/>
    <x v="65"/>
    <x v="1"/>
    <x v="10"/>
    <n v="0"/>
    <x v="35"/>
    <x v="5"/>
    <m/>
    <s v="شهاده ثانويه"/>
    <n v="0"/>
    <d v="2012-01-28T00:00:00"/>
    <d v="2017-12-31T00:00:00"/>
    <n v="1860"/>
    <n v="5"/>
    <n v="11"/>
    <n v="11.76"/>
    <n v="218.73599999999999"/>
    <n v="352.8"/>
    <m/>
    <m/>
    <n v="4"/>
    <n v="4"/>
    <n v="4"/>
    <n v="3"/>
    <n v="3"/>
    <n v="3"/>
    <n v="4"/>
    <n v="3"/>
    <n v="5"/>
    <n v="33"/>
    <m/>
    <n v="8"/>
    <n v="13"/>
    <n v="15"/>
    <n v="5"/>
    <n v="3"/>
    <n v="3"/>
    <n v="47"/>
    <m/>
    <n v="80"/>
    <m/>
    <n v="8"/>
    <m/>
    <m/>
    <m/>
    <m/>
    <n v="42.400000000000006"/>
    <n v="788.6400000000001"/>
    <n v="2648.6400000000003"/>
    <n v="351.35999999999967"/>
    <n v="3000"/>
    <n v="3000"/>
    <n v="3218.7359999999999"/>
    <n v="1358.7359999999999"/>
    <n v="73.050322580645144"/>
    <n v="3218.7359999999999"/>
    <n v="1358.7359999999999"/>
    <n v="73.050322580645144"/>
    <m/>
    <n v="1"/>
    <n v="3219.7359999999999"/>
    <n v="107.32453333333333"/>
    <m/>
  </r>
  <r>
    <m/>
    <n v="147"/>
    <x v="66"/>
    <x v="1"/>
    <x v="6"/>
    <n v="0"/>
    <x v="20"/>
    <x v="2"/>
    <m/>
    <n v="0"/>
    <n v="0"/>
    <d v="2016-08-01T00:00:00"/>
    <d v="2017-12-31T00:00:00"/>
    <n v="2970"/>
    <n v="1"/>
    <n v="4"/>
    <n v="2.64"/>
    <n v="78.408000000000001"/>
    <n v="108.32849279999999"/>
    <m/>
    <m/>
    <n v="5"/>
    <n v="4"/>
    <n v="4"/>
    <n v="4"/>
    <n v="3"/>
    <n v="3"/>
    <n v="5"/>
    <n v="4"/>
    <n v="6"/>
    <n v="38"/>
    <m/>
    <n v="8"/>
    <n v="12"/>
    <n v="6"/>
    <n v="1"/>
    <n v="4"/>
    <n v="3"/>
    <n v="34"/>
    <m/>
    <n v="72"/>
    <m/>
    <n v="7"/>
    <m/>
    <m/>
    <m/>
    <m/>
    <n v="38.160000000000004"/>
    <n v="1133.3520000000001"/>
    <n v="4103.3519999999999"/>
    <m/>
    <n v="4000"/>
    <n v="4103.3519999999999"/>
    <n v="4181.76"/>
    <n v="1211.7600000000002"/>
    <n v="40.800000000000011"/>
    <n v="4181.76"/>
    <n v="1211.7600000000002"/>
    <n v="40.800000000000011"/>
    <m/>
    <n v="8"/>
    <n v="4189.76"/>
    <n v="139.65866666666668"/>
    <m/>
  </r>
  <r>
    <m/>
    <n v="151"/>
    <x v="67"/>
    <x v="1"/>
    <x v="10"/>
    <n v="0"/>
    <x v="35"/>
    <x v="2"/>
    <m/>
    <n v="0"/>
    <n v="0"/>
    <d v="2012-02-08T00:00:00"/>
    <d v="2017-12-31T00:00:00"/>
    <n v="2000"/>
    <n v="5"/>
    <n v="10"/>
    <n v="11.6"/>
    <n v="231.99999999999997"/>
    <n v="463.99999999999994"/>
    <m/>
    <m/>
    <n v="5"/>
    <n v="4"/>
    <n v="5"/>
    <n v="4"/>
    <n v="3"/>
    <n v="2"/>
    <n v="5"/>
    <n v="3"/>
    <n v="6"/>
    <n v="37"/>
    <m/>
    <n v="9"/>
    <n v="14"/>
    <n v="12"/>
    <n v="3"/>
    <n v="4"/>
    <n v="3"/>
    <n v="45"/>
    <m/>
    <n v="82"/>
    <m/>
    <n v="8"/>
    <m/>
    <m/>
    <m/>
    <m/>
    <n v="43.46"/>
    <n v="869.19999999999993"/>
    <n v="2869.2"/>
    <n v="1130.8000000000002"/>
    <n v="4000"/>
    <n v="4000"/>
    <n v="4232"/>
    <n v="2232"/>
    <n v="111.6"/>
    <n v="4232"/>
    <n v="2232"/>
    <n v="111.6"/>
    <m/>
    <n v="8"/>
    <n v="4240"/>
    <n v="141.33333333333334"/>
    <m/>
  </r>
  <r>
    <m/>
    <n v="168"/>
    <x v="68"/>
    <x v="1"/>
    <x v="2"/>
    <s v="التحميل"/>
    <x v="15"/>
    <x v="2"/>
    <m/>
    <s v="شهاده ثانويه"/>
    <n v="0"/>
    <d v="2012-03-14T00:00:00"/>
    <d v="2017-12-31T00:00:00"/>
    <n v="2000"/>
    <n v="5"/>
    <n v="9"/>
    <n v="11.44"/>
    <n v="228.8"/>
    <n v="457.6"/>
    <m/>
    <m/>
    <n v="4"/>
    <n v="3"/>
    <n v="4"/>
    <n v="4"/>
    <n v="3"/>
    <n v="3"/>
    <n v="5"/>
    <n v="3"/>
    <n v="5"/>
    <n v="34"/>
    <m/>
    <n v="10"/>
    <n v="9"/>
    <n v="15"/>
    <n v="7"/>
    <n v="5"/>
    <n v="3"/>
    <n v="49"/>
    <m/>
    <n v="83"/>
    <m/>
    <m/>
    <m/>
    <m/>
    <m/>
    <m/>
    <n v="43.99"/>
    <n v="879.80000000000007"/>
    <n v="2879.8"/>
    <n v="1120.1999999999998"/>
    <n v="4000"/>
    <n v="4000"/>
    <n v="4228.8"/>
    <n v="2228.8000000000002"/>
    <n v="111.44000000000001"/>
    <n v="4228.8"/>
    <n v="2228.8000000000002"/>
    <n v="111.44000000000001"/>
    <m/>
    <n v="1"/>
    <n v="4229.8"/>
    <n v="140.99333333333334"/>
    <m/>
  </r>
  <r>
    <m/>
    <n v="206"/>
    <x v="69"/>
    <x v="1"/>
    <x v="10"/>
    <n v="0"/>
    <x v="35"/>
    <x v="2"/>
    <s v="C"/>
    <s v="دبلوم وسيط"/>
    <s v="الإدارة والعلوم المالية"/>
    <d v="2012-04-01T00:00:00"/>
    <d v="2017-12-31T00:00:00"/>
    <n v="2000"/>
    <n v="5"/>
    <n v="8"/>
    <n v="11.28"/>
    <n v="225.6"/>
    <n v="451.2"/>
    <m/>
    <m/>
    <n v="6"/>
    <n v="4"/>
    <n v="4"/>
    <n v="5"/>
    <n v="3"/>
    <n v="3"/>
    <n v="5"/>
    <n v="3"/>
    <n v="6"/>
    <n v="39"/>
    <m/>
    <n v="8"/>
    <n v="12"/>
    <n v="9"/>
    <n v="5"/>
    <n v="4"/>
    <n v="3"/>
    <n v="41"/>
    <m/>
    <n v="80"/>
    <m/>
    <n v="8"/>
    <m/>
    <m/>
    <m/>
    <m/>
    <n v="42.400000000000006"/>
    <n v="848.00000000000011"/>
    <n v="2848"/>
    <n v="1152"/>
    <n v="4000"/>
    <n v="4000"/>
    <n v="4225.6000000000004"/>
    <n v="2225.6000000000004"/>
    <n v="111.28000000000002"/>
    <n v="4225.6000000000004"/>
    <n v="2225.6000000000004"/>
    <n v="111.28000000000002"/>
    <m/>
    <n v="4"/>
    <n v="4229.6000000000004"/>
    <n v="140.98666666666668"/>
    <m/>
  </r>
  <r>
    <m/>
    <n v="207"/>
    <x v="70"/>
    <x v="1"/>
    <x v="4"/>
    <s v="الخوص"/>
    <x v="9"/>
    <x v="4"/>
    <m/>
    <n v="0"/>
    <n v="0"/>
    <d v="2012-04-01T00:00:00"/>
    <d v="2017-12-31T00:00:00"/>
    <n v="2640"/>
    <n v="5"/>
    <n v="8"/>
    <n v="11.28"/>
    <n v="297.79199999999997"/>
    <n v="507.59999999999997"/>
    <m/>
    <m/>
    <n v="6"/>
    <n v="5"/>
    <n v="5"/>
    <n v="5"/>
    <n v="4"/>
    <n v="4"/>
    <n v="6"/>
    <n v="4"/>
    <n v="6"/>
    <n v="45"/>
    <m/>
    <n v="8"/>
    <n v="14"/>
    <n v="12"/>
    <n v="5"/>
    <n v="4"/>
    <n v="3"/>
    <n v="46"/>
    <m/>
    <n v="91"/>
    <m/>
    <m/>
    <m/>
    <m/>
    <m/>
    <m/>
    <n v="48.230000000000004"/>
    <n v="1273.2720000000002"/>
    <n v="3913.2719999999999"/>
    <n v="586.72800000000007"/>
    <n v="4500"/>
    <n v="4500"/>
    <n v="4797.7920000000004"/>
    <n v="2157.7920000000004"/>
    <n v="81.734545454545469"/>
    <n v="4797.7920000000004"/>
    <n v="2157.7920000000004"/>
    <n v="81.734545454545469"/>
    <m/>
    <n v="2"/>
    <n v="4799.7920000000004"/>
    <n v="159.99306666666669"/>
    <m/>
  </r>
  <r>
    <m/>
    <n v="213"/>
    <x v="71"/>
    <x v="1"/>
    <x v="4"/>
    <s v="المواسير"/>
    <x v="14"/>
    <x v="2"/>
    <m/>
    <s v="شهاده ثانويه"/>
    <n v="0"/>
    <d v="2012-04-01T00:00:00"/>
    <d v="2017-12-31T00:00:00"/>
    <n v="2244"/>
    <n v="5"/>
    <n v="8"/>
    <n v="11.28"/>
    <n v="253.1232"/>
    <n v="451.2"/>
    <m/>
    <m/>
    <n v="6"/>
    <n v="5"/>
    <n v="5"/>
    <n v="4"/>
    <n v="4"/>
    <n v="4"/>
    <n v="6"/>
    <n v="4"/>
    <n v="6"/>
    <n v="44"/>
    <m/>
    <n v="9"/>
    <n v="14"/>
    <n v="15"/>
    <n v="5"/>
    <n v="4"/>
    <n v="3"/>
    <n v="50"/>
    <m/>
    <n v="94"/>
    <m/>
    <m/>
    <m/>
    <m/>
    <m/>
    <m/>
    <n v="49.82"/>
    <n v="1117.9607999999998"/>
    <n v="3361.9607999999998"/>
    <n v="638.03920000000016"/>
    <n v="4000"/>
    <n v="4000"/>
    <n v="4253.1232"/>
    <n v="2009.1232"/>
    <n v="89.533119429590016"/>
    <n v="4253.1232"/>
    <n v="2009.1232"/>
    <n v="89.533119429590016"/>
    <m/>
    <n v="7"/>
    <n v="4260.1232"/>
    <n v="142.00410666666667"/>
    <m/>
  </r>
  <r>
    <m/>
    <n v="241"/>
    <x v="72"/>
    <x v="1"/>
    <x v="4"/>
    <s v="الزوايا"/>
    <x v="14"/>
    <x v="2"/>
    <m/>
    <n v="0"/>
    <n v="0"/>
    <d v="2012-04-24T00:00:00"/>
    <d v="2017-12-31T00:00:00"/>
    <n v="1870"/>
    <n v="5"/>
    <n v="8"/>
    <n v="11.28"/>
    <n v="210.93600000000001"/>
    <n v="451.2"/>
    <m/>
    <m/>
    <n v="4"/>
    <n v="4"/>
    <n v="4"/>
    <n v="1"/>
    <n v="1"/>
    <n v="1"/>
    <n v="4"/>
    <n v="3"/>
    <n v="6"/>
    <n v="28"/>
    <m/>
    <n v="9"/>
    <n v="13"/>
    <n v="12"/>
    <n v="5"/>
    <n v="4"/>
    <n v="3"/>
    <n v="46"/>
    <m/>
    <n v="74"/>
    <m/>
    <m/>
    <m/>
    <m/>
    <m/>
    <m/>
    <n v="39.22"/>
    <n v="733.41399999999999"/>
    <n v="2603.4139999999998"/>
    <n v="1396.5860000000002"/>
    <n v="4000"/>
    <n v="4000"/>
    <n v="4210.9359999999997"/>
    <n v="2340.9359999999997"/>
    <n v="125.18374331550801"/>
    <n v="4210.9359999999997"/>
    <n v="2340.9359999999997"/>
    <n v="125.18374331550801"/>
    <m/>
    <n v="9"/>
    <n v="4219.9359999999997"/>
    <n v="140.66453333333331"/>
    <m/>
  </r>
  <r>
    <m/>
    <n v="242"/>
    <x v="73"/>
    <x v="1"/>
    <x v="1"/>
    <n v="0"/>
    <x v="36"/>
    <x v="2"/>
    <m/>
    <n v="0"/>
    <n v="0"/>
    <d v="2012-04-23T00:00:00"/>
    <d v="2017-12-31T00:00:00"/>
    <n v="2500"/>
    <n v="5"/>
    <n v="8"/>
    <n v="11.28"/>
    <n v="282"/>
    <n v="451.2"/>
    <m/>
    <m/>
    <n v="4"/>
    <n v="5"/>
    <n v="4"/>
    <n v="3"/>
    <n v="3"/>
    <n v="4"/>
    <n v="5"/>
    <n v="3"/>
    <n v="5"/>
    <n v="36"/>
    <m/>
    <n v="9"/>
    <n v="14"/>
    <n v="15"/>
    <n v="7"/>
    <n v="4"/>
    <n v="3"/>
    <n v="52"/>
    <m/>
    <n v="88"/>
    <m/>
    <m/>
    <m/>
    <m/>
    <m/>
    <m/>
    <n v="46.64"/>
    <n v="1166"/>
    <n v="3666"/>
    <n v="334"/>
    <n v="4000"/>
    <n v="4000"/>
    <n v="4282"/>
    <n v="1782"/>
    <n v="71.28"/>
    <n v="4282"/>
    <n v="1782"/>
    <n v="71.28"/>
    <m/>
    <n v="8"/>
    <n v="4290"/>
    <n v="143"/>
    <m/>
  </r>
  <r>
    <m/>
    <n v="260"/>
    <x v="74"/>
    <x v="1"/>
    <x v="4"/>
    <n v="0"/>
    <x v="14"/>
    <x v="2"/>
    <s v="C"/>
    <s v="دبلوم وسيط"/>
    <s v="العلوم الرياضيه والحاسوب"/>
    <d v="2015-11-04T00:00:00"/>
    <d v="2017-12-31T00:00:00"/>
    <n v="2244"/>
    <n v="2"/>
    <n v="1"/>
    <n v="4.16"/>
    <n v="93.350399999999993"/>
    <n v="166.4"/>
    <m/>
    <m/>
    <n v="6"/>
    <n v="4"/>
    <n v="4"/>
    <n v="3"/>
    <n v="4"/>
    <n v="4"/>
    <n v="6"/>
    <n v="4"/>
    <n v="6"/>
    <n v="41"/>
    <m/>
    <n v="9"/>
    <n v="14"/>
    <n v="15"/>
    <n v="7"/>
    <n v="4"/>
    <n v="3"/>
    <n v="52"/>
    <m/>
    <n v="93"/>
    <m/>
    <m/>
    <m/>
    <m/>
    <m/>
    <m/>
    <n v="49.29"/>
    <n v="1106.0676000000001"/>
    <n v="3350.0676000000003"/>
    <n v="649.93239999999969"/>
    <n v="4000"/>
    <n v="4000"/>
    <n v="4093.3503999999998"/>
    <n v="1849.3503999999998"/>
    <n v="82.413119429590012"/>
    <n v="4093.3503999999998"/>
    <n v="1849.3503999999998"/>
    <n v="82.413119429590012"/>
    <m/>
    <n v="7"/>
    <n v="4100.3503999999994"/>
    <n v="136.67834666666664"/>
    <m/>
  </r>
  <r>
    <m/>
    <n v="293"/>
    <x v="75"/>
    <x v="1"/>
    <x v="4"/>
    <s v="الزوايا"/>
    <x v="14"/>
    <x v="2"/>
    <m/>
    <n v="0"/>
    <n v="0"/>
    <d v="2012-07-10T00:00:00"/>
    <d v="2017-12-31T00:00:00"/>
    <n v="1870"/>
    <n v="5"/>
    <n v="5"/>
    <n v="10.8"/>
    <n v="201.96000000000004"/>
    <n v="432.00000000000006"/>
    <m/>
    <m/>
    <n v="5"/>
    <n v="5"/>
    <n v="5"/>
    <n v="3"/>
    <n v="3"/>
    <n v="3"/>
    <n v="6"/>
    <n v="4"/>
    <n v="6"/>
    <n v="40"/>
    <m/>
    <n v="9"/>
    <n v="15"/>
    <n v="15"/>
    <n v="7"/>
    <n v="5"/>
    <n v="3"/>
    <n v="54"/>
    <m/>
    <n v="94"/>
    <m/>
    <m/>
    <m/>
    <m/>
    <m/>
    <m/>
    <n v="49.82"/>
    <n v="931.6339999999999"/>
    <n v="2801.634"/>
    <n v="1198.366"/>
    <n v="4000"/>
    <n v="4000"/>
    <n v="4201.96"/>
    <n v="2331.96"/>
    <n v="124.70374331550804"/>
    <n v="4201.96"/>
    <n v="2331.96"/>
    <n v="124.70374331550804"/>
    <m/>
    <n v="8"/>
    <n v="4209.96"/>
    <n v="140.33199999999999"/>
    <m/>
  </r>
  <r>
    <m/>
    <n v="297"/>
    <x v="76"/>
    <x v="1"/>
    <x v="4"/>
    <s v="عداد"/>
    <x v="14"/>
    <x v="2"/>
    <m/>
    <n v="0"/>
    <n v="0"/>
    <d v="2012-07-11T00:00:00"/>
    <d v="2017-12-31T00:00:00"/>
    <n v="2400"/>
    <n v="5"/>
    <n v="5"/>
    <n v="10.8"/>
    <n v="259.20000000000005"/>
    <n v="432.00000000000006"/>
    <m/>
    <m/>
    <n v="6"/>
    <n v="5"/>
    <n v="5"/>
    <n v="3"/>
    <n v="3"/>
    <n v="3"/>
    <n v="6"/>
    <n v="4"/>
    <n v="6"/>
    <n v="41"/>
    <m/>
    <n v="9"/>
    <n v="14"/>
    <n v="15"/>
    <n v="3"/>
    <n v="4"/>
    <n v="3"/>
    <n v="48"/>
    <m/>
    <n v="89"/>
    <m/>
    <m/>
    <m/>
    <m/>
    <m/>
    <m/>
    <n v="47.17"/>
    <n v="1132.08"/>
    <n v="3532.08"/>
    <n v="467.92000000000007"/>
    <n v="4000"/>
    <n v="4000"/>
    <n v="4259.2"/>
    <n v="1859.1999999999998"/>
    <n v="77.466666666666654"/>
    <n v="4259.2"/>
    <n v="1859.1999999999998"/>
    <n v="77.466666666666654"/>
    <m/>
    <n v="1"/>
    <n v="4260.2"/>
    <n v="142.00666666666666"/>
    <m/>
  </r>
  <r>
    <m/>
    <n v="301"/>
    <x v="77"/>
    <x v="1"/>
    <x v="4"/>
    <s v="الزوايا"/>
    <x v="14"/>
    <x v="2"/>
    <m/>
    <n v="0"/>
    <n v="0"/>
    <d v="2014-02-22T00:00:00"/>
    <d v="2017-12-31T00:00:00"/>
    <n v="1870"/>
    <n v="3"/>
    <n v="10"/>
    <n v="7.6"/>
    <n v="142.12"/>
    <n v="304"/>
    <m/>
    <m/>
    <n v="4"/>
    <n v="4"/>
    <n v="4"/>
    <n v="1"/>
    <n v="2"/>
    <n v="1"/>
    <n v="4"/>
    <n v="4"/>
    <n v="6"/>
    <n v="30"/>
    <m/>
    <n v="9"/>
    <n v="14"/>
    <n v="15"/>
    <n v="7"/>
    <n v="5"/>
    <n v="3"/>
    <n v="53"/>
    <m/>
    <n v="83"/>
    <m/>
    <m/>
    <m/>
    <m/>
    <m/>
    <m/>
    <n v="43.99"/>
    <n v="822.61300000000006"/>
    <n v="2692.6130000000003"/>
    <n v="1307.3869999999997"/>
    <n v="4000"/>
    <n v="4000"/>
    <n v="4142.12"/>
    <n v="2272.12"/>
    <n v="121.50374331550802"/>
    <n v="4142.12"/>
    <n v="2272.12"/>
    <n v="121.50374331550802"/>
    <m/>
    <n v="8"/>
    <n v="4150.12"/>
    <n v="138.33733333333333"/>
    <m/>
  </r>
  <r>
    <m/>
    <n v="322"/>
    <x v="78"/>
    <x v="1"/>
    <x v="4"/>
    <s v="الاكسبنده"/>
    <x v="14"/>
    <x v="2"/>
    <m/>
    <n v="0"/>
    <n v="0"/>
    <d v="2012-09-09T00:00:00"/>
    <d v="2017-12-31T00:00:00"/>
    <n v="1870"/>
    <n v="5"/>
    <n v="3"/>
    <n v="10.48"/>
    <n v="195.976"/>
    <n v="419.20000000000005"/>
    <m/>
    <m/>
    <n v="5"/>
    <n v="4"/>
    <n v="4"/>
    <n v="1"/>
    <n v="1"/>
    <n v="1"/>
    <n v="5"/>
    <n v="3"/>
    <n v="6"/>
    <n v="30"/>
    <m/>
    <n v="9"/>
    <n v="13"/>
    <n v="15"/>
    <n v="3"/>
    <n v="4"/>
    <n v="3"/>
    <n v="47"/>
    <m/>
    <n v="77"/>
    <m/>
    <m/>
    <m/>
    <m/>
    <m/>
    <m/>
    <n v="40.81"/>
    <n v="763.14700000000005"/>
    <n v="2633.1469999999999"/>
    <n v="1366.8530000000001"/>
    <n v="4000"/>
    <n v="4000"/>
    <n v="4195.9759999999997"/>
    <n v="2325.9759999999997"/>
    <n v="124.38374331550801"/>
    <n v="4195.9759999999997"/>
    <n v="2325.9759999999997"/>
    <n v="124.38374331550801"/>
    <m/>
    <n v="4"/>
    <n v="4199.9759999999997"/>
    <n v="139.9992"/>
    <m/>
  </r>
  <r>
    <m/>
    <n v="330"/>
    <x v="79"/>
    <x v="2"/>
    <x v="1"/>
    <n v="0"/>
    <x v="37"/>
    <x v="4"/>
    <s v="B"/>
    <s v="دبلوم تقني"/>
    <s v="ترجمة"/>
    <d v="2012-09-25T00:00:00"/>
    <d v="2017-12-31T00:00:00"/>
    <n v="2220"/>
    <n v="5"/>
    <n v="3"/>
    <n v="10.48"/>
    <n v="232.65600000000001"/>
    <n v="471.6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1106.0039999999999"/>
    <n v="3326.0039999999999"/>
    <n v="1173.9960000000001"/>
    <n v="4500"/>
    <n v="4500"/>
    <n v="4732.6559999999999"/>
    <n v="2512.6559999999999"/>
    <n v="113.1827027027027"/>
    <n v="4732.6559999999999"/>
    <n v="2512.6559999999999"/>
    <n v="113.1827027027027"/>
    <m/>
    <n v="7"/>
    <n v="4739.6559999999999"/>
    <n v="157.98853333333332"/>
    <m/>
  </r>
  <r>
    <m/>
    <n v="346"/>
    <x v="80"/>
    <x v="1"/>
    <x v="12"/>
    <s v="العياده"/>
    <x v="38"/>
    <x v="2"/>
    <s v="C"/>
    <s v="شهاده دورة تدريب"/>
    <s v="شهادة تمريض"/>
    <d v="2012-10-15T00:00:00"/>
    <d v="2017-12-31T00:00:00"/>
    <n v="2200"/>
    <n v="5"/>
    <n v="2"/>
    <n v="10.32"/>
    <n v="227.04"/>
    <n v="412.8"/>
    <m/>
    <m/>
    <n v="5"/>
    <n v="5"/>
    <n v="3"/>
    <n v="4"/>
    <n v="4"/>
    <n v="3"/>
    <n v="5"/>
    <n v="4"/>
    <n v="5"/>
    <n v="38"/>
    <m/>
    <n v="8"/>
    <n v="12"/>
    <n v="15"/>
    <n v="3"/>
    <n v="4"/>
    <n v="3"/>
    <n v="45"/>
    <m/>
    <n v="83"/>
    <m/>
    <m/>
    <m/>
    <m/>
    <m/>
    <m/>
    <n v="43.99"/>
    <n v="967.78"/>
    <n v="3167.7799999999997"/>
    <n v="832.22000000000025"/>
    <n v="4000"/>
    <n v="4000"/>
    <n v="4227.04"/>
    <n v="2027.04"/>
    <n v="92.13818181818182"/>
    <n v="4227.04"/>
    <n v="2027.04"/>
    <n v="92.13818181818182"/>
    <m/>
    <n v="3"/>
    <n v="4230.04"/>
    <n v="141.00133333333332"/>
    <m/>
  </r>
  <r>
    <m/>
    <n v="363"/>
    <x v="81"/>
    <x v="1"/>
    <x v="4"/>
    <s v="المواسير"/>
    <x v="14"/>
    <x v="2"/>
    <m/>
    <n v="0"/>
    <n v="0"/>
    <d v="2012-11-19T00:00:00"/>
    <d v="2017-12-31T00:00:00"/>
    <n v="2150.5"/>
    <n v="5"/>
    <n v="1"/>
    <n v="10.16"/>
    <n v="218.49079999999998"/>
    <n v="406.4"/>
    <m/>
    <m/>
    <n v="4"/>
    <n v="4"/>
    <n v="4"/>
    <n v="1"/>
    <n v="3"/>
    <n v="1"/>
    <n v="5"/>
    <n v="4"/>
    <n v="6"/>
    <n v="32"/>
    <m/>
    <n v="9"/>
    <n v="14"/>
    <n v="15"/>
    <n v="5"/>
    <n v="5"/>
    <n v="3"/>
    <n v="51"/>
    <m/>
    <n v="83"/>
    <m/>
    <m/>
    <m/>
    <m/>
    <m/>
    <m/>
    <n v="43.99"/>
    <n v="946.00495000000001"/>
    <n v="3096.50495"/>
    <n v="903.49504999999999"/>
    <n v="4000"/>
    <n v="4000"/>
    <n v="4218.4907999999996"/>
    <n v="2067.9907999999996"/>
    <n v="96.163255056963479"/>
    <n v="4218.4907999999996"/>
    <n v="2067.9907999999996"/>
    <n v="96.163255056963479"/>
    <m/>
    <n v="2"/>
    <n v="4220.4907999999996"/>
    <n v="140.68302666666665"/>
    <m/>
  </r>
  <r>
    <m/>
    <n v="373"/>
    <x v="82"/>
    <x v="1"/>
    <x v="4"/>
    <s v="المواسير"/>
    <x v="14"/>
    <x v="2"/>
    <s v="C"/>
    <s v="دبلوم وسيط"/>
    <s v="العلوم الإدارية"/>
    <d v="2012-11-01T00:00:00"/>
    <d v="2017-12-31T00:00:00"/>
    <n v="2150.5"/>
    <n v="5"/>
    <n v="1"/>
    <n v="10.16"/>
    <n v="218.49079999999998"/>
    <n v="406.4"/>
    <m/>
    <m/>
    <n v="6"/>
    <n v="5"/>
    <n v="5"/>
    <n v="3"/>
    <n v="3"/>
    <n v="3"/>
    <n v="6"/>
    <n v="4"/>
    <n v="6"/>
    <n v="41"/>
    <m/>
    <n v="9"/>
    <n v="13"/>
    <n v="15"/>
    <n v="3"/>
    <n v="4"/>
    <n v="3"/>
    <n v="47"/>
    <m/>
    <n v="88"/>
    <m/>
    <m/>
    <m/>
    <m/>
    <m/>
    <m/>
    <n v="46.64"/>
    <n v="1002.9932"/>
    <n v="3153.4931999999999"/>
    <n v="846.50680000000011"/>
    <n v="4000"/>
    <n v="4000"/>
    <n v="4218.4907999999996"/>
    <n v="2067.9907999999996"/>
    <n v="96.163255056963479"/>
    <n v="4218.4907999999996"/>
    <n v="2067.9907999999996"/>
    <n v="96.163255056963479"/>
    <m/>
    <n v="2"/>
    <n v="4220.4907999999996"/>
    <n v="140.68302666666665"/>
    <m/>
  </r>
  <r>
    <m/>
    <n v="374"/>
    <x v="83"/>
    <x v="1"/>
    <x v="3"/>
    <s v="الامن"/>
    <x v="5"/>
    <x v="2"/>
    <m/>
    <n v="0"/>
    <n v="0"/>
    <d v="2012-12-04T00:00:00"/>
    <d v="2017-12-31T00:00:00"/>
    <n v="2000"/>
    <n v="5"/>
    <n v="0"/>
    <n v="10"/>
    <n v="200"/>
    <n v="400"/>
    <m/>
    <m/>
    <n v="6"/>
    <n v="5"/>
    <n v="3"/>
    <n v="5"/>
    <n v="4"/>
    <n v="4"/>
    <n v="6"/>
    <n v="4"/>
    <n v="6"/>
    <n v="43"/>
    <m/>
    <n v="10"/>
    <n v="14"/>
    <n v="15"/>
    <n v="7"/>
    <n v="5"/>
    <n v="3"/>
    <n v="54"/>
    <m/>
    <n v="97"/>
    <m/>
    <n v="10"/>
    <m/>
    <m/>
    <m/>
    <m/>
    <n v="51.410000000000004"/>
    <n v="1028.2"/>
    <n v="3028.2"/>
    <n v="971.80000000000018"/>
    <n v="4000"/>
    <n v="4000"/>
    <n v="4200"/>
    <n v="2200"/>
    <n v="110"/>
    <n v="4200"/>
    <n v="2200"/>
    <n v="110"/>
    <m/>
    <m/>
    <n v="4200"/>
    <n v="140"/>
    <m/>
  </r>
  <r>
    <m/>
    <n v="376"/>
    <x v="84"/>
    <x v="1"/>
    <x v="4"/>
    <s v="الاكسبنده"/>
    <x v="21"/>
    <x v="5"/>
    <m/>
    <n v="0"/>
    <n v="0"/>
    <d v="2012-12-06T00:00:00"/>
    <d v="2017-12-31T00:00:00"/>
    <n v="2000"/>
    <n v="5"/>
    <n v="0"/>
    <n v="10"/>
    <n v="200"/>
    <n v="300"/>
    <m/>
    <m/>
    <n v="2"/>
    <n v="2"/>
    <n v="2"/>
    <n v="1"/>
    <n v="1"/>
    <n v="1"/>
    <n v="3"/>
    <n v="2"/>
    <n v="6"/>
    <n v="20"/>
    <m/>
    <n v="9"/>
    <n v="14"/>
    <n v="15"/>
    <n v="7"/>
    <n v="4"/>
    <n v="3"/>
    <n v="52"/>
    <m/>
    <n v="72"/>
    <m/>
    <m/>
    <m/>
    <m/>
    <m/>
    <m/>
    <n v="38.160000000000004"/>
    <n v="763.2"/>
    <n v="2763.2"/>
    <n v="236.80000000000018"/>
    <n v="3000"/>
    <n v="3000"/>
    <n v="3200"/>
    <n v="1200"/>
    <n v="60"/>
    <n v="3200"/>
    <n v="1200"/>
    <n v="60"/>
    <m/>
    <m/>
    <n v="3200"/>
    <n v="106.66666666666667"/>
    <m/>
  </r>
  <r>
    <m/>
    <n v="403"/>
    <x v="85"/>
    <x v="1"/>
    <x v="2"/>
    <s v="الخام"/>
    <x v="39"/>
    <x v="3"/>
    <s v="A"/>
    <s v="بكلاريوس"/>
    <s v="الاقتصاد"/>
    <d v="2016-04-12T00:00:00"/>
    <d v="2017-12-31T00:00:00"/>
    <n v="2000"/>
    <n v="1"/>
    <n v="8"/>
    <n v="3.2800000000000002"/>
    <n v="65.600000000000009"/>
    <n v="164"/>
    <m/>
    <m/>
    <n v="4"/>
    <n v="4"/>
    <n v="4"/>
    <n v="3"/>
    <n v="3"/>
    <n v="3"/>
    <n v="5"/>
    <n v="3"/>
    <n v="5"/>
    <n v="34"/>
    <m/>
    <n v="9"/>
    <n v="14"/>
    <n v="15"/>
    <n v="5"/>
    <n v="5"/>
    <n v="3"/>
    <n v="51"/>
    <m/>
    <n v="85"/>
    <m/>
    <m/>
    <m/>
    <m/>
    <m/>
    <m/>
    <n v="45.050000000000004"/>
    <n v="901.00000000000011"/>
    <n v="2901"/>
    <n v="2099"/>
    <n v="5000"/>
    <n v="5000"/>
    <n v="5065.6000000000004"/>
    <n v="3065.6000000000004"/>
    <n v="153.28000000000003"/>
    <n v="5065.6000000000004"/>
    <n v="3065.6000000000004"/>
    <n v="153.28000000000003"/>
    <m/>
    <n v="4"/>
    <n v="5069.6000000000004"/>
    <n v="168.98666666666668"/>
    <m/>
  </r>
  <r>
    <m/>
    <n v="408"/>
    <x v="86"/>
    <x v="1"/>
    <x v="4"/>
    <s v="اليات"/>
    <x v="24"/>
    <x v="4"/>
    <m/>
    <n v="0"/>
    <n v="0"/>
    <d v="2013-01-08T00:00:00"/>
    <d v="2017-12-31T00:00:00"/>
    <n v="3000"/>
    <n v="4"/>
    <n v="11"/>
    <n v="9.76"/>
    <n v="292.79999999999995"/>
    <n v="439.2"/>
    <m/>
    <m/>
    <n v="5"/>
    <n v="4"/>
    <n v="4"/>
    <n v="4"/>
    <n v="4"/>
    <n v="3"/>
    <n v="5"/>
    <n v="4"/>
    <n v="6"/>
    <n v="39"/>
    <m/>
    <n v="9"/>
    <n v="13"/>
    <n v="15"/>
    <n v="5"/>
    <n v="4"/>
    <n v="3"/>
    <n v="49"/>
    <m/>
    <n v="88"/>
    <m/>
    <m/>
    <m/>
    <m/>
    <m/>
    <m/>
    <n v="46.64"/>
    <n v="1399.2"/>
    <n v="4399.2"/>
    <n v="100.80000000000018"/>
    <n v="4500"/>
    <n v="4500"/>
    <n v="4792.8"/>
    <n v="1792.8000000000002"/>
    <n v="59.760000000000005"/>
    <n v="4792.8"/>
    <n v="1792.8000000000002"/>
    <n v="59.760000000000005"/>
    <m/>
    <n v="7"/>
    <n v="4799.8"/>
    <n v="159.99333333333334"/>
    <m/>
  </r>
  <r>
    <m/>
    <n v="410"/>
    <x v="87"/>
    <x v="1"/>
    <x v="13"/>
    <s v="الكمبيوتر"/>
    <x v="40"/>
    <x v="4"/>
    <s v="B"/>
    <s v="دبلوم تقني"/>
    <s v="هندسة حاسوب"/>
    <d v="2013-01-01T00:00:00"/>
    <d v="2017-12-31T00:00:00"/>
    <n v="3250"/>
    <n v="4"/>
    <n v="11"/>
    <n v="9.76"/>
    <n v="317.2"/>
    <n v="481.95367999999996"/>
    <m/>
    <m/>
    <n v="6"/>
    <n v="5"/>
    <n v="5"/>
    <n v="5"/>
    <n v="4"/>
    <n v="4"/>
    <n v="6"/>
    <n v="4"/>
    <n v="6"/>
    <n v="45"/>
    <m/>
    <n v="9"/>
    <n v="15"/>
    <n v="15"/>
    <n v="7"/>
    <n v="4"/>
    <n v="3"/>
    <n v="53"/>
    <m/>
    <n v="98"/>
    <m/>
    <m/>
    <m/>
    <m/>
    <m/>
    <m/>
    <n v="51.940000000000005"/>
    <n v="1688.0500000000002"/>
    <n v="4938.05"/>
    <m/>
    <n v="4500"/>
    <n v="4938.05"/>
    <n v="5255.25"/>
    <n v="2005.25"/>
    <n v="61.7"/>
    <n v="5255.25"/>
    <n v="2005.25"/>
    <n v="61.7"/>
    <m/>
    <n v="5"/>
    <n v="5260.25"/>
    <n v="175.34166666666667"/>
    <m/>
  </r>
  <r>
    <m/>
    <n v="411"/>
    <x v="88"/>
    <x v="1"/>
    <x v="3"/>
    <s v="الامن"/>
    <x v="5"/>
    <x v="2"/>
    <m/>
    <s v="شهاده ثانويه"/>
    <n v="0"/>
    <d v="2013-01-22T00:00:00"/>
    <d v="2017-12-31T00:00:00"/>
    <n v="2000"/>
    <n v="4"/>
    <n v="11"/>
    <n v="9.76"/>
    <n v="195.2"/>
    <n v="390.4"/>
    <m/>
    <m/>
    <n v="6"/>
    <n v="5"/>
    <n v="3"/>
    <n v="5"/>
    <n v="4"/>
    <n v="4"/>
    <n v="6"/>
    <n v="4"/>
    <n v="6"/>
    <n v="43"/>
    <m/>
    <n v="9"/>
    <n v="13"/>
    <n v="12"/>
    <n v="5"/>
    <n v="4"/>
    <n v="3"/>
    <n v="46"/>
    <m/>
    <n v="89"/>
    <m/>
    <n v="10"/>
    <m/>
    <m/>
    <m/>
    <m/>
    <n v="47.17"/>
    <n v="943.4"/>
    <n v="2943.4"/>
    <n v="1056.5999999999999"/>
    <n v="4000"/>
    <n v="4000"/>
    <n v="4195.2"/>
    <n v="2195.1999999999998"/>
    <n v="109.75999999999999"/>
    <n v="4195.2"/>
    <n v="2195.1999999999998"/>
    <n v="109.75999999999999"/>
    <m/>
    <n v="5"/>
    <n v="4200.2"/>
    <n v="140.00666666666666"/>
    <m/>
  </r>
  <r>
    <m/>
    <n v="415"/>
    <x v="89"/>
    <x v="1"/>
    <x v="5"/>
    <s v="الميكانيكا"/>
    <x v="17"/>
    <x v="4"/>
    <s v="B"/>
    <s v="دبلوم تقني"/>
    <s v="هندسة ميكانيكية ( إنتاج )"/>
    <d v="2013-02-07T00:00:00"/>
    <d v="2017-12-31T00:00:00"/>
    <n v="2320"/>
    <n v="4"/>
    <n v="10"/>
    <n v="9.6"/>
    <n v="222.72"/>
    <n v="432"/>
    <m/>
    <m/>
    <n v="5"/>
    <n v="4.5"/>
    <n v="4"/>
    <n v="4"/>
    <n v="4"/>
    <n v="4"/>
    <n v="4.5"/>
    <n v="3.5"/>
    <n v="4.5"/>
    <n v="38"/>
    <m/>
    <n v="9"/>
    <n v="14"/>
    <n v="15"/>
    <n v="7"/>
    <n v="5"/>
    <n v="3"/>
    <n v="53"/>
    <m/>
    <n v="91"/>
    <m/>
    <n v="8"/>
    <m/>
    <m/>
    <m/>
    <m/>
    <n v="48.230000000000004"/>
    <n v="1118.9360000000001"/>
    <n v="3438.9360000000001"/>
    <n v="1061.0639999999999"/>
    <n v="4500"/>
    <n v="4500"/>
    <n v="4722.72"/>
    <n v="2402.7200000000003"/>
    <n v="103.56551724137933"/>
    <n v="4722.72"/>
    <n v="2402.7200000000003"/>
    <n v="103.56551724137933"/>
    <m/>
    <n v="7"/>
    <n v="4729.72"/>
    <n v="157.65733333333336"/>
    <m/>
  </r>
  <r>
    <m/>
    <n v="425"/>
    <x v="90"/>
    <x v="1"/>
    <x v="5"/>
    <s v="مشرف صيانه"/>
    <x v="41"/>
    <x v="2"/>
    <m/>
    <n v="0"/>
    <n v="0"/>
    <d v="2013-03-01T00:00:00"/>
    <d v="2017-12-31T00:00:00"/>
    <n v="4697"/>
    <n v="4"/>
    <n v="9"/>
    <n v="9.44"/>
    <n v="443.39679999999998"/>
    <n v="661.94708271999991"/>
    <m/>
    <m/>
    <n v="5"/>
    <n v="4.5"/>
    <n v="4.5"/>
    <n v="4.5"/>
    <n v="3.5"/>
    <n v="3.5"/>
    <n v="5"/>
    <n v="4"/>
    <n v="5.5"/>
    <n v="40"/>
    <m/>
    <n v="9"/>
    <n v="14"/>
    <n v="15"/>
    <n v="7"/>
    <n v="5"/>
    <n v="3"/>
    <n v="53"/>
    <m/>
    <n v="93"/>
    <m/>
    <n v="9"/>
    <m/>
    <m/>
    <m/>
    <m/>
    <n v="49.29"/>
    <n v="2315.1513"/>
    <n v="7012.1512999999995"/>
    <m/>
    <n v="4000"/>
    <n v="7012.1512999999995"/>
    <n v="7455.5481"/>
    <n v="2758.5481"/>
    <n v="58.730000000000004"/>
    <n v="7455.5481"/>
    <n v="2758.5481"/>
    <n v="58.730000000000004"/>
    <m/>
    <n v="4"/>
    <n v="7459.5481"/>
    <n v="248.65160333333333"/>
    <m/>
  </r>
  <r>
    <m/>
    <n v="434"/>
    <x v="91"/>
    <x v="1"/>
    <x v="4"/>
    <s v="خوص"/>
    <x v="14"/>
    <x v="2"/>
    <m/>
    <n v="0"/>
    <n v="0"/>
    <d v="2013-03-19T00:00:00"/>
    <d v="2017-12-31T00:00:00"/>
    <n v="2244"/>
    <n v="4"/>
    <n v="9"/>
    <n v="9.44"/>
    <n v="211.83359999999999"/>
    <n v="377.59999999999997"/>
    <m/>
    <m/>
    <n v="6"/>
    <n v="4"/>
    <n v="4"/>
    <n v="3"/>
    <n v="3"/>
    <n v="3"/>
    <n v="5"/>
    <n v="3"/>
    <n v="5"/>
    <n v="36"/>
    <m/>
    <n v="8"/>
    <n v="14"/>
    <n v="9"/>
    <n v="1"/>
    <n v="3"/>
    <n v="3"/>
    <n v="38"/>
    <m/>
    <n v="74"/>
    <m/>
    <m/>
    <m/>
    <m/>
    <m/>
    <m/>
    <n v="39.22"/>
    <n v="880.09680000000003"/>
    <n v="3124.0968000000003"/>
    <n v="875.90319999999974"/>
    <n v="4000"/>
    <n v="4000"/>
    <n v="4211.8335999999999"/>
    <n v="1967.8335999999999"/>
    <n v="87.693119429590013"/>
    <n v="4211.8335999999999"/>
    <n v="1967.8335999999999"/>
    <n v="87.693119429590013"/>
    <m/>
    <n v="8"/>
    <n v="4219.8335999999999"/>
    <n v="140.66112000000001"/>
    <m/>
  </r>
  <r>
    <m/>
    <n v="436"/>
    <x v="92"/>
    <x v="1"/>
    <x v="4"/>
    <s v="المواسير"/>
    <x v="14"/>
    <x v="2"/>
    <s v="C"/>
    <s v="تدريب مهني"/>
    <n v="0"/>
    <d v="2013-03-23T00:00:00"/>
    <d v="2017-12-31T00:00:00"/>
    <n v="2244"/>
    <n v="4"/>
    <n v="9"/>
    <n v="9.44"/>
    <n v="211.83359999999999"/>
    <n v="377.59999999999997"/>
    <m/>
    <m/>
    <n v="5"/>
    <n v="4"/>
    <n v="4"/>
    <n v="3"/>
    <n v="4"/>
    <n v="4"/>
    <n v="5"/>
    <n v="4"/>
    <n v="6"/>
    <n v="39"/>
    <m/>
    <n v="9"/>
    <n v="13"/>
    <n v="12"/>
    <n v="3"/>
    <n v="4"/>
    <n v="3"/>
    <n v="44"/>
    <m/>
    <n v="83"/>
    <m/>
    <m/>
    <m/>
    <m/>
    <m/>
    <m/>
    <n v="43.99"/>
    <n v="987.13560000000007"/>
    <n v="3231.1356000000001"/>
    <n v="768.86439999999993"/>
    <n v="4000"/>
    <n v="4000"/>
    <n v="4211.8335999999999"/>
    <n v="1967.8335999999999"/>
    <n v="87.693119429590013"/>
    <n v="4211.8335999999999"/>
    <n v="1967.8335999999999"/>
    <n v="87.693119429590013"/>
    <m/>
    <n v="8"/>
    <n v="4219.8335999999999"/>
    <n v="140.66112000000001"/>
    <m/>
  </r>
  <r>
    <m/>
    <n v="439"/>
    <x v="93"/>
    <x v="1"/>
    <x v="4"/>
    <s v="عداد"/>
    <x v="34"/>
    <x v="4"/>
    <m/>
    <s v="شهاده ثانويه"/>
    <n v="0"/>
    <d v="2013-03-23T00:00:00"/>
    <d v="2017-12-31T00:00:00"/>
    <n v="2220"/>
    <n v="4"/>
    <n v="9"/>
    <n v="9.44"/>
    <n v="209.56799999999998"/>
    <n v="424.8"/>
    <m/>
    <m/>
    <n v="6"/>
    <n v="5"/>
    <n v="5"/>
    <n v="5"/>
    <n v="4"/>
    <n v="4"/>
    <n v="6"/>
    <n v="4"/>
    <n v="6"/>
    <n v="45"/>
    <m/>
    <n v="9"/>
    <n v="14"/>
    <n v="15"/>
    <n v="7"/>
    <n v="5"/>
    <n v="3"/>
    <n v="53"/>
    <m/>
    <n v="98"/>
    <m/>
    <m/>
    <m/>
    <m/>
    <m/>
    <m/>
    <n v="51.940000000000005"/>
    <n v="1153.0680000000002"/>
    <n v="3373.0680000000002"/>
    <n v="1126.9319999999998"/>
    <n v="4500"/>
    <n v="4500"/>
    <n v="4709.5680000000002"/>
    <n v="2489.5680000000002"/>
    <n v="112.14270270270272"/>
    <n v="4709.5680000000002"/>
    <n v="2489.5680000000002"/>
    <n v="112.14270270270272"/>
    <m/>
    <m/>
    <n v="4709.5680000000002"/>
    <n v="156.98560000000001"/>
    <m/>
  </r>
  <r>
    <m/>
    <n v="440"/>
    <x v="94"/>
    <x v="1"/>
    <x v="2"/>
    <s v="الاسكلبات"/>
    <x v="42"/>
    <x v="6"/>
    <s v="B"/>
    <s v="دبلوم تقني"/>
    <s v="إدارة الاعمال"/>
    <d v="2013-03-24T00:00:00"/>
    <d v="2017-12-31T00:00:00"/>
    <n v="2220"/>
    <n v="4"/>
    <n v="9"/>
    <n v="9.44"/>
    <n v="209.56799999999998"/>
    <n v="330.4"/>
    <m/>
    <m/>
    <n v="5"/>
    <n v="3"/>
    <n v="4"/>
    <n v="3"/>
    <n v="3"/>
    <n v="3"/>
    <n v="4"/>
    <n v="3"/>
    <n v="4"/>
    <n v="32"/>
    <m/>
    <n v="9"/>
    <n v="14"/>
    <n v="15"/>
    <n v="3"/>
    <n v="4"/>
    <n v="3"/>
    <n v="48"/>
    <m/>
    <n v="80"/>
    <m/>
    <m/>
    <m/>
    <m/>
    <m/>
    <m/>
    <n v="42.400000000000006"/>
    <n v="941.28000000000009"/>
    <n v="3161.28"/>
    <n v="338.7199999999998"/>
    <n v="3500"/>
    <n v="3500"/>
    <n v="3709.5680000000002"/>
    <n v="1489.5680000000002"/>
    <n v="67.097657657657663"/>
    <n v="3709.5680000000002"/>
    <n v="1489.5680000000002"/>
    <n v="67.097657657657663"/>
    <m/>
    <m/>
    <n v="3709.5680000000002"/>
    <n v="123.65226666666668"/>
    <m/>
  </r>
  <r>
    <m/>
    <n v="441"/>
    <x v="95"/>
    <x v="1"/>
    <x v="4"/>
    <s v="عداد"/>
    <x v="21"/>
    <x v="5"/>
    <s v="B"/>
    <s v="دبلوم تقني"/>
    <s v="الاقتصاد"/>
    <d v="2013-03-24T00:00:00"/>
    <d v="2017-12-31T00:00:00"/>
    <n v="1870"/>
    <n v="4"/>
    <n v="9"/>
    <n v="9.44"/>
    <n v="176.52799999999999"/>
    <n v="283.2"/>
    <m/>
    <m/>
    <n v="4"/>
    <n v="4"/>
    <n v="4"/>
    <n v="3"/>
    <n v="2"/>
    <n v="2"/>
    <n v="4"/>
    <n v="3"/>
    <n v="6"/>
    <n v="32"/>
    <m/>
    <n v="10"/>
    <n v="15"/>
    <n v="15"/>
    <n v="7"/>
    <n v="5"/>
    <n v="3"/>
    <n v="55"/>
    <m/>
    <n v="87"/>
    <m/>
    <m/>
    <m/>
    <m/>
    <m/>
    <m/>
    <n v="46.11"/>
    <n v="862.25700000000006"/>
    <n v="2732.2570000000001"/>
    <n v="267.74299999999994"/>
    <n v="3000"/>
    <n v="3000"/>
    <n v="3176.5279999999998"/>
    <n v="1306.5279999999998"/>
    <n v="69.867807486631008"/>
    <n v="3176.5279999999998"/>
    <n v="1306.5279999999998"/>
    <n v="69.867807486631008"/>
    <m/>
    <n v="3"/>
    <n v="3179.5279999999998"/>
    <n v="105.98426666666666"/>
    <m/>
  </r>
  <r>
    <m/>
    <n v="453"/>
    <x v="96"/>
    <x v="1"/>
    <x v="4"/>
    <s v="الاكسبنده"/>
    <x v="9"/>
    <x v="4"/>
    <m/>
    <s v="شهاده ثانويه"/>
    <n v="0"/>
    <d v="2013-04-01T00:00:00"/>
    <d v="2017-12-31T00:00:00"/>
    <n v="2664"/>
    <n v="4"/>
    <n v="8"/>
    <n v="9.2799999999999994"/>
    <n v="247.21919999999997"/>
    <n v="417.59999999999997"/>
    <m/>
    <m/>
    <n v="6"/>
    <n v="4"/>
    <n v="4"/>
    <n v="4"/>
    <n v="4"/>
    <n v="4"/>
    <n v="5"/>
    <n v="4"/>
    <n v="6"/>
    <n v="41"/>
    <m/>
    <n v="9"/>
    <n v="14"/>
    <n v="15"/>
    <n v="7"/>
    <n v="5"/>
    <n v="3"/>
    <n v="53"/>
    <m/>
    <n v="94"/>
    <m/>
    <m/>
    <m/>
    <m/>
    <m/>
    <m/>
    <n v="49.82"/>
    <n v="1327.2048"/>
    <n v="3991.2048"/>
    <n v="508.79520000000002"/>
    <n v="4500"/>
    <n v="4500"/>
    <n v="4747.2191999999995"/>
    <n v="2083.2191999999995"/>
    <n v="78.198918918918906"/>
    <n v="4747.2191999999995"/>
    <n v="2083.2191999999995"/>
    <n v="78.198918918918906"/>
    <m/>
    <n v="3"/>
    <n v="4750.2191999999995"/>
    <n v="158.34063999999998"/>
    <m/>
  </r>
  <r>
    <m/>
    <n v="455"/>
    <x v="97"/>
    <x v="1"/>
    <x v="12"/>
    <n v="0"/>
    <x v="38"/>
    <x v="2"/>
    <s v="C"/>
    <s v="شهاده دورة تدريب"/>
    <s v="شهادة تمريض"/>
    <d v="2013-04-01T00:00:00"/>
    <d v="2017-12-31T00:00:00"/>
    <n v="2370"/>
    <n v="4"/>
    <n v="8"/>
    <n v="9.2799999999999994"/>
    <n v="219.93599999999998"/>
    <n v="371.2"/>
    <m/>
    <m/>
    <n v="8"/>
    <m/>
    <m/>
    <m/>
    <m/>
    <m/>
    <m/>
    <m/>
    <m/>
    <n v="8"/>
    <m/>
    <n v="9"/>
    <n v="14"/>
    <n v="15"/>
    <n v="7"/>
    <n v="4"/>
    <n v="3"/>
    <n v="52"/>
    <m/>
    <n v="60"/>
    <m/>
    <m/>
    <m/>
    <m/>
    <m/>
    <m/>
    <n v="31.8"/>
    <n v="753.66"/>
    <n v="3123.66"/>
    <n v="876.34000000000015"/>
    <n v="4000"/>
    <n v="4000"/>
    <n v="4219.9359999999997"/>
    <n v="1849.9359999999997"/>
    <n v="78.056371308016864"/>
    <n v="4219.9359999999997"/>
    <n v="1849.9359999999997"/>
    <n v="78.056371308016864"/>
    <m/>
    <m/>
    <n v="4219.9359999999997"/>
    <n v="140.66453333333331"/>
    <m/>
  </r>
  <r>
    <m/>
    <n v="459"/>
    <x v="98"/>
    <x v="1"/>
    <x v="5"/>
    <s v="المخارط"/>
    <x v="16"/>
    <x v="4"/>
    <s v="C"/>
    <s v="تدريب مهني"/>
    <n v="0"/>
    <d v="2013-04-04T00:00:00"/>
    <d v="2017-12-31T00:00:00"/>
    <n v="2600"/>
    <n v="4"/>
    <n v="8"/>
    <n v="9.2799999999999994"/>
    <n v="241.27999999999997"/>
    <n v="417.59999999999997"/>
    <m/>
    <m/>
    <n v="5"/>
    <n v="4"/>
    <n v="4"/>
    <n v="4"/>
    <n v="3"/>
    <n v="3"/>
    <n v="4.5"/>
    <n v="4"/>
    <n v="4.5"/>
    <n v="36"/>
    <m/>
    <n v="9"/>
    <n v="14"/>
    <n v="15"/>
    <n v="5"/>
    <n v="4"/>
    <n v="3"/>
    <n v="50"/>
    <m/>
    <n v="86"/>
    <m/>
    <n v="8"/>
    <m/>
    <m/>
    <m/>
    <m/>
    <n v="45.580000000000005"/>
    <n v="1185.0800000000002"/>
    <n v="3785.08"/>
    <n v="714.92000000000007"/>
    <n v="4500"/>
    <n v="4500"/>
    <n v="4741.28"/>
    <n v="2141.2799999999997"/>
    <n v="82.356923076923067"/>
    <n v="4741.28"/>
    <n v="2141.2799999999997"/>
    <n v="82.356923076923067"/>
    <m/>
    <n v="9"/>
    <n v="4750.28"/>
    <n v="158.34266666666664"/>
    <m/>
  </r>
  <r>
    <m/>
    <n v="470"/>
    <x v="99"/>
    <x v="1"/>
    <x v="4"/>
    <s v="الزوايا"/>
    <x v="9"/>
    <x v="4"/>
    <m/>
    <n v="0"/>
    <n v="0"/>
    <d v="2013-04-01T00:00:00"/>
    <d v="2017-12-31T00:00:00"/>
    <n v="2244"/>
    <n v="4"/>
    <n v="8"/>
    <n v="9.2799999999999994"/>
    <n v="208.24319999999997"/>
    <n v="417.59999999999997"/>
    <m/>
    <m/>
    <n v="4"/>
    <n v="4"/>
    <n v="4"/>
    <n v="2"/>
    <n v="3"/>
    <n v="3"/>
    <n v="4"/>
    <n v="3"/>
    <n v="6"/>
    <n v="33"/>
    <m/>
    <n v="9"/>
    <n v="14"/>
    <n v="15"/>
    <n v="7"/>
    <n v="5"/>
    <n v="3"/>
    <n v="53"/>
    <m/>
    <n v="86"/>
    <m/>
    <m/>
    <m/>
    <m/>
    <m/>
    <m/>
    <n v="45.580000000000005"/>
    <n v="1022.8152000000001"/>
    <n v="3266.8152"/>
    <n v="1233.1848"/>
    <n v="4500"/>
    <n v="4500"/>
    <n v="4708.2431999999999"/>
    <n v="2464.2431999999999"/>
    <n v="109.81475935828875"/>
    <n v="4708.2431999999999"/>
    <n v="2464.2431999999999"/>
    <n v="109.81475935828875"/>
    <m/>
    <n v="2"/>
    <n v="4710.2431999999999"/>
    <n v="157.00810666666666"/>
    <m/>
  </r>
  <r>
    <m/>
    <n v="478"/>
    <x v="100"/>
    <x v="1"/>
    <x v="4"/>
    <s v="الاكسبنده"/>
    <x v="13"/>
    <x v="4"/>
    <m/>
    <n v="0"/>
    <n v="0"/>
    <d v="2013-04-06T00:00:00"/>
    <d v="2017-12-31T00:00:00"/>
    <n v="3480"/>
    <n v="4"/>
    <n v="8"/>
    <n v="9.2799999999999994"/>
    <n v="322.94399999999996"/>
    <n v="490.6811136"/>
    <m/>
    <m/>
    <n v="6"/>
    <n v="5"/>
    <n v="5"/>
    <n v="5"/>
    <n v="4"/>
    <n v="4"/>
    <n v="6"/>
    <n v="4"/>
    <n v="6"/>
    <n v="45"/>
    <m/>
    <n v="9"/>
    <n v="14"/>
    <n v="15"/>
    <n v="7"/>
    <n v="5"/>
    <n v="3"/>
    <n v="53"/>
    <m/>
    <n v="98"/>
    <m/>
    <m/>
    <m/>
    <m/>
    <m/>
    <m/>
    <n v="51.940000000000005"/>
    <n v="1807.5120000000004"/>
    <n v="5287.5120000000006"/>
    <m/>
    <n v="4500"/>
    <n v="5287.5120000000006"/>
    <n v="5610.4560000000001"/>
    <n v="2130.4560000000001"/>
    <n v="61.220000000000006"/>
    <n v="5610.4560000000001"/>
    <n v="2130.4560000000001"/>
    <n v="61.220000000000006"/>
    <n v="1390"/>
    <m/>
    <n v="7000.4560000000001"/>
    <n v="233.34853333333334"/>
    <m/>
  </r>
  <r>
    <m/>
    <n v="479"/>
    <x v="101"/>
    <x v="1"/>
    <x v="4"/>
    <s v="الزوايا"/>
    <x v="21"/>
    <x v="5"/>
    <m/>
    <s v="شهاده ثانويه"/>
    <n v="0"/>
    <d v="2013-04-13T00:00:00"/>
    <d v="2017-12-31T00:00:00"/>
    <n v="1870"/>
    <n v="4"/>
    <n v="8"/>
    <n v="9.2799999999999994"/>
    <n v="173.536"/>
    <n v="278.39999999999998"/>
    <m/>
    <m/>
    <n v="5"/>
    <n v="4"/>
    <n v="4"/>
    <n v="2"/>
    <n v="2"/>
    <n v="2"/>
    <n v="5"/>
    <n v="3"/>
    <n v="6"/>
    <n v="33"/>
    <m/>
    <n v="10"/>
    <n v="14"/>
    <n v="12"/>
    <n v="1"/>
    <n v="5"/>
    <n v="3"/>
    <n v="45"/>
    <m/>
    <n v="78"/>
    <m/>
    <m/>
    <m/>
    <m/>
    <m/>
    <m/>
    <n v="41.34"/>
    <n v="773.05800000000011"/>
    <n v="2643.058"/>
    <n v="356.94200000000001"/>
    <n v="3000"/>
    <n v="3000"/>
    <n v="3173.5360000000001"/>
    <n v="1303.5360000000001"/>
    <n v="69.707807486631026"/>
    <n v="3173.5360000000001"/>
    <n v="1303.5360000000001"/>
    <n v="69.707807486631026"/>
    <m/>
    <n v="6"/>
    <n v="3179.5360000000001"/>
    <n v="105.98453333333333"/>
    <m/>
  </r>
  <r>
    <m/>
    <n v="491"/>
    <x v="102"/>
    <x v="1"/>
    <x v="6"/>
    <s v="المواسير"/>
    <x v="20"/>
    <x v="2"/>
    <s v="C"/>
    <s v="تدريب مهني"/>
    <s v="كهرباء عامة"/>
    <d v="2013-05-07T00:00:00"/>
    <d v="2017-12-31T00:00:00"/>
    <n v="2100"/>
    <n v="4"/>
    <n v="7"/>
    <n v="9.120000000000001"/>
    <n v="191.52"/>
    <n v="364.8"/>
    <m/>
    <m/>
    <n v="4"/>
    <n v="3"/>
    <n v="4"/>
    <n v="3"/>
    <n v="2"/>
    <n v="2"/>
    <n v="4"/>
    <n v="3"/>
    <n v="5"/>
    <n v="30"/>
    <m/>
    <n v="8"/>
    <n v="12"/>
    <n v="9"/>
    <n v="1"/>
    <n v="4"/>
    <n v="3"/>
    <n v="37"/>
    <m/>
    <n v="67"/>
    <m/>
    <m/>
    <m/>
    <m/>
    <m/>
    <m/>
    <n v="35.510000000000005"/>
    <n v="745.71"/>
    <n v="2845.71"/>
    <n v="1154.29"/>
    <n v="4000"/>
    <n v="4000"/>
    <n v="4191.5200000000004"/>
    <n v="2091.5200000000004"/>
    <n v="99.5961904761905"/>
    <n v="4191.5200000000004"/>
    <n v="2091.5200000000004"/>
    <n v="99.5961904761905"/>
    <m/>
    <n v="8"/>
    <n v="4199.5200000000004"/>
    <n v="139.98400000000001"/>
    <m/>
  </r>
  <r>
    <m/>
    <n v="495"/>
    <x v="103"/>
    <x v="1"/>
    <x v="4"/>
    <s v="الزوايا"/>
    <x v="21"/>
    <x v="5"/>
    <s v="C"/>
    <s v="تدريب مهني"/>
    <s v="لحام وتوضيب"/>
    <d v="2013-05-17T00:00:00"/>
    <d v="2017-12-31T00:00:00"/>
    <n v="1860"/>
    <n v="4"/>
    <n v="7"/>
    <n v="9.120000000000001"/>
    <n v="169.63200000000001"/>
    <n v="273.60000000000002"/>
    <m/>
    <m/>
    <n v="4"/>
    <n v="4"/>
    <n v="4"/>
    <n v="2"/>
    <n v="2"/>
    <n v="2"/>
    <n v="4"/>
    <n v="3"/>
    <n v="6"/>
    <n v="31"/>
    <m/>
    <n v="9"/>
    <n v="13"/>
    <n v="15"/>
    <n v="1"/>
    <n v="5"/>
    <n v="3"/>
    <n v="46"/>
    <m/>
    <n v="77"/>
    <m/>
    <m/>
    <m/>
    <m/>
    <m/>
    <m/>
    <n v="40.81"/>
    <n v="759.06600000000003"/>
    <n v="2619.0659999999998"/>
    <n v="380.9340000000002"/>
    <n v="3000"/>
    <n v="3000"/>
    <n v="3169.6320000000001"/>
    <n v="1309.6320000000001"/>
    <n v="70.410322580645158"/>
    <n v="3169.6320000000001"/>
    <n v="1309.6320000000001"/>
    <n v="70.410322580645158"/>
    <m/>
    <m/>
    <n v="3169.6320000000001"/>
    <n v="105.6544"/>
    <m/>
  </r>
  <r>
    <m/>
    <n v="503"/>
    <x v="104"/>
    <x v="1"/>
    <x v="2"/>
    <s v="المنتج الجاهز"/>
    <x v="27"/>
    <x v="2"/>
    <m/>
    <n v="0"/>
    <n v="0"/>
    <d v="2013-06-03T00:00:00"/>
    <d v="2017-12-31T00:00:00"/>
    <n v="2057"/>
    <n v="4"/>
    <n v="6"/>
    <n v="8.9600000000000009"/>
    <n v="184.30720000000002"/>
    <n v="358.40000000000003"/>
    <m/>
    <m/>
    <n v="5"/>
    <n v="5"/>
    <n v="5"/>
    <n v="4"/>
    <n v="3"/>
    <n v="3"/>
    <n v="5"/>
    <n v="3"/>
    <n v="5"/>
    <n v="38"/>
    <m/>
    <n v="9"/>
    <n v="13"/>
    <n v="12"/>
    <n v="3"/>
    <n v="5"/>
    <n v="3"/>
    <n v="45"/>
    <m/>
    <n v="83"/>
    <m/>
    <m/>
    <m/>
    <m/>
    <m/>
    <m/>
    <n v="43.99"/>
    <n v="904.87430000000006"/>
    <n v="2961.8742999999999"/>
    <n v="1038.1257000000001"/>
    <n v="4000"/>
    <n v="4000"/>
    <n v="4184.3072000000002"/>
    <n v="2127.3072000000002"/>
    <n v="103.41794846864366"/>
    <n v="4184.3072000000002"/>
    <n v="2127.3072000000002"/>
    <n v="103.41794846864366"/>
    <m/>
    <n v="6"/>
    <n v="4190.3072000000002"/>
    <n v="139.67690666666667"/>
    <m/>
  </r>
  <r>
    <m/>
    <n v="510"/>
    <x v="105"/>
    <x v="1"/>
    <x v="4"/>
    <s v="الزوايا"/>
    <x v="21"/>
    <x v="5"/>
    <m/>
    <n v="0"/>
    <n v="0"/>
    <d v="2013-06-10T00:00:00"/>
    <d v="2017-12-31T00:00:00"/>
    <n v="1860"/>
    <n v="4"/>
    <n v="6"/>
    <n v="8.9600000000000009"/>
    <n v="166.65600000000003"/>
    <n v="268.8"/>
    <m/>
    <m/>
    <n v="4"/>
    <n v="4"/>
    <n v="4"/>
    <n v="2"/>
    <n v="1"/>
    <n v="1"/>
    <n v="4"/>
    <n v="3"/>
    <n v="6"/>
    <n v="29"/>
    <m/>
    <n v="9"/>
    <n v="14"/>
    <n v="15"/>
    <n v="3"/>
    <n v="5"/>
    <n v="3"/>
    <n v="49"/>
    <m/>
    <n v="78"/>
    <m/>
    <m/>
    <m/>
    <m/>
    <m/>
    <m/>
    <n v="41.34"/>
    <n v="768.92400000000009"/>
    <n v="2628.924"/>
    <n v="371.07600000000002"/>
    <n v="3000"/>
    <n v="3000"/>
    <n v="3166.6559999999999"/>
    <n v="1306.6559999999999"/>
    <n v="70.250322580645147"/>
    <n v="3166.6559999999999"/>
    <n v="1306.6559999999999"/>
    <n v="70.250322580645147"/>
    <m/>
    <n v="3"/>
    <n v="3169.6559999999999"/>
    <n v="105.65519999999999"/>
    <m/>
  </r>
  <r>
    <m/>
    <n v="511"/>
    <x v="106"/>
    <x v="1"/>
    <x v="4"/>
    <s v="الزوايا"/>
    <x v="21"/>
    <x v="5"/>
    <m/>
    <s v="شهاده ثانويه"/>
    <n v="0"/>
    <d v="2013-06-10T00:00:00"/>
    <d v="2017-12-31T00:00:00"/>
    <n v="1860"/>
    <n v="4"/>
    <n v="6"/>
    <n v="8.9600000000000009"/>
    <n v="166.65600000000003"/>
    <n v="268.8"/>
    <m/>
    <m/>
    <n v="4"/>
    <n v="3"/>
    <n v="3"/>
    <n v="1"/>
    <n v="1"/>
    <n v="1"/>
    <n v="4"/>
    <n v="3"/>
    <n v="4"/>
    <n v="24"/>
    <m/>
    <n v="9"/>
    <n v="14"/>
    <n v="12"/>
    <n v="5"/>
    <n v="5"/>
    <n v="3"/>
    <n v="48"/>
    <m/>
    <n v="72"/>
    <m/>
    <m/>
    <m/>
    <m/>
    <m/>
    <m/>
    <n v="38.160000000000004"/>
    <n v="709.77600000000007"/>
    <n v="2569.7759999999998"/>
    <n v="430.22400000000016"/>
    <n v="3000"/>
    <n v="3000"/>
    <n v="3166.6559999999999"/>
    <n v="1306.6559999999999"/>
    <n v="70.250322580645147"/>
    <n v="3166.6559999999999"/>
    <n v="1306.6559999999999"/>
    <n v="70.250322580645147"/>
    <m/>
    <n v="3"/>
    <n v="3169.6559999999999"/>
    <n v="105.65519999999999"/>
    <m/>
  </r>
  <r>
    <m/>
    <n v="514"/>
    <x v="107"/>
    <x v="1"/>
    <x v="4"/>
    <s v="الخوص"/>
    <x v="14"/>
    <x v="2"/>
    <m/>
    <n v="0"/>
    <n v="0"/>
    <d v="2013-06-15T00:00:00"/>
    <d v="2017-12-31T00:00:00"/>
    <n v="2150"/>
    <n v="4"/>
    <n v="6"/>
    <n v="8.9600000000000009"/>
    <n v="192.64000000000001"/>
    <n v="358.40000000000003"/>
    <m/>
    <m/>
    <n v="5"/>
    <n v="4"/>
    <n v="5"/>
    <n v="4"/>
    <n v="4"/>
    <n v="3"/>
    <n v="5"/>
    <n v="4"/>
    <n v="6"/>
    <n v="40"/>
    <m/>
    <n v="9"/>
    <n v="14"/>
    <n v="15"/>
    <n v="5"/>
    <n v="5"/>
    <n v="3"/>
    <n v="51"/>
    <m/>
    <n v="91"/>
    <m/>
    <m/>
    <m/>
    <m/>
    <m/>
    <m/>
    <n v="48.230000000000004"/>
    <n v="1036.9450000000002"/>
    <n v="3186.9450000000002"/>
    <n v="813.05499999999984"/>
    <n v="4000"/>
    <n v="4000"/>
    <n v="4192.6400000000003"/>
    <n v="2042.6400000000003"/>
    <n v="95.006511627906988"/>
    <n v="4192.6400000000003"/>
    <n v="2042.6400000000003"/>
    <n v="95.006511627906988"/>
    <m/>
    <n v="7"/>
    <n v="4199.6400000000003"/>
    <n v="139.988"/>
    <m/>
  </r>
  <r>
    <m/>
    <n v="525"/>
    <x v="108"/>
    <x v="1"/>
    <x v="4"/>
    <s v="المواسير"/>
    <x v="14"/>
    <x v="2"/>
    <m/>
    <n v="0"/>
    <n v="0"/>
    <d v="2013-06-26T00:00:00"/>
    <d v="2017-12-31T00:00:00"/>
    <n v="2340"/>
    <n v="4"/>
    <n v="6"/>
    <n v="8.9600000000000009"/>
    <n v="209.66400000000004"/>
    <n v="358.40000000000003"/>
    <m/>
    <m/>
    <n v="5"/>
    <n v="4"/>
    <n v="5"/>
    <n v="3"/>
    <n v="3"/>
    <n v="3"/>
    <n v="5"/>
    <n v="4"/>
    <n v="6"/>
    <n v="38"/>
    <m/>
    <n v="8"/>
    <n v="12"/>
    <n v="15"/>
    <n v="1"/>
    <n v="4"/>
    <n v="3"/>
    <n v="43"/>
    <m/>
    <n v="81"/>
    <m/>
    <m/>
    <m/>
    <m/>
    <m/>
    <m/>
    <n v="42.93"/>
    <n v="1004.562"/>
    <n v="3344.5619999999999"/>
    <n v="655.4380000000001"/>
    <n v="4000"/>
    <n v="4000"/>
    <n v="4209.6639999999998"/>
    <n v="1869.6639999999998"/>
    <n v="79.900170940170938"/>
    <n v="4209.6639999999998"/>
    <n v="1869.6639999999998"/>
    <n v="79.900170940170938"/>
    <m/>
    <m/>
    <n v="4209.6639999999998"/>
    <n v="140.32213333333331"/>
    <m/>
  </r>
  <r>
    <m/>
    <n v="533"/>
    <x v="109"/>
    <x v="1"/>
    <x v="4"/>
    <s v="التشريح"/>
    <x v="15"/>
    <x v="2"/>
    <m/>
    <n v="0"/>
    <n v="0"/>
    <d v="2013-07-02T00:00:00"/>
    <d v="2017-12-31T00:00:00"/>
    <n v="2150.5"/>
    <n v="4"/>
    <n v="5"/>
    <n v="8.8000000000000007"/>
    <n v="189.24400000000003"/>
    <n v="352.00000000000006"/>
    <m/>
    <m/>
    <n v="5"/>
    <n v="4"/>
    <n v="4"/>
    <n v="3"/>
    <n v="3"/>
    <n v="2"/>
    <n v="4"/>
    <n v="3"/>
    <n v="6"/>
    <n v="34"/>
    <m/>
    <n v="8"/>
    <n v="13"/>
    <n v="12"/>
    <n v="1"/>
    <n v="4"/>
    <n v="3"/>
    <n v="41"/>
    <m/>
    <n v="75"/>
    <m/>
    <m/>
    <m/>
    <m/>
    <m/>
    <m/>
    <n v="39.75"/>
    <n v="854.82375000000002"/>
    <n v="3005.32375"/>
    <n v="994.67624999999998"/>
    <n v="4000"/>
    <n v="4000"/>
    <n v="4189.2439999999997"/>
    <n v="2038.7439999999997"/>
    <n v="94.803255056963494"/>
    <n v="4189.2439999999997"/>
    <n v="2038.7439999999997"/>
    <n v="94.803255056963494"/>
    <m/>
    <n v="1"/>
    <n v="4190.2439999999997"/>
    <n v="139.67479999999998"/>
    <m/>
  </r>
  <r>
    <m/>
    <n v="534"/>
    <x v="110"/>
    <x v="1"/>
    <x v="2"/>
    <s v="بيانات"/>
    <x v="43"/>
    <x v="2"/>
    <s v="B"/>
    <s v="دبلوم تقني"/>
    <s v="هندسة إتصالات"/>
    <d v="2013-07-01T00:00:00"/>
    <d v="2017-12-31T00:00:00"/>
    <n v="2035"/>
    <n v="4"/>
    <n v="5"/>
    <n v="8.8000000000000007"/>
    <n v="179.08"/>
    <n v="352.00000000000006"/>
    <m/>
    <m/>
    <n v="5"/>
    <n v="3"/>
    <n v="3"/>
    <n v="4"/>
    <n v="3"/>
    <n v="2"/>
    <n v="4"/>
    <n v="4"/>
    <n v="4"/>
    <n v="32"/>
    <m/>
    <n v="9"/>
    <n v="12"/>
    <n v="12"/>
    <n v="5"/>
    <n v="4"/>
    <n v="3"/>
    <n v="45"/>
    <m/>
    <n v="77"/>
    <m/>
    <m/>
    <m/>
    <m/>
    <m/>
    <m/>
    <n v="40.81"/>
    <n v="830.48350000000005"/>
    <n v="2865.4835000000003"/>
    <n v="1134.5164999999997"/>
    <n v="4000"/>
    <n v="4000"/>
    <n v="4179.08"/>
    <n v="2144.08"/>
    <n v="105.36019656019656"/>
    <n v="4179.08"/>
    <n v="2144.08"/>
    <n v="105.36019656019656"/>
    <m/>
    <n v="1"/>
    <n v="4180.08"/>
    <n v="139.33599999999998"/>
    <m/>
  </r>
  <r>
    <m/>
    <n v="535"/>
    <x v="111"/>
    <x v="1"/>
    <x v="6"/>
    <s v="كهرباء عامه"/>
    <x v="20"/>
    <x v="2"/>
    <s v="C"/>
    <s v="تدريب مهني"/>
    <s v="كهرباء عامة"/>
    <d v="2013-07-03T00:00:00"/>
    <d v="2017-12-31T00:00:00"/>
    <n v="2400"/>
    <n v="4"/>
    <n v="5"/>
    <n v="8.8000000000000007"/>
    <n v="211.20000000000002"/>
    <n v="352.00000000000006"/>
    <m/>
    <m/>
    <n v="5"/>
    <n v="4"/>
    <n v="4"/>
    <n v="4"/>
    <n v="4"/>
    <n v="4"/>
    <n v="5"/>
    <n v="4"/>
    <n v="5"/>
    <n v="39"/>
    <m/>
    <n v="8"/>
    <n v="13"/>
    <n v="9"/>
    <n v="1"/>
    <n v="4"/>
    <n v="3"/>
    <n v="38"/>
    <m/>
    <n v="77"/>
    <m/>
    <n v="10"/>
    <m/>
    <m/>
    <m/>
    <m/>
    <n v="40.81"/>
    <n v="979.44"/>
    <n v="3379.44"/>
    <n v="620.55999999999995"/>
    <n v="4000"/>
    <n v="4000"/>
    <n v="4211.2"/>
    <n v="1811.1999999999998"/>
    <n v="75.466666666666654"/>
    <n v="4211.2"/>
    <n v="1811.1999999999998"/>
    <n v="75.466666666666654"/>
    <m/>
    <n v="9"/>
    <n v="4220.2"/>
    <n v="140.67333333333332"/>
    <m/>
  </r>
  <r>
    <m/>
    <n v="545"/>
    <x v="112"/>
    <x v="1"/>
    <x v="4"/>
    <s v="الزوايا"/>
    <x v="21"/>
    <x v="5"/>
    <m/>
    <n v="0"/>
    <n v="0"/>
    <d v="2013-07-17T00:00:00"/>
    <d v="2017-12-31T00:00:00"/>
    <n v="1760"/>
    <n v="4"/>
    <n v="5"/>
    <n v="8.8000000000000007"/>
    <n v="154.88000000000002"/>
    <n v="264"/>
    <m/>
    <m/>
    <n v="4"/>
    <n v="4"/>
    <n v="4"/>
    <n v="1"/>
    <n v="1"/>
    <n v="1"/>
    <n v="4"/>
    <n v="3"/>
    <n v="4"/>
    <n v="26"/>
    <m/>
    <n v="9"/>
    <n v="14"/>
    <n v="12"/>
    <n v="5"/>
    <n v="4"/>
    <n v="3"/>
    <n v="47"/>
    <m/>
    <n v="73"/>
    <m/>
    <m/>
    <m/>
    <m/>
    <m/>
    <m/>
    <n v="38.690000000000005"/>
    <n v="680.94400000000007"/>
    <n v="2440.944"/>
    <n v="559.05600000000004"/>
    <n v="3000"/>
    <n v="3000"/>
    <n v="3154.88"/>
    <n v="1394.88"/>
    <n v="79.25454545454545"/>
    <n v="3154.88"/>
    <n v="1394.88"/>
    <n v="79.25454545454545"/>
    <m/>
    <n v="5"/>
    <n v="3159.88"/>
    <n v="105.32933333333334"/>
    <m/>
  </r>
  <r>
    <m/>
    <n v="564"/>
    <x v="113"/>
    <x v="1"/>
    <x v="2"/>
    <s v="التحميل"/>
    <x v="21"/>
    <x v="5"/>
    <m/>
    <n v="0"/>
    <n v="0"/>
    <d v="2013-09-05T00:00:00"/>
    <d v="2017-12-31T00:00:00"/>
    <n v="1850"/>
    <n v="4"/>
    <n v="3"/>
    <n v="8.48"/>
    <n v="156.88"/>
    <n v="254.4"/>
    <m/>
    <m/>
    <n v="4"/>
    <n v="3"/>
    <n v="3"/>
    <n v="2"/>
    <n v="2"/>
    <n v="2"/>
    <n v="4"/>
    <n v="3"/>
    <n v="5"/>
    <n v="28"/>
    <m/>
    <n v="10"/>
    <n v="14"/>
    <n v="15"/>
    <n v="7"/>
    <n v="5"/>
    <n v="3"/>
    <n v="54"/>
    <m/>
    <n v="82"/>
    <m/>
    <m/>
    <m/>
    <m/>
    <m/>
    <m/>
    <n v="43.46"/>
    <n v="804.01"/>
    <n v="2654.01"/>
    <n v="345.98999999999978"/>
    <n v="3000"/>
    <n v="3000"/>
    <n v="3156.88"/>
    <n v="1306.8800000000001"/>
    <n v="70.642162162162165"/>
    <n v="3156.88"/>
    <n v="1306.8800000000001"/>
    <n v="70.642162162162165"/>
    <m/>
    <n v="3"/>
    <n v="3159.88"/>
    <n v="105.32933333333334"/>
    <m/>
  </r>
  <r>
    <m/>
    <n v="570"/>
    <x v="114"/>
    <x v="1"/>
    <x v="4"/>
    <s v="كلبسات"/>
    <x v="21"/>
    <x v="5"/>
    <m/>
    <n v="0"/>
    <n v="0"/>
    <d v="2013-09-09T00:00:00"/>
    <d v="2017-12-31T00:00:00"/>
    <n v="1860"/>
    <n v="4"/>
    <n v="3"/>
    <n v="8.48"/>
    <n v="157.72800000000001"/>
    <n v="254.4"/>
    <m/>
    <m/>
    <n v="5"/>
    <n v="5"/>
    <n v="5"/>
    <n v="1"/>
    <n v="1"/>
    <n v="1"/>
    <n v="5"/>
    <n v="4"/>
    <n v="6"/>
    <n v="33"/>
    <m/>
    <n v="9"/>
    <n v="13"/>
    <n v="15"/>
    <n v="7"/>
    <n v="4"/>
    <n v="3"/>
    <n v="51"/>
    <m/>
    <n v="84"/>
    <m/>
    <m/>
    <m/>
    <m/>
    <m/>
    <m/>
    <n v="44.52"/>
    <n v="828.07200000000012"/>
    <n v="2688.0720000000001"/>
    <n v="311.92799999999988"/>
    <n v="3000"/>
    <n v="3000"/>
    <n v="3157.7280000000001"/>
    <n v="1297.7280000000001"/>
    <n v="69.770322580645157"/>
    <n v="3157.7280000000001"/>
    <n v="1297.7280000000001"/>
    <n v="69.770322580645157"/>
    <m/>
    <n v="2"/>
    <n v="3159.7280000000001"/>
    <n v="105.32426666666667"/>
    <m/>
  </r>
  <r>
    <m/>
    <n v="572"/>
    <x v="115"/>
    <x v="1"/>
    <x v="10"/>
    <s v="عداد"/>
    <x v="35"/>
    <x v="5"/>
    <m/>
    <n v="0"/>
    <n v="0"/>
    <d v="2013-09-14T00:00:00"/>
    <d v="2017-12-31T00:00:00"/>
    <n v="1400"/>
    <n v="4"/>
    <n v="3"/>
    <n v="8.48"/>
    <n v="118.72"/>
    <n v="254.4"/>
    <m/>
    <m/>
    <n v="5"/>
    <n v="4"/>
    <n v="3"/>
    <n v="3"/>
    <n v="3"/>
    <n v="3"/>
    <n v="5"/>
    <n v="3"/>
    <n v="5"/>
    <n v="34"/>
    <m/>
    <n v="8"/>
    <n v="12"/>
    <n v="15"/>
    <n v="7"/>
    <n v="4"/>
    <n v="3"/>
    <n v="49"/>
    <m/>
    <n v="83"/>
    <m/>
    <n v="7"/>
    <m/>
    <m/>
    <m/>
    <m/>
    <n v="43.99"/>
    <n v="615.86"/>
    <n v="2015.8600000000001"/>
    <n v="984.13999999999987"/>
    <n v="3000"/>
    <n v="3000"/>
    <n v="3118.72"/>
    <n v="1718.7199999999998"/>
    <n v="122.76571428571427"/>
    <n v="3118.72"/>
    <n v="1718.7199999999998"/>
    <n v="122.76571428571427"/>
    <m/>
    <n v="1"/>
    <n v="3119.72"/>
    <n v="103.99066666666666"/>
    <m/>
  </r>
  <r>
    <m/>
    <n v="574"/>
    <x v="116"/>
    <x v="1"/>
    <x v="4"/>
    <n v="0"/>
    <x v="21"/>
    <x v="5"/>
    <m/>
    <s v="شهاده ثانويه"/>
    <n v="0"/>
    <d v="2015-04-16T00:00:00"/>
    <d v="2017-12-31T00:00:00"/>
    <n v="1760"/>
    <n v="2"/>
    <n v="8"/>
    <n v="5.28"/>
    <n v="92.927999999999997"/>
    <n v="158.4"/>
    <m/>
    <m/>
    <n v="4"/>
    <n v="4"/>
    <n v="4"/>
    <n v="1"/>
    <n v="1"/>
    <n v="1"/>
    <n v="5"/>
    <n v="3"/>
    <n v="5"/>
    <n v="28"/>
    <m/>
    <n v="9"/>
    <n v="13"/>
    <n v="12"/>
    <n v="1"/>
    <n v="4"/>
    <n v="3"/>
    <n v="42"/>
    <m/>
    <n v="70"/>
    <m/>
    <m/>
    <m/>
    <m/>
    <m/>
    <m/>
    <n v="37.1"/>
    <n v="652.96"/>
    <n v="2412.96"/>
    <n v="587.04"/>
    <n v="3000"/>
    <n v="3000"/>
    <n v="3092.9279999999999"/>
    <n v="1332.9279999999999"/>
    <n v="75.73454545454544"/>
    <n v="3092.9279999999999"/>
    <n v="1332.9279999999999"/>
    <n v="75.73454545454544"/>
    <m/>
    <n v="7"/>
    <n v="3099.9279999999999"/>
    <n v="103.33093333333333"/>
    <m/>
  </r>
  <r>
    <m/>
    <n v="576"/>
    <x v="117"/>
    <x v="1"/>
    <x v="7"/>
    <s v="الورشه"/>
    <x v="44"/>
    <x v="2"/>
    <m/>
    <n v="0"/>
    <n v="0"/>
    <d v="2013-09-15T00:00:00"/>
    <d v="2017-12-31T00:00:00"/>
    <n v="2280"/>
    <n v="4"/>
    <n v="3"/>
    <n v="8.48"/>
    <n v="193.34399999999999"/>
    <n v="339.2"/>
    <m/>
    <m/>
    <n v="6"/>
    <n v="4"/>
    <n v="5"/>
    <n v="5"/>
    <n v="3"/>
    <n v="3"/>
    <n v="6"/>
    <n v="4"/>
    <n v="6"/>
    <n v="42"/>
    <m/>
    <n v="9"/>
    <n v="13"/>
    <n v="15"/>
    <n v="5"/>
    <n v="4"/>
    <n v="3"/>
    <n v="49"/>
    <m/>
    <n v="91"/>
    <m/>
    <m/>
    <m/>
    <m/>
    <m/>
    <m/>
    <n v="48.230000000000004"/>
    <n v="1099.6440000000002"/>
    <n v="3379.6440000000002"/>
    <n v="620.35599999999977"/>
    <n v="4000"/>
    <n v="4000"/>
    <n v="4193.3440000000001"/>
    <n v="1913.3440000000001"/>
    <n v="83.918596491228072"/>
    <n v="4193.3440000000001"/>
    <n v="1913.3440000000001"/>
    <n v="83.918596491228072"/>
    <m/>
    <n v="7"/>
    <n v="4200.3440000000001"/>
    <n v="140.01146666666668"/>
    <m/>
  </r>
  <r>
    <m/>
    <n v="577"/>
    <x v="118"/>
    <x v="1"/>
    <x v="7"/>
    <n v="0"/>
    <x v="45"/>
    <x v="4"/>
    <m/>
    <n v="0"/>
    <n v="0"/>
    <d v="2013-09-11T00:00:00"/>
    <d v="2017-12-31T00:00:00"/>
    <n v="1870"/>
    <n v="4"/>
    <n v="3"/>
    <n v="8.48"/>
    <n v="158.57599999999999"/>
    <n v="381.6"/>
    <m/>
    <m/>
    <n v="6"/>
    <n v="4"/>
    <n v="4"/>
    <n v="4"/>
    <n v="3"/>
    <n v="3"/>
    <n v="6"/>
    <n v="4"/>
    <n v="6"/>
    <n v="40"/>
    <m/>
    <n v="9"/>
    <n v="13"/>
    <n v="15"/>
    <n v="7"/>
    <n v="4"/>
    <n v="3"/>
    <n v="51"/>
    <m/>
    <n v="91"/>
    <m/>
    <m/>
    <m/>
    <m/>
    <m/>
    <m/>
    <n v="48.230000000000004"/>
    <n v="901.90100000000007"/>
    <n v="2771.9009999999998"/>
    <n v="1728.0990000000002"/>
    <n v="4500"/>
    <n v="4500"/>
    <n v="4658.576"/>
    <n v="2788.576"/>
    <n v="149.12171122994653"/>
    <n v="4658.576"/>
    <n v="2788.576"/>
    <n v="149.12171122994653"/>
    <m/>
    <n v="1"/>
    <n v="4659.576"/>
    <n v="155.3192"/>
    <m/>
  </r>
  <r>
    <m/>
    <n v="585"/>
    <x v="119"/>
    <x v="1"/>
    <x v="7"/>
    <n v="0"/>
    <x v="21"/>
    <x v="5"/>
    <m/>
    <n v="0"/>
    <n v="0"/>
    <d v="2013-09-24T00:00:00"/>
    <d v="2017-12-31T00:00:00"/>
    <n v="1860"/>
    <n v="4"/>
    <n v="3"/>
    <n v="8.48"/>
    <n v="157.72800000000001"/>
    <n v="254.4"/>
    <m/>
    <m/>
    <n v="6"/>
    <n v="5"/>
    <n v="5"/>
    <n v="4"/>
    <n v="3"/>
    <n v="3"/>
    <n v="6"/>
    <n v="4"/>
    <n v="6"/>
    <n v="42"/>
    <m/>
    <n v="9"/>
    <n v="14"/>
    <n v="15"/>
    <n v="7"/>
    <n v="5"/>
    <n v="3"/>
    <n v="53"/>
    <m/>
    <n v="95"/>
    <m/>
    <m/>
    <m/>
    <m/>
    <m/>
    <m/>
    <n v="50.35"/>
    <n v="936.5100000000001"/>
    <n v="2796.51"/>
    <n v="203.48999999999978"/>
    <n v="3000"/>
    <n v="3000"/>
    <n v="3157.7280000000001"/>
    <n v="1297.7280000000001"/>
    <n v="69.770322580645157"/>
    <n v="3157.7280000000001"/>
    <n v="1297.7280000000001"/>
    <n v="69.770322580645157"/>
    <m/>
    <n v="2"/>
    <n v="3159.7280000000001"/>
    <n v="105.32426666666667"/>
    <m/>
  </r>
  <r>
    <m/>
    <n v="591"/>
    <x v="120"/>
    <x v="1"/>
    <x v="4"/>
    <s v="الصاج والزنك"/>
    <x v="21"/>
    <x v="5"/>
    <m/>
    <n v="0"/>
    <n v="0"/>
    <d v="2013-10-07T00:00:00"/>
    <d v="2017-12-31T00:00:00"/>
    <n v="1760"/>
    <n v="4"/>
    <n v="2"/>
    <n v="8.32"/>
    <n v="146.43199999999999"/>
    <n v="249.6"/>
    <m/>
    <m/>
    <n v="5"/>
    <n v="4"/>
    <n v="5"/>
    <n v="1"/>
    <n v="1"/>
    <n v="1"/>
    <n v="5"/>
    <n v="4"/>
    <n v="6"/>
    <n v="32"/>
    <m/>
    <n v="10"/>
    <n v="14"/>
    <n v="15"/>
    <n v="7"/>
    <n v="5"/>
    <n v="3"/>
    <n v="54"/>
    <m/>
    <n v="86"/>
    <m/>
    <m/>
    <m/>
    <m/>
    <m/>
    <m/>
    <n v="45.580000000000005"/>
    <n v="802.20800000000008"/>
    <n v="2562.2080000000001"/>
    <n v="437.79199999999992"/>
    <n v="3000"/>
    <n v="3000"/>
    <n v="3146.4319999999998"/>
    <n v="1386.4319999999998"/>
    <n v="78.774545454545432"/>
    <n v="3146.4319999999998"/>
    <n v="1386.4319999999998"/>
    <n v="78.774545454545432"/>
    <m/>
    <n v="4"/>
    <n v="3150.4319999999998"/>
    <n v="105.01439999999999"/>
    <m/>
  </r>
  <r>
    <m/>
    <n v="604"/>
    <x v="121"/>
    <x v="1"/>
    <x v="4"/>
    <s v="المواسير"/>
    <x v="21"/>
    <x v="5"/>
    <s v="C"/>
    <s v="شهاده دورة تدريب"/>
    <s v="ميكانيكا سيارات"/>
    <d v="2013-11-02T00:00:00"/>
    <d v="2017-12-31T00:00:00"/>
    <n v="1760"/>
    <n v="4"/>
    <n v="1"/>
    <n v="8.16"/>
    <n v="143.61600000000001"/>
    <n v="244.8"/>
    <m/>
    <m/>
    <n v="5"/>
    <n v="5"/>
    <n v="4"/>
    <n v="1"/>
    <n v="2"/>
    <n v="2"/>
    <n v="6"/>
    <n v="4"/>
    <n v="6"/>
    <n v="35"/>
    <m/>
    <n v="9"/>
    <n v="14"/>
    <n v="12"/>
    <n v="1"/>
    <n v="5"/>
    <n v="3"/>
    <n v="44"/>
    <m/>
    <n v="79"/>
    <m/>
    <m/>
    <m/>
    <m/>
    <m/>
    <m/>
    <n v="41.870000000000005"/>
    <n v="736.91200000000015"/>
    <n v="2496.9120000000003"/>
    <n v="503.08799999999974"/>
    <n v="3000"/>
    <n v="3000"/>
    <n v="3143.616"/>
    <n v="1383.616"/>
    <n v="78.61454545454545"/>
    <n v="3143.616"/>
    <n v="1383.616"/>
    <n v="78.61454545454545"/>
    <m/>
    <n v="6"/>
    <n v="3149.616"/>
    <n v="104.9872"/>
    <m/>
  </r>
  <r>
    <m/>
    <n v="609"/>
    <x v="122"/>
    <x v="1"/>
    <x v="5"/>
    <n v="0"/>
    <x v="46"/>
    <x v="4"/>
    <m/>
    <n v="0"/>
    <n v="0"/>
    <d v="2017-07-06T00:00:00"/>
    <d v="2017-12-31T00:00:00"/>
    <n v="2500"/>
    <n v="0"/>
    <n v="5"/>
    <n v="0.8"/>
    <n v="20"/>
    <n v="36"/>
    <m/>
    <m/>
    <n v="6"/>
    <n v="4.5"/>
    <n v="5"/>
    <n v="4"/>
    <n v="3.5"/>
    <n v="4"/>
    <n v="5"/>
    <n v="4"/>
    <n v="5"/>
    <n v="41"/>
    <m/>
    <n v="10"/>
    <n v="15"/>
    <n v="15"/>
    <n v="7"/>
    <n v="5"/>
    <n v="3"/>
    <n v="55"/>
    <m/>
    <n v="96"/>
    <m/>
    <n v="9"/>
    <m/>
    <m/>
    <m/>
    <m/>
    <n v="50.88"/>
    <n v="1272"/>
    <n v="3772"/>
    <n v="728"/>
    <n v="4500"/>
    <n v="4500"/>
    <n v="4520"/>
    <n v="2020"/>
    <n v="80.8"/>
    <n v="4520"/>
    <n v="2020"/>
    <n v="80.8"/>
    <m/>
    <m/>
    <n v="4520"/>
    <n v="150.66666666666666"/>
    <m/>
  </r>
  <r>
    <m/>
    <n v="610"/>
    <x v="123"/>
    <x v="1"/>
    <x v="4"/>
    <n v="0"/>
    <x v="21"/>
    <x v="5"/>
    <s v="C"/>
    <s v="تدريب مهني"/>
    <s v="الخراطه"/>
    <d v="2016-02-14T00:00:00"/>
    <d v="2017-12-31T00:00:00"/>
    <n v="1760"/>
    <n v="1"/>
    <n v="10"/>
    <n v="3.6"/>
    <n v="63.360000000000007"/>
    <n v="108.00000000000001"/>
    <m/>
    <m/>
    <n v="4"/>
    <n v="4"/>
    <n v="4"/>
    <n v="1"/>
    <n v="1"/>
    <n v="1"/>
    <n v="6"/>
    <n v="4"/>
    <n v="6"/>
    <n v="31"/>
    <m/>
    <n v="7"/>
    <n v="12"/>
    <n v="1"/>
    <n v="1"/>
    <n v="4"/>
    <n v="3"/>
    <n v="28"/>
    <m/>
    <n v="59"/>
    <m/>
    <m/>
    <m/>
    <m/>
    <m/>
    <m/>
    <n v="31.270000000000003"/>
    <n v="550.35200000000009"/>
    <n v="2310.3519999999999"/>
    <n v="689.64800000000014"/>
    <n v="3000"/>
    <n v="3000"/>
    <n v="3063.36"/>
    <n v="1303.3600000000001"/>
    <n v="74.054545454545462"/>
    <n v="3063.36"/>
    <n v="1303.3600000000001"/>
    <n v="74.054545454545462"/>
    <m/>
    <n v="7"/>
    <n v="3070.36"/>
    <n v="102.34533333333334"/>
    <m/>
  </r>
  <r>
    <m/>
    <n v="625"/>
    <x v="124"/>
    <x v="1"/>
    <x v="4"/>
    <s v="الزوايا"/>
    <x v="21"/>
    <x v="5"/>
    <m/>
    <n v="0"/>
    <n v="0"/>
    <d v="2013-11-07T00:00:00"/>
    <d v="2017-12-31T00:00:00"/>
    <n v="1870"/>
    <n v="4"/>
    <n v="1"/>
    <n v="8.16"/>
    <n v="152.59200000000001"/>
    <n v="244.8"/>
    <m/>
    <m/>
    <n v="4"/>
    <n v="4"/>
    <n v="4"/>
    <n v="1"/>
    <n v="1"/>
    <n v="1"/>
    <n v="6"/>
    <n v="4"/>
    <n v="6"/>
    <n v="31"/>
    <m/>
    <n v="9"/>
    <n v="14"/>
    <n v="15"/>
    <n v="5"/>
    <n v="4"/>
    <n v="3"/>
    <n v="50"/>
    <m/>
    <n v="81"/>
    <m/>
    <m/>
    <m/>
    <m/>
    <m/>
    <m/>
    <n v="42.93"/>
    <n v="802.79100000000005"/>
    <n v="2672.7910000000002"/>
    <n v="327.20899999999983"/>
    <n v="3000"/>
    <n v="3000"/>
    <n v="3152.5920000000001"/>
    <n v="1282.5920000000001"/>
    <n v="68.587807486631021"/>
    <n v="3152.5920000000001"/>
    <n v="1282.5920000000001"/>
    <n v="68.587807486631021"/>
    <m/>
    <n v="7"/>
    <n v="3159.5920000000001"/>
    <n v="105.31973333333333"/>
    <m/>
  </r>
  <r>
    <m/>
    <n v="627"/>
    <x v="125"/>
    <x v="1"/>
    <x v="4"/>
    <s v="التشريح"/>
    <x v="15"/>
    <x v="2"/>
    <m/>
    <s v="شهاده ثانويه"/>
    <n v="0"/>
    <d v="2013-11-09T00:00:00"/>
    <d v="2017-12-31T00:00:00"/>
    <n v="2150.5"/>
    <n v="4"/>
    <n v="1"/>
    <n v="8.16"/>
    <n v="175.48080000000002"/>
    <n v="326.40000000000003"/>
    <m/>
    <m/>
    <n v="5"/>
    <n v="4"/>
    <n v="4"/>
    <n v="3"/>
    <n v="3"/>
    <n v="2"/>
    <n v="6"/>
    <n v="4"/>
    <n v="6"/>
    <n v="37"/>
    <m/>
    <n v="9"/>
    <n v="14"/>
    <n v="15"/>
    <n v="7"/>
    <n v="4"/>
    <n v="3"/>
    <n v="52"/>
    <m/>
    <n v="89"/>
    <m/>
    <m/>
    <m/>
    <m/>
    <m/>
    <m/>
    <n v="47.17"/>
    <n v="1014.39085"/>
    <n v="3164.8908499999998"/>
    <n v="835.10915000000023"/>
    <n v="4000"/>
    <n v="4000"/>
    <n v="4175.4808000000003"/>
    <n v="2024.9808000000003"/>
    <n v="94.163255056963507"/>
    <n v="4175.4808000000003"/>
    <n v="2024.9808000000003"/>
    <n v="94.163255056963507"/>
    <m/>
    <n v="5"/>
    <n v="4180.4808000000003"/>
    <n v="139.34936000000002"/>
    <m/>
  </r>
  <r>
    <m/>
    <n v="631"/>
    <x v="126"/>
    <x v="1"/>
    <x v="4"/>
    <s v="المواسير"/>
    <x v="14"/>
    <x v="2"/>
    <m/>
    <n v="0"/>
    <n v="0"/>
    <d v="2013-11-11T00:00:00"/>
    <d v="2017-12-31T00:00:00"/>
    <n v="2210"/>
    <n v="4"/>
    <n v="1"/>
    <n v="8.16"/>
    <n v="180.33600000000001"/>
    <n v="326.40000000000003"/>
    <m/>
    <m/>
    <n v="6"/>
    <n v="5"/>
    <n v="5"/>
    <n v="4"/>
    <n v="4"/>
    <n v="3"/>
    <n v="6"/>
    <n v="4"/>
    <n v="6"/>
    <n v="43"/>
    <m/>
    <n v="9"/>
    <n v="14"/>
    <n v="15"/>
    <n v="7"/>
    <n v="4"/>
    <n v="3"/>
    <n v="52"/>
    <m/>
    <n v="95"/>
    <m/>
    <m/>
    <m/>
    <m/>
    <m/>
    <m/>
    <n v="50.35"/>
    <n v="1112.7350000000001"/>
    <n v="3322.7350000000001"/>
    <n v="677.26499999999987"/>
    <n v="4000"/>
    <n v="4000"/>
    <n v="4180.3360000000002"/>
    <n v="1970.3360000000002"/>
    <n v="89.155475113122179"/>
    <n v="4180.3360000000002"/>
    <n v="1970.3360000000002"/>
    <n v="89.155475113122179"/>
    <m/>
    <m/>
    <n v="4180.3360000000002"/>
    <n v="139.34453333333335"/>
    <m/>
  </r>
  <r>
    <m/>
    <n v="643"/>
    <x v="127"/>
    <x v="1"/>
    <x v="7"/>
    <n v="0"/>
    <x v="21"/>
    <x v="5"/>
    <m/>
    <n v="0"/>
    <n v="0"/>
    <d v="2013-11-21T00:00:00"/>
    <d v="2017-12-31T00:00:00"/>
    <n v="1760"/>
    <n v="4"/>
    <n v="1"/>
    <n v="8.16"/>
    <n v="143.61600000000001"/>
    <n v="244.8"/>
    <m/>
    <m/>
    <n v="6"/>
    <n v="4"/>
    <n v="4"/>
    <n v="4"/>
    <n v="3"/>
    <n v="3"/>
    <n v="6"/>
    <n v="4"/>
    <n v="6"/>
    <n v="40"/>
    <m/>
    <n v="9"/>
    <n v="14"/>
    <n v="15"/>
    <n v="7"/>
    <n v="5"/>
    <n v="3"/>
    <n v="53"/>
    <m/>
    <n v="93"/>
    <m/>
    <m/>
    <m/>
    <m/>
    <m/>
    <m/>
    <n v="49.29"/>
    <n v="867.50400000000002"/>
    <n v="2627.5039999999999"/>
    <n v="372.49600000000009"/>
    <n v="3000"/>
    <n v="3000"/>
    <n v="3143.616"/>
    <n v="1383.616"/>
    <n v="78.61454545454545"/>
    <n v="3143.616"/>
    <n v="1383.616"/>
    <n v="78.61454545454545"/>
    <m/>
    <n v="6"/>
    <n v="3149.616"/>
    <n v="104.9872"/>
    <m/>
  </r>
  <r>
    <m/>
    <n v="650"/>
    <x v="128"/>
    <x v="1"/>
    <x v="4"/>
    <s v="اليات"/>
    <x v="24"/>
    <x v="4"/>
    <m/>
    <n v="0"/>
    <n v="0"/>
    <d v="2013-12-01T00:00:00"/>
    <d v="2017-12-31T00:00:00"/>
    <n v="3840"/>
    <n v="4"/>
    <n v="0"/>
    <n v="8"/>
    <n v="307.2"/>
    <n v="419.54304000000002"/>
    <m/>
    <m/>
    <n v="2"/>
    <n v="2"/>
    <n v="2"/>
    <n v="1"/>
    <n v="3"/>
    <n v="1"/>
    <n v="6"/>
    <n v="2"/>
    <n v="3"/>
    <n v="22"/>
    <m/>
    <n v="7"/>
    <n v="14"/>
    <n v="15"/>
    <n v="5"/>
    <n v="3"/>
    <n v="3"/>
    <n v="47"/>
    <m/>
    <n v="69"/>
    <m/>
    <m/>
    <m/>
    <m/>
    <m/>
    <m/>
    <n v="36.57"/>
    <n v="1404.288"/>
    <n v="5244.2880000000005"/>
    <m/>
    <n v="4500"/>
    <n v="5244.2880000000005"/>
    <n v="5551.4880000000003"/>
    <n v="1711.4880000000003"/>
    <n v="44.570000000000007"/>
    <n v="5551.4880000000003"/>
    <n v="1711.4880000000003"/>
    <n v="44.570000000000007"/>
    <m/>
    <n v="9"/>
    <n v="5560.4880000000003"/>
    <n v="185.34960000000001"/>
    <m/>
  </r>
  <r>
    <m/>
    <n v="653"/>
    <x v="129"/>
    <x v="1"/>
    <x v="6"/>
    <s v="موتورات"/>
    <x v="47"/>
    <x v="2"/>
    <m/>
    <s v="شهاده ثانويه"/>
    <s v="كهرباء عامة"/>
    <d v="2013-12-01T00:00:00"/>
    <d v="2017-12-31T00:00:00"/>
    <n v="3840"/>
    <n v="4"/>
    <n v="0"/>
    <n v="8"/>
    <n v="307.2"/>
    <n v="434.19648000000001"/>
    <m/>
    <m/>
    <n v="6"/>
    <n v="4"/>
    <n v="4"/>
    <n v="4"/>
    <n v="3"/>
    <n v="3"/>
    <n v="5"/>
    <n v="3"/>
    <n v="5"/>
    <n v="37"/>
    <m/>
    <n v="8"/>
    <n v="13"/>
    <n v="12"/>
    <n v="1"/>
    <n v="4"/>
    <n v="3"/>
    <n v="41"/>
    <m/>
    <n v="78"/>
    <m/>
    <n v="5"/>
    <m/>
    <m/>
    <m/>
    <m/>
    <n v="41.34"/>
    <n v="1587.4560000000001"/>
    <n v="5427.4560000000001"/>
    <m/>
    <n v="4000"/>
    <n v="5427.4560000000001"/>
    <n v="5734.6559999999999"/>
    <n v="1894.6559999999999"/>
    <n v="49.34"/>
    <n v="5734.6559999999999"/>
    <n v="1894.6559999999999"/>
    <n v="49.34"/>
    <m/>
    <n v="5"/>
    <n v="5739.6559999999999"/>
    <n v="191.32186666666666"/>
    <m/>
  </r>
  <r>
    <m/>
    <n v="656"/>
    <x v="130"/>
    <x v="1"/>
    <x v="2"/>
    <s v="الزوايا"/>
    <x v="48"/>
    <x v="2"/>
    <s v="C"/>
    <s v="دبلوم وسيط"/>
    <s v="العلاقات العامة والاعلام"/>
    <d v="2013-12-02T00:00:00"/>
    <d v="2017-12-31T00:00:00"/>
    <n v="2040"/>
    <n v="4"/>
    <n v="0"/>
    <n v="8"/>
    <n v="163.20000000000002"/>
    <n v="320"/>
    <m/>
    <m/>
    <n v="5"/>
    <n v="4"/>
    <n v="4"/>
    <n v="4"/>
    <n v="4"/>
    <n v="3"/>
    <n v="5"/>
    <n v="3"/>
    <n v="6"/>
    <n v="38"/>
    <m/>
    <n v="8"/>
    <n v="14"/>
    <n v="12"/>
    <n v="5"/>
    <n v="3"/>
    <n v="3"/>
    <n v="45"/>
    <m/>
    <n v="83"/>
    <m/>
    <m/>
    <m/>
    <m/>
    <m/>
    <m/>
    <n v="43.99"/>
    <n v="897.39600000000007"/>
    <n v="2937.3960000000002"/>
    <n v="1062.6039999999998"/>
    <n v="4000"/>
    <n v="4000"/>
    <n v="4163.2"/>
    <n v="2123.1999999999998"/>
    <n v="104.07843137254902"/>
    <n v="4163.2"/>
    <n v="2123.1999999999998"/>
    <n v="104.07843137254902"/>
    <m/>
    <n v="7"/>
    <n v="4170.2"/>
    <n v="139.00666666666666"/>
    <m/>
  </r>
  <r>
    <m/>
    <n v="662"/>
    <x v="131"/>
    <x v="1"/>
    <x v="4"/>
    <s v="المواسير"/>
    <x v="14"/>
    <x v="2"/>
    <m/>
    <n v="0"/>
    <n v="0"/>
    <d v="2013-12-04T00:00:00"/>
    <d v="2017-12-31T00:00:00"/>
    <n v="1870"/>
    <n v="4"/>
    <n v="0"/>
    <n v="8"/>
    <n v="149.6"/>
    <n v="320"/>
    <m/>
    <m/>
    <n v="5"/>
    <n v="5"/>
    <n v="5"/>
    <n v="2"/>
    <n v="2"/>
    <n v="2"/>
    <n v="6"/>
    <n v="4"/>
    <n v="6"/>
    <n v="37"/>
    <m/>
    <n v="9"/>
    <n v="13"/>
    <n v="15"/>
    <n v="5"/>
    <n v="4"/>
    <n v="3"/>
    <n v="49"/>
    <m/>
    <n v="86"/>
    <m/>
    <m/>
    <m/>
    <m/>
    <m/>
    <m/>
    <n v="45.580000000000005"/>
    <n v="852.34600000000012"/>
    <n v="2722.346"/>
    <n v="1277.654"/>
    <n v="4000"/>
    <n v="4000"/>
    <n v="4149.6000000000004"/>
    <n v="2279.6000000000004"/>
    <n v="121.90374331550805"/>
    <n v="4149.6000000000004"/>
    <n v="2279.6000000000004"/>
    <n v="121.90374331550805"/>
    <m/>
    <m/>
    <n v="4149.6000000000004"/>
    <n v="138.32000000000002"/>
    <m/>
  </r>
  <r>
    <m/>
    <n v="666"/>
    <x v="132"/>
    <x v="1"/>
    <x v="3"/>
    <s v="الامن"/>
    <x v="5"/>
    <x v="2"/>
    <s v="A"/>
    <s v="بكلاريوس"/>
    <s v="الشريعة والقانون"/>
    <d v="2013-12-08T00:00:00"/>
    <d v="2017-12-31T00:00:00"/>
    <n v="2400"/>
    <n v="4"/>
    <n v="0"/>
    <n v="8"/>
    <n v="192"/>
    <n v="320"/>
    <m/>
    <m/>
    <n v="6"/>
    <n v="5"/>
    <n v="5"/>
    <n v="3"/>
    <n v="4"/>
    <n v="3"/>
    <n v="6"/>
    <n v="4"/>
    <n v="6"/>
    <n v="42"/>
    <m/>
    <n v="9"/>
    <n v="14"/>
    <n v="15"/>
    <n v="7"/>
    <n v="4"/>
    <n v="3"/>
    <n v="52"/>
    <m/>
    <n v="94"/>
    <m/>
    <n v="10"/>
    <m/>
    <m/>
    <m/>
    <m/>
    <n v="49.82"/>
    <n v="1195.6799999999998"/>
    <n v="3595.68"/>
    <n v="404.32000000000016"/>
    <n v="4000"/>
    <n v="4000"/>
    <n v="4192"/>
    <n v="1792"/>
    <n v="74.666666666666671"/>
    <n v="4192"/>
    <n v="1792"/>
    <n v="74.666666666666671"/>
    <m/>
    <n v="8"/>
    <n v="4200"/>
    <n v="140"/>
    <m/>
  </r>
  <r>
    <m/>
    <n v="670"/>
    <x v="133"/>
    <x v="1"/>
    <x v="2"/>
    <s v="الميزان"/>
    <x v="49"/>
    <x v="2"/>
    <m/>
    <s v="شهاده ثانويه"/>
    <n v="0"/>
    <d v="2013-12-11T00:00:00"/>
    <d v="2017-12-31T00:00:00"/>
    <n v="2040"/>
    <n v="4"/>
    <n v="0"/>
    <n v="8"/>
    <n v="163.20000000000002"/>
    <n v="320"/>
    <m/>
    <m/>
    <n v="4"/>
    <n v="4"/>
    <n v="3"/>
    <n v="4"/>
    <n v="2"/>
    <n v="2"/>
    <n v="4"/>
    <n v="3"/>
    <n v="4"/>
    <n v="30"/>
    <m/>
    <n v="10"/>
    <n v="15"/>
    <n v="15"/>
    <n v="7"/>
    <n v="5"/>
    <n v="3"/>
    <n v="55"/>
    <m/>
    <n v="85"/>
    <m/>
    <m/>
    <m/>
    <m/>
    <m/>
    <m/>
    <n v="45.050000000000004"/>
    <n v="919.0200000000001"/>
    <n v="2959.02"/>
    <n v="1040.98"/>
    <n v="4000"/>
    <n v="4000"/>
    <n v="4163.2"/>
    <n v="2123.1999999999998"/>
    <n v="104.07843137254902"/>
    <n v="4163.2"/>
    <n v="2123.1999999999998"/>
    <n v="104.07843137254902"/>
    <m/>
    <n v="7"/>
    <n v="4170.2"/>
    <n v="139.00666666666666"/>
    <m/>
  </r>
  <r>
    <m/>
    <n v="677"/>
    <x v="134"/>
    <x v="1"/>
    <x v="10"/>
    <n v="0"/>
    <x v="35"/>
    <x v="2"/>
    <s v="A"/>
    <s v="بكلاريوس"/>
    <s v="Seientifie Laboratories ( Physics )"/>
    <d v="2013-12-18T00:00:00"/>
    <d v="2017-12-31T00:00:00"/>
    <n v="2035"/>
    <n v="4"/>
    <n v="0"/>
    <n v="8"/>
    <n v="162.80000000000001"/>
    <n v="320"/>
    <m/>
    <m/>
    <n v="6"/>
    <n v="5"/>
    <n v="5"/>
    <n v="5"/>
    <n v="4"/>
    <n v="3"/>
    <n v="6"/>
    <n v="4"/>
    <n v="6"/>
    <n v="44"/>
    <m/>
    <n v="10"/>
    <n v="15"/>
    <n v="15"/>
    <n v="7"/>
    <n v="4"/>
    <n v="3"/>
    <n v="54"/>
    <m/>
    <n v="98"/>
    <m/>
    <n v="10"/>
    <m/>
    <m/>
    <m/>
    <m/>
    <n v="51.940000000000005"/>
    <n v="1056.9790000000003"/>
    <n v="3091.9790000000003"/>
    <n v="908.02099999999973"/>
    <n v="4000"/>
    <n v="4000"/>
    <n v="4162.8"/>
    <n v="2127.8000000000002"/>
    <n v="104.56019656019656"/>
    <n v="4162.8"/>
    <n v="2127.8000000000002"/>
    <n v="104.56019656019656"/>
    <m/>
    <n v="7"/>
    <n v="4169.8"/>
    <n v="138.99333333333334"/>
    <m/>
  </r>
  <r>
    <m/>
    <n v="678"/>
    <x v="135"/>
    <x v="1"/>
    <x v="4"/>
    <s v="الزوايا"/>
    <x v="21"/>
    <x v="5"/>
    <m/>
    <n v="0"/>
    <n v="0"/>
    <d v="2013-12-18T00:00:00"/>
    <d v="2017-12-31T00:00:00"/>
    <n v="1760"/>
    <n v="4"/>
    <n v="0"/>
    <n v="8"/>
    <n v="140.80000000000001"/>
    <n v="240"/>
    <m/>
    <m/>
    <n v="6"/>
    <n v="5"/>
    <n v="5"/>
    <n v="1"/>
    <n v="2"/>
    <n v="2"/>
    <n v="6"/>
    <n v="4"/>
    <n v="6"/>
    <n v="37"/>
    <m/>
    <n v="8"/>
    <n v="14"/>
    <n v="15"/>
    <n v="3"/>
    <n v="4"/>
    <n v="3"/>
    <n v="47"/>
    <m/>
    <n v="84"/>
    <m/>
    <m/>
    <m/>
    <m/>
    <m/>
    <m/>
    <n v="44.52"/>
    <n v="783.55200000000002"/>
    <n v="2543.5520000000001"/>
    <n v="456.44799999999987"/>
    <n v="3000"/>
    <n v="3000"/>
    <n v="3140.8"/>
    <n v="1380.8000000000002"/>
    <n v="78.454545454545453"/>
    <n v="3140.8"/>
    <n v="1380.8000000000002"/>
    <n v="78.454545454545453"/>
    <m/>
    <n v="9"/>
    <n v="3149.8"/>
    <n v="104.99333333333334"/>
    <m/>
  </r>
  <r>
    <m/>
    <n v="686"/>
    <x v="136"/>
    <x v="1"/>
    <x v="2"/>
    <s v="الاسكلبات"/>
    <x v="50"/>
    <x v="3"/>
    <s v="A"/>
    <s v="بكلاريوس"/>
    <s v="إدارة الاعمال"/>
    <d v="2014-02-01T00:00:00"/>
    <d v="2017-12-31T00:00:00"/>
    <n v="2400"/>
    <n v="3"/>
    <n v="10"/>
    <n v="7.6"/>
    <n v="182.4"/>
    <n v="380"/>
    <m/>
    <m/>
    <n v="6"/>
    <n v="4"/>
    <n v="4"/>
    <n v="5"/>
    <n v="4"/>
    <n v="4"/>
    <n v="5"/>
    <n v="4"/>
    <n v="5"/>
    <n v="41"/>
    <m/>
    <n v="9"/>
    <n v="14"/>
    <n v="12"/>
    <n v="5"/>
    <n v="5"/>
    <n v="3"/>
    <n v="48"/>
    <m/>
    <n v="89"/>
    <m/>
    <n v="9"/>
    <m/>
    <m/>
    <m/>
    <m/>
    <n v="47.17"/>
    <n v="1132.08"/>
    <n v="3532.08"/>
    <n v="1467.92"/>
    <n v="5000"/>
    <n v="5000"/>
    <n v="5182.3999999999996"/>
    <n v="2782.3999999999996"/>
    <n v="115.93333333333332"/>
    <n v="5182.3999999999996"/>
    <n v="2782.3999999999996"/>
    <n v="115.93333333333332"/>
    <m/>
    <n v="8"/>
    <n v="5190.3999999999996"/>
    <n v="173.01333333333332"/>
    <m/>
  </r>
  <r>
    <m/>
    <n v="689"/>
    <x v="137"/>
    <x v="1"/>
    <x v="7"/>
    <n v="0"/>
    <x v="21"/>
    <x v="5"/>
    <m/>
    <n v="0"/>
    <n v="0"/>
    <d v="2014-02-01T00:00:00"/>
    <d v="2017-12-31T00:00:00"/>
    <n v="1760"/>
    <n v="3"/>
    <n v="10"/>
    <n v="7.6"/>
    <n v="133.76"/>
    <n v="228"/>
    <m/>
    <m/>
    <n v="6"/>
    <n v="4"/>
    <n v="4"/>
    <n v="4"/>
    <n v="3"/>
    <n v="3"/>
    <n v="6"/>
    <n v="4"/>
    <n v="6"/>
    <n v="40"/>
    <m/>
    <n v="9"/>
    <n v="14"/>
    <n v="15"/>
    <n v="7"/>
    <n v="5"/>
    <n v="3"/>
    <n v="53"/>
    <m/>
    <n v="93"/>
    <m/>
    <m/>
    <m/>
    <m/>
    <m/>
    <m/>
    <n v="49.29"/>
    <n v="867.50400000000002"/>
    <n v="2627.5039999999999"/>
    <n v="372.49600000000009"/>
    <n v="3000"/>
    <n v="3000"/>
    <n v="3133.76"/>
    <n v="1373.7600000000002"/>
    <n v="78.054545454545462"/>
    <n v="3133.76"/>
    <n v="1373.7600000000002"/>
    <n v="78.054545454545462"/>
    <m/>
    <n v="6"/>
    <n v="3139.76"/>
    <n v="104.65866666666668"/>
    <m/>
  </r>
  <r>
    <m/>
    <n v="690"/>
    <x v="138"/>
    <x v="1"/>
    <x v="2"/>
    <s v="الاسكبات"/>
    <x v="42"/>
    <x v="6"/>
    <m/>
    <s v="شهاده ثانويه"/>
    <n v="0"/>
    <d v="2015-11-14T00:00:00"/>
    <d v="2017-12-31T00:00:00"/>
    <n v="1900"/>
    <n v="2"/>
    <n v="1"/>
    <n v="4.16"/>
    <n v="79.039999999999992"/>
    <n v="145.6"/>
    <m/>
    <m/>
    <n v="5"/>
    <n v="3"/>
    <n v="4"/>
    <n v="4"/>
    <n v="3"/>
    <n v="3"/>
    <n v="5"/>
    <n v="3"/>
    <n v="5"/>
    <n v="35"/>
    <m/>
    <n v="9"/>
    <n v="14"/>
    <n v="12"/>
    <n v="1"/>
    <n v="5"/>
    <n v="3"/>
    <n v="44"/>
    <m/>
    <n v="79"/>
    <m/>
    <m/>
    <m/>
    <m/>
    <m/>
    <m/>
    <n v="41.870000000000005"/>
    <n v="795.53000000000009"/>
    <n v="2695.53"/>
    <n v="804.4699999999998"/>
    <n v="3500"/>
    <n v="3500"/>
    <n v="3579.04"/>
    <n v="1679.04"/>
    <n v="88.370526315789476"/>
    <n v="3579.04"/>
    <n v="1679.04"/>
    <n v="88.370526315789476"/>
    <m/>
    <n v="1"/>
    <n v="3580.04"/>
    <n v="119.33466666666666"/>
    <m/>
  </r>
  <r>
    <m/>
    <n v="691"/>
    <x v="139"/>
    <x v="1"/>
    <x v="7"/>
    <n v="0"/>
    <x v="45"/>
    <x v="1"/>
    <s v="C"/>
    <s v="تدريب مهني"/>
    <s v="حدادة ولحام"/>
    <d v="2014-02-02T00:00:00"/>
    <d v="2017-12-31T00:00:00"/>
    <n v="2280"/>
    <n v="3"/>
    <n v="10"/>
    <n v="7.6"/>
    <n v="173.28"/>
    <n v="380"/>
    <m/>
    <m/>
    <n v="6"/>
    <n v="4"/>
    <n v="5"/>
    <n v="5"/>
    <n v="4"/>
    <n v="3"/>
    <n v="6"/>
    <n v="4"/>
    <n v="6"/>
    <n v="43"/>
    <m/>
    <n v="9"/>
    <n v="14"/>
    <n v="15"/>
    <n v="7"/>
    <n v="5"/>
    <n v="3"/>
    <n v="53"/>
    <m/>
    <n v="96"/>
    <m/>
    <m/>
    <m/>
    <m/>
    <m/>
    <m/>
    <n v="50.88"/>
    <n v="1160.0640000000001"/>
    <n v="3440.0640000000003"/>
    <n v="1559.9359999999997"/>
    <n v="5000"/>
    <n v="5000"/>
    <n v="5173.28"/>
    <n v="2893.2799999999997"/>
    <n v="126.89824561403508"/>
    <n v="5173.28"/>
    <n v="2893.2799999999997"/>
    <n v="126.89824561403508"/>
    <m/>
    <n v="7"/>
    <n v="5180.28"/>
    <n v="172.67599999999999"/>
    <m/>
  </r>
  <r>
    <m/>
    <n v="697"/>
    <x v="140"/>
    <x v="1"/>
    <x v="5"/>
    <s v="الحداده"/>
    <x v="46"/>
    <x v="2"/>
    <s v="C"/>
    <s v="تدريب مهني"/>
    <s v="توضيب ولحام"/>
    <d v="2014-02-09T00:00:00"/>
    <d v="2017-12-31T00:00:00"/>
    <n v="2040"/>
    <n v="3"/>
    <n v="10"/>
    <n v="7.6"/>
    <n v="155.04"/>
    <n v="304"/>
    <m/>
    <m/>
    <n v="5"/>
    <n v="4"/>
    <n v="4"/>
    <n v="4"/>
    <n v="3"/>
    <n v="3"/>
    <n v="4"/>
    <n v="3"/>
    <n v="4"/>
    <n v="34"/>
    <m/>
    <n v="8"/>
    <n v="14"/>
    <n v="9"/>
    <n v="1"/>
    <n v="4"/>
    <n v="3"/>
    <n v="39"/>
    <m/>
    <n v="73"/>
    <m/>
    <n v="8"/>
    <m/>
    <m/>
    <m/>
    <m/>
    <n v="38.690000000000005"/>
    <n v="789.27600000000007"/>
    <n v="2829.2759999999998"/>
    <n v="1170.7240000000002"/>
    <n v="4000"/>
    <n v="4000"/>
    <n v="4155.04"/>
    <n v="2115.04"/>
    <n v="103.67843137254903"/>
    <n v="4155.04"/>
    <n v="2115.04"/>
    <n v="103.67843137254903"/>
    <m/>
    <n v="5"/>
    <n v="4160.04"/>
    <n v="138.66800000000001"/>
    <m/>
  </r>
  <r>
    <m/>
    <n v="705"/>
    <x v="141"/>
    <x v="1"/>
    <x v="4"/>
    <s v="الزوايا"/>
    <x v="15"/>
    <x v="2"/>
    <m/>
    <s v="شهاده ثانويه"/>
    <n v="0"/>
    <d v="2014-02-11T00:00:00"/>
    <d v="2017-12-31T00:00:00"/>
    <n v="1760"/>
    <n v="3"/>
    <n v="10"/>
    <n v="7.6"/>
    <n v="133.76"/>
    <n v="304"/>
    <m/>
    <m/>
    <n v="4"/>
    <n v="4"/>
    <n v="4"/>
    <n v="1"/>
    <n v="2"/>
    <n v="2"/>
    <n v="6"/>
    <n v="4"/>
    <n v="6"/>
    <n v="33"/>
    <m/>
    <n v="9"/>
    <n v="13"/>
    <n v="15"/>
    <n v="5"/>
    <n v="4"/>
    <n v="3"/>
    <n v="49"/>
    <m/>
    <n v="82"/>
    <m/>
    <m/>
    <m/>
    <m/>
    <m/>
    <m/>
    <n v="43.46"/>
    <n v="764.89599999999996"/>
    <n v="2524.8959999999997"/>
    <n v="1475.1040000000003"/>
    <n v="4000"/>
    <n v="4000"/>
    <n v="4133.76"/>
    <n v="2373.7600000000002"/>
    <n v="134.87272727272727"/>
    <n v="4133.76"/>
    <n v="2373.7600000000002"/>
    <n v="134.87272727272727"/>
    <m/>
    <n v="6"/>
    <n v="4139.76"/>
    <n v="137.99200000000002"/>
    <m/>
  </r>
  <r>
    <m/>
    <n v="723"/>
    <x v="142"/>
    <x v="1"/>
    <x v="4"/>
    <s v="الخوص"/>
    <x v="14"/>
    <x v="2"/>
    <s v="B"/>
    <s v="دبلوم تقني"/>
    <s v="هندسة ميكانيكية ( إنتاج )"/>
    <d v="2014-03-01T00:00:00"/>
    <d v="2017-12-31T00:00:00"/>
    <n v="2220"/>
    <n v="3"/>
    <n v="9"/>
    <n v="7.4399999999999995"/>
    <n v="165.16799999999998"/>
    <n v="297.59999999999997"/>
    <m/>
    <m/>
    <n v="4"/>
    <n v="3"/>
    <n v="3"/>
    <n v="1"/>
    <n v="2"/>
    <n v="1"/>
    <n v="6"/>
    <n v="4"/>
    <n v="6"/>
    <n v="30"/>
    <m/>
    <n v="8"/>
    <n v="13"/>
    <n v="15"/>
    <n v="3"/>
    <n v="3"/>
    <n v="3"/>
    <n v="45"/>
    <m/>
    <n v="75"/>
    <m/>
    <m/>
    <m/>
    <m/>
    <m/>
    <m/>
    <n v="39.75"/>
    <n v="882.45"/>
    <n v="3102.45"/>
    <n v="897.55000000000018"/>
    <n v="4000"/>
    <n v="4000"/>
    <n v="4165.1679999999997"/>
    <n v="1945.1679999999997"/>
    <n v="87.620180180180171"/>
    <n v="4165.1679999999997"/>
    <n v="1945.1679999999997"/>
    <n v="87.620180180180171"/>
    <m/>
    <n v="5"/>
    <n v="4170.1679999999997"/>
    <n v="139.00559999999999"/>
    <m/>
  </r>
  <r>
    <m/>
    <n v="734"/>
    <x v="143"/>
    <x v="1"/>
    <x v="3"/>
    <s v="الحركه"/>
    <x v="51"/>
    <x v="2"/>
    <m/>
    <n v="0"/>
    <n v="0"/>
    <d v="2014-03-15T00:00:00"/>
    <d v="2017-12-31T00:00:00"/>
    <n v="2040"/>
    <n v="3"/>
    <n v="9"/>
    <n v="7.4399999999999995"/>
    <n v="151.77599999999998"/>
    <n v="297.59999999999997"/>
    <m/>
    <m/>
    <n v="4"/>
    <n v="2"/>
    <n v="5"/>
    <n v="2"/>
    <n v="2"/>
    <n v="2"/>
    <n v="2"/>
    <n v="2"/>
    <n v="4"/>
    <n v="25"/>
    <m/>
    <n v="8"/>
    <n v="14"/>
    <n v="15"/>
    <n v="7"/>
    <n v="4"/>
    <n v="3"/>
    <n v="51"/>
    <m/>
    <n v="76"/>
    <m/>
    <n v="4"/>
    <m/>
    <m/>
    <m/>
    <m/>
    <n v="40.28"/>
    <n v="821.71199999999999"/>
    <n v="2861.712"/>
    <n v="1138.288"/>
    <n v="4000"/>
    <n v="4000"/>
    <n v="4151.7759999999998"/>
    <n v="2111.7759999999998"/>
    <n v="103.51843137254902"/>
    <n v="4151.7759999999998"/>
    <n v="2111.7759999999998"/>
    <n v="103.51843137254902"/>
    <m/>
    <n v="8"/>
    <n v="4159.7759999999998"/>
    <n v="138.6592"/>
    <m/>
  </r>
  <r>
    <m/>
    <n v="738"/>
    <x v="144"/>
    <x v="1"/>
    <x v="10"/>
    <n v="0"/>
    <x v="35"/>
    <x v="5"/>
    <m/>
    <n v="0"/>
    <n v="0"/>
    <d v="2014-04-02T00:00:00"/>
    <d v="2017-12-31T00:00:00"/>
    <n v="1800"/>
    <n v="3"/>
    <n v="8"/>
    <n v="7.28"/>
    <n v="131.04000000000002"/>
    <n v="218.4"/>
    <m/>
    <m/>
    <n v="4"/>
    <n v="4"/>
    <n v="3"/>
    <n v="2"/>
    <n v="2"/>
    <n v="2"/>
    <n v="4"/>
    <n v="3"/>
    <n v="4"/>
    <n v="28"/>
    <m/>
    <n v="7"/>
    <n v="11"/>
    <n v="12"/>
    <n v="1"/>
    <n v="3"/>
    <n v="3"/>
    <n v="37"/>
    <m/>
    <n v="65"/>
    <m/>
    <n v="7"/>
    <m/>
    <m/>
    <m/>
    <m/>
    <n v="34.450000000000003"/>
    <n v="620.1"/>
    <n v="2420.1"/>
    <n v="579.90000000000009"/>
    <n v="3000"/>
    <n v="3000"/>
    <n v="3131.04"/>
    <n v="1331.04"/>
    <n v="73.946666666666658"/>
    <n v="3131.04"/>
    <n v="1331.04"/>
    <n v="73.946666666666658"/>
    <m/>
    <n v="9"/>
    <n v="3140.04"/>
    <n v="104.66799999999999"/>
    <m/>
  </r>
  <r>
    <m/>
    <n v="751"/>
    <x v="145"/>
    <x v="1"/>
    <x v="6"/>
    <s v="كهرباء عامه"/>
    <x v="32"/>
    <x v="4"/>
    <s v="B"/>
    <s v="دبلوم تقني"/>
    <s v="هندسة الميكاترونكس"/>
    <d v="2014-05-15T00:00:00"/>
    <d v="2017-12-31T00:00:00"/>
    <n v="3600"/>
    <n v="3"/>
    <n v="7"/>
    <n v="7.12"/>
    <n v="256.32"/>
    <n v="370.43366400000002"/>
    <m/>
    <m/>
    <n v="6"/>
    <n v="5"/>
    <n v="4"/>
    <n v="5"/>
    <n v="4"/>
    <n v="4"/>
    <n v="6"/>
    <n v="4"/>
    <n v="6"/>
    <n v="44"/>
    <m/>
    <n v="9"/>
    <n v="12"/>
    <n v="12"/>
    <n v="1"/>
    <n v="3"/>
    <n v="3"/>
    <n v="40"/>
    <m/>
    <n v="84"/>
    <m/>
    <n v="10"/>
    <m/>
    <m/>
    <m/>
    <m/>
    <n v="44.52"/>
    <n v="1602.7200000000003"/>
    <n v="5202.72"/>
    <m/>
    <n v="4500"/>
    <n v="5202.72"/>
    <n v="5459.04"/>
    <n v="1859.04"/>
    <n v="51.64"/>
    <n v="5459.04"/>
    <n v="1859.04"/>
    <n v="51.64"/>
    <m/>
    <n v="1"/>
    <n v="5460.04"/>
    <n v="182.00133333333332"/>
    <m/>
  </r>
  <r>
    <m/>
    <n v="754"/>
    <x v="146"/>
    <x v="1"/>
    <x v="4"/>
    <s v="الخوص"/>
    <x v="14"/>
    <x v="2"/>
    <m/>
    <n v="0"/>
    <n v="0"/>
    <d v="2014-06-01T00:00:00"/>
    <d v="2017-12-31T00:00:00"/>
    <n v="2150.5"/>
    <n v="3"/>
    <n v="6"/>
    <n v="6.96"/>
    <n v="149.67479999999998"/>
    <n v="278.39999999999998"/>
    <m/>
    <m/>
    <n v="6"/>
    <n v="5"/>
    <n v="5"/>
    <n v="5"/>
    <n v="4"/>
    <n v="4"/>
    <n v="6"/>
    <n v="4"/>
    <n v="6"/>
    <n v="45"/>
    <m/>
    <n v="10"/>
    <n v="14"/>
    <n v="15"/>
    <n v="7"/>
    <n v="4"/>
    <n v="3"/>
    <n v="53"/>
    <m/>
    <n v="98"/>
    <m/>
    <m/>
    <m/>
    <m/>
    <m/>
    <m/>
    <n v="51.940000000000005"/>
    <n v="1116.9697000000001"/>
    <n v="3267.4697000000001"/>
    <n v="732.5302999999999"/>
    <n v="4000"/>
    <n v="4000"/>
    <n v="4149.6747999999998"/>
    <n v="1999.1747999999998"/>
    <n v="92.96325505696349"/>
    <n v="4149.6747999999998"/>
    <n v="1999.1747999999998"/>
    <n v="92.96325505696349"/>
    <m/>
    <m/>
    <n v="4149.6747999999998"/>
    <n v="138.32249333333331"/>
    <m/>
  </r>
  <r>
    <m/>
    <n v="763"/>
    <x v="147"/>
    <x v="1"/>
    <x v="4"/>
    <s v="بيانات"/>
    <x v="43"/>
    <x v="2"/>
    <s v="A"/>
    <s v="بكلاريوس"/>
    <s v="الدراسات الإسلامية والقرأنية"/>
    <d v="2014-06-16T00:00:00"/>
    <d v="2017-12-31T00:00:00"/>
    <n v="2040"/>
    <n v="3"/>
    <n v="6"/>
    <n v="6.96"/>
    <n v="141.98399999999998"/>
    <n v="278.39999999999998"/>
    <m/>
    <m/>
    <n v="4"/>
    <n v="5"/>
    <n v="4"/>
    <n v="2"/>
    <n v="2"/>
    <n v="2"/>
    <n v="6"/>
    <n v="4"/>
    <n v="6"/>
    <n v="35"/>
    <m/>
    <n v="9"/>
    <n v="13"/>
    <n v="15"/>
    <n v="7"/>
    <n v="3"/>
    <n v="3"/>
    <n v="50"/>
    <m/>
    <n v="85"/>
    <m/>
    <m/>
    <m/>
    <m/>
    <m/>
    <m/>
    <n v="45.050000000000004"/>
    <n v="919.0200000000001"/>
    <n v="2959.02"/>
    <n v="1040.98"/>
    <n v="4000"/>
    <n v="4000"/>
    <n v="4141.9840000000004"/>
    <n v="2101.9840000000004"/>
    <n v="103.03843137254904"/>
    <n v="4141.9840000000004"/>
    <n v="2101.9840000000004"/>
    <n v="103.03843137254904"/>
    <m/>
    <n v="8"/>
    <n v="4149.9840000000004"/>
    <n v="138.33280000000002"/>
    <m/>
  </r>
  <r>
    <m/>
    <n v="805"/>
    <x v="148"/>
    <x v="1"/>
    <x v="12"/>
    <n v="0"/>
    <x v="38"/>
    <x v="2"/>
    <m/>
    <s v="شهاده ثانويه"/>
    <s v="تمريض"/>
    <d v="2015-04-10T00:00:00"/>
    <d v="2017-12-31T00:00:00"/>
    <n v="2035"/>
    <n v="2"/>
    <n v="8"/>
    <n v="5.28"/>
    <n v="107.44799999999999"/>
    <n v="211.2"/>
    <m/>
    <m/>
    <n v="5"/>
    <n v="4"/>
    <n v="4"/>
    <n v="5"/>
    <n v="4"/>
    <n v="4"/>
    <n v="5"/>
    <n v="4"/>
    <n v="5"/>
    <n v="40"/>
    <m/>
    <n v="8"/>
    <n v="12"/>
    <n v="12"/>
    <n v="1"/>
    <n v="4"/>
    <n v="3"/>
    <n v="40"/>
    <m/>
    <n v="80"/>
    <m/>
    <m/>
    <m/>
    <m/>
    <m/>
    <m/>
    <n v="42.400000000000006"/>
    <n v="862.84"/>
    <n v="2897.84"/>
    <n v="1102.1599999999999"/>
    <n v="4000"/>
    <n v="4000"/>
    <n v="4107.4480000000003"/>
    <n v="2072.4480000000003"/>
    <n v="101.84019656019657"/>
    <n v="4107.4480000000003"/>
    <n v="2072.4480000000003"/>
    <n v="101.84019656019657"/>
    <m/>
    <n v="3"/>
    <n v="4110.4480000000003"/>
    <n v="137.01493333333335"/>
    <m/>
  </r>
  <r>
    <m/>
    <n v="811"/>
    <x v="149"/>
    <x v="1"/>
    <x v="6"/>
    <s v="كهرباء عامه"/>
    <x v="32"/>
    <x v="4"/>
    <s v="B"/>
    <s v="دبلوم تقني"/>
    <s v="هندسة كهرباء"/>
    <d v="2015-05-01T00:00:00"/>
    <d v="2017-12-31T00:00:00"/>
    <n v="2400"/>
    <n v="2"/>
    <n v="7"/>
    <n v="5.12"/>
    <n v="122.88000000000001"/>
    <n v="230.4"/>
    <m/>
    <m/>
    <n v="5"/>
    <n v="4"/>
    <n v="5"/>
    <n v="5"/>
    <n v="4"/>
    <n v="4"/>
    <n v="5"/>
    <n v="4"/>
    <n v="6"/>
    <n v="42"/>
    <m/>
    <n v="8"/>
    <n v="12"/>
    <n v="9"/>
    <n v="1"/>
    <n v="3"/>
    <n v="3"/>
    <n v="36"/>
    <m/>
    <n v="78"/>
    <m/>
    <n v="10"/>
    <m/>
    <m/>
    <m/>
    <m/>
    <n v="41.34"/>
    <n v="992.16000000000008"/>
    <n v="3392.16"/>
    <n v="1107.8400000000001"/>
    <n v="4500"/>
    <n v="4500"/>
    <n v="4622.88"/>
    <n v="2222.88"/>
    <n v="92.62"/>
    <n v="4622.88"/>
    <n v="2222.88"/>
    <n v="92.62"/>
    <m/>
    <n v="7"/>
    <n v="4629.88"/>
    <n v="154.32933333333332"/>
    <m/>
  </r>
  <r>
    <m/>
    <n v="812"/>
    <x v="150"/>
    <x v="1"/>
    <x v="4"/>
    <n v="0"/>
    <x v="21"/>
    <x v="5"/>
    <m/>
    <n v="0"/>
    <n v="0"/>
    <d v="2015-05-03T00:00:00"/>
    <d v="2017-12-31T00:00:00"/>
    <n v="1760"/>
    <n v="2"/>
    <n v="7"/>
    <n v="5.12"/>
    <n v="90.112000000000009"/>
    <n v="153.6"/>
    <m/>
    <m/>
    <n v="4"/>
    <n v="4"/>
    <n v="4"/>
    <n v="1"/>
    <n v="3"/>
    <n v="1"/>
    <n v="6"/>
    <n v="4"/>
    <n v="6"/>
    <n v="33"/>
    <m/>
    <n v="8"/>
    <n v="12"/>
    <n v="5"/>
    <n v="1"/>
    <n v="4"/>
    <n v="3"/>
    <n v="33"/>
    <m/>
    <n v="66"/>
    <m/>
    <m/>
    <m/>
    <m/>
    <m/>
    <m/>
    <n v="34.980000000000004"/>
    <n v="615.64800000000014"/>
    <n v="2375.6480000000001"/>
    <n v="624.35199999999986"/>
    <n v="3000"/>
    <n v="3000"/>
    <n v="3090.1120000000001"/>
    <n v="1330.1120000000001"/>
    <n v="75.574545454545458"/>
    <n v="3090.1120000000001"/>
    <n v="1330.1120000000001"/>
    <n v="75.574545454545458"/>
    <m/>
    <m/>
    <n v="3090.1120000000001"/>
    <n v="103.00373333333333"/>
    <m/>
  </r>
  <r>
    <m/>
    <n v="814"/>
    <x v="151"/>
    <x v="1"/>
    <x v="4"/>
    <n v="0"/>
    <x v="8"/>
    <x v="3"/>
    <m/>
    <n v="0"/>
    <n v="0"/>
    <d v="2015-05-16T00:00:00"/>
    <d v="2017-12-31T00:00:00"/>
    <n v="3300"/>
    <n v="2"/>
    <n v="7"/>
    <n v="5.12"/>
    <n v="168.96"/>
    <n v="256"/>
    <m/>
    <m/>
    <n v="5"/>
    <n v="4"/>
    <n v="5"/>
    <n v="2"/>
    <n v="2"/>
    <n v="2"/>
    <n v="6"/>
    <n v="4"/>
    <n v="6"/>
    <n v="36"/>
    <m/>
    <n v="10"/>
    <n v="14"/>
    <n v="15"/>
    <n v="7"/>
    <n v="5"/>
    <n v="3"/>
    <n v="54"/>
    <m/>
    <n v="90"/>
    <m/>
    <m/>
    <m/>
    <m/>
    <m/>
    <m/>
    <n v="47.7"/>
    <n v="1574.1000000000001"/>
    <n v="4874.1000000000004"/>
    <n v="125.89999999999964"/>
    <n v="5000"/>
    <n v="5000"/>
    <n v="5168.96"/>
    <n v="1868.96"/>
    <n v="56.635151515151513"/>
    <n v="5168.96"/>
    <n v="1868.96"/>
    <n v="56.635151515151513"/>
    <m/>
    <n v="1"/>
    <n v="5169.96"/>
    <n v="172.33199999999999"/>
    <m/>
  </r>
  <r>
    <m/>
    <n v="817"/>
    <x v="152"/>
    <x v="1"/>
    <x v="4"/>
    <n v="0"/>
    <x v="44"/>
    <x v="2"/>
    <m/>
    <n v="0"/>
    <n v="0"/>
    <d v="2015-06-01T00:00:00"/>
    <d v="2017-12-31T00:00:00"/>
    <n v="2024"/>
    <n v="2"/>
    <n v="6"/>
    <n v="4.96"/>
    <n v="100.3904"/>
    <n v="198.4"/>
    <m/>
    <m/>
    <n v="5"/>
    <n v="5"/>
    <n v="5"/>
    <n v="2"/>
    <n v="2"/>
    <n v="2"/>
    <n v="6"/>
    <n v="4"/>
    <n v="6"/>
    <n v="37"/>
    <m/>
    <n v="9"/>
    <n v="14"/>
    <n v="15"/>
    <n v="7"/>
    <n v="5"/>
    <n v="3"/>
    <n v="53"/>
    <m/>
    <n v="90"/>
    <m/>
    <m/>
    <m/>
    <m/>
    <m/>
    <m/>
    <n v="47.7"/>
    <n v="965.44800000000009"/>
    <n v="2989.4480000000003"/>
    <n v="1010.5519999999997"/>
    <n v="4000"/>
    <n v="4000"/>
    <n v="4100.3904000000002"/>
    <n v="2076.3904000000002"/>
    <n v="102.58845849802374"/>
    <n v="4100.3904000000002"/>
    <n v="2076.3904000000002"/>
    <n v="102.58845849802374"/>
    <m/>
    <m/>
    <n v="4100.3904000000002"/>
    <n v="136.67968000000002"/>
    <m/>
  </r>
  <r>
    <m/>
    <n v="823"/>
    <x v="153"/>
    <x v="1"/>
    <x v="14"/>
    <n v="0"/>
    <x v="52"/>
    <x v="4"/>
    <s v="B"/>
    <s v="دبلوم تقني"/>
    <s v="هندسة سيارات"/>
    <d v="2015-06-18T00:00:00"/>
    <d v="2017-12-31T00:00:00"/>
    <n v="2135"/>
    <n v="2"/>
    <n v="6"/>
    <n v="4.96"/>
    <n v="105.896"/>
    <n v="223.2"/>
    <m/>
    <m/>
    <n v="3"/>
    <n v="5"/>
    <n v="4"/>
    <n v="3"/>
    <n v="3"/>
    <n v="3"/>
    <n v="4"/>
    <n v="4"/>
    <n v="5"/>
    <n v="34"/>
    <m/>
    <n v="8"/>
    <n v="14"/>
    <n v="15"/>
    <n v="3"/>
    <n v="4"/>
    <n v="3"/>
    <n v="47"/>
    <m/>
    <n v="81"/>
    <m/>
    <m/>
    <m/>
    <m/>
    <m/>
    <m/>
    <n v="42.93"/>
    <n v="916.55550000000005"/>
    <n v="3051.5554999999999"/>
    <n v="1448.4445000000001"/>
    <n v="4500"/>
    <n v="4500"/>
    <n v="4605.8959999999997"/>
    <n v="2470.8959999999997"/>
    <n v="115.73283372365337"/>
    <n v="4605.8959999999997"/>
    <n v="2470.8959999999997"/>
    <n v="115.73283372365337"/>
    <m/>
    <n v="4"/>
    <n v="4609.8959999999997"/>
    <n v="153.66319999999999"/>
    <m/>
  </r>
  <r>
    <m/>
    <n v="825"/>
    <x v="154"/>
    <x v="1"/>
    <x v="5"/>
    <s v="الحداده"/>
    <x v="46"/>
    <x v="4"/>
    <s v="C"/>
    <s v="تدريب مهني"/>
    <s v="البراده العامه"/>
    <d v="2015-07-01T00:00:00"/>
    <d v="2017-12-31T00:00:00"/>
    <n v="2880"/>
    <n v="2"/>
    <n v="5"/>
    <n v="4.8"/>
    <n v="138.24"/>
    <n v="216"/>
    <m/>
    <m/>
    <n v="5"/>
    <n v="4"/>
    <n v="5"/>
    <n v="4"/>
    <n v="3.5"/>
    <n v="3"/>
    <n v="5"/>
    <n v="3.5"/>
    <n v="5"/>
    <n v="38"/>
    <m/>
    <n v="10"/>
    <n v="14"/>
    <n v="15"/>
    <n v="7"/>
    <n v="5"/>
    <n v="3"/>
    <n v="54"/>
    <m/>
    <n v="92"/>
    <m/>
    <n v="9"/>
    <m/>
    <m/>
    <m/>
    <m/>
    <n v="48.760000000000005"/>
    <n v="1404.288"/>
    <n v="4284.2880000000005"/>
    <n v="215.71199999999953"/>
    <n v="4500"/>
    <n v="4500"/>
    <n v="4638.24"/>
    <n v="1758.2399999999998"/>
    <n v="61.04999999999999"/>
    <n v="4638.24"/>
    <n v="1758.2399999999998"/>
    <n v="61.04999999999999"/>
    <m/>
    <n v="2"/>
    <n v="4640.24"/>
    <n v="154.67466666666667"/>
    <m/>
  </r>
  <r>
    <m/>
    <n v="828"/>
    <x v="155"/>
    <x v="1"/>
    <x v="4"/>
    <n v="0"/>
    <x v="15"/>
    <x v="2"/>
    <s v="A"/>
    <s v="بكلاريوس الشرف"/>
    <s v="لغة انجليزية"/>
    <d v="2015-07-02T00:00:00"/>
    <d v="2017-12-31T00:00:00"/>
    <n v="1870"/>
    <n v="2"/>
    <n v="5"/>
    <n v="4.8"/>
    <n v="89.76"/>
    <n v="192"/>
    <m/>
    <m/>
    <n v="5"/>
    <n v="5"/>
    <n v="5"/>
    <n v="4"/>
    <n v="3"/>
    <n v="3"/>
    <n v="6"/>
    <n v="4"/>
    <n v="6"/>
    <n v="41"/>
    <m/>
    <n v="9"/>
    <n v="14"/>
    <n v="15"/>
    <n v="7"/>
    <n v="5"/>
    <n v="3"/>
    <n v="53"/>
    <m/>
    <n v="94"/>
    <m/>
    <m/>
    <m/>
    <m/>
    <m/>
    <m/>
    <n v="49.82"/>
    <n v="931.6339999999999"/>
    <n v="2801.634"/>
    <n v="1198.366"/>
    <n v="4000"/>
    <n v="4000"/>
    <n v="4089.76"/>
    <n v="2219.7600000000002"/>
    <n v="118.70374331550804"/>
    <n v="4089.76"/>
    <n v="2219.7600000000002"/>
    <n v="118.70374331550804"/>
    <m/>
    <m/>
    <n v="4089.76"/>
    <n v="136.32533333333333"/>
    <m/>
  </r>
  <r>
    <m/>
    <n v="830"/>
    <x v="156"/>
    <x v="1"/>
    <x v="2"/>
    <s v="قطع الغيار"/>
    <x v="43"/>
    <x v="2"/>
    <s v="B"/>
    <s v="دبلوم تقني"/>
    <s v="هندسة حاسوب"/>
    <d v="2015-08-01T00:00:00"/>
    <d v="2017-12-31T00:00:00"/>
    <n v="2035"/>
    <n v="2"/>
    <n v="4"/>
    <n v="4.6399999999999997"/>
    <n v="94.423999999999992"/>
    <n v="185.6"/>
    <m/>
    <m/>
    <n v="4"/>
    <n v="3"/>
    <n v="2"/>
    <n v="3"/>
    <n v="3"/>
    <n v="3"/>
    <n v="4"/>
    <n v="3"/>
    <n v="5"/>
    <n v="30"/>
    <m/>
    <n v="9"/>
    <n v="14"/>
    <n v="15"/>
    <n v="7"/>
    <n v="2"/>
    <n v="3"/>
    <n v="50"/>
    <m/>
    <n v="80"/>
    <m/>
    <m/>
    <m/>
    <m/>
    <m/>
    <m/>
    <n v="42.400000000000006"/>
    <n v="862.84"/>
    <n v="2897.84"/>
    <n v="1102.1599999999999"/>
    <n v="4000"/>
    <n v="4000"/>
    <n v="4094.424"/>
    <n v="2059.424"/>
    <n v="101.20019656019655"/>
    <n v="4094.424"/>
    <n v="2059.424"/>
    <n v="101.20019656019655"/>
    <m/>
    <n v="6"/>
    <n v="4100.424"/>
    <n v="136.6808"/>
    <m/>
  </r>
  <r>
    <m/>
    <n v="832"/>
    <x v="157"/>
    <x v="1"/>
    <x v="5"/>
    <s v="المخارط"/>
    <x v="53"/>
    <x v="3"/>
    <m/>
    <s v="شهاده ثانويه"/>
    <n v="0"/>
    <d v="2015-08-04T00:00:00"/>
    <d v="2017-12-31T00:00:00"/>
    <n v="3000"/>
    <n v="2"/>
    <n v="4"/>
    <n v="4.6399999999999997"/>
    <n v="139.19999999999999"/>
    <n v="231.99999999999997"/>
    <m/>
    <m/>
    <n v="6"/>
    <n v="5"/>
    <n v="4.5"/>
    <n v="4.5"/>
    <n v="4"/>
    <n v="4"/>
    <n v="6"/>
    <n v="4"/>
    <n v="6"/>
    <n v="44"/>
    <m/>
    <n v="8"/>
    <n v="13"/>
    <n v="15"/>
    <n v="7"/>
    <n v="3"/>
    <n v="3"/>
    <n v="49"/>
    <m/>
    <n v="93"/>
    <m/>
    <n v="9"/>
    <m/>
    <m/>
    <m/>
    <m/>
    <n v="49.29"/>
    <n v="1478.7"/>
    <n v="4478.7"/>
    <n v="521.30000000000018"/>
    <n v="5000"/>
    <n v="5000"/>
    <n v="5139.2"/>
    <n v="2139.1999999999998"/>
    <n v="71.306666666666658"/>
    <n v="5139.2"/>
    <n v="2139.1999999999998"/>
    <n v="71.306666666666658"/>
    <m/>
    <n v="1"/>
    <n v="5140.2"/>
    <n v="171.34"/>
    <m/>
  </r>
  <r>
    <m/>
    <n v="833"/>
    <x v="158"/>
    <x v="1"/>
    <x v="4"/>
    <n v="0"/>
    <x v="21"/>
    <x v="5"/>
    <m/>
    <s v="شهاده ثانويه"/>
    <n v="0"/>
    <d v="2015-08-12T00:00:00"/>
    <d v="2017-12-31T00:00:00"/>
    <n v="1760"/>
    <n v="2"/>
    <n v="4"/>
    <n v="4.6399999999999997"/>
    <n v="81.663999999999987"/>
    <n v="139.19999999999999"/>
    <m/>
    <m/>
    <n v="4"/>
    <n v="4"/>
    <n v="4"/>
    <n v="1"/>
    <n v="1"/>
    <n v="1"/>
    <n v="4"/>
    <n v="4"/>
    <n v="5"/>
    <n v="28"/>
    <m/>
    <n v="9"/>
    <n v="13"/>
    <n v="12"/>
    <n v="1"/>
    <n v="4"/>
    <n v="3"/>
    <n v="42"/>
    <m/>
    <n v="70"/>
    <m/>
    <m/>
    <m/>
    <m/>
    <m/>
    <m/>
    <n v="37.1"/>
    <n v="652.96"/>
    <n v="2412.96"/>
    <n v="587.04"/>
    <n v="3000"/>
    <n v="3000"/>
    <n v="3081.6639999999998"/>
    <n v="1321.6639999999998"/>
    <n v="75.09454545454544"/>
    <n v="3081.6639999999998"/>
    <n v="1321.6639999999998"/>
    <n v="75.09454545454544"/>
    <m/>
    <n v="8"/>
    <n v="3089.6639999999998"/>
    <n v="102.9888"/>
    <m/>
  </r>
  <r>
    <m/>
    <n v="834"/>
    <x v="159"/>
    <x v="1"/>
    <x v="7"/>
    <n v="0"/>
    <x v="21"/>
    <x v="5"/>
    <m/>
    <n v="0"/>
    <n v="0"/>
    <d v="2015-08-13T00:00:00"/>
    <d v="2017-12-31T00:00:00"/>
    <n v="1760"/>
    <n v="2"/>
    <n v="4"/>
    <n v="4.6399999999999997"/>
    <n v="81.663999999999987"/>
    <n v="139.19999999999999"/>
    <m/>
    <m/>
    <n v="6"/>
    <n v="4"/>
    <n v="4"/>
    <n v="4"/>
    <n v="3"/>
    <n v="3"/>
    <n v="5"/>
    <n v="4"/>
    <n v="6"/>
    <n v="39"/>
    <m/>
    <n v="9"/>
    <n v="14"/>
    <n v="15"/>
    <n v="7"/>
    <n v="5"/>
    <n v="3"/>
    <n v="53"/>
    <m/>
    <n v="92"/>
    <m/>
    <m/>
    <m/>
    <m/>
    <m/>
    <m/>
    <n v="48.760000000000005"/>
    <n v="858.17600000000004"/>
    <n v="2618.1759999999999"/>
    <n v="381.82400000000007"/>
    <n v="3000"/>
    <n v="3000"/>
    <n v="3081.6639999999998"/>
    <n v="1321.6639999999998"/>
    <n v="75.09454545454544"/>
    <n v="3081.6639999999998"/>
    <n v="1321.6639999999998"/>
    <n v="75.09454545454544"/>
    <m/>
    <n v="8"/>
    <n v="3089.6639999999998"/>
    <n v="102.9888"/>
    <m/>
  </r>
  <r>
    <m/>
    <n v="839"/>
    <x v="160"/>
    <x v="1"/>
    <x v="5"/>
    <s v="صيانه عامه"/>
    <x v="17"/>
    <x v="4"/>
    <s v="B"/>
    <s v="دبلوم تقني"/>
    <s v="هندسة ميكانيكية ( صيانة )"/>
    <d v="2017-11-04T00:00:00"/>
    <d v="2017-12-31T00:00:00"/>
    <n v="2000"/>
    <n v="0"/>
    <n v="1"/>
    <n v="0.16"/>
    <n v="3.2"/>
    <n v="7.2"/>
    <m/>
    <m/>
    <m/>
    <m/>
    <m/>
    <m/>
    <m/>
    <m/>
    <m/>
    <m/>
    <m/>
    <n v="0"/>
    <m/>
    <n v="9"/>
    <n v="14"/>
    <n v="15"/>
    <n v="7"/>
    <n v="4"/>
    <n v="3"/>
    <n v="52"/>
    <m/>
    <n v="52"/>
    <m/>
    <m/>
    <m/>
    <m/>
    <m/>
    <m/>
    <n v="27.560000000000002"/>
    <n v="551.20000000000005"/>
    <n v="2551.1999999999998"/>
    <n v="1948.8000000000002"/>
    <n v="4500"/>
    <n v="4500"/>
    <n v="4503.2"/>
    <n v="2503.1999999999998"/>
    <n v="125.16"/>
    <n v="4503.2"/>
    <n v="2503.1999999999998"/>
    <n v="125.16"/>
    <m/>
    <n v="7"/>
    <n v="4510.2"/>
    <n v="150.34"/>
    <m/>
  </r>
  <r>
    <m/>
    <n v="840"/>
    <x v="161"/>
    <x v="1"/>
    <x v="5"/>
    <s v="صيانه عامه"/>
    <x v="17"/>
    <x v="4"/>
    <m/>
    <s v="شهاده ثانويه"/>
    <n v="0"/>
    <d v="2015-09-01T00:00:00"/>
    <d v="2017-12-31T00:00:00"/>
    <n v="2200"/>
    <n v="2"/>
    <n v="3"/>
    <n v="4.4800000000000004"/>
    <n v="98.560000000000016"/>
    <n v="201.60000000000002"/>
    <m/>
    <m/>
    <n v="6"/>
    <n v="4"/>
    <n v="4"/>
    <n v="4"/>
    <n v="4"/>
    <n v="4"/>
    <n v="5"/>
    <n v="4"/>
    <n v="5"/>
    <n v="40"/>
    <m/>
    <n v="9"/>
    <n v="14"/>
    <n v="15"/>
    <n v="7"/>
    <n v="4"/>
    <n v="3"/>
    <n v="52"/>
    <m/>
    <n v="92"/>
    <m/>
    <n v="8"/>
    <m/>
    <m/>
    <m/>
    <m/>
    <n v="48.760000000000005"/>
    <n v="1072.72"/>
    <n v="3272.7200000000003"/>
    <n v="1227.2799999999997"/>
    <n v="4500"/>
    <n v="4500"/>
    <n v="4598.5600000000004"/>
    <n v="2398.5600000000004"/>
    <n v="109.02545454545456"/>
    <n v="4598.5600000000004"/>
    <n v="2398.5600000000004"/>
    <n v="109.02545454545456"/>
    <m/>
    <n v="1"/>
    <n v="4599.5600000000004"/>
    <n v="153.31866666666667"/>
    <m/>
  </r>
  <r>
    <m/>
    <n v="842"/>
    <x v="162"/>
    <x v="1"/>
    <x v="4"/>
    <n v="0"/>
    <x v="14"/>
    <x v="2"/>
    <m/>
    <s v="شهاده ثانويه"/>
    <n v="0"/>
    <d v="2015-09-01T00:00:00"/>
    <d v="2017-12-31T00:00:00"/>
    <n v="2150.5"/>
    <n v="2"/>
    <n v="3"/>
    <n v="4.4800000000000004"/>
    <n v="96.342400000000012"/>
    <n v="179.20000000000002"/>
    <m/>
    <m/>
    <n v="5"/>
    <n v="4"/>
    <n v="4"/>
    <n v="4"/>
    <n v="4"/>
    <n v="4"/>
    <n v="5"/>
    <n v="4"/>
    <n v="5"/>
    <n v="39"/>
    <m/>
    <n v="8"/>
    <n v="13"/>
    <n v="15"/>
    <n v="7"/>
    <n v="4"/>
    <n v="3"/>
    <n v="50"/>
    <m/>
    <n v="89"/>
    <m/>
    <m/>
    <m/>
    <m/>
    <m/>
    <m/>
    <n v="47.17"/>
    <n v="1014.39085"/>
    <n v="3164.8908499999998"/>
    <n v="835.10915000000023"/>
    <n v="4000"/>
    <n v="4000"/>
    <n v="4096.3424000000005"/>
    <n v="1945.8424000000005"/>
    <n v="90.483255056963529"/>
    <n v="4096.3424000000005"/>
    <n v="1945.8424000000005"/>
    <n v="90.483255056963529"/>
    <m/>
    <n v="4"/>
    <n v="4100.3424000000005"/>
    <n v="136.67808000000002"/>
    <m/>
  </r>
  <r>
    <m/>
    <n v="849"/>
    <x v="163"/>
    <x v="1"/>
    <x v="15"/>
    <n v="0"/>
    <x v="54"/>
    <x v="2"/>
    <s v="C"/>
    <s v="شهاده كورس"/>
    <s v="صيانة حاسوب"/>
    <d v="2015-11-01T00:00:00"/>
    <d v="2017-12-31T00:00:00"/>
    <n v="2040"/>
    <n v="2"/>
    <n v="1"/>
    <n v="4.16"/>
    <n v="84.86399999999999"/>
    <n v="166.4"/>
    <m/>
    <m/>
    <n v="5"/>
    <n v="5"/>
    <n v="4"/>
    <n v="3"/>
    <n v="2.5"/>
    <n v="4"/>
    <n v="5"/>
    <n v="3"/>
    <n v="6"/>
    <n v="37.5"/>
    <m/>
    <n v="9"/>
    <n v="13"/>
    <n v="15"/>
    <n v="7"/>
    <n v="4"/>
    <n v="3"/>
    <n v="51"/>
    <m/>
    <n v="88.5"/>
    <m/>
    <n v="10"/>
    <m/>
    <m/>
    <m/>
    <m/>
    <n v="46.905000000000001"/>
    <n v="956.86200000000008"/>
    <n v="2996.8620000000001"/>
    <n v="1003.1379999999999"/>
    <n v="4000"/>
    <n v="4000"/>
    <n v="4084.864"/>
    <n v="2044.864"/>
    <n v="100.23843137254903"/>
    <n v="4084.864"/>
    <n v="2044.864"/>
    <n v="100.23843137254903"/>
    <m/>
    <n v="5"/>
    <n v="4089.864"/>
    <n v="136.3288"/>
    <m/>
  </r>
  <r>
    <m/>
    <n v="852"/>
    <x v="164"/>
    <x v="1"/>
    <x v="4"/>
    <n v="0"/>
    <x v="21"/>
    <x v="5"/>
    <m/>
    <n v="0"/>
    <n v="0"/>
    <d v="2015-11-08T00:00:00"/>
    <d v="2017-12-31T00:00:00"/>
    <n v="1860"/>
    <n v="2"/>
    <n v="1"/>
    <n v="4.16"/>
    <n v="77.375999999999991"/>
    <n v="124.8"/>
    <m/>
    <m/>
    <n v="4"/>
    <n v="4"/>
    <n v="4"/>
    <n v="1"/>
    <n v="1"/>
    <n v="1"/>
    <n v="4"/>
    <n v="4"/>
    <n v="5"/>
    <n v="28"/>
    <m/>
    <n v="9"/>
    <n v="14"/>
    <n v="15"/>
    <n v="7"/>
    <n v="4"/>
    <n v="3"/>
    <n v="52"/>
    <m/>
    <n v="80"/>
    <m/>
    <m/>
    <m/>
    <m/>
    <m/>
    <m/>
    <n v="42.400000000000006"/>
    <n v="788.6400000000001"/>
    <n v="2648.6400000000003"/>
    <n v="351.35999999999967"/>
    <n v="3000"/>
    <n v="3000"/>
    <n v="3077.3760000000002"/>
    <n v="1217.3760000000002"/>
    <n v="65.450322580645164"/>
    <n v="3077.3760000000002"/>
    <n v="1217.3760000000002"/>
    <n v="65.450322580645164"/>
    <m/>
    <n v="3"/>
    <n v="3080.3760000000002"/>
    <n v="102.67920000000001"/>
    <m/>
  </r>
  <r>
    <m/>
    <n v="853"/>
    <x v="165"/>
    <x v="1"/>
    <x v="2"/>
    <s v="المنتج الجاهز"/>
    <x v="27"/>
    <x v="3"/>
    <s v="A"/>
    <s v="بكلاريوس"/>
    <s v="اقتصاد"/>
    <d v="2015-11-17T00:00:00"/>
    <d v="2017-12-31T00:00:00"/>
    <n v="2600"/>
    <n v="2"/>
    <n v="1"/>
    <n v="4.16"/>
    <n v="108.16"/>
    <n v="208"/>
    <m/>
    <m/>
    <n v="6"/>
    <n v="4"/>
    <n v="4"/>
    <n v="5"/>
    <n v="4"/>
    <n v="4"/>
    <n v="5"/>
    <n v="4"/>
    <n v="5"/>
    <n v="41"/>
    <m/>
    <n v="8"/>
    <n v="10"/>
    <n v="12"/>
    <n v="3"/>
    <n v="2"/>
    <n v="3"/>
    <n v="38"/>
    <m/>
    <n v="79"/>
    <m/>
    <n v="8"/>
    <m/>
    <m/>
    <m/>
    <m/>
    <n v="41.870000000000005"/>
    <n v="1088.6200000000001"/>
    <n v="3688.62"/>
    <n v="1311.38"/>
    <n v="5000"/>
    <n v="5000"/>
    <n v="5108.16"/>
    <n v="2508.16"/>
    <n v="96.467692307692303"/>
    <n v="5108.16"/>
    <n v="2508.16"/>
    <n v="96.467692307692303"/>
    <m/>
    <n v="2"/>
    <n v="5110.16"/>
    <n v="170.33866666666665"/>
    <m/>
  </r>
  <r>
    <m/>
    <n v="854"/>
    <x v="166"/>
    <x v="1"/>
    <x v="7"/>
    <n v="0"/>
    <x v="21"/>
    <x v="5"/>
    <m/>
    <n v="0"/>
    <n v="0"/>
    <d v="2015-11-21T00:00:00"/>
    <d v="2017-12-31T00:00:00"/>
    <n v="1760"/>
    <n v="2"/>
    <n v="1"/>
    <n v="4.16"/>
    <n v="73.215999999999994"/>
    <n v="124.8"/>
    <m/>
    <m/>
    <n v="6"/>
    <n v="4"/>
    <n v="3"/>
    <n v="4"/>
    <n v="4"/>
    <n v="3"/>
    <n v="6"/>
    <n v="4"/>
    <n v="6"/>
    <n v="40"/>
    <m/>
    <n v="9"/>
    <n v="14"/>
    <n v="15"/>
    <n v="7"/>
    <n v="5"/>
    <n v="3"/>
    <n v="53"/>
    <m/>
    <n v="93"/>
    <m/>
    <m/>
    <m/>
    <m/>
    <m/>
    <m/>
    <n v="49.29"/>
    <n v="867.50400000000002"/>
    <n v="2627.5039999999999"/>
    <n v="372.49600000000009"/>
    <n v="3000"/>
    <n v="3000"/>
    <n v="3073.2159999999999"/>
    <n v="1313.2159999999999"/>
    <n v="74.614545454545436"/>
    <n v="3073.2159999999999"/>
    <n v="1313.2159999999999"/>
    <n v="74.614545454545436"/>
    <m/>
    <n v="7"/>
    <n v="3080.2159999999999"/>
    <n v="102.67386666666667"/>
    <m/>
  </r>
  <r>
    <m/>
    <n v="855"/>
    <x v="167"/>
    <x v="1"/>
    <x v="8"/>
    <n v="0"/>
    <x v="22"/>
    <x v="3"/>
    <s v="A"/>
    <s v="بكلاريوس"/>
    <s v="محاسبه"/>
    <d v="2015-12-15T00:00:00"/>
    <d v="2017-12-31T00:00:00"/>
    <n v="2400"/>
    <n v="2"/>
    <n v="0"/>
    <n v="4"/>
    <n v="96"/>
    <n v="200"/>
    <m/>
    <m/>
    <n v="6"/>
    <n v="4"/>
    <n v="4"/>
    <n v="4"/>
    <n v="4"/>
    <n v="4"/>
    <n v="5"/>
    <n v="4"/>
    <n v="5"/>
    <n v="40"/>
    <m/>
    <n v="8"/>
    <n v="14"/>
    <n v="15"/>
    <n v="3"/>
    <n v="4"/>
    <n v="3"/>
    <n v="47"/>
    <m/>
    <n v="87"/>
    <m/>
    <n v="10"/>
    <m/>
    <m/>
    <m/>
    <m/>
    <n v="46.11"/>
    <n v="1106.6400000000001"/>
    <n v="3506.6400000000003"/>
    <n v="1493.3599999999997"/>
    <n v="5000"/>
    <n v="5000"/>
    <n v="5096"/>
    <n v="2696"/>
    <n v="112.33333333333333"/>
    <n v="5096"/>
    <n v="2696"/>
    <n v="112.33333333333333"/>
    <m/>
    <n v="4"/>
    <n v="5100"/>
    <n v="170"/>
    <m/>
  </r>
  <r>
    <m/>
    <n v="856"/>
    <x v="168"/>
    <x v="1"/>
    <x v="4"/>
    <n v="0"/>
    <x v="9"/>
    <x v="4"/>
    <s v="B"/>
    <s v="دبلوم تقني"/>
    <s v="هندسة ميكانيكية ( إنتاج )"/>
    <d v="2016-01-03T00:00:00"/>
    <d v="2017-12-31T00:00:00"/>
    <n v="2320"/>
    <n v="1"/>
    <n v="11"/>
    <n v="3.76"/>
    <n v="87.231999999999985"/>
    <n v="169.2"/>
    <m/>
    <m/>
    <n v="5"/>
    <n v="4"/>
    <n v="4"/>
    <n v="5"/>
    <n v="4"/>
    <n v="4"/>
    <n v="5"/>
    <n v="4"/>
    <n v="5"/>
    <n v="40"/>
    <m/>
    <n v="8"/>
    <n v="13"/>
    <n v="12"/>
    <n v="5"/>
    <n v="4"/>
    <n v="3"/>
    <n v="45"/>
    <m/>
    <n v="85"/>
    <m/>
    <m/>
    <m/>
    <m/>
    <m/>
    <m/>
    <n v="45.050000000000004"/>
    <n v="1045.1600000000001"/>
    <n v="3365.16"/>
    <n v="1134.8400000000001"/>
    <n v="4500"/>
    <n v="4500"/>
    <n v="4587.232"/>
    <n v="2267.232"/>
    <n v="97.725517241379308"/>
    <n v="4587.232"/>
    <n v="2267.232"/>
    <n v="97.725517241379308"/>
    <n v="963"/>
    <m/>
    <n v="5550.232"/>
    <n v="185.00773333333333"/>
    <m/>
  </r>
  <r>
    <m/>
    <n v="857"/>
    <x v="169"/>
    <x v="1"/>
    <x v="3"/>
    <s v="الحركه"/>
    <x v="51"/>
    <x v="2"/>
    <m/>
    <n v="0"/>
    <n v="0"/>
    <d v="2016-01-17T00:00:00"/>
    <d v="2017-12-31T00:00:00"/>
    <n v="2035"/>
    <n v="1"/>
    <n v="11"/>
    <n v="3.76"/>
    <n v="76.515999999999991"/>
    <n v="150.39999999999998"/>
    <m/>
    <m/>
    <n v="6"/>
    <n v="3"/>
    <n v="5"/>
    <n v="3"/>
    <n v="3"/>
    <n v="3"/>
    <n v="5"/>
    <n v="4"/>
    <n v="6"/>
    <n v="38"/>
    <m/>
    <n v="10"/>
    <n v="14"/>
    <n v="15"/>
    <n v="7"/>
    <n v="5"/>
    <n v="3"/>
    <n v="54"/>
    <m/>
    <n v="92"/>
    <m/>
    <n v="6"/>
    <m/>
    <m/>
    <m/>
    <m/>
    <n v="48.760000000000005"/>
    <n v="992.26600000000008"/>
    <n v="3027.2660000000001"/>
    <n v="972.73399999999992"/>
    <n v="4000"/>
    <n v="4000"/>
    <n v="4076.5160000000001"/>
    <n v="2041.5160000000001"/>
    <n v="100.32019656019656"/>
    <n v="4076.5160000000001"/>
    <n v="2041.5160000000001"/>
    <n v="100.32019656019656"/>
    <m/>
    <n v="3"/>
    <n v="4079.5160000000001"/>
    <n v="135.98386666666667"/>
    <m/>
  </r>
  <r>
    <m/>
    <n v="859"/>
    <x v="170"/>
    <x v="1"/>
    <x v="3"/>
    <s v="الحركه"/>
    <x v="51"/>
    <x v="2"/>
    <m/>
    <n v="0"/>
    <n v="0"/>
    <d v="2016-02-01T00:00:00"/>
    <d v="2017-12-31T00:00:00"/>
    <n v="2035"/>
    <n v="1"/>
    <n v="10"/>
    <n v="3.6"/>
    <n v="73.260000000000005"/>
    <n v="144.00000000000003"/>
    <m/>
    <m/>
    <n v="6"/>
    <n v="5"/>
    <n v="5"/>
    <n v="5"/>
    <n v="4"/>
    <n v="4"/>
    <n v="6"/>
    <n v="4"/>
    <n v="6"/>
    <n v="45"/>
    <m/>
    <n v="9"/>
    <n v="14"/>
    <n v="15"/>
    <n v="7"/>
    <n v="4"/>
    <n v="3"/>
    <n v="52"/>
    <m/>
    <n v="97"/>
    <m/>
    <n v="10"/>
    <m/>
    <m/>
    <m/>
    <m/>
    <n v="51.410000000000004"/>
    <n v="1046.1935000000001"/>
    <n v="3081.1935000000003"/>
    <n v="918.80649999999969"/>
    <n v="4000"/>
    <n v="4000"/>
    <n v="4073.26"/>
    <n v="2038.2600000000002"/>
    <n v="100.16019656019657"/>
    <n v="4073.26"/>
    <n v="2038.2600000000002"/>
    <n v="100.16019656019657"/>
    <m/>
    <n v="7"/>
    <n v="4080.26"/>
    <n v="136.00866666666667"/>
    <m/>
  </r>
  <r>
    <m/>
    <n v="860"/>
    <x v="171"/>
    <x v="1"/>
    <x v="4"/>
    <n v="0"/>
    <x v="21"/>
    <x v="5"/>
    <m/>
    <n v="0"/>
    <n v="0"/>
    <d v="2017-07-03T00:00:00"/>
    <d v="2017-12-31T00:00:00"/>
    <n v="1400"/>
    <n v="0"/>
    <n v="5"/>
    <n v="0.8"/>
    <n v="11.200000000000001"/>
    <n v="24"/>
    <m/>
    <m/>
    <n v="4"/>
    <n v="4"/>
    <n v="4"/>
    <n v="1"/>
    <n v="1"/>
    <n v="1"/>
    <n v="4"/>
    <n v="3"/>
    <n v="5"/>
    <n v="27"/>
    <m/>
    <n v="9"/>
    <n v="13"/>
    <n v="12"/>
    <n v="5"/>
    <n v="4"/>
    <n v="3"/>
    <n v="46"/>
    <m/>
    <n v="73"/>
    <m/>
    <m/>
    <m/>
    <m/>
    <m/>
    <m/>
    <n v="38.690000000000005"/>
    <n v="541.66000000000008"/>
    <n v="1941.66"/>
    <n v="1058.3399999999999"/>
    <n v="3000"/>
    <n v="3000"/>
    <n v="3011.2"/>
    <n v="1611.1999999999998"/>
    <n v="115.08571428571427"/>
    <n v="3011.2"/>
    <n v="1611.1999999999998"/>
    <n v="115.08571428571427"/>
    <m/>
    <n v="9"/>
    <n v="3020.2"/>
    <n v="100.67333333333333"/>
    <m/>
  </r>
  <r>
    <m/>
    <n v="862"/>
    <x v="172"/>
    <x v="1"/>
    <x v="4"/>
    <n v="0"/>
    <x v="15"/>
    <x v="2"/>
    <m/>
    <s v="شهاده ثانويه"/>
    <n v="0"/>
    <d v="2016-02-04T00:00:00"/>
    <d v="2017-12-31T00:00:00"/>
    <n v="2210"/>
    <n v="1"/>
    <n v="10"/>
    <n v="3.6"/>
    <n v="79.56"/>
    <n v="144.00000000000003"/>
    <m/>
    <m/>
    <n v="4"/>
    <n v="4"/>
    <n v="3"/>
    <n v="3"/>
    <n v="4"/>
    <n v="2"/>
    <n v="4"/>
    <n v="3"/>
    <n v="5"/>
    <n v="32"/>
    <m/>
    <n v="8"/>
    <n v="13"/>
    <n v="12"/>
    <n v="1"/>
    <n v="4"/>
    <n v="3"/>
    <n v="41"/>
    <m/>
    <n v="73"/>
    <m/>
    <m/>
    <m/>
    <m/>
    <m/>
    <m/>
    <n v="38.690000000000005"/>
    <n v="855.04900000000009"/>
    <n v="3065.049"/>
    <n v="934.95100000000002"/>
    <n v="4000"/>
    <n v="4000"/>
    <n v="4079.56"/>
    <n v="1869.56"/>
    <n v="84.595475113122163"/>
    <n v="4079.56"/>
    <n v="1869.56"/>
    <n v="84.595475113122163"/>
    <m/>
    <m/>
    <n v="4079.56"/>
    <n v="135.98533333333333"/>
    <m/>
  </r>
  <r>
    <m/>
    <n v="863"/>
    <x v="173"/>
    <x v="1"/>
    <x v="9"/>
    <s v="موظف"/>
    <x v="28"/>
    <x v="3"/>
    <s v="A"/>
    <s v="بكلاريوس"/>
    <s v="إدارة الاعمال"/>
    <d v="2016-02-09T00:00:00"/>
    <d v="2017-12-31T00:00:00"/>
    <n v="2350"/>
    <n v="1"/>
    <n v="10"/>
    <n v="3.6"/>
    <n v="84.600000000000009"/>
    <n v="180.00000000000003"/>
    <m/>
    <m/>
    <n v="5"/>
    <n v="5"/>
    <n v="4"/>
    <n v="4"/>
    <n v="4"/>
    <n v="4"/>
    <n v="5"/>
    <n v="4"/>
    <n v="5"/>
    <n v="40"/>
    <m/>
    <n v="9"/>
    <n v="15"/>
    <n v="15"/>
    <n v="7"/>
    <n v="4"/>
    <n v="3"/>
    <n v="53"/>
    <m/>
    <n v="93"/>
    <m/>
    <m/>
    <m/>
    <m/>
    <m/>
    <m/>
    <n v="49.29"/>
    <n v="1158.3150000000001"/>
    <n v="3508.3150000000001"/>
    <n v="1491.6849999999999"/>
    <n v="5000"/>
    <n v="5000"/>
    <n v="5084.6000000000004"/>
    <n v="2734.6000000000004"/>
    <n v="116.36595744680852"/>
    <n v="5084.6000000000004"/>
    <n v="2734.6000000000004"/>
    <n v="116.36595744680852"/>
    <m/>
    <n v="5"/>
    <n v="5089.6000000000004"/>
    <n v="169.65333333333334"/>
    <m/>
  </r>
  <r>
    <m/>
    <n v="866"/>
    <x v="174"/>
    <x v="1"/>
    <x v="4"/>
    <n v="0"/>
    <x v="21"/>
    <x v="5"/>
    <m/>
    <n v="0"/>
    <n v="0"/>
    <d v="2016-02-15T00:00:00"/>
    <d v="2017-12-31T00:00:00"/>
    <n v="1760"/>
    <n v="1"/>
    <n v="10"/>
    <n v="3.6"/>
    <n v="63.360000000000007"/>
    <n v="108.00000000000001"/>
    <m/>
    <m/>
    <n v="2"/>
    <n v="2"/>
    <n v="2"/>
    <n v="1"/>
    <n v="2"/>
    <n v="1"/>
    <n v="2"/>
    <n v="2"/>
    <n v="2"/>
    <n v="16"/>
    <m/>
    <n v="7"/>
    <n v="12"/>
    <n v="1"/>
    <n v="1"/>
    <n v="3"/>
    <n v="3"/>
    <n v="27"/>
    <m/>
    <n v="43"/>
    <m/>
    <m/>
    <m/>
    <m/>
    <m/>
    <m/>
    <n v="22.790000000000003"/>
    <n v="401.10400000000004"/>
    <n v="2161.1040000000003"/>
    <n v="838.89599999999973"/>
    <n v="3000"/>
    <n v="3000"/>
    <n v="3063.36"/>
    <n v="1303.3600000000001"/>
    <n v="74.054545454545462"/>
    <n v="3063.36"/>
    <n v="1303.3600000000001"/>
    <n v="74.054545454545462"/>
    <m/>
    <n v="7"/>
    <n v="3070.36"/>
    <n v="102.34533333333334"/>
    <m/>
  </r>
  <r>
    <m/>
    <n v="867"/>
    <x v="175"/>
    <x v="1"/>
    <x v="6"/>
    <s v="تبريد وتكيف"/>
    <x v="55"/>
    <x v="2"/>
    <s v="C"/>
    <s v="تدريب مهني"/>
    <s v="تبريد وتكييف"/>
    <d v="2016-02-24T00:00:00"/>
    <d v="2017-12-31T00:00:00"/>
    <n v="2480"/>
    <n v="1"/>
    <n v="10"/>
    <n v="3.6"/>
    <n v="89.280000000000015"/>
    <n v="144.00000000000003"/>
    <m/>
    <m/>
    <n v="5"/>
    <n v="3"/>
    <n v="2"/>
    <n v="3"/>
    <n v="2"/>
    <n v="2"/>
    <n v="5"/>
    <n v="3"/>
    <n v="5"/>
    <n v="30"/>
    <m/>
    <n v="5"/>
    <n v="9"/>
    <n v="15"/>
    <n v="1"/>
    <n v="3"/>
    <n v="3"/>
    <n v="36"/>
    <m/>
    <n v="66"/>
    <m/>
    <m/>
    <m/>
    <m/>
    <m/>
    <m/>
    <n v="34.980000000000004"/>
    <n v="867.50400000000013"/>
    <n v="3347.5039999999999"/>
    <n v="652.49600000000009"/>
    <n v="4000"/>
    <n v="4000"/>
    <n v="4089.28"/>
    <n v="1609.2800000000002"/>
    <n v="64.890322580645162"/>
    <n v="4089.28"/>
    <n v="1609.2800000000002"/>
    <n v="64.890322580645162"/>
    <m/>
    <n v="1"/>
    <n v="4090.28"/>
    <n v="136.34266666666667"/>
    <m/>
  </r>
  <r>
    <m/>
    <n v="873"/>
    <x v="176"/>
    <x v="1"/>
    <x v="10"/>
    <n v="0"/>
    <x v="35"/>
    <x v="5"/>
    <s v="B"/>
    <s v="دبلوم تقني"/>
    <s v="هندسة مدنية"/>
    <d v="2016-03-07T00:00:00"/>
    <d v="2017-12-31T00:00:00"/>
    <n v="1700"/>
    <n v="1"/>
    <n v="9"/>
    <n v="3.44"/>
    <n v="58.48"/>
    <n v="103.2"/>
    <m/>
    <m/>
    <n v="6"/>
    <n v="4"/>
    <n v="5"/>
    <n v="4"/>
    <n v="4"/>
    <n v="3"/>
    <n v="5"/>
    <n v="4"/>
    <n v="6"/>
    <n v="41"/>
    <m/>
    <n v="9"/>
    <n v="14"/>
    <n v="15"/>
    <n v="3"/>
    <n v="3"/>
    <n v="3"/>
    <n v="47"/>
    <m/>
    <n v="88"/>
    <m/>
    <n v="9"/>
    <m/>
    <m/>
    <m/>
    <m/>
    <n v="46.64"/>
    <n v="792.88"/>
    <n v="2492.88"/>
    <n v="507.11999999999989"/>
    <n v="3000"/>
    <n v="3000"/>
    <n v="3058.48"/>
    <n v="1358.48"/>
    <n v="79.910588235294114"/>
    <n v="3058.48"/>
    <n v="1358.48"/>
    <n v="79.910588235294114"/>
    <m/>
    <n v="2"/>
    <n v="3060.48"/>
    <n v="102.01600000000001"/>
    <m/>
  </r>
  <r>
    <m/>
    <n v="874"/>
    <x v="177"/>
    <x v="1"/>
    <x v="2"/>
    <s v="الاسكبات"/>
    <x v="42"/>
    <x v="6"/>
    <s v="B"/>
    <s v="دبلوم تقني"/>
    <s v="المحاسبة"/>
    <d v="2016-03-08T00:00:00"/>
    <d v="2017-12-31T00:00:00"/>
    <n v="1850"/>
    <n v="1"/>
    <n v="9"/>
    <n v="3.44"/>
    <n v="63.64"/>
    <n v="120.4"/>
    <m/>
    <m/>
    <n v="4"/>
    <n v="4"/>
    <n v="3"/>
    <n v="4"/>
    <n v="4"/>
    <n v="3"/>
    <n v="5"/>
    <n v="4"/>
    <n v="5"/>
    <n v="36"/>
    <m/>
    <n v="10"/>
    <n v="14"/>
    <n v="15"/>
    <n v="7"/>
    <n v="4"/>
    <n v="3"/>
    <n v="53"/>
    <m/>
    <n v="89"/>
    <m/>
    <m/>
    <m/>
    <m/>
    <m/>
    <m/>
    <n v="47.17"/>
    <n v="872.64499999999998"/>
    <n v="2722.645"/>
    <n v="777.35500000000002"/>
    <n v="3500"/>
    <n v="3500"/>
    <n v="3563.64"/>
    <n v="1713.6399999999999"/>
    <n v="92.629189189189177"/>
    <n v="3563.64"/>
    <n v="1713.6399999999999"/>
    <n v="92.629189189189177"/>
    <m/>
    <n v="6"/>
    <n v="3569.64"/>
    <n v="118.988"/>
    <m/>
  </r>
  <r>
    <m/>
    <n v="882"/>
    <x v="178"/>
    <x v="1"/>
    <x v="4"/>
    <n v="0"/>
    <x v="21"/>
    <x v="5"/>
    <s v="B"/>
    <s v="دبلوم تقني"/>
    <s v="الهندسة الزراعية"/>
    <d v="2016-05-14T00:00:00"/>
    <d v="2017-12-31T00:00:00"/>
    <n v="1600"/>
    <n v="1"/>
    <n v="7"/>
    <n v="3.12"/>
    <n v="49.92"/>
    <n v="93.600000000000009"/>
    <m/>
    <m/>
    <n v="4"/>
    <n v="4"/>
    <n v="4"/>
    <n v="1"/>
    <n v="1"/>
    <n v="1"/>
    <n v="4"/>
    <n v="3"/>
    <n v="5"/>
    <n v="27"/>
    <m/>
    <n v="8"/>
    <n v="13"/>
    <n v="12"/>
    <n v="5"/>
    <n v="3"/>
    <n v="3"/>
    <n v="44"/>
    <m/>
    <n v="71"/>
    <m/>
    <m/>
    <m/>
    <m/>
    <m/>
    <m/>
    <n v="37.630000000000003"/>
    <n v="602.08000000000004"/>
    <n v="2202.08"/>
    <n v="797.92000000000007"/>
    <n v="3000"/>
    <n v="3000"/>
    <n v="3049.92"/>
    <n v="1449.92"/>
    <n v="90.62"/>
    <n v="3049.92"/>
    <n v="1449.92"/>
    <n v="90.62"/>
    <m/>
    <m/>
    <n v="3049.92"/>
    <n v="101.664"/>
    <m/>
  </r>
  <r>
    <m/>
    <n v="883"/>
    <x v="179"/>
    <x v="1"/>
    <x v="4"/>
    <n v="0"/>
    <x v="14"/>
    <x v="2"/>
    <s v="C"/>
    <s v="دبلوم وسيط"/>
    <s v="هندسة ميكانيكية ( إنتاج )"/>
    <d v="2016-05-14T00:00:00"/>
    <d v="2017-12-31T00:00:00"/>
    <n v="1850"/>
    <n v="1"/>
    <n v="7"/>
    <n v="3.12"/>
    <n v="57.720000000000006"/>
    <n v="124.80000000000001"/>
    <m/>
    <m/>
    <n v="5"/>
    <n v="4"/>
    <n v="4"/>
    <n v="3"/>
    <n v="4"/>
    <n v="4"/>
    <n v="5"/>
    <n v="3"/>
    <n v="5"/>
    <n v="37"/>
    <m/>
    <n v="8"/>
    <n v="13"/>
    <n v="9"/>
    <n v="1"/>
    <n v="4"/>
    <n v="3"/>
    <n v="38"/>
    <m/>
    <n v="75"/>
    <m/>
    <m/>
    <m/>
    <m/>
    <m/>
    <m/>
    <n v="39.75"/>
    <n v="735.375"/>
    <n v="2585.375"/>
    <n v="1414.625"/>
    <n v="4000"/>
    <n v="4000"/>
    <n v="4057.72"/>
    <n v="2207.7199999999998"/>
    <n v="119.3362162162162"/>
    <n v="4057.72"/>
    <n v="2207.7199999999998"/>
    <n v="119.3362162162162"/>
    <m/>
    <n v="2"/>
    <n v="4059.72"/>
    <n v="135.32399999999998"/>
    <m/>
  </r>
  <r>
    <m/>
    <n v="894"/>
    <x v="180"/>
    <x v="1"/>
    <x v="4"/>
    <n v="0"/>
    <x v="15"/>
    <x v="2"/>
    <m/>
    <s v="بكلاريوس"/>
    <s v="الدراسات الإسلامية "/>
    <d v="2016-05-19T00:00:00"/>
    <d v="2017-12-31T00:00:00"/>
    <n v="1600"/>
    <n v="1"/>
    <n v="7"/>
    <n v="3.12"/>
    <n v="49.92"/>
    <n v="124.80000000000001"/>
    <m/>
    <m/>
    <n v="5"/>
    <n v="4"/>
    <n v="4"/>
    <n v="3"/>
    <n v="4"/>
    <n v="3"/>
    <n v="5"/>
    <n v="4"/>
    <n v="5"/>
    <n v="37"/>
    <m/>
    <n v="9"/>
    <n v="14"/>
    <n v="15"/>
    <n v="7"/>
    <n v="4"/>
    <n v="3"/>
    <n v="52"/>
    <m/>
    <n v="89"/>
    <m/>
    <m/>
    <m/>
    <m/>
    <m/>
    <m/>
    <n v="47.17"/>
    <n v="754.72"/>
    <n v="2354.7200000000003"/>
    <n v="1645.2799999999997"/>
    <n v="4000"/>
    <n v="4000"/>
    <n v="4049.92"/>
    <n v="2449.92"/>
    <n v="153.12"/>
    <n v="4049.92"/>
    <n v="2449.92"/>
    <n v="153.12"/>
    <m/>
    <m/>
    <n v="4049.92"/>
    <n v="134.99733333333333"/>
    <m/>
  </r>
  <r>
    <m/>
    <n v="895"/>
    <x v="181"/>
    <x v="1"/>
    <x v="5"/>
    <n v="0"/>
    <x v="46"/>
    <x v="2"/>
    <m/>
    <n v="0"/>
    <n v="0"/>
    <d v="2016-06-01T00:00:00"/>
    <d v="2017-12-31T00:00:00"/>
    <n v="2280"/>
    <n v="1"/>
    <n v="6"/>
    <n v="2.96"/>
    <n v="67.488"/>
    <n v="118.4"/>
    <m/>
    <m/>
    <n v="5"/>
    <n v="4"/>
    <n v="4.5"/>
    <n v="4"/>
    <n v="4"/>
    <n v="3.5"/>
    <n v="5"/>
    <n v="3.5"/>
    <n v="5"/>
    <n v="38.5"/>
    <m/>
    <n v="9"/>
    <n v="14"/>
    <n v="15"/>
    <n v="7"/>
    <n v="4"/>
    <n v="3"/>
    <n v="52"/>
    <m/>
    <n v="90.5"/>
    <m/>
    <n v="8"/>
    <m/>
    <m/>
    <m/>
    <m/>
    <n v="47.965000000000003"/>
    <n v="1093.6020000000001"/>
    <n v="3373.6019999999999"/>
    <n v="626.39800000000014"/>
    <n v="4000"/>
    <n v="4000"/>
    <n v="4067.4879999999998"/>
    <n v="1787.4879999999998"/>
    <n v="78.398596491228062"/>
    <n v="4067.4879999999998"/>
    <n v="1787.4879999999998"/>
    <n v="78.398596491228062"/>
    <m/>
    <n v="3"/>
    <n v="4070.4879999999998"/>
    <n v="135.68293333333332"/>
    <m/>
  </r>
  <r>
    <m/>
    <n v="896"/>
    <x v="182"/>
    <x v="1"/>
    <x v="4"/>
    <n v="0"/>
    <x v="21"/>
    <x v="5"/>
    <s v="B"/>
    <s v="دبلوم تقني"/>
    <s v="إدارة المكاتب"/>
    <d v="2016-06-01T00:00:00"/>
    <d v="2017-12-31T00:00:00"/>
    <n v="1600"/>
    <n v="1"/>
    <n v="6"/>
    <n v="2.96"/>
    <n v="47.36"/>
    <n v="88.8"/>
    <m/>
    <m/>
    <n v="5"/>
    <n v="4"/>
    <n v="3"/>
    <n v="0"/>
    <n v="1"/>
    <n v="1"/>
    <n v="4"/>
    <n v="3"/>
    <n v="5"/>
    <n v="26"/>
    <m/>
    <n v="9"/>
    <n v="13"/>
    <n v="12"/>
    <n v="5"/>
    <n v="4"/>
    <n v="3"/>
    <n v="46"/>
    <m/>
    <n v="72"/>
    <m/>
    <m/>
    <m/>
    <m/>
    <m/>
    <m/>
    <n v="38.160000000000004"/>
    <n v="610.56000000000006"/>
    <n v="2210.56"/>
    <n v="789.44"/>
    <n v="3000"/>
    <n v="3000"/>
    <n v="3047.36"/>
    <n v="1447.3600000000001"/>
    <n v="90.460000000000008"/>
    <n v="3047.36"/>
    <n v="1447.3600000000001"/>
    <n v="90.460000000000008"/>
    <m/>
    <n v="3"/>
    <n v="3050.36"/>
    <n v="101.67866666666667"/>
    <m/>
  </r>
  <r>
    <m/>
    <n v="900"/>
    <x v="183"/>
    <x v="1"/>
    <x v="8"/>
    <n v="0"/>
    <x v="22"/>
    <x v="4"/>
    <s v="B"/>
    <s v="دبلوم تقني"/>
    <s v="محاسبة وإدارة الاعمال"/>
    <d v="2016-06-02T00:00:00"/>
    <d v="2017-12-31T00:00:00"/>
    <n v="2220"/>
    <n v="1"/>
    <n v="6"/>
    <n v="2.96"/>
    <n v="65.712000000000003"/>
    <n v="133.20000000000002"/>
    <m/>
    <m/>
    <n v="5"/>
    <n v="4"/>
    <n v="3"/>
    <n v="4"/>
    <n v="4"/>
    <n v="3"/>
    <n v="5"/>
    <n v="4"/>
    <n v="5"/>
    <n v="37"/>
    <m/>
    <n v="8"/>
    <n v="14"/>
    <n v="15"/>
    <n v="1"/>
    <n v="2"/>
    <n v="3"/>
    <n v="43"/>
    <m/>
    <n v="80"/>
    <m/>
    <n v="9"/>
    <m/>
    <m/>
    <m/>
    <m/>
    <n v="42.400000000000006"/>
    <n v="941.28000000000009"/>
    <n v="3161.28"/>
    <n v="1338.7199999999998"/>
    <n v="4500"/>
    <n v="4500"/>
    <n v="4565.7120000000004"/>
    <n v="2345.7120000000004"/>
    <n v="105.66270270270273"/>
    <n v="4565.7120000000004"/>
    <n v="2345.7120000000004"/>
    <n v="105.66270270270273"/>
    <m/>
    <n v="4"/>
    <n v="4569.7120000000004"/>
    <n v="152.32373333333334"/>
    <m/>
  </r>
  <r>
    <m/>
    <n v="902"/>
    <x v="184"/>
    <x v="1"/>
    <x v="14"/>
    <n v="0"/>
    <x v="56"/>
    <x v="1"/>
    <m/>
    <n v="0"/>
    <n v="0"/>
    <d v="2016-06-20T00:00:00"/>
    <d v="2017-12-31T00:00:00"/>
    <n v="3500"/>
    <n v="1"/>
    <n v="6"/>
    <n v="2.96"/>
    <n v="103.60000000000001"/>
    <n v="154.11536000000001"/>
    <m/>
    <m/>
    <n v="5"/>
    <n v="4"/>
    <n v="4"/>
    <n v="4"/>
    <n v="4"/>
    <n v="4"/>
    <n v="5"/>
    <n v="4"/>
    <n v="6"/>
    <n v="40"/>
    <m/>
    <n v="9"/>
    <n v="14"/>
    <n v="15"/>
    <n v="7"/>
    <n v="4"/>
    <n v="3"/>
    <n v="52"/>
    <m/>
    <n v="92"/>
    <m/>
    <m/>
    <m/>
    <m/>
    <m/>
    <m/>
    <n v="48.760000000000005"/>
    <n v="1706.6000000000001"/>
    <n v="5206.6000000000004"/>
    <m/>
    <n v="5000"/>
    <n v="5206.6000000000004"/>
    <n v="5310.2000000000007"/>
    <n v="1810.2000000000007"/>
    <n v="51.72000000000002"/>
    <n v="5310.2000000000007"/>
    <n v="1810.2000000000007"/>
    <n v="51.72000000000002"/>
    <n v="1140"/>
    <m/>
    <n v="6450.2000000000007"/>
    <n v="215.00666666666669"/>
    <m/>
  </r>
  <r>
    <m/>
    <n v="904"/>
    <x v="185"/>
    <x v="1"/>
    <x v="4"/>
    <n v="0"/>
    <x v="21"/>
    <x v="5"/>
    <m/>
    <n v="0"/>
    <n v="0"/>
    <d v="2016-07-18T00:00:00"/>
    <d v="2017-12-31T00:00:00"/>
    <n v="1600"/>
    <n v="1"/>
    <n v="5"/>
    <n v="2.8"/>
    <n v="44.8"/>
    <n v="83.999999999999986"/>
    <m/>
    <m/>
    <n v="4"/>
    <n v="4"/>
    <n v="4"/>
    <n v="1"/>
    <n v="1"/>
    <n v="1"/>
    <n v="6"/>
    <n v="4"/>
    <n v="6"/>
    <n v="31"/>
    <m/>
    <n v="7"/>
    <n v="13"/>
    <n v="6"/>
    <n v="1"/>
    <n v="3"/>
    <n v="3"/>
    <n v="33"/>
    <m/>
    <n v="64"/>
    <m/>
    <m/>
    <m/>
    <m/>
    <m/>
    <m/>
    <n v="33.92"/>
    <n v="542.72"/>
    <n v="2142.7200000000003"/>
    <n v="857.27999999999975"/>
    <n v="3000"/>
    <n v="3000"/>
    <n v="3044.8"/>
    <n v="1444.8000000000002"/>
    <n v="90.300000000000011"/>
    <n v="3044.8"/>
    <n v="1444.8000000000002"/>
    <n v="90.300000000000011"/>
    <m/>
    <n v="5"/>
    <n v="3049.8"/>
    <n v="101.66000000000001"/>
    <m/>
  </r>
  <r>
    <m/>
    <n v="907"/>
    <x v="186"/>
    <x v="1"/>
    <x v="5"/>
    <n v="0"/>
    <x v="16"/>
    <x v="2"/>
    <s v="C"/>
    <s v="تدريب مهني"/>
    <s v="خراطه"/>
    <d v="2016-08-01T00:00:00"/>
    <d v="2017-12-31T00:00:00"/>
    <n v="2040"/>
    <n v="1"/>
    <n v="4"/>
    <n v="2.64"/>
    <n v="53.856000000000002"/>
    <n v="105.6"/>
    <m/>
    <m/>
    <n v="5"/>
    <n v="4"/>
    <n v="4"/>
    <n v="4"/>
    <n v="3"/>
    <n v="3"/>
    <n v="4"/>
    <n v="3"/>
    <n v="4.5"/>
    <n v="34.5"/>
    <m/>
    <n v="9"/>
    <n v="14"/>
    <n v="15"/>
    <n v="7"/>
    <n v="4"/>
    <n v="3"/>
    <n v="52"/>
    <m/>
    <n v="86.5"/>
    <m/>
    <n v="8"/>
    <m/>
    <m/>
    <m/>
    <m/>
    <n v="45.844999999999999"/>
    <n v="935.23799999999994"/>
    <n v="2975.2379999999998"/>
    <n v="1024.7620000000002"/>
    <n v="4000"/>
    <n v="4000"/>
    <n v="4053.8560000000002"/>
    <n v="2013.8560000000002"/>
    <n v="98.718431372549034"/>
    <n v="4053.8560000000002"/>
    <n v="2013.8560000000002"/>
    <n v="98.718431372549034"/>
    <m/>
    <n v="6"/>
    <n v="4059.8560000000002"/>
    <n v="135.32853333333335"/>
    <m/>
  </r>
  <r>
    <m/>
    <n v="908"/>
    <x v="187"/>
    <x v="1"/>
    <x v="5"/>
    <n v="0"/>
    <x v="57"/>
    <x v="2"/>
    <m/>
    <s v="شهاده ثانويه"/>
    <s v="سيارات"/>
    <d v="2016-08-01T00:00:00"/>
    <d v="2017-12-31T00:00:00"/>
    <n v="2040"/>
    <n v="1"/>
    <n v="4"/>
    <n v="2.64"/>
    <n v="53.856000000000002"/>
    <n v="105.6"/>
    <m/>
    <m/>
    <n v="5"/>
    <n v="4"/>
    <n v="4"/>
    <n v="4.5"/>
    <n v="3.5"/>
    <n v="3"/>
    <n v="4"/>
    <n v="3.5"/>
    <n v="4.5"/>
    <n v="36"/>
    <m/>
    <n v="9"/>
    <n v="13"/>
    <n v="15"/>
    <n v="3"/>
    <n v="4"/>
    <n v="3"/>
    <n v="47"/>
    <m/>
    <n v="83"/>
    <m/>
    <n v="8"/>
    <m/>
    <m/>
    <m/>
    <m/>
    <n v="43.99"/>
    <n v="897.39600000000007"/>
    <n v="2937.3960000000002"/>
    <n v="1062.6039999999998"/>
    <n v="4000"/>
    <n v="4000"/>
    <n v="4053.8560000000002"/>
    <n v="2013.8560000000002"/>
    <n v="98.718431372549034"/>
    <n v="4053.8560000000002"/>
    <n v="2013.8560000000002"/>
    <n v="98.718431372549034"/>
    <m/>
    <n v="6"/>
    <n v="4059.8560000000002"/>
    <n v="135.32853333333335"/>
    <m/>
  </r>
  <r>
    <m/>
    <n v="909"/>
    <x v="188"/>
    <x v="1"/>
    <x v="4"/>
    <n v="0"/>
    <x v="9"/>
    <x v="4"/>
    <m/>
    <s v="شهاده ثانويه"/>
    <s v="كهرباء"/>
    <d v="2016-08-03T00:00:00"/>
    <d v="2017-12-31T00:00:00"/>
    <n v="2300"/>
    <n v="1"/>
    <n v="4"/>
    <n v="2.64"/>
    <n v="60.72"/>
    <n v="118.8"/>
    <m/>
    <m/>
    <n v="6"/>
    <n v="4"/>
    <n v="4"/>
    <n v="3"/>
    <n v="3"/>
    <n v="3"/>
    <n v="6"/>
    <n v="4"/>
    <n v="6"/>
    <n v="39"/>
    <m/>
    <n v="8"/>
    <n v="14"/>
    <n v="12"/>
    <n v="5"/>
    <n v="3"/>
    <n v="3"/>
    <n v="45"/>
    <m/>
    <n v="84"/>
    <m/>
    <m/>
    <m/>
    <m/>
    <m/>
    <m/>
    <n v="44.52"/>
    <n v="1023.96"/>
    <n v="3323.96"/>
    <n v="1176.04"/>
    <n v="4500"/>
    <n v="4500"/>
    <n v="4560.72"/>
    <n v="2260.7200000000003"/>
    <n v="98.292173913043484"/>
    <n v="4560.72"/>
    <n v="2260.7200000000003"/>
    <n v="98.292173913043484"/>
    <n v="989"/>
    <m/>
    <n v="5549.72"/>
    <n v="184.99066666666667"/>
    <m/>
  </r>
  <r>
    <m/>
    <n v="910"/>
    <x v="189"/>
    <x v="1"/>
    <x v="3"/>
    <n v="0"/>
    <x v="5"/>
    <x v="2"/>
    <m/>
    <n v="0"/>
    <n v="0"/>
    <d v="2016-08-07T00:00:00"/>
    <d v="2017-12-31T00:00:00"/>
    <n v="1850"/>
    <n v="1"/>
    <n v="4"/>
    <n v="2.64"/>
    <n v="48.839999999999996"/>
    <n v="105.6"/>
    <m/>
    <m/>
    <n v="6"/>
    <n v="5"/>
    <n v="5"/>
    <n v="4"/>
    <n v="4"/>
    <n v="3"/>
    <n v="6"/>
    <n v="4"/>
    <n v="6"/>
    <n v="43"/>
    <m/>
    <n v="9"/>
    <n v="14"/>
    <n v="10"/>
    <n v="5"/>
    <n v="4"/>
    <n v="3"/>
    <n v="45"/>
    <m/>
    <n v="88"/>
    <m/>
    <n v="4"/>
    <m/>
    <m/>
    <m/>
    <m/>
    <n v="46.64"/>
    <n v="862.83999999999992"/>
    <n v="2712.84"/>
    <n v="1287.1599999999999"/>
    <n v="4000"/>
    <n v="4000"/>
    <n v="4048.84"/>
    <n v="2198.84"/>
    <n v="118.85621621621623"/>
    <n v="4048.84"/>
    <n v="2198.84"/>
    <n v="118.85621621621623"/>
    <m/>
    <n v="1"/>
    <n v="4049.84"/>
    <n v="134.99466666666666"/>
    <m/>
  </r>
  <r>
    <m/>
    <n v="911"/>
    <x v="190"/>
    <x v="1"/>
    <x v="4"/>
    <n v="0"/>
    <x v="15"/>
    <x v="2"/>
    <m/>
    <n v="0"/>
    <n v="0"/>
    <d v="2016-08-11T00:00:00"/>
    <d v="2017-12-31T00:00:00"/>
    <n v="1600"/>
    <n v="1"/>
    <n v="4"/>
    <n v="2.64"/>
    <n v="42.24"/>
    <n v="105.6"/>
    <m/>
    <m/>
    <n v="6"/>
    <n v="5"/>
    <n v="5"/>
    <n v="3"/>
    <n v="3"/>
    <n v="3"/>
    <n v="6"/>
    <n v="4"/>
    <n v="6"/>
    <n v="41"/>
    <m/>
    <n v="8"/>
    <n v="14"/>
    <n v="15"/>
    <n v="5"/>
    <n v="2"/>
    <n v="3"/>
    <n v="47"/>
    <m/>
    <n v="88"/>
    <m/>
    <m/>
    <m/>
    <m/>
    <m/>
    <m/>
    <n v="46.64"/>
    <n v="746.24"/>
    <n v="2346.2399999999998"/>
    <n v="1653.7600000000002"/>
    <n v="4000"/>
    <n v="4000"/>
    <n v="4042.24"/>
    <n v="2442.2399999999998"/>
    <n v="152.63999999999999"/>
    <n v="4042.24"/>
    <n v="2442.2399999999998"/>
    <n v="152.63999999999999"/>
    <m/>
    <n v="8"/>
    <n v="4050.24"/>
    <n v="135.00799999999998"/>
    <m/>
  </r>
  <r>
    <m/>
    <n v="912"/>
    <x v="191"/>
    <x v="1"/>
    <x v="4"/>
    <n v="0"/>
    <x v="15"/>
    <x v="2"/>
    <m/>
    <n v="0"/>
    <n v="0"/>
    <d v="2016-08-11T00:00:00"/>
    <d v="2017-12-31T00:00:00"/>
    <n v="1600"/>
    <n v="1"/>
    <n v="4"/>
    <n v="2.64"/>
    <n v="42.24"/>
    <n v="105.6"/>
    <m/>
    <m/>
    <n v="6"/>
    <n v="5"/>
    <n v="5"/>
    <n v="3"/>
    <n v="3"/>
    <n v="3"/>
    <n v="6"/>
    <n v="4"/>
    <n v="6"/>
    <n v="41"/>
    <m/>
    <n v="10"/>
    <n v="14"/>
    <n v="15"/>
    <n v="7"/>
    <n v="5"/>
    <n v="3"/>
    <n v="54"/>
    <m/>
    <n v="95"/>
    <m/>
    <m/>
    <m/>
    <m/>
    <m/>
    <m/>
    <n v="50.35"/>
    <n v="805.60000000000014"/>
    <n v="2405.6000000000004"/>
    <n v="1594.3999999999996"/>
    <n v="4000"/>
    <n v="4000"/>
    <n v="4042.24"/>
    <n v="2442.2399999999998"/>
    <n v="152.63999999999999"/>
    <n v="4042.24"/>
    <n v="2442.2399999999998"/>
    <n v="152.63999999999999"/>
    <m/>
    <n v="8"/>
    <n v="4050.24"/>
    <n v="135.00799999999998"/>
    <m/>
  </r>
  <r>
    <m/>
    <n v="914"/>
    <x v="192"/>
    <x v="1"/>
    <x v="3"/>
    <n v="0"/>
    <x v="5"/>
    <x v="2"/>
    <m/>
    <n v="0"/>
    <n v="0"/>
    <d v="2016-08-18T00:00:00"/>
    <d v="2017-12-31T00:00:00"/>
    <n v="1800"/>
    <n v="1"/>
    <n v="4"/>
    <n v="2.64"/>
    <n v="47.52"/>
    <n v="105.6"/>
    <m/>
    <m/>
    <n v="4"/>
    <n v="4"/>
    <n v="5"/>
    <n v="2"/>
    <n v="2"/>
    <n v="2"/>
    <n v="2"/>
    <n v="3"/>
    <n v="3"/>
    <n v="27"/>
    <m/>
    <n v="9"/>
    <n v="14"/>
    <n v="15"/>
    <n v="7"/>
    <n v="4"/>
    <n v="3"/>
    <n v="52"/>
    <m/>
    <n v="79"/>
    <m/>
    <n v="3"/>
    <m/>
    <m/>
    <m/>
    <m/>
    <n v="41.870000000000005"/>
    <n v="753.66000000000008"/>
    <n v="2553.66"/>
    <n v="1446.3400000000001"/>
    <n v="4000"/>
    <n v="4000"/>
    <n v="4047.52"/>
    <n v="2247.52"/>
    <n v="124.86222222222221"/>
    <n v="4047.52"/>
    <n v="2247.52"/>
    <n v="124.86222222222221"/>
    <m/>
    <n v="2"/>
    <n v="4049.52"/>
    <n v="134.98400000000001"/>
    <m/>
  </r>
  <r>
    <m/>
    <n v="916"/>
    <x v="193"/>
    <x v="1"/>
    <x v="7"/>
    <n v="0"/>
    <x v="58"/>
    <x v="5"/>
    <m/>
    <s v="شهاده ثانويه"/>
    <n v="0"/>
    <d v="2016-09-20T00:00:00"/>
    <d v="2017-12-31T00:00:00"/>
    <n v="1850"/>
    <n v="1"/>
    <n v="3"/>
    <n v="2.48"/>
    <n v="45.879999999999995"/>
    <n v="74.399999999999991"/>
    <m/>
    <m/>
    <n v="5"/>
    <n v="4"/>
    <n v="3"/>
    <n v="4"/>
    <n v="4"/>
    <n v="3"/>
    <n v="6"/>
    <n v="4"/>
    <n v="6"/>
    <n v="39"/>
    <m/>
    <n v="9"/>
    <n v="14"/>
    <n v="15"/>
    <n v="7"/>
    <n v="4"/>
    <n v="3"/>
    <n v="52"/>
    <m/>
    <n v="91"/>
    <m/>
    <m/>
    <m/>
    <m/>
    <m/>
    <m/>
    <n v="48.230000000000004"/>
    <n v="892.25500000000011"/>
    <n v="2742.2550000000001"/>
    <n v="257.74499999999989"/>
    <n v="3000"/>
    <n v="3000"/>
    <n v="3045.88"/>
    <n v="1195.8800000000001"/>
    <n v="64.642162162162165"/>
    <n v="3045.88"/>
    <n v="1195.8800000000001"/>
    <n v="64.642162162162165"/>
    <m/>
    <n v="4"/>
    <n v="3049.88"/>
    <n v="101.66266666666667"/>
    <m/>
  </r>
  <r>
    <m/>
    <n v="917"/>
    <x v="194"/>
    <x v="1"/>
    <x v="3"/>
    <s v="الامن"/>
    <x v="5"/>
    <x v="2"/>
    <m/>
    <n v="0"/>
    <n v="0"/>
    <d v="2016-10-18T00:00:00"/>
    <d v="2017-12-31T00:00:00"/>
    <n v="1800"/>
    <n v="1"/>
    <n v="2"/>
    <n v="2.3199999999999998"/>
    <n v="41.76"/>
    <n v="92.8"/>
    <m/>
    <m/>
    <n v="6"/>
    <n v="2"/>
    <n v="5"/>
    <n v="2"/>
    <n v="4"/>
    <n v="2"/>
    <n v="6"/>
    <n v="3"/>
    <n v="3"/>
    <n v="33"/>
    <m/>
    <n v="9"/>
    <n v="14"/>
    <n v="15"/>
    <n v="7"/>
    <n v="4"/>
    <n v="3"/>
    <n v="52"/>
    <m/>
    <n v="85"/>
    <m/>
    <n v="2"/>
    <m/>
    <m/>
    <m/>
    <m/>
    <n v="45.050000000000004"/>
    <n v="810.90000000000009"/>
    <n v="2610.9"/>
    <n v="1389.1"/>
    <n v="4000"/>
    <n v="4000"/>
    <n v="4041.76"/>
    <n v="2241.7600000000002"/>
    <n v="124.54222222222224"/>
    <n v="4041.76"/>
    <n v="2241.7600000000002"/>
    <n v="124.54222222222224"/>
    <m/>
    <n v="8"/>
    <n v="4049.76"/>
    <n v="134.99200000000002"/>
    <m/>
  </r>
  <r>
    <m/>
    <n v="923"/>
    <x v="195"/>
    <x v="1"/>
    <x v="5"/>
    <n v="0"/>
    <x v="59"/>
    <x v="3"/>
    <s v="A"/>
    <s v="بكلاريوس"/>
    <s v="هندسة ميكانيكية"/>
    <d v="2016-12-06T00:00:00"/>
    <d v="2017-12-31T00:00:00"/>
    <n v="3000"/>
    <n v="1"/>
    <n v="0"/>
    <n v="2"/>
    <n v="60"/>
    <n v="100"/>
    <m/>
    <m/>
    <n v="6"/>
    <n v="5"/>
    <n v="5"/>
    <n v="4"/>
    <n v="3"/>
    <n v="4"/>
    <n v="5"/>
    <n v="4"/>
    <n v="6"/>
    <n v="42"/>
    <m/>
    <n v="9"/>
    <n v="14"/>
    <n v="15"/>
    <n v="5"/>
    <n v="4"/>
    <n v="3"/>
    <n v="50"/>
    <m/>
    <n v="92"/>
    <m/>
    <n v="9"/>
    <m/>
    <m/>
    <m/>
    <m/>
    <n v="48.760000000000005"/>
    <n v="1462.8000000000002"/>
    <n v="4462.8"/>
    <n v="537.19999999999982"/>
    <n v="5000"/>
    <n v="5000"/>
    <n v="5060"/>
    <n v="2060"/>
    <n v="68.666666666666671"/>
    <n v="5060"/>
    <n v="2060"/>
    <n v="68.666666666666671"/>
    <m/>
    <m/>
    <n v="5060"/>
    <n v="168.66666666666666"/>
    <m/>
  </r>
  <r>
    <m/>
    <n v="924"/>
    <x v="196"/>
    <x v="1"/>
    <x v="3"/>
    <n v="0"/>
    <x v="5"/>
    <x v="2"/>
    <m/>
    <s v="دبلوم (معاهد)"/>
    <s v="حاسوب"/>
    <d v="2016-12-06T00:00:00"/>
    <d v="2017-12-31T00:00:00"/>
    <n v="1800"/>
    <n v="1"/>
    <n v="0"/>
    <n v="2"/>
    <n v="36"/>
    <n v="80"/>
    <m/>
    <m/>
    <n v="4"/>
    <n v="3"/>
    <n v="5"/>
    <n v="3"/>
    <n v="4"/>
    <n v="3"/>
    <n v="4"/>
    <n v="4"/>
    <n v="6"/>
    <n v="36"/>
    <m/>
    <n v="9"/>
    <n v="13"/>
    <n v="12"/>
    <n v="5"/>
    <n v="4"/>
    <n v="3"/>
    <n v="46"/>
    <m/>
    <n v="82"/>
    <m/>
    <n v="6"/>
    <m/>
    <m/>
    <m/>
    <m/>
    <n v="43.46"/>
    <n v="782.28"/>
    <n v="2582.2799999999997"/>
    <n v="1417.7200000000003"/>
    <n v="4000"/>
    <n v="4000"/>
    <n v="4036"/>
    <n v="2236"/>
    <n v="124.22222222222223"/>
    <n v="4036"/>
    <n v="2236"/>
    <n v="124.22222222222223"/>
    <m/>
    <n v="4"/>
    <n v="4040"/>
    <n v="134.66666666666666"/>
    <m/>
  </r>
  <r>
    <m/>
    <n v="928"/>
    <x v="197"/>
    <x v="1"/>
    <x v="2"/>
    <n v="0"/>
    <x v="21"/>
    <x v="5"/>
    <m/>
    <s v="شهاده ثانويه"/>
    <n v="0"/>
    <d v="2017-01-04T00:00:00"/>
    <d v="2017-12-31T00:00:00"/>
    <n v="1820"/>
    <n v="0"/>
    <n v="11"/>
    <n v="1.76"/>
    <n v="32.032000000000004"/>
    <n v="52.800000000000004"/>
    <m/>
    <m/>
    <n v="4"/>
    <n v="3"/>
    <n v="4"/>
    <n v="2"/>
    <n v="3"/>
    <n v="2"/>
    <n v="4"/>
    <n v="3"/>
    <n v="4"/>
    <n v="29"/>
    <m/>
    <n v="8"/>
    <n v="12"/>
    <n v="15"/>
    <n v="1"/>
    <n v="3"/>
    <n v="3"/>
    <n v="42"/>
    <m/>
    <n v="71"/>
    <m/>
    <m/>
    <m/>
    <m/>
    <m/>
    <m/>
    <n v="37.630000000000003"/>
    <n v="684.8660000000001"/>
    <n v="2504.866"/>
    <n v="495.13400000000001"/>
    <n v="3000"/>
    <n v="3000"/>
    <n v="3032.0320000000002"/>
    <n v="1212.0320000000002"/>
    <n v="66.595164835164852"/>
    <n v="3032.0320000000002"/>
    <n v="1212.0320000000002"/>
    <n v="66.595164835164852"/>
    <m/>
    <n v="8"/>
    <n v="3040.0320000000002"/>
    <n v="101.3344"/>
    <m/>
  </r>
  <r>
    <m/>
    <n v="929"/>
    <x v="198"/>
    <x v="1"/>
    <x v="2"/>
    <n v="0"/>
    <x v="48"/>
    <x v="4"/>
    <s v="A"/>
    <s v="بكلاريوس"/>
    <s v="مياه جوفيه"/>
    <d v="2017-01-14T00:00:00"/>
    <d v="2017-12-31T00:00:00"/>
    <n v="1850"/>
    <n v="0"/>
    <n v="11"/>
    <n v="1.76"/>
    <n v="32.56"/>
    <n v="79.2"/>
    <m/>
    <m/>
    <n v="6"/>
    <n v="4"/>
    <n v="5"/>
    <n v="4"/>
    <n v="4"/>
    <n v="4"/>
    <n v="5"/>
    <n v="4"/>
    <n v="6"/>
    <n v="42"/>
    <m/>
    <n v="10"/>
    <n v="13"/>
    <n v="15"/>
    <n v="7"/>
    <n v="4"/>
    <n v="3"/>
    <n v="52"/>
    <m/>
    <n v="94"/>
    <m/>
    <n v="9"/>
    <m/>
    <m/>
    <m/>
    <m/>
    <n v="49.82"/>
    <n v="921.67"/>
    <n v="2771.67"/>
    <n v="1728.33"/>
    <n v="4500"/>
    <n v="4500"/>
    <n v="4532.5600000000004"/>
    <n v="2682.5600000000004"/>
    <n v="145.00324324324328"/>
    <n v="4532.5600000000004"/>
    <n v="2682.5600000000004"/>
    <n v="145.00324324324328"/>
    <m/>
    <n v="7"/>
    <n v="4539.5600000000004"/>
    <n v="151.31866666666667"/>
    <m/>
  </r>
  <r>
    <m/>
    <n v="934"/>
    <x v="199"/>
    <x v="1"/>
    <x v="3"/>
    <n v="0"/>
    <x v="5"/>
    <x v="2"/>
    <s v="C"/>
    <s v="دبلوم وسيط"/>
    <s v="العلاقات العامة والاعلام"/>
    <d v="2017-02-02T00:00:00"/>
    <d v="2017-12-31T00:00:00"/>
    <n v="1850"/>
    <n v="0"/>
    <n v="10"/>
    <n v="1.6"/>
    <n v="29.6"/>
    <n v="64"/>
    <m/>
    <m/>
    <n v="6"/>
    <n v="5"/>
    <n v="5"/>
    <n v="3"/>
    <n v="4"/>
    <n v="4"/>
    <n v="6"/>
    <n v="4"/>
    <n v="6"/>
    <n v="43"/>
    <m/>
    <n v="9"/>
    <n v="14"/>
    <n v="15"/>
    <n v="7"/>
    <n v="4"/>
    <n v="3"/>
    <n v="52"/>
    <m/>
    <n v="95"/>
    <m/>
    <n v="10"/>
    <m/>
    <m/>
    <m/>
    <m/>
    <n v="50.35"/>
    <n v="931.47500000000014"/>
    <n v="2781.4750000000004"/>
    <n v="1218.5249999999996"/>
    <n v="4000"/>
    <n v="4000"/>
    <n v="4029.6"/>
    <n v="2179.6"/>
    <n v="117.8162162162162"/>
    <n v="4029.6"/>
    <n v="2179.6"/>
    <n v="117.8162162162162"/>
    <m/>
    <m/>
    <n v="4029.6"/>
    <n v="134.32"/>
    <m/>
  </r>
  <r>
    <m/>
    <n v="938"/>
    <x v="200"/>
    <x v="1"/>
    <x v="4"/>
    <n v="0"/>
    <x v="21"/>
    <x v="5"/>
    <m/>
    <n v="0"/>
    <n v="0"/>
    <d v="2017-02-12T00:00:00"/>
    <d v="2017-12-31T00:00:00"/>
    <n v="1500"/>
    <n v="0"/>
    <n v="10"/>
    <n v="1.6"/>
    <n v="24"/>
    <n v="48"/>
    <m/>
    <m/>
    <n v="5"/>
    <n v="4"/>
    <n v="3"/>
    <n v="3"/>
    <n v="4"/>
    <n v="3"/>
    <n v="6"/>
    <n v="4"/>
    <n v="6"/>
    <n v="38"/>
    <m/>
    <n v="9"/>
    <n v="13"/>
    <n v="15"/>
    <n v="3"/>
    <n v="3"/>
    <n v="3"/>
    <n v="46"/>
    <m/>
    <n v="84"/>
    <m/>
    <m/>
    <m/>
    <m/>
    <m/>
    <m/>
    <n v="44.52"/>
    <n v="667.80000000000007"/>
    <n v="2167.8000000000002"/>
    <n v="832.19999999999982"/>
    <n v="3000"/>
    <n v="3000"/>
    <n v="3024"/>
    <n v="1524"/>
    <n v="101.6"/>
    <n v="3024"/>
    <n v="1524"/>
    <n v="101.6"/>
    <m/>
    <n v="6"/>
    <n v="3030"/>
    <n v="101"/>
    <m/>
  </r>
  <r>
    <m/>
    <n v="939"/>
    <x v="201"/>
    <x v="1"/>
    <x v="4"/>
    <n v="0"/>
    <x v="15"/>
    <x v="2"/>
    <s v="A"/>
    <s v="بكلاريوس"/>
    <s v="تاريخ وحضاره"/>
    <d v="2017-02-11T00:00:00"/>
    <d v="2017-12-31T00:00:00"/>
    <n v="1500"/>
    <n v="0"/>
    <n v="10"/>
    <n v="1.6"/>
    <n v="24"/>
    <n v="64"/>
    <m/>
    <m/>
    <n v="4"/>
    <n v="3"/>
    <n v="3"/>
    <n v="1"/>
    <n v="3"/>
    <n v="2"/>
    <n v="4"/>
    <n v="2"/>
    <n v="4"/>
    <n v="26"/>
    <m/>
    <n v="9"/>
    <n v="13"/>
    <n v="12"/>
    <n v="1"/>
    <n v="4"/>
    <n v="3"/>
    <n v="42"/>
    <m/>
    <n v="68"/>
    <m/>
    <m/>
    <m/>
    <m/>
    <m/>
    <m/>
    <n v="36.04"/>
    <n v="540.6"/>
    <n v="2040.6"/>
    <n v="1959.4"/>
    <n v="4000"/>
    <n v="4000"/>
    <n v="4024"/>
    <n v="2524"/>
    <n v="168.26666666666668"/>
    <n v="4024"/>
    <n v="2524"/>
    <n v="168.26666666666668"/>
    <m/>
    <n v="6"/>
    <n v="4030"/>
    <n v="134.33333333333334"/>
    <m/>
  </r>
  <r>
    <m/>
    <n v="941"/>
    <x v="202"/>
    <x v="1"/>
    <x v="4"/>
    <n v="0"/>
    <x v="14"/>
    <x v="2"/>
    <m/>
    <n v="0"/>
    <n v="0"/>
    <d v="2017-02-20T00:00:00"/>
    <d v="2017-12-31T00:00:00"/>
    <n v="2500"/>
    <n v="0"/>
    <n v="10"/>
    <n v="1.6"/>
    <n v="40"/>
    <n v="64"/>
    <m/>
    <m/>
    <n v="5"/>
    <n v="4"/>
    <n v="4"/>
    <n v="2"/>
    <n v="3"/>
    <n v="3"/>
    <n v="4"/>
    <n v="4"/>
    <n v="6"/>
    <n v="35"/>
    <m/>
    <n v="9"/>
    <n v="14"/>
    <n v="15"/>
    <n v="7"/>
    <n v="4"/>
    <n v="3"/>
    <n v="52"/>
    <m/>
    <n v="87"/>
    <m/>
    <m/>
    <m/>
    <m/>
    <m/>
    <m/>
    <n v="46.11"/>
    <n v="1152.75"/>
    <n v="3652.75"/>
    <n v="347.25"/>
    <n v="4000"/>
    <n v="4000"/>
    <n v="4040"/>
    <n v="1540"/>
    <n v="61.6"/>
    <n v="4040"/>
    <n v="1540"/>
    <n v="61.6"/>
    <m/>
    <m/>
    <n v="4040"/>
    <n v="134.66666666666666"/>
    <m/>
  </r>
  <r>
    <m/>
    <n v="942"/>
    <x v="203"/>
    <x v="1"/>
    <x v="2"/>
    <n v="0"/>
    <x v="48"/>
    <x v="6"/>
    <s v="A"/>
    <s v="بكلاريوس"/>
    <s v="محاسبه"/>
    <d v="2017-02-20T00:00:00"/>
    <d v="2017-12-31T00:00:00"/>
    <n v="1500"/>
    <n v="0"/>
    <n v="10"/>
    <n v="1.6"/>
    <n v="24"/>
    <n v="56"/>
    <m/>
    <m/>
    <n v="5"/>
    <n v="4"/>
    <n v="4"/>
    <n v="2"/>
    <n v="2"/>
    <n v="2"/>
    <n v="6"/>
    <n v="4"/>
    <n v="6"/>
    <n v="35"/>
    <m/>
    <n v="8"/>
    <n v="13"/>
    <n v="7"/>
    <n v="3"/>
    <n v="4"/>
    <n v="3"/>
    <n v="38"/>
    <m/>
    <n v="73"/>
    <m/>
    <m/>
    <m/>
    <m/>
    <m/>
    <m/>
    <n v="38.690000000000005"/>
    <n v="580.35"/>
    <n v="2080.35"/>
    <n v="1419.65"/>
    <n v="3500"/>
    <n v="3500"/>
    <n v="3524"/>
    <n v="2024"/>
    <n v="134.93333333333334"/>
    <n v="3524"/>
    <n v="2024"/>
    <n v="134.93333333333334"/>
    <m/>
    <n v="6"/>
    <n v="3530"/>
    <n v="117.66666666666667"/>
    <m/>
  </r>
  <r>
    <m/>
    <n v="943"/>
    <x v="204"/>
    <x v="1"/>
    <x v="4"/>
    <n v="0"/>
    <x v="14"/>
    <x v="2"/>
    <m/>
    <n v="0"/>
    <n v="0"/>
    <d v="2017-03-08T00:00:00"/>
    <d v="2017-12-31T00:00:00"/>
    <n v="2300"/>
    <n v="0"/>
    <n v="9"/>
    <n v="1.44"/>
    <n v="33.119999999999997"/>
    <n v="57.6"/>
    <m/>
    <m/>
    <n v="6"/>
    <n v="5"/>
    <n v="5"/>
    <n v="4"/>
    <n v="4"/>
    <n v="4"/>
    <n v="6"/>
    <n v="4"/>
    <n v="6"/>
    <n v="44"/>
    <m/>
    <n v="10"/>
    <n v="15"/>
    <n v="15"/>
    <n v="7"/>
    <n v="5"/>
    <n v="3"/>
    <n v="55"/>
    <m/>
    <n v="99"/>
    <m/>
    <m/>
    <m/>
    <m/>
    <m/>
    <m/>
    <n v="52.470000000000006"/>
    <n v="1206.8100000000002"/>
    <n v="3506.8100000000004"/>
    <n v="493.1899999999996"/>
    <n v="4000"/>
    <n v="4000"/>
    <n v="4033.12"/>
    <n v="1733.12"/>
    <n v="75.353043478260858"/>
    <n v="4033.12"/>
    <n v="1733.12"/>
    <n v="75.353043478260858"/>
    <m/>
    <n v="7"/>
    <n v="4040.12"/>
    <n v="134.67066666666668"/>
    <m/>
  </r>
  <r>
    <m/>
    <n v="944"/>
    <x v="205"/>
    <x v="1"/>
    <x v="4"/>
    <n v="0"/>
    <x v="21"/>
    <x v="5"/>
    <m/>
    <s v="شهاده ثانويه"/>
    <n v="0"/>
    <d v="2017-03-11T00:00:00"/>
    <d v="2017-12-31T00:00:00"/>
    <n v="1500"/>
    <n v="0"/>
    <n v="9"/>
    <n v="1.44"/>
    <n v="21.599999999999998"/>
    <n v="43.199999999999996"/>
    <m/>
    <m/>
    <m/>
    <m/>
    <m/>
    <m/>
    <m/>
    <m/>
    <m/>
    <m/>
    <m/>
    <n v="0"/>
    <m/>
    <n v="9"/>
    <n v="14"/>
    <n v="15"/>
    <n v="7"/>
    <n v="4"/>
    <n v="3"/>
    <n v="52"/>
    <m/>
    <n v="52"/>
    <m/>
    <m/>
    <m/>
    <m/>
    <m/>
    <m/>
    <n v="27.560000000000002"/>
    <n v="413.40000000000003"/>
    <n v="1913.4"/>
    <n v="1086.5999999999999"/>
    <n v="3000"/>
    <n v="3000"/>
    <n v="3021.6"/>
    <n v="1521.6"/>
    <n v="101.44"/>
    <n v="3021.6"/>
    <n v="1521.6"/>
    <n v="101.44"/>
    <m/>
    <n v="8"/>
    <n v="3029.6"/>
    <n v="100.98666666666666"/>
    <m/>
  </r>
  <r>
    <m/>
    <n v="945"/>
    <x v="206"/>
    <x v="1"/>
    <x v="3"/>
    <n v="0"/>
    <x v="5"/>
    <x v="2"/>
    <m/>
    <s v="دبلوم (معاهد)"/>
    <s v="علوم تجاريه"/>
    <d v="2017-03-09T00:00:00"/>
    <d v="2017-12-31T00:00:00"/>
    <n v="1850"/>
    <n v="0"/>
    <n v="9"/>
    <n v="1.44"/>
    <n v="26.64"/>
    <n v="57.6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m/>
    <n v="11.66"/>
    <n v="215.70999999999998"/>
    <n v="2065.71"/>
    <n v="1934.29"/>
    <n v="4000"/>
    <n v="4000"/>
    <n v="4026.64"/>
    <n v="2176.64"/>
    <n v="117.65621621621621"/>
    <n v="4026.64"/>
    <n v="2176.64"/>
    <n v="117.65621621621621"/>
    <m/>
    <n v="3"/>
    <n v="4029.64"/>
    <n v="134.32133333333334"/>
    <m/>
  </r>
  <r>
    <m/>
    <n v="946"/>
    <x v="207"/>
    <x v="1"/>
    <x v="4"/>
    <n v="0"/>
    <x v="21"/>
    <x v="5"/>
    <m/>
    <n v="0"/>
    <n v="0"/>
    <d v="2017-07-10T00:00:00"/>
    <d v="2017-12-31T00:00:00"/>
    <n v="1400"/>
    <n v="0"/>
    <n v="5"/>
    <n v="0.8"/>
    <n v="11.200000000000001"/>
    <n v="24"/>
    <m/>
    <m/>
    <n v="3"/>
    <n v="2"/>
    <n v="1"/>
    <n v="1"/>
    <n v="1"/>
    <n v="1"/>
    <n v="2"/>
    <n v="1"/>
    <n v="2"/>
    <n v="14"/>
    <m/>
    <n v="7"/>
    <n v="14"/>
    <n v="15"/>
    <n v="7"/>
    <n v="3"/>
    <n v="3"/>
    <n v="49"/>
    <m/>
    <n v="63"/>
    <m/>
    <m/>
    <m/>
    <m/>
    <m/>
    <m/>
    <n v="33.39"/>
    <n v="467.46000000000004"/>
    <n v="1867.46"/>
    <n v="1132.54"/>
    <n v="3000"/>
    <n v="3000"/>
    <n v="3011.2"/>
    <n v="1611.1999999999998"/>
    <n v="115.08571428571427"/>
    <n v="3011.2"/>
    <n v="1611.1999999999998"/>
    <n v="115.08571428571427"/>
    <m/>
    <n v="9"/>
    <n v="3020.2"/>
    <n v="100.67333333333333"/>
    <m/>
  </r>
  <r>
    <m/>
    <n v="947"/>
    <x v="208"/>
    <x v="1"/>
    <x v="14"/>
    <n v="0"/>
    <x v="52"/>
    <x v="4"/>
    <s v="B"/>
    <s v="دبلوم تقني"/>
    <s v="Automobile Engineering"/>
    <d v="2017-03-18T00:00:00"/>
    <d v="2017-12-31T00:00:00"/>
    <n v="1950"/>
    <n v="0"/>
    <n v="9"/>
    <n v="1.44"/>
    <n v="28.08"/>
    <n v="64.8"/>
    <m/>
    <m/>
    <n v="6"/>
    <n v="5"/>
    <n v="5"/>
    <n v="5"/>
    <n v="4"/>
    <n v="4"/>
    <n v="6"/>
    <n v="4"/>
    <n v="6"/>
    <n v="45"/>
    <m/>
    <n v="8"/>
    <n v="14"/>
    <n v="15"/>
    <n v="7"/>
    <n v="4"/>
    <n v="3"/>
    <n v="51"/>
    <m/>
    <n v="96"/>
    <m/>
    <m/>
    <m/>
    <m/>
    <m/>
    <m/>
    <n v="50.88"/>
    <n v="992.16000000000008"/>
    <n v="2942.16"/>
    <n v="1557.8400000000001"/>
    <n v="4500"/>
    <n v="4500"/>
    <n v="4528.08"/>
    <n v="2578.08"/>
    <n v="132.20923076923077"/>
    <n v="4528.08"/>
    <n v="2578.08"/>
    <n v="132.20923076923077"/>
    <m/>
    <n v="2"/>
    <n v="4530.08"/>
    <n v="151.00266666666667"/>
    <m/>
  </r>
  <r>
    <m/>
    <n v="948"/>
    <x v="209"/>
    <x v="1"/>
    <x v="2"/>
    <n v="0"/>
    <x v="49"/>
    <x v="2"/>
    <s v="C"/>
    <s v="شهاده دورة تدريب"/>
    <s v="استراتيجيات التخطيط الادارى"/>
    <d v="2017-03-18T00:00:00"/>
    <d v="2017-12-31T00:00:00"/>
    <n v="1500"/>
    <n v="0"/>
    <n v="9"/>
    <n v="1.44"/>
    <n v="21.599999999999998"/>
    <n v="57.6"/>
    <m/>
    <m/>
    <n v="4"/>
    <n v="2"/>
    <n v="3"/>
    <n v="2"/>
    <n v="3"/>
    <n v="2"/>
    <n v="5"/>
    <n v="3"/>
    <n v="5"/>
    <n v="29"/>
    <m/>
    <n v="10"/>
    <n v="14"/>
    <n v="15"/>
    <n v="7"/>
    <n v="5"/>
    <n v="3"/>
    <n v="54"/>
    <m/>
    <n v="83"/>
    <m/>
    <m/>
    <m/>
    <m/>
    <m/>
    <m/>
    <n v="43.99"/>
    <n v="659.85"/>
    <n v="2159.85"/>
    <n v="1840.15"/>
    <n v="4000"/>
    <n v="4000"/>
    <n v="4021.6"/>
    <n v="2521.6"/>
    <n v="168.10666666666665"/>
    <n v="4021.6"/>
    <n v="2521.6"/>
    <n v="168.10666666666665"/>
    <m/>
    <n v="8"/>
    <n v="4029.6"/>
    <n v="134.32"/>
    <m/>
  </r>
  <r>
    <m/>
    <n v="949"/>
    <x v="210"/>
    <x v="1"/>
    <x v="6"/>
    <n v="0"/>
    <x v="47"/>
    <x v="4"/>
    <m/>
    <n v="0"/>
    <n v="0"/>
    <d v="2017-03-18T00:00:00"/>
    <d v="2017-12-31T00:00:00"/>
    <n v="2450"/>
    <n v="0"/>
    <n v="9"/>
    <n v="1.44"/>
    <n v="35.28"/>
    <n v="64.8"/>
    <m/>
    <m/>
    <n v="5"/>
    <n v="4"/>
    <n v="4"/>
    <n v="4"/>
    <n v="3"/>
    <n v="3"/>
    <n v="4"/>
    <n v="3"/>
    <n v="5"/>
    <n v="35"/>
    <m/>
    <n v="9"/>
    <n v="14"/>
    <n v="12"/>
    <n v="5"/>
    <n v="4"/>
    <n v="3"/>
    <n v="47"/>
    <m/>
    <n v="82"/>
    <m/>
    <n v="5"/>
    <m/>
    <m/>
    <m/>
    <m/>
    <n v="43.46"/>
    <n v="1064.77"/>
    <n v="3514.77"/>
    <n v="985.23"/>
    <n v="4500"/>
    <n v="4500"/>
    <n v="4535.28"/>
    <n v="2085.2799999999997"/>
    <n v="85.113469387755089"/>
    <n v="4535.28"/>
    <n v="2085.2799999999997"/>
    <n v="85.113469387755089"/>
    <m/>
    <n v="5"/>
    <n v="4540.28"/>
    <n v="151.34266666666664"/>
    <m/>
  </r>
  <r>
    <m/>
    <n v="950"/>
    <x v="211"/>
    <x v="1"/>
    <x v="12"/>
    <n v="0"/>
    <x v="60"/>
    <x v="4"/>
    <s v="B"/>
    <s v="دبلوم تقني"/>
    <s v="مختبرات طبيه"/>
    <d v="2017-03-21T00:00:00"/>
    <d v="2017-12-31T00:00:00"/>
    <n v="2200"/>
    <n v="0"/>
    <n v="9"/>
    <n v="1.44"/>
    <n v="31.68"/>
    <n v="64.8"/>
    <m/>
    <m/>
    <n v="5"/>
    <n v="4"/>
    <n v="4"/>
    <n v="4"/>
    <n v="4"/>
    <n v="4"/>
    <n v="4"/>
    <n v="4"/>
    <n v="6"/>
    <n v="39"/>
    <m/>
    <n v="9"/>
    <n v="14"/>
    <n v="15"/>
    <n v="7"/>
    <n v="3"/>
    <n v="3"/>
    <n v="51"/>
    <m/>
    <n v="90"/>
    <m/>
    <m/>
    <m/>
    <m/>
    <m/>
    <m/>
    <n v="47.7"/>
    <n v="1049.4000000000001"/>
    <n v="3249.4"/>
    <n v="1250.5999999999999"/>
    <n v="4500"/>
    <n v="4500"/>
    <n v="4531.68"/>
    <n v="2331.6800000000003"/>
    <n v="105.98545454545456"/>
    <n v="4531.68"/>
    <n v="2331.6800000000003"/>
    <n v="105.98545454545456"/>
    <m/>
    <n v="8"/>
    <n v="4539.68"/>
    <n v="151.32266666666666"/>
    <m/>
  </r>
  <r>
    <m/>
    <n v="951"/>
    <x v="212"/>
    <x v="1"/>
    <x v="10"/>
    <n v="0"/>
    <x v="61"/>
    <x v="4"/>
    <s v="B"/>
    <s v="دبلوم تقني"/>
    <s v="Production Engineering"/>
    <d v="2017-03-21T00:00:00"/>
    <d v="2017-12-31T00:00:00"/>
    <n v="1850"/>
    <n v="0"/>
    <n v="9"/>
    <n v="1.44"/>
    <n v="26.64"/>
    <n v="64.8"/>
    <m/>
    <m/>
    <n v="4"/>
    <n v="3"/>
    <n v="4"/>
    <n v="3"/>
    <n v="4"/>
    <n v="3"/>
    <n v="4"/>
    <n v="3"/>
    <n v="5"/>
    <n v="33"/>
    <m/>
    <n v="8"/>
    <n v="14"/>
    <n v="15"/>
    <n v="5"/>
    <n v="4"/>
    <n v="3"/>
    <n v="49"/>
    <m/>
    <n v="82"/>
    <m/>
    <n v="8"/>
    <m/>
    <m/>
    <m/>
    <m/>
    <n v="43.46"/>
    <n v="804.01"/>
    <n v="2654.01"/>
    <n v="1845.9899999999998"/>
    <n v="4500"/>
    <n v="4500"/>
    <n v="4526.6400000000003"/>
    <n v="2676.6400000000003"/>
    <n v="144.68324324324325"/>
    <n v="4526.6400000000003"/>
    <n v="2676.6400000000003"/>
    <n v="144.68324324324325"/>
    <m/>
    <n v="3"/>
    <n v="4529.6400000000003"/>
    <n v="150.988"/>
    <m/>
  </r>
  <r>
    <m/>
    <n v="952"/>
    <x v="213"/>
    <x v="1"/>
    <x v="4"/>
    <n v="0"/>
    <x v="21"/>
    <x v="5"/>
    <m/>
    <n v="0"/>
    <n v="0"/>
    <d v="2017-04-01T00:00:00"/>
    <d v="2017-12-31T00:00:00"/>
    <n v="1500"/>
    <n v="0"/>
    <n v="8"/>
    <n v="1.28"/>
    <n v="19.2"/>
    <n v="38.4"/>
    <m/>
    <m/>
    <n v="4"/>
    <n v="4"/>
    <n v="4"/>
    <n v="1"/>
    <n v="1"/>
    <n v="1"/>
    <n v="4"/>
    <n v="3"/>
    <n v="4"/>
    <n v="26"/>
    <m/>
    <n v="8"/>
    <n v="13"/>
    <n v="12"/>
    <n v="5"/>
    <n v="4"/>
    <n v="3"/>
    <n v="45"/>
    <m/>
    <n v="71"/>
    <m/>
    <m/>
    <m/>
    <m/>
    <m/>
    <m/>
    <n v="37.630000000000003"/>
    <n v="564.45000000000005"/>
    <n v="2064.4499999999998"/>
    <n v="935.55000000000018"/>
    <n v="3000"/>
    <n v="3000"/>
    <n v="3019.2"/>
    <n v="1519.1999999999998"/>
    <n v="101.27999999999999"/>
    <n v="3019.2"/>
    <n v="1519.1999999999998"/>
    <n v="101.27999999999999"/>
    <m/>
    <n v="1"/>
    <n v="3020.2"/>
    <n v="100.67333333333333"/>
    <m/>
  </r>
  <r>
    <m/>
    <n v="953"/>
    <x v="214"/>
    <x v="1"/>
    <x v="4"/>
    <n v="0"/>
    <x v="21"/>
    <x v="5"/>
    <m/>
    <n v="0"/>
    <n v="0"/>
    <d v="2017-04-01T00:00:00"/>
    <d v="2017-12-31T00:00:00"/>
    <n v="1500"/>
    <n v="0"/>
    <n v="8"/>
    <n v="1.28"/>
    <n v="19.2"/>
    <n v="38.4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m/>
    <n v="11.66"/>
    <n v="174.9"/>
    <n v="1674.9"/>
    <n v="1325.1"/>
    <n v="3000"/>
    <n v="3000"/>
    <n v="3019.2"/>
    <n v="1519.1999999999998"/>
    <n v="101.27999999999999"/>
    <n v="3019.2"/>
    <n v="1519.1999999999998"/>
    <n v="101.27999999999999"/>
    <m/>
    <n v="1"/>
    <n v="3020.2"/>
    <n v="100.67333333333333"/>
    <m/>
  </r>
  <r>
    <m/>
    <n v="956"/>
    <x v="215"/>
    <x v="1"/>
    <x v="7"/>
    <n v="0"/>
    <x v="21"/>
    <x v="5"/>
    <m/>
    <n v="0"/>
    <n v="0"/>
    <d v="2017-04-01T00:00:00"/>
    <d v="2017-12-31T00:00:00"/>
    <n v="1500"/>
    <n v="0"/>
    <n v="8"/>
    <n v="1.28"/>
    <n v="19.2"/>
    <n v="38.4"/>
    <m/>
    <m/>
    <n v="6"/>
    <n v="5"/>
    <n v="4"/>
    <n v="5"/>
    <n v="4"/>
    <n v="3"/>
    <n v="6"/>
    <n v="4"/>
    <n v="6"/>
    <n v="43"/>
    <m/>
    <n v="9"/>
    <n v="14"/>
    <n v="15"/>
    <n v="7"/>
    <n v="5"/>
    <n v="3"/>
    <n v="53"/>
    <m/>
    <n v="96"/>
    <m/>
    <m/>
    <m/>
    <m/>
    <m/>
    <m/>
    <n v="50.88"/>
    <n v="763.2"/>
    <n v="2263.1999999999998"/>
    <n v="736.80000000000018"/>
    <n v="3000"/>
    <n v="3000"/>
    <n v="3019.2"/>
    <n v="1519.1999999999998"/>
    <n v="101.27999999999999"/>
    <n v="3019.2"/>
    <n v="1519.1999999999998"/>
    <n v="101.27999999999999"/>
    <m/>
    <n v="1"/>
    <n v="3020.2"/>
    <n v="100.67333333333333"/>
    <m/>
  </r>
  <r>
    <m/>
    <n v="957"/>
    <x v="216"/>
    <x v="1"/>
    <x v="5"/>
    <n v="0"/>
    <x v="16"/>
    <x v="4"/>
    <s v="C"/>
    <s v="تدريب مهني"/>
    <s v="خراطة - برادة"/>
    <d v="2017-04-04T00:00:00"/>
    <d v="2017-12-31T00:00:00"/>
    <n v="2950"/>
    <n v="0"/>
    <n v="8"/>
    <n v="1.28"/>
    <n v="37.760000000000005"/>
    <n v="57.6"/>
    <m/>
    <m/>
    <n v="5"/>
    <n v="4.5"/>
    <n v="4.5"/>
    <n v="4"/>
    <n v="3.5"/>
    <n v="3.5"/>
    <n v="5"/>
    <n v="4"/>
    <n v="5"/>
    <n v="39"/>
    <m/>
    <n v="9"/>
    <n v="14"/>
    <n v="15"/>
    <n v="7"/>
    <n v="5"/>
    <n v="3"/>
    <n v="53"/>
    <m/>
    <n v="92"/>
    <m/>
    <n v="8"/>
    <m/>
    <m/>
    <m/>
    <m/>
    <n v="48.760000000000005"/>
    <n v="1438.42"/>
    <n v="4388.42"/>
    <n v="111.57999999999993"/>
    <n v="4500"/>
    <n v="4500"/>
    <n v="4537.76"/>
    <n v="1587.7600000000002"/>
    <n v="53.822372881355939"/>
    <n v="4537.76"/>
    <n v="1587.7600000000002"/>
    <n v="53.822372881355939"/>
    <m/>
    <n v="2"/>
    <n v="4539.76"/>
    <n v="151.32533333333333"/>
    <m/>
  </r>
  <r>
    <m/>
    <n v="959"/>
    <x v="217"/>
    <x v="1"/>
    <x v="4"/>
    <n v="0"/>
    <x v="21"/>
    <x v="5"/>
    <s v="B"/>
    <s v="دبلوم تقني"/>
    <s v="التامين"/>
    <d v="2017-04-17T00:00:00"/>
    <d v="2017-12-31T00:00:00"/>
    <n v="1500"/>
    <n v="0"/>
    <n v="8"/>
    <n v="1.28"/>
    <n v="19.2"/>
    <n v="38.4"/>
    <m/>
    <m/>
    <n v="4"/>
    <n v="4"/>
    <n v="4"/>
    <n v="1"/>
    <n v="1"/>
    <n v="1"/>
    <n v="4"/>
    <n v="3"/>
    <n v="5"/>
    <n v="27"/>
    <m/>
    <n v="9"/>
    <n v="13"/>
    <n v="15"/>
    <n v="7"/>
    <n v="4"/>
    <n v="3"/>
    <n v="51"/>
    <m/>
    <n v="78"/>
    <m/>
    <m/>
    <m/>
    <m/>
    <m/>
    <m/>
    <n v="41.34"/>
    <n v="620.1"/>
    <n v="2120.1"/>
    <n v="879.90000000000009"/>
    <n v="3000"/>
    <n v="3000"/>
    <n v="3019.2"/>
    <n v="1519.1999999999998"/>
    <n v="101.27999999999999"/>
    <n v="3019.2"/>
    <n v="1519.1999999999998"/>
    <n v="101.27999999999999"/>
    <m/>
    <n v="1"/>
    <n v="3020.2"/>
    <n v="100.67333333333333"/>
    <m/>
  </r>
  <r>
    <m/>
    <n v="961"/>
    <x v="218"/>
    <x v="1"/>
    <x v="10"/>
    <n v="0"/>
    <x v="35"/>
    <x v="5"/>
    <s v="B"/>
    <s v="دبلوم تقني"/>
    <s v="هندسة ميكانيكية"/>
    <d v="2017-05-01T00:00:00"/>
    <d v="2017-12-31T00:00:00"/>
    <n v="1850"/>
    <n v="0"/>
    <n v="7"/>
    <n v="1.1200000000000001"/>
    <n v="20.720000000000002"/>
    <n v="33.6"/>
    <m/>
    <m/>
    <n v="4"/>
    <n v="3"/>
    <n v="3"/>
    <n v="2"/>
    <n v="2"/>
    <n v="2"/>
    <n v="3"/>
    <n v="3"/>
    <n v="4"/>
    <n v="26"/>
    <m/>
    <n v="8"/>
    <n v="13"/>
    <n v="15"/>
    <n v="7"/>
    <n v="4"/>
    <n v="3"/>
    <n v="50"/>
    <m/>
    <n v="76"/>
    <m/>
    <n v="6"/>
    <m/>
    <m/>
    <m/>
    <m/>
    <n v="40.28"/>
    <n v="745.18"/>
    <n v="2595.1799999999998"/>
    <n v="404.82000000000016"/>
    <n v="3000"/>
    <n v="3000"/>
    <n v="3020.72"/>
    <n v="1170.7199999999998"/>
    <n v="63.282162162162152"/>
    <n v="3020.72"/>
    <n v="1170.7199999999998"/>
    <n v="63.282162162162152"/>
    <m/>
    <n v="9"/>
    <n v="3029.72"/>
    <n v="100.99066666666666"/>
    <m/>
  </r>
  <r>
    <m/>
    <n v="962"/>
    <x v="219"/>
    <x v="1"/>
    <x v="4"/>
    <n v="0"/>
    <x v="21"/>
    <x v="5"/>
    <m/>
    <n v="0"/>
    <n v="0"/>
    <d v="2017-05-01T00:00:00"/>
    <d v="2017-12-31T00:00:00"/>
    <n v="1500"/>
    <n v="0"/>
    <n v="7"/>
    <n v="1.1200000000000001"/>
    <n v="16.8"/>
    <n v="33.6"/>
    <m/>
    <m/>
    <n v="3"/>
    <n v="4"/>
    <n v="3"/>
    <n v="1"/>
    <n v="1"/>
    <n v="1"/>
    <n v="4"/>
    <n v="3"/>
    <n v="4"/>
    <n v="24"/>
    <m/>
    <n v="9"/>
    <n v="14"/>
    <n v="15"/>
    <n v="7"/>
    <n v="5"/>
    <n v="3"/>
    <n v="53"/>
    <m/>
    <n v="77"/>
    <m/>
    <m/>
    <m/>
    <m/>
    <m/>
    <m/>
    <n v="40.81"/>
    <n v="612.15"/>
    <n v="2112.15"/>
    <n v="887.84999999999991"/>
    <n v="3000"/>
    <n v="3000"/>
    <n v="3016.8"/>
    <n v="1516.8000000000002"/>
    <n v="101.12000000000002"/>
    <n v="3016.8"/>
    <n v="1516.8000000000002"/>
    <n v="101.12000000000002"/>
    <m/>
    <n v="3"/>
    <n v="3019.8"/>
    <n v="100.66000000000001"/>
    <m/>
  </r>
  <r>
    <m/>
    <n v="963"/>
    <x v="220"/>
    <x v="1"/>
    <x v="4"/>
    <n v="0"/>
    <x v="21"/>
    <x v="5"/>
    <m/>
    <n v="0"/>
    <n v="0"/>
    <d v="2017-05-01T00:00:00"/>
    <d v="2017-12-31T00:00:00"/>
    <n v="1500"/>
    <n v="0"/>
    <n v="7"/>
    <n v="1.1200000000000001"/>
    <n v="16.8"/>
    <n v="33.6"/>
    <m/>
    <m/>
    <n v="4"/>
    <n v="4"/>
    <n v="4"/>
    <n v="1"/>
    <n v="1"/>
    <n v="1"/>
    <n v="4"/>
    <n v="3"/>
    <n v="5"/>
    <n v="27"/>
    <m/>
    <n v="9"/>
    <n v="13"/>
    <n v="15"/>
    <n v="7"/>
    <n v="5"/>
    <n v="3"/>
    <n v="52"/>
    <m/>
    <n v="79"/>
    <m/>
    <m/>
    <m/>
    <m/>
    <m/>
    <m/>
    <n v="41.870000000000005"/>
    <n v="628.05000000000007"/>
    <n v="2128.0500000000002"/>
    <n v="871.94999999999982"/>
    <n v="3000"/>
    <n v="3000"/>
    <n v="3016.8"/>
    <n v="1516.8000000000002"/>
    <n v="101.12000000000002"/>
    <n v="3016.8"/>
    <n v="1516.8000000000002"/>
    <n v="101.12000000000002"/>
    <m/>
    <n v="3"/>
    <n v="3019.8"/>
    <n v="100.66000000000001"/>
    <m/>
  </r>
  <r>
    <m/>
    <n v="965"/>
    <x v="221"/>
    <x v="1"/>
    <x v="15"/>
    <n v="0"/>
    <x v="62"/>
    <x v="3"/>
    <s v="A"/>
    <s v="بكلاريوس الشرف"/>
    <s v="هندسة الكترونيات ( تحكم )"/>
    <d v="2017-05-01T00:00:00"/>
    <d v="2017-12-31T00:00:00"/>
    <n v="2350"/>
    <n v="0"/>
    <n v="7"/>
    <n v="1.1200000000000001"/>
    <n v="26.320000000000004"/>
    <n v="56.000000000000007"/>
    <m/>
    <m/>
    <n v="5"/>
    <n v="5"/>
    <n v="5"/>
    <n v="4"/>
    <n v="4"/>
    <n v="4"/>
    <n v="5"/>
    <n v="3"/>
    <n v="6"/>
    <n v="41"/>
    <m/>
    <n v="8"/>
    <n v="14"/>
    <n v="15"/>
    <n v="7"/>
    <n v="4"/>
    <n v="3"/>
    <n v="51"/>
    <m/>
    <n v="92"/>
    <m/>
    <n v="10"/>
    <m/>
    <m/>
    <m/>
    <m/>
    <n v="48.760000000000005"/>
    <n v="1145.8600000000001"/>
    <n v="3495.86"/>
    <n v="1504.1399999999999"/>
    <n v="5000"/>
    <n v="5000"/>
    <n v="5026.32"/>
    <n v="2676.3199999999997"/>
    <n v="113.8859574468085"/>
    <n v="5026.32"/>
    <n v="2676.3199999999997"/>
    <n v="113.8859574468085"/>
    <m/>
    <n v="4"/>
    <n v="5030.32"/>
    <n v="167.67733333333334"/>
    <m/>
  </r>
  <r>
    <m/>
    <n v="966"/>
    <x v="222"/>
    <x v="1"/>
    <x v="2"/>
    <n v="0"/>
    <x v="48"/>
    <x v="6"/>
    <m/>
    <n v="0"/>
    <n v="0"/>
    <d v="2017-05-08T00:00:00"/>
    <d v="2017-12-31T00:00:00"/>
    <n v="2100"/>
    <n v="0"/>
    <n v="7"/>
    <n v="1.1200000000000001"/>
    <n v="23.520000000000003"/>
    <n v="39.200000000000003"/>
    <m/>
    <m/>
    <n v="4"/>
    <n v="2"/>
    <n v="4"/>
    <n v="2"/>
    <n v="3"/>
    <n v="2"/>
    <n v="5"/>
    <n v="3"/>
    <n v="5"/>
    <n v="30"/>
    <m/>
    <n v="10"/>
    <n v="14"/>
    <n v="15"/>
    <n v="7"/>
    <n v="5"/>
    <n v="3"/>
    <n v="54"/>
    <m/>
    <n v="84"/>
    <m/>
    <m/>
    <m/>
    <m/>
    <m/>
    <m/>
    <n v="44.52"/>
    <n v="934.92000000000007"/>
    <n v="3034.92"/>
    <n v="465.07999999999993"/>
    <n v="3500"/>
    <n v="3500"/>
    <n v="3523.52"/>
    <n v="1423.52"/>
    <n v="67.786666666666662"/>
    <n v="3523.52"/>
    <n v="1423.52"/>
    <n v="67.786666666666662"/>
    <m/>
    <n v="6"/>
    <n v="3529.52"/>
    <n v="117.65066666666667"/>
    <m/>
  </r>
  <r>
    <m/>
    <n v="969"/>
    <x v="223"/>
    <x v="1"/>
    <x v="4"/>
    <n v="0"/>
    <x v="21"/>
    <x v="5"/>
    <m/>
    <n v="0"/>
    <n v="0"/>
    <d v="2017-05-11T00:00:00"/>
    <d v="2017-12-31T00:00:00"/>
    <n v="1500"/>
    <n v="0"/>
    <n v="7"/>
    <n v="1.1200000000000001"/>
    <n v="16.8"/>
    <n v="33.6"/>
    <m/>
    <m/>
    <n v="2"/>
    <n v="2"/>
    <n v="2"/>
    <n v="1"/>
    <n v="1"/>
    <n v="1"/>
    <n v="2"/>
    <n v="2"/>
    <n v="3"/>
    <n v="16"/>
    <m/>
    <n v="7"/>
    <n v="1"/>
    <n v="15"/>
    <n v="7"/>
    <n v="2"/>
    <n v="3"/>
    <n v="35"/>
    <m/>
    <n v="51"/>
    <m/>
    <m/>
    <m/>
    <m/>
    <m/>
    <m/>
    <n v="27.03"/>
    <n v="405.45"/>
    <n v="1905.45"/>
    <n v="1094.55"/>
    <n v="3000"/>
    <n v="3000"/>
    <n v="3016.8"/>
    <n v="1516.8000000000002"/>
    <n v="101.12000000000002"/>
    <n v="3016.8"/>
    <n v="1516.8000000000002"/>
    <n v="101.12000000000002"/>
    <m/>
    <n v="3"/>
    <n v="3019.8"/>
    <n v="100.66000000000001"/>
    <m/>
  </r>
  <r>
    <m/>
    <n v="970"/>
    <x v="224"/>
    <x v="1"/>
    <x v="4"/>
    <n v="0"/>
    <x v="21"/>
    <x v="5"/>
    <m/>
    <n v="0"/>
    <n v="0"/>
    <d v="2017-05-17T00:00:00"/>
    <d v="2017-12-31T00:00:00"/>
    <n v="1500"/>
    <n v="0"/>
    <n v="7"/>
    <n v="1.1200000000000001"/>
    <n v="16.8"/>
    <n v="33.6"/>
    <m/>
    <m/>
    <n v="4"/>
    <n v="4"/>
    <n v="4"/>
    <n v="1"/>
    <n v="1"/>
    <n v="1"/>
    <n v="4"/>
    <n v="3"/>
    <n v="5"/>
    <n v="27"/>
    <m/>
    <n v="8"/>
    <n v="13"/>
    <n v="15"/>
    <n v="7"/>
    <n v="4"/>
    <n v="3"/>
    <n v="50"/>
    <m/>
    <n v="77"/>
    <m/>
    <m/>
    <m/>
    <m/>
    <m/>
    <m/>
    <n v="40.81"/>
    <n v="612.15"/>
    <n v="2112.15"/>
    <n v="887.84999999999991"/>
    <n v="3000"/>
    <n v="3000"/>
    <n v="3016.8"/>
    <n v="1516.8000000000002"/>
    <n v="101.12000000000002"/>
    <n v="3016.8"/>
    <n v="1516.8000000000002"/>
    <n v="101.12000000000002"/>
    <m/>
    <n v="3"/>
    <n v="3019.8"/>
    <n v="100.66000000000001"/>
    <m/>
  </r>
  <r>
    <m/>
    <n v="971"/>
    <x v="225"/>
    <x v="1"/>
    <x v="7"/>
    <n v="0"/>
    <x v="21"/>
    <x v="5"/>
    <m/>
    <n v="0"/>
    <n v="0"/>
    <d v="2017-05-20T00:00:00"/>
    <d v="2017-12-31T00:00:00"/>
    <n v="1500"/>
    <n v="0"/>
    <n v="7"/>
    <n v="1.1200000000000001"/>
    <n v="16.8"/>
    <n v="33.6"/>
    <m/>
    <m/>
    <n v="5"/>
    <n v="4"/>
    <n v="3"/>
    <n v="4"/>
    <n v="3"/>
    <n v="3"/>
    <n v="5"/>
    <n v="4"/>
    <n v="6"/>
    <n v="37"/>
    <m/>
    <n v="9"/>
    <n v="13"/>
    <n v="15"/>
    <n v="7"/>
    <n v="4"/>
    <n v="3"/>
    <n v="51"/>
    <m/>
    <n v="88"/>
    <m/>
    <m/>
    <m/>
    <m/>
    <m/>
    <m/>
    <n v="46.64"/>
    <n v="699.6"/>
    <n v="2199.6"/>
    <n v="800.40000000000009"/>
    <n v="3000"/>
    <n v="3000"/>
    <n v="3016.8"/>
    <n v="1516.8000000000002"/>
    <n v="101.12000000000002"/>
    <n v="3016.8"/>
    <n v="1516.8000000000002"/>
    <n v="101.12000000000002"/>
    <m/>
    <n v="3"/>
    <n v="3019.8"/>
    <n v="100.66000000000001"/>
    <m/>
  </r>
  <r>
    <m/>
    <n v="972"/>
    <x v="226"/>
    <x v="1"/>
    <x v="4"/>
    <n v="0"/>
    <x v="21"/>
    <x v="5"/>
    <m/>
    <n v="0"/>
    <n v="0"/>
    <d v="2017-06-01T00:00:00"/>
    <d v="2017-12-31T00:00:00"/>
    <n v="1500"/>
    <n v="0"/>
    <n v="6"/>
    <n v="0.96"/>
    <n v="14.399999999999999"/>
    <n v="28.799999999999997"/>
    <m/>
    <m/>
    <n v="4"/>
    <n v="3"/>
    <n v="3"/>
    <n v="1"/>
    <n v="1"/>
    <n v="1"/>
    <n v="4"/>
    <n v="3"/>
    <n v="4"/>
    <n v="24"/>
    <m/>
    <n v="7"/>
    <n v="12"/>
    <n v="15"/>
    <n v="7"/>
    <n v="4"/>
    <n v="3"/>
    <n v="48"/>
    <m/>
    <n v="72"/>
    <m/>
    <m/>
    <m/>
    <m/>
    <m/>
    <m/>
    <n v="38.160000000000004"/>
    <n v="572.40000000000009"/>
    <n v="2072.4"/>
    <n v="927.59999999999991"/>
    <n v="3000"/>
    <n v="3000"/>
    <n v="3014.4"/>
    <n v="1514.4"/>
    <n v="100.96000000000001"/>
    <n v="3014.4"/>
    <n v="1514.4"/>
    <n v="100.96000000000001"/>
    <m/>
    <n v="6"/>
    <n v="3020.4"/>
    <n v="100.68"/>
    <m/>
  </r>
  <r>
    <m/>
    <n v="973"/>
    <x v="227"/>
    <x v="1"/>
    <x v="5"/>
    <n v="0"/>
    <x v="11"/>
    <x v="2"/>
    <s v="C"/>
    <s v="تدريب مهني"/>
    <s v="ميكانيكا سيارات"/>
    <d v="2017-06-01T00:00:00"/>
    <d v="2017-12-31T00:00:00"/>
    <n v="1800"/>
    <n v="0"/>
    <n v="6"/>
    <n v="0.96"/>
    <n v="17.279999999999998"/>
    <n v="38.4"/>
    <m/>
    <m/>
    <n v="6"/>
    <n v="4.5"/>
    <n v="4.5"/>
    <n v="4"/>
    <n v="3.5"/>
    <n v="3"/>
    <n v="5"/>
    <n v="3.5"/>
    <n v="5"/>
    <n v="39"/>
    <m/>
    <n v="9"/>
    <n v="14"/>
    <n v="15"/>
    <n v="7"/>
    <n v="4"/>
    <n v="3"/>
    <n v="52"/>
    <m/>
    <n v="91"/>
    <m/>
    <n v="8"/>
    <m/>
    <m/>
    <m/>
    <m/>
    <n v="48.230000000000004"/>
    <n v="868.1400000000001"/>
    <n v="2668.1400000000003"/>
    <n v="1331.8599999999997"/>
    <n v="4000"/>
    <n v="4000"/>
    <n v="4017.28"/>
    <n v="2217.2800000000002"/>
    <n v="123.18222222222224"/>
    <n v="4017.28"/>
    <n v="2217.2800000000002"/>
    <n v="123.18222222222224"/>
    <m/>
    <n v="3"/>
    <n v="4020.28"/>
    <n v="134.00933333333333"/>
    <m/>
  </r>
  <r>
    <m/>
    <n v="975"/>
    <x v="228"/>
    <x v="1"/>
    <x v="4"/>
    <n v="0"/>
    <x v="21"/>
    <x v="5"/>
    <m/>
    <n v="0"/>
    <n v="0"/>
    <d v="2017-06-03T00:00:00"/>
    <d v="2017-12-31T00:00:00"/>
    <n v="1500"/>
    <n v="0"/>
    <n v="6"/>
    <n v="0.96"/>
    <n v="14.399999999999999"/>
    <n v="28.799999999999997"/>
    <m/>
    <m/>
    <m/>
    <m/>
    <m/>
    <m/>
    <m/>
    <m/>
    <m/>
    <m/>
    <m/>
    <n v="0"/>
    <m/>
    <n v="8"/>
    <n v="13"/>
    <n v="15"/>
    <n v="7"/>
    <n v="4"/>
    <n v="3"/>
    <n v="50"/>
    <m/>
    <n v="50"/>
    <m/>
    <m/>
    <m/>
    <m/>
    <m/>
    <m/>
    <n v="26.5"/>
    <n v="397.5"/>
    <n v="1897.5"/>
    <n v="1102.5"/>
    <n v="3000"/>
    <n v="3000"/>
    <n v="3014.4"/>
    <n v="1514.4"/>
    <n v="100.96000000000001"/>
    <n v="3014.4"/>
    <n v="1514.4"/>
    <n v="100.96000000000001"/>
    <m/>
    <n v="6"/>
    <n v="3020.4"/>
    <n v="100.68"/>
    <m/>
  </r>
  <r>
    <m/>
    <n v="976"/>
    <x v="229"/>
    <x v="1"/>
    <x v="4"/>
    <n v="0"/>
    <x v="21"/>
    <x v="5"/>
    <m/>
    <n v="0"/>
    <n v="0"/>
    <d v="2017-07-04T00:00:00"/>
    <d v="2017-12-31T00:00:00"/>
    <n v="1500"/>
    <n v="0"/>
    <n v="5"/>
    <n v="0.8"/>
    <n v="12"/>
    <n v="24"/>
    <m/>
    <m/>
    <n v="4"/>
    <n v="4"/>
    <n v="4"/>
    <n v="1"/>
    <n v="1"/>
    <n v="1"/>
    <n v="4"/>
    <n v="3"/>
    <n v="6"/>
    <n v="28"/>
    <m/>
    <n v="7"/>
    <n v="11"/>
    <n v="15"/>
    <n v="7"/>
    <n v="3"/>
    <n v="3"/>
    <n v="46"/>
    <m/>
    <n v="74"/>
    <m/>
    <m/>
    <m/>
    <m/>
    <m/>
    <m/>
    <n v="39.22"/>
    <n v="588.29999999999995"/>
    <n v="2088.3000000000002"/>
    <n v="911.69999999999982"/>
    <n v="3000"/>
    <n v="3000"/>
    <n v="3012"/>
    <n v="1512"/>
    <n v="100.8"/>
    <n v="3012"/>
    <n v="1512"/>
    <n v="100.8"/>
    <m/>
    <n v="8"/>
    <n v="3020"/>
    <n v="100.66666666666667"/>
    <m/>
  </r>
  <r>
    <m/>
    <n v="978"/>
    <x v="230"/>
    <x v="1"/>
    <x v="10"/>
    <n v="0"/>
    <x v="35"/>
    <x v="5"/>
    <m/>
    <n v="0"/>
    <n v="0"/>
    <d v="2017-07-12T00:00:00"/>
    <d v="2017-12-31T00:00:00"/>
    <n v="1500"/>
    <n v="0"/>
    <n v="5"/>
    <n v="0.8"/>
    <n v="12"/>
    <n v="24"/>
    <m/>
    <m/>
    <n v="5"/>
    <n v="4"/>
    <n v="4"/>
    <n v="5"/>
    <n v="4"/>
    <n v="4"/>
    <n v="5"/>
    <n v="4"/>
    <n v="6"/>
    <n v="41"/>
    <m/>
    <n v="9"/>
    <n v="14"/>
    <n v="15"/>
    <n v="7"/>
    <n v="4"/>
    <n v="3"/>
    <n v="52"/>
    <m/>
    <n v="93"/>
    <m/>
    <m/>
    <m/>
    <m/>
    <m/>
    <m/>
    <n v="49.29"/>
    <n v="739.35"/>
    <n v="2239.35"/>
    <n v="760.65000000000009"/>
    <n v="3000"/>
    <n v="3000"/>
    <n v="3012"/>
    <n v="1512"/>
    <n v="100.8"/>
    <n v="3012"/>
    <n v="1512"/>
    <n v="100.8"/>
    <m/>
    <n v="8"/>
    <n v="3020"/>
    <n v="100.66666666666667"/>
    <m/>
  </r>
  <r>
    <m/>
    <n v="979"/>
    <x v="231"/>
    <x v="1"/>
    <x v="2"/>
    <n v="0"/>
    <x v="48"/>
    <x v="6"/>
    <m/>
    <s v="شهاده ثانويه"/>
    <n v="0"/>
    <d v="2017-07-13T00:00:00"/>
    <d v="2017-12-31T00:00:00"/>
    <n v="1500"/>
    <n v="0"/>
    <n v="5"/>
    <n v="0.8"/>
    <n v="12"/>
    <n v="28"/>
    <m/>
    <m/>
    <m/>
    <m/>
    <m/>
    <m/>
    <m/>
    <m/>
    <m/>
    <m/>
    <m/>
    <n v="0"/>
    <m/>
    <n v="9"/>
    <n v="14"/>
    <n v="15"/>
    <n v="7"/>
    <n v="4"/>
    <n v="3"/>
    <n v="52"/>
    <m/>
    <n v="52"/>
    <m/>
    <m/>
    <m/>
    <m/>
    <m/>
    <m/>
    <n v="27.560000000000002"/>
    <n v="413.40000000000003"/>
    <n v="1913.4"/>
    <n v="1586.6"/>
    <n v="3500"/>
    <n v="3500"/>
    <n v="3512"/>
    <n v="2012"/>
    <n v="134.13333333333333"/>
    <n v="3512"/>
    <n v="2012"/>
    <n v="134.13333333333333"/>
    <m/>
    <n v="8"/>
    <n v="3520"/>
    <n v="117.33333333333333"/>
    <m/>
  </r>
  <r>
    <m/>
    <n v="980"/>
    <x v="232"/>
    <x v="1"/>
    <x v="4"/>
    <n v="0"/>
    <x v="21"/>
    <x v="5"/>
    <m/>
    <n v="0"/>
    <n v="0"/>
    <d v="2017-07-16T00:00:00"/>
    <d v="2017-12-31T00:00:00"/>
    <n v="1500"/>
    <n v="0"/>
    <n v="5"/>
    <n v="0.8"/>
    <n v="12"/>
    <n v="24"/>
    <m/>
    <m/>
    <n v="4"/>
    <n v="4"/>
    <n v="4"/>
    <n v="1"/>
    <n v="1"/>
    <n v="1"/>
    <n v="4"/>
    <n v="3"/>
    <n v="6"/>
    <n v="28"/>
    <m/>
    <n v="8"/>
    <n v="13"/>
    <n v="15"/>
    <n v="7"/>
    <n v="4"/>
    <n v="3"/>
    <n v="50"/>
    <m/>
    <n v="78"/>
    <m/>
    <m/>
    <m/>
    <m/>
    <m/>
    <m/>
    <n v="41.34"/>
    <n v="620.1"/>
    <n v="2120.1"/>
    <n v="879.90000000000009"/>
    <n v="3000"/>
    <n v="3000"/>
    <n v="3012"/>
    <n v="1512"/>
    <n v="100.8"/>
    <n v="3012"/>
    <n v="1512"/>
    <n v="100.8"/>
    <m/>
    <n v="8"/>
    <n v="3020"/>
    <n v="100.66666666666667"/>
    <m/>
  </r>
  <r>
    <m/>
    <n v="981"/>
    <x v="233"/>
    <x v="1"/>
    <x v="15"/>
    <n v="0"/>
    <x v="63"/>
    <x v="4"/>
    <s v="B"/>
    <s v="دبلوم تقني"/>
    <s v="نظم التحكم الالكترونى"/>
    <d v="2017-07-05T00:00:00"/>
    <d v="2017-12-31T00:00:00"/>
    <n v="1850"/>
    <n v="0"/>
    <n v="5"/>
    <n v="0.8"/>
    <n v="14.8"/>
    <n v="36"/>
    <m/>
    <m/>
    <n v="5"/>
    <n v="5"/>
    <n v="5"/>
    <n v="3"/>
    <n v="4"/>
    <n v="4"/>
    <n v="5"/>
    <n v="4"/>
    <n v="6"/>
    <n v="41"/>
    <m/>
    <n v="9"/>
    <n v="14"/>
    <n v="15"/>
    <n v="7"/>
    <n v="4"/>
    <n v="3"/>
    <n v="52"/>
    <m/>
    <n v="93"/>
    <m/>
    <n v="10"/>
    <m/>
    <m/>
    <m/>
    <m/>
    <n v="49.29"/>
    <n v="911.86500000000001"/>
    <n v="2761.8649999999998"/>
    <n v="1738.1350000000002"/>
    <n v="4500"/>
    <n v="4500"/>
    <n v="4514.8"/>
    <n v="2664.8"/>
    <n v="144.04324324324324"/>
    <n v="4514.8"/>
    <n v="2664.8"/>
    <n v="144.04324324324324"/>
    <m/>
    <n v="5"/>
    <n v="4519.8"/>
    <n v="150.66"/>
    <m/>
  </r>
  <r>
    <m/>
    <n v="983"/>
    <x v="234"/>
    <x v="1"/>
    <x v="6"/>
    <n v="0"/>
    <x v="64"/>
    <x v="3"/>
    <s v="A"/>
    <s v="بكلاريوس الشرف"/>
    <s v="هندسة كهربائية"/>
    <d v="2017-08-01T00:00:00"/>
    <d v="2017-12-31T00:00:00"/>
    <n v="2000"/>
    <n v="0"/>
    <n v="4"/>
    <n v="0.64"/>
    <n v="12.8"/>
    <n v="32"/>
    <m/>
    <m/>
    <n v="4"/>
    <n v="4"/>
    <n v="4"/>
    <n v="2"/>
    <n v="3"/>
    <n v="2"/>
    <n v="3"/>
    <n v="3"/>
    <n v="5"/>
    <n v="30"/>
    <m/>
    <n v="9"/>
    <n v="14"/>
    <n v="15"/>
    <n v="7"/>
    <n v="4"/>
    <n v="3"/>
    <n v="52"/>
    <m/>
    <n v="82"/>
    <m/>
    <n v="5"/>
    <m/>
    <m/>
    <m/>
    <m/>
    <n v="43.46"/>
    <n v="869.19999999999993"/>
    <n v="2869.2"/>
    <n v="2130.8000000000002"/>
    <n v="5000"/>
    <n v="5000"/>
    <n v="5012.8"/>
    <n v="3012.8"/>
    <n v="150.64000000000001"/>
    <n v="5012.8"/>
    <n v="3012.8"/>
    <n v="150.64000000000001"/>
    <m/>
    <n v="7"/>
    <n v="5019.8"/>
    <n v="167.32666666666668"/>
    <m/>
  </r>
  <r>
    <m/>
    <n v="984"/>
    <x v="235"/>
    <x v="1"/>
    <x v="4"/>
    <n v="0"/>
    <x v="24"/>
    <x v="2"/>
    <m/>
    <n v="0"/>
    <n v="0"/>
    <d v="2017-08-07T00:00:00"/>
    <d v="2017-12-31T00:00:00"/>
    <n v="2500"/>
    <n v="0"/>
    <n v="4"/>
    <n v="0.64"/>
    <n v="16"/>
    <n v="25.6"/>
    <m/>
    <m/>
    <n v="6"/>
    <n v="5"/>
    <n v="5"/>
    <n v="2"/>
    <n v="3"/>
    <n v="3"/>
    <n v="5"/>
    <n v="4"/>
    <n v="6"/>
    <n v="39"/>
    <m/>
    <n v="9"/>
    <n v="14"/>
    <n v="15"/>
    <n v="7"/>
    <n v="4"/>
    <n v="3"/>
    <n v="52"/>
    <m/>
    <n v="91"/>
    <m/>
    <m/>
    <m/>
    <m/>
    <m/>
    <m/>
    <n v="48.230000000000004"/>
    <n v="1205.7500000000002"/>
    <n v="3705.75"/>
    <n v="294.25"/>
    <n v="4000"/>
    <n v="4000"/>
    <n v="4016"/>
    <n v="1516"/>
    <n v="60.64"/>
    <n v="4016"/>
    <n v="1516"/>
    <n v="60.64"/>
    <m/>
    <n v="4"/>
    <n v="4020"/>
    <n v="134"/>
    <m/>
  </r>
  <r>
    <m/>
    <n v="985"/>
    <x v="236"/>
    <x v="1"/>
    <x v="4"/>
    <n v="0"/>
    <x v="21"/>
    <x v="5"/>
    <s v="B"/>
    <s v="دبلوم تقني"/>
    <s v="هندسة مدنية ( تشييد )"/>
    <d v="2017-08-12T00:00:00"/>
    <d v="2017-12-31T00:00:00"/>
    <n v="1500"/>
    <n v="0"/>
    <n v="4"/>
    <n v="0.64"/>
    <n v="9.6"/>
    <n v="19.2"/>
    <m/>
    <m/>
    <n v="5"/>
    <n v="4"/>
    <n v="4"/>
    <n v="1"/>
    <n v="1"/>
    <n v="1"/>
    <n v="4"/>
    <n v="3"/>
    <n v="5"/>
    <n v="28"/>
    <m/>
    <n v="9"/>
    <n v="14"/>
    <n v="15"/>
    <n v="7"/>
    <n v="4"/>
    <n v="3"/>
    <n v="52"/>
    <m/>
    <n v="80"/>
    <m/>
    <m/>
    <m/>
    <m/>
    <m/>
    <m/>
    <n v="42.400000000000006"/>
    <n v="636.00000000000011"/>
    <n v="2136"/>
    <n v="864"/>
    <n v="3000"/>
    <n v="3000"/>
    <n v="3009.6"/>
    <n v="1509.6"/>
    <n v="100.64"/>
    <n v="3009.6"/>
    <n v="1509.6"/>
    <n v="100.64"/>
    <m/>
    <m/>
    <n v="3009.6"/>
    <n v="100.32"/>
    <m/>
  </r>
  <r>
    <m/>
    <n v="986"/>
    <x v="237"/>
    <x v="1"/>
    <x v="4"/>
    <n v="0"/>
    <x v="21"/>
    <x v="5"/>
    <m/>
    <n v="0"/>
    <n v="0"/>
    <d v="2017-08-12T00:00:00"/>
    <d v="2017-12-31T00:00:00"/>
    <n v="1500"/>
    <n v="0"/>
    <n v="4"/>
    <n v="0.64"/>
    <n v="9.6"/>
    <n v="19.2"/>
    <m/>
    <m/>
    <m/>
    <m/>
    <m/>
    <m/>
    <m/>
    <m/>
    <m/>
    <m/>
    <m/>
    <n v="0"/>
    <m/>
    <n v="8"/>
    <n v="13"/>
    <n v="15"/>
    <n v="7"/>
    <n v="4"/>
    <n v="3"/>
    <n v="50"/>
    <m/>
    <n v="50"/>
    <m/>
    <m/>
    <m/>
    <m/>
    <m/>
    <m/>
    <n v="26.5"/>
    <n v="397.5"/>
    <n v="1897.5"/>
    <n v="1102.5"/>
    <n v="3000"/>
    <n v="3000"/>
    <n v="3009.6"/>
    <n v="1509.6"/>
    <n v="100.64"/>
    <n v="3009.6"/>
    <n v="1509.6"/>
    <n v="100.64"/>
    <m/>
    <m/>
    <n v="3009.6"/>
    <n v="100.32"/>
    <m/>
  </r>
  <r>
    <m/>
    <n v="987"/>
    <x v="238"/>
    <x v="1"/>
    <x v="7"/>
    <n v="0"/>
    <x v="65"/>
    <x v="2"/>
    <s v="C"/>
    <s v="تدريب مهني"/>
    <s v="براد مواسير وتركيبات صحية"/>
    <d v="2017-09-12T00:00:00"/>
    <d v="2017-12-31T00:00:00"/>
    <n v="1850"/>
    <n v="0"/>
    <n v="3"/>
    <n v="0.48"/>
    <n v="8.879999999999999"/>
    <n v="19.2"/>
    <m/>
    <m/>
    <n v="4"/>
    <n v="4"/>
    <n v="4"/>
    <n v="4"/>
    <n v="4"/>
    <n v="3"/>
    <n v="5"/>
    <n v="4"/>
    <n v="6"/>
    <n v="38"/>
    <m/>
    <n v="9"/>
    <n v="14"/>
    <n v="15"/>
    <n v="7"/>
    <n v="5"/>
    <n v="3"/>
    <n v="53"/>
    <m/>
    <n v="91"/>
    <m/>
    <m/>
    <m/>
    <m/>
    <m/>
    <m/>
    <n v="48.230000000000004"/>
    <n v="892.25500000000011"/>
    <n v="2742.2550000000001"/>
    <n v="1257.7449999999999"/>
    <n v="4000"/>
    <n v="4000"/>
    <n v="4008.88"/>
    <n v="2158.88"/>
    <n v="116.69621621621623"/>
    <n v="4008.88"/>
    <n v="2158.88"/>
    <n v="116.69621621621623"/>
    <m/>
    <n v="1"/>
    <n v="4009.88"/>
    <n v="133.66266666666667"/>
    <m/>
  </r>
  <r>
    <m/>
    <n v="988"/>
    <x v="239"/>
    <x v="1"/>
    <x v="4"/>
    <n v="0"/>
    <x v="21"/>
    <x v="5"/>
    <s v="A"/>
    <s v="بكلاريوس"/>
    <s v="تقانة المعلومات"/>
    <d v="2017-09-18T00:00:00"/>
    <d v="2017-12-31T00:00:00"/>
    <n v="1500"/>
    <n v="0"/>
    <n v="3"/>
    <n v="0.48"/>
    <n v="7.1999999999999993"/>
    <n v="14.399999999999999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m/>
    <n v="11.66"/>
    <n v="174.9"/>
    <n v="1674.9"/>
    <n v="1325.1"/>
    <n v="3000"/>
    <n v="3000"/>
    <n v="3007.2"/>
    <n v="1507.1999999999998"/>
    <n v="100.47999999999999"/>
    <n v="3007.2"/>
    <n v="1507.1999999999998"/>
    <n v="100.47999999999999"/>
    <m/>
    <n v="3"/>
    <n v="3010.2"/>
    <n v="100.33999999999999"/>
    <m/>
  </r>
  <r>
    <m/>
    <n v="990"/>
    <x v="240"/>
    <x v="1"/>
    <x v="4"/>
    <n v="0"/>
    <x v="21"/>
    <x v="5"/>
    <m/>
    <s v="شهاده ثانويه"/>
    <n v="0"/>
    <d v="2017-11-19T00:00:00"/>
    <d v="2017-12-31T00:00:00"/>
    <n v="1400"/>
    <n v="0"/>
    <n v="1"/>
    <n v="0.16"/>
    <n v="2.2400000000000002"/>
    <n v="4.8"/>
    <m/>
    <m/>
    <n v="3"/>
    <n v="2"/>
    <n v="2"/>
    <n v="1"/>
    <n v="1"/>
    <n v="1"/>
    <n v="3"/>
    <n v="2"/>
    <n v="2"/>
    <n v="17"/>
    <m/>
    <n v="9"/>
    <n v="14"/>
    <n v="15"/>
    <n v="7"/>
    <n v="4"/>
    <n v="3"/>
    <n v="52"/>
    <m/>
    <n v="69"/>
    <m/>
    <m/>
    <m/>
    <m/>
    <m/>
    <m/>
    <n v="36.57"/>
    <n v="511.98"/>
    <n v="1911.98"/>
    <n v="1088.02"/>
    <n v="3000"/>
    <n v="3000"/>
    <n v="3002.24"/>
    <n v="1602.2399999999998"/>
    <n v="114.44571428571427"/>
    <n v="3002.24"/>
    <n v="1602.2399999999998"/>
    <n v="114.44571428571427"/>
    <m/>
    <n v="8"/>
    <n v="3010.24"/>
    <n v="100.34133333333332"/>
    <m/>
  </r>
  <r>
    <m/>
    <n v="991"/>
    <x v="241"/>
    <x v="1"/>
    <x v="4"/>
    <n v="0"/>
    <x v="21"/>
    <x v="5"/>
    <m/>
    <s v="شهاده ثانويه"/>
    <n v="0"/>
    <d v="2017-12-01T00:00:00"/>
    <d v="2017-12-31T00:00:00"/>
    <n v="1400"/>
    <n v="0"/>
    <n v="0"/>
    <n v="0"/>
    <n v="0"/>
    <n v="0"/>
    <m/>
    <m/>
    <n v="3"/>
    <n v="2"/>
    <n v="2"/>
    <n v="1"/>
    <n v="1"/>
    <n v="1"/>
    <n v="3"/>
    <n v="2"/>
    <n v="3"/>
    <n v="18"/>
    <m/>
    <n v="9"/>
    <n v="14"/>
    <n v="15"/>
    <n v="7"/>
    <n v="4"/>
    <n v="3"/>
    <n v="52"/>
    <m/>
    <n v="70"/>
    <m/>
    <m/>
    <m/>
    <m/>
    <m/>
    <m/>
    <n v="37.1"/>
    <n v="519.4"/>
    <n v="1919.4"/>
    <n v="1080.5999999999999"/>
    <n v="3000"/>
    <n v="3000"/>
    <n v="3000"/>
    <n v="1600"/>
    <n v="114.28571428571429"/>
    <n v="3000"/>
    <n v="1600"/>
    <n v="114.28571428571429"/>
    <m/>
    <m/>
    <n v="3000"/>
    <n v="100"/>
    <m/>
  </r>
  <r>
    <m/>
    <n v="992"/>
    <x v="242"/>
    <x v="1"/>
    <x v="7"/>
    <n v="0"/>
    <x v="65"/>
    <x v="2"/>
    <m/>
    <n v="0"/>
    <n v="0"/>
    <d v="2017-12-06T00:00:00"/>
    <d v="2017-12-31T00:00:00"/>
    <n v="1600"/>
    <n v="0"/>
    <n v="0"/>
    <n v="0"/>
    <n v="0"/>
    <n v="0"/>
    <m/>
    <m/>
    <n v="5"/>
    <n v="4"/>
    <n v="3"/>
    <n v="4"/>
    <n v="3"/>
    <n v="3"/>
    <n v="5"/>
    <n v="4"/>
    <n v="3"/>
    <n v="34"/>
    <m/>
    <n v="9"/>
    <n v="14"/>
    <n v="15"/>
    <n v="7"/>
    <n v="5"/>
    <n v="3"/>
    <n v="53"/>
    <m/>
    <n v="87"/>
    <m/>
    <m/>
    <m/>
    <m/>
    <m/>
    <m/>
    <n v="46.11"/>
    <n v="737.76"/>
    <n v="2337.7600000000002"/>
    <n v="1662.2399999999998"/>
    <n v="4000"/>
    <n v="4000"/>
    <n v="4000"/>
    <n v="2400"/>
    <n v="150"/>
    <n v="4000"/>
    <n v="2400"/>
    <n v="150"/>
    <m/>
    <m/>
    <n v="4000"/>
    <n v="133.33333333333334"/>
    <m/>
  </r>
  <r>
    <m/>
    <n v="6001"/>
    <x v="243"/>
    <x v="3"/>
    <x v="3"/>
    <s v="الامن"/>
    <x v="66"/>
    <x v="2"/>
    <m/>
    <n v="0"/>
    <n v="0"/>
    <d v="2012-07-15T00:00:00"/>
    <d v="2017-12-31T00:00:00"/>
    <n v="1870"/>
    <n v="5"/>
    <n v="5"/>
    <n v="10.8"/>
    <n v="201.96000000000004"/>
    <n v="432.00000000000006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m/>
    <n v="11.66"/>
    <n v="218.042"/>
    <n v="2088.0419999999999"/>
    <n v="1911.9580000000001"/>
    <n v="4000"/>
    <n v="4000"/>
    <n v="4201.96"/>
    <n v="2331.96"/>
    <n v="124.70374331550804"/>
    <n v="4201.96"/>
    <n v="2331.96"/>
    <n v="124.70374331550804"/>
    <m/>
    <n v="8"/>
    <n v="4209.96"/>
    <n v="140.33199999999999"/>
    <m/>
  </r>
  <r>
    <m/>
    <n v="6002"/>
    <x v="244"/>
    <x v="3"/>
    <x v="1"/>
    <n v="0"/>
    <x v="67"/>
    <x v="1"/>
    <s v="A"/>
    <s v="بكلاريوس الشرف"/>
    <s v="هندسة زراعة"/>
    <d v="2014-05-01T00:00:00"/>
    <d v="2017-12-31T00:00:00"/>
    <n v="14000"/>
    <n v="3"/>
    <n v="7"/>
    <n v="7.12"/>
    <n v="996.8"/>
    <n v="1503.9718399999999"/>
    <m/>
    <m/>
    <n v="5"/>
    <n v="5"/>
    <n v="5"/>
    <n v="5"/>
    <n v="4"/>
    <n v="4"/>
    <n v="6"/>
    <n v="4"/>
    <n v="6"/>
    <n v="44"/>
    <m/>
    <n v="9"/>
    <n v="14"/>
    <n v="15"/>
    <n v="7"/>
    <n v="4"/>
    <n v="3"/>
    <n v="52"/>
    <m/>
    <n v="96"/>
    <m/>
    <m/>
    <m/>
    <m/>
    <m/>
    <m/>
    <n v="50.88"/>
    <n v="7123.2000000000007"/>
    <n v="21123.200000000001"/>
    <m/>
    <n v="5000"/>
    <n v="21123.200000000001"/>
    <n v="22120"/>
    <n v="8120"/>
    <n v="58"/>
    <n v="22120"/>
    <n v="8120"/>
    <n v="58"/>
    <m/>
    <m/>
    <n v="22120"/>
    <n v="737.33333333333337"/>
    <m/>
  </r>
  <r>
    <m/>
    <n v="6006"/>
    <x v="245"/>
    <x v="3"/>
    <x v="1"/>
    <n v="0"/>
    <x v="68"/>
    <x v="3"/>
    <s v="B"/>
    <s v="بكلاريوس"/>
    <s v="دراسات اقنصادية واجتماعية"/>
    <d v="2015-11-02T00:00:00"/>
    <d v="2017-12-31T00:00:00"/>
    <n v="2400"/>
    <n v="2"/>
    <n v="1"/>
    <n v="4.16"/>
    <n v="99.839999999999989"/>
    <n v="208"/>
    <m/>
    <m/>
    <n v="4"/>
    <n v="4"/>
    <n v="5"/>
    <n v="5"/>
    <n v="2"/>
    <n v="3"/>
    <n v="4"/>
    <n v="4"/>
    <n v="6"/>
    <n v="37"/>
    <m/>
    <n v="9"/>
    <n v="14"/>
    <n v="15"/>
    <n v="7"/>
    <n v="4"/>
    <n v="3"/>
    <n v="52"/>
    <m/>
    <n v="89"/>
    <m/>
    <m/>
    <m/>
    <m/>
    <m/>
    <m/>
    <n v="47.17"/>
    <n v="1132.08"/>
    <n v="3532.08"/>
    <n v="1467.92"/>
    <n v="5000"/>
    <n v="5000"/>
    <n v="5099.84"/>
    <n v="2699.84"/>
    <n v="112.49333333333334"/>
    <n v="5099.84"/>
    <n v="2699.84"/>
    <n v="112.49333333333334"/>
    <m/>
    <m/>
    <n v="5099.84"/>
    <n v="169.99466666666666"/>
    <m/>
  </r>
  <r>
    <m/>
    <n v="6008"/>
    <x v="246"/>
    <x v="3"/>
    <x v="1"/>
    <n v="0"/>
    <x v="69"/>
    <x v="3"/>
    <s v="B"/>
    <s v="بكلاريوس الشرف"/>
    <s v="علوم زراعية "/>
    <d v="2016-11-18T00:00:00"/>
    <d v="2017-12-31T00:00:00"/>
    <n v="2000"/>
    <n v="1"/>
    <n v="1"/>
    <n v="2.16"/>
    <n v="43.2"/>
    <n v="108"/>
    <m/>
    <m/>
    <n v="4"/>
    <n v="4"/>
    <n v="4"/>
    <n v="2"/>
    <n v="2"/>
    <n v="2"/>
    <n v="3"/>
    <n v="4"/>
    <n v="6"/>
    <n v="31"/>
    <m/>
    <n v="9"/>
    <n v="14"/>
    <n v="15"/>
    <n v="7"/>
    <n v="4"/>
    <n v="3"/>
    <n v="52"/>
    <m/>
    <n v="83"/>
    <m/>
    <m/>
    <m/>
    <m/>
    <m/>
    <m/>
    <n v="43.99"/>
    <n v="879.80000000000007"/>
    <n v="2879.8"/>
    <n v="2120.1999999999998"/>
    <n v="5000"/>
    <n v="5000"/>
    <n v="5043.2"/>
    <n v="3043.2"/>
    <n v="152.16"/>
    <n v="5043.2"/>
    <n v="3043.2"/>
    <n v="152.16"/>
    <m/>
    <n v="7"/>
    <n v="5050.2"/>
    <n v="168.34"/>
    <m/>
  </r>
  <r>
    <m/>
    <n v="6010"/>
    <x v="247"/>
    <x v="3"/>
    <x v="4"/>
    <n v="0"/>
    <x v="21"/>
    <x v="5"/>
    <s v="F"/>
    <n v="0"/>
    <n v="0"/>
    <d v="2016-12-15T00:00:00"/>
    <d v="2017-12-31T00:00:00"/>
    <n v="1750"/>
    <n v="1"/>
    <n v="0"/>
    <n v="2"/>
    <n v="35"/>
    <n v="60"/>
    <m/>
    <m/>
    <n v="2"/>
    <n v="2"/>
    <n v="3"/>
    <n v="0"/>
    <n v="0"/>
    <n v="0"/>
    <n v="0"/>
    <n v="4"/>
    <n v="3"/>
    <n v="14"/>
    <m/>
    <n v="7"/>
    <n v="13"/>
    <n v="15"/>
    <n v="5"/>
    <n v="3"/>
    <n v="3"/>
    <n v="46"/>
    <m/>
    <n v="60"/>
    <m/>
    <m/>
    <m/>
    <m/>
    <m/>
    <m/>
    <n v="31.8"/>
    <n v="556.5"/>
    <n v="2306.5"/>
    <n v="693.5"/>
    <n v="3000"/>
    <n v="3000"/>
    <n v="3035"/>
    <n v="1285"/>
    <n v="73.428571428571431"/>
    <n v="3035"/>
    <n v="1285"/>
    <n v="73.428571428571431"/>
    <m/>
    <n v="5"/>
    <n v="3040"/>
    <n v="101.33333333333333"/>
    <m/>
  </r>
  <r>
    <m/>
    <n v="6011"/>
    <x v="248"/>
    <x v="3"/>
    <x v="1"/>
    <n v="0"/>
    <x v="70"/>
    <x v="3"/>
    <s v="B"/>
    <s v="بكلاريوس الشرف"/>
    <s v="هندسة زراعة"/>
    <d v="2017-03-01T00:00:00"/>
    <d v="2017-12-31T00:00:00"/>
    <n v="2400"/>
    <n v="0"/>
    <n v="9"/>
    <n v="1.44"/>
    <n v="34.56"/>
    <n v="72"/>
    <m/>
    <m/>
    <n v="4"/>
    <n v="5"/>
    <n v="5"/>
    <n v="3"/>
    <n v="4"/>
    <n v="4"/>
    <n v="2"/>
    <n v="4"/>
    <n v="3"/>
    <n v="34"/>
    <m/>
    <n v="8"/>
    <n v="14"/>
    <n v="15"/>
    <n v="7"/>
    <n v="4"/>
    <n v="3"/>
    <n v="51"/>
    <m/>
    <n v="85"/>
    <m/>
    <m/>
    <m/>
    <m/>
    <m/>
    <m/>
    <n v="45.050000000000004"/>
    <n v="1081.2000000000003"/>
    <n v="3481.2000000000003"/>
    <n v="1518.7999999999997"/>
    <n v="5000"/>
    <n v="5000"/>
    <n v="5034.5600000000004"/>
    <n v="2634.5600000000004"/>
    <n v="109.77333333333335"/>
    <n v="5034.5600000000004"/>
    <n v="2634.5600000000004"/>
    <n v="109.77333333333335"/>
    <m/>
    <n v="5"/>
    <n v="5039.5600000000004"/>
    <n v="167.98533333333336"/>
    <m/>
  </r>
  <r>
    <m/>
    <n v="6013"/>
    <x v="249"/>
    <x v="3"/>
    <x v="4"/>
    <n v="0"/>
    <x v="21"/>
    <x v="5"/>
    <s v="F"/>
    <s v="بكلاريوس"/>
    <s v="الاقتصاد التطبيقى"/>
    <d v="2017-08-06T00:00:00"/>
    <d v="2017-12-31T00:00:00"/>
    <n v="1400"/>
    <n v="0"/>
    <n v="4"/>
    <n v="0.64"/>
    <n v="8.9600000000000009"/>
    <n v="19.2"/>
    <m/>
    <m/>
    <n v="5"/>
    <n v="5"/>
    <n v="5"/>
    <n v="5"/>
    <n v="4"/>
    <n v="4"/>
    <n v="6"/>
    <n v="4"/>
    <n v="6"/>
    <n v="44"/>
    <m/>
    <n v="8"/>
    <n v="13"/>
    <n v="15"/>
    <n v="7"/>
    <n v="4"/>
    <n v="3"/>
    <n v="50"/>
    <m/>
    <n v="94"/>
    <m/>
    <m/>
    <m/>
    <m/>
    <m/>
    <m/>
    <n v="49.82"/>
    <n v="697.48"/>
    <n v="2097.48"/>
    <n v="902.52"/>
    <n v="3000"/>
    <n v="3000"/>
    <n v="3008.96"/>
    <n v="1608.96"/>
    <n v="114.92571428571429"/>
    <n v="3008.96"/>
    <n v="1608.96"/>
    <n v="114.92571428571429"/>
    <m/>
    <n v="1"/>
    <n v="3009.96"/>
    <n v="100.33200000000001"/>
    <m/>
  </r>
  <r>
    <m/>
    <n v="6014"/>
    <x v="250"/>
    <x v="3"/>
    <x v="4"/>
    <n v="0"/>
    <x v="21"/>
    <x v="5"/>
    <s v="F"/>
    <n v="0"/>
    <n v="0"/>
    <d v="2017-10-15T00:00:00"/>
    <d v="2017-12-31T00:00:00"/>
    <n v="1400"/>
    <n v="0"/>
    <n v="2"/>
    <n v="0.32"/>
    <n v="4.4800000000000004"/>
    <n v="9.6"/>
    <m/>
    <m/>
    <m/>
    <m/>
    <m/>
    <m/>
    <m/>
    <m/>
    <m/>
    <m/>
    <m/>
    <n v="0"/>
    <m/>
    <m/>
    <m/>
    <n v="0"/>
    <n v="0"/>
    <m/>
    <m/>
    <n v="0"/>
    <m/>
    <n v="0"/>
    <m/>
    <m/>
    <m/>
    <m/>
    <m/>
    <m/>
    <n v="0"/>
    <n v="0"/>
    <n v="1400"/>
    <n v="1600"/>
    <n v="3000"/>
    <n v="3000"/>
    <n v="3004.48"/>
    <n v="1604.48"/>
    <n v="114.60571428571428"/>
    <n v="3004.48"/>
    <n v="1604.48"/>
    <n v="114.60571428571428"/>
    <m/>
    <n v="6"/>
    <n v="3010.48"/>
    <n v="100.34933333333333"/>
    <m/>
  </r>
  <r>
    <m/>
    <n v="6016"/>
    <x v="251"/>
    <x v="3"/>
    <x v="4"/>
    <n v="0"/>
    <x v="21"/>
    <x v="5"/>
    <s v="F"/>
    <s v="دبلوم تقني"/>
    <s v="نظم المعلومات الادارية"/>
    <d v="2017-11-05T00:00:00"/>
    <d v="2017-12-31T00:00:00"/>
    <n v="1400"/>
    <n v="0"/>
    <n v="1"/>
    <n v="0.16"/>
    <n v="2.2400000000000002"/>
    <n v="4.8"/>
    <m/>
    <m/>
    <n v="5"/>
    <n v="3"/>
    <n v="5"/>
    <n v="3"/>
    <n v="4"/>
    <n v="3"/>
    <n v="5"/>
    <n v="4"/>
    <n v="6"/>
    <n v="38"/>
    <m/>
    <n v="9"/>
    <n v="14"/>
    <n v="15"/>
    <n v="7"/>
    <n v="4"/>
    <n v="3"/>
    <n v="52"/>
    <m/>
    <n v="90"/>
    <m/>
    <m/>
    <m/>
    <m/>
    <m/>
    <m/>
    <n v="47.7"/>
    <n v="667.80000000000007"/>
    <n v="2067.8000000000002"/>
    <n v="932.19999999999982"/>
    <n v="3000"/>
    <n v="3000"/>
    <n v="3002.24"/>
    <n v="1602.2399999999998"/>
    <n v="114.44571428571427"/>
    <n v="3002.24"/>
    <n v="1602.2399999999998"/>
    <n v="114.44571428571427"/>
    <m/>
    <n v="8"/>
    <n v="3010.24"/>
    <n v="100.34133333333332"/>
    <m/>
  </r>
  <r>
    <m/>
    <n v="6017"/>
    <x v="252"/>
    <x v="3"/>
    <x v="4"/>
    <n v="0"/>
    <x v="21"/>
    <x v="5"/>
    <m/>
    <n v="0"/>
    <n v="0"/>
    <d v="2017-11-08T00:00:00"/>
    <d v="2017-12-31T00:00:00"/>
    <n v="1400"/>
    <n v="0"/>
    <n v="1"/>
    <n v="0.16"/>
    <n v="2.2400000000000002"/>
    <n v="4.8"/>
    <m/>
    <m/>
    <n v="5"/>
    <n v="4"/>
    <n v="5"/>
    <n v="3"/>
    <n v="4"/>
    <n v="3"/>
    <n v="5"/>
    <n v="4"/>
    <n v="6"/>
    <n v="39"/>
    <m/>
    <n v="9"/>
    <n v="14"/>
    <n v="15"/>
    <n v="7"/>
    <n v="4"/>
    <n v="3"/>
    <n v="52"/>
    <m/>
    <n v="91"/>
    <m/>
    <m/>
    <m/>
    <m/>
    <m/>
    <m/>
    <n v="48.230000000000004"/>
    <n v="675.22000000000014"/>
    <n v="2075.2200000000003"/>
    <n v="924.77999999999975"/>
    <n v="3000"/>
    <n v="3000"/>
    <n v="3002.24"/>
    <n v="1602.2399999999998"/>
    <n v="114.44571428571427"/>
    <n v="3002.24"/>
    <n v="1602.2399999999998"/>
    <n v="114.44571428571427"/>
    <m/>
    <n v="8"/>
    <n v="3010.24"/>
    <n v="100.34133333333332"/>
    <m/>
  </r>
  <r>
    <m/>
    <n v="6018"/>
    <x v="253"/>
    <x v="3"/>
    <x v="4"/>
    <n v="0"/>
    <x v="21"/>
    <x v="5"/>
    <s v="C"/>
    <s v="شهاده دورة تدريب"/>
    <s v="تصنيع الادوات الزراعية"/>
    <d v="2017-11-18T00:00:00"/>
    <d v="2017-12-31T00:00:00"/>
    <n v="1400"/>
    <n v="0"/>
    <n v="1"/>
    <n v="0.16"/>
    <n v="2.2400000000000002"/>
    <n v="4.8"/>
    <m/>
    <m/>
    <n v="6"/>
    <n v="5"/>
    <n v="5"/>
    <n v="3"/>
    <n v="3"/>
    <n v="3"/>
    <n v="4"/>
    <n v="4"/>
    <n v="6"/>
    <n v="39"/>
    <m/>
    <n v="9"/>
    <n v="14"/>
    <n v="15"/>
    <n v="7"/>
    <n v="4"/>
    <n v="3"/>
    <n v="52"/>
    <m/>
    <n v="91"/>
    <m/>
    <m/>
    <m/>
    <m/>
    <m/>
    <m/>
    <n v="48.230000000000004"/>
    <n v="675.22000000000014"/>
    <n v="2075.2200000000003"/>
    <n v="924.77999999999975"/>
    <n v="3000"/>
    <n v="3000"/>
    <n v="3002.24"/>
    <n v="1602.2399999999998"/>
    <n v="114.44571428571427"/>
    <n v="3002.24"/>
    <n v="1602.2399999999998"/>
    <n v="114.44571428571427"/>
    <m/>
    <n v="8"/>
    <n v="3010.24"/>
    <n v="100.34133333333332"/>
    <m/>
  </r>
  <r>
    <m/>
    <n v="8501"/>
    <x v="254"/>
    <x v="4"/>
    <x v="1"/>
    <n v="0"/>
    <x v="71"/>
    <x v="1"/>
    <m/>
    <n v="0"/>
    <n v="0"/>
    <d v="2015-01-01T00:00:00"/>
    <d v="2017-12-31T00:00:00"/>
    <n v="7080"/>
    <n v="2"/>
    <n v="11"/>
    <n v="5.76"/>
    <n v="407.80799999999999"/>
    <n v="623.94623999999999"/>
    <m/>
    <m/>
    <m/>
    <m/>
    <m/>
    <m/>
    <m/>
    <m/>
    <m/>
    <m/>
    <n v="45"/>
    <n v="45"/>
    <m/>
    <m/>
    <m/>
    <m/>
    <m/>
    <m/>
    <n v="55"/>
    <n v="55"/>
    <m/>
    <n v="100"/>
    <m/>
    <m/>
    <m/>
    <m/>
    <m/>
    <n v="55"/>
    <n v="53"/>
    <n v="3752.4"/>
    <n v="10832.4"/>
    <m/>
    <n v="5000"/>
    <n v="10832.4"/>
    <n v="11240.207999999999"/>
    <n v="4160.2079999999987"/>
    <n v="58.759999999999984"/>
    <n v="11240.207999999999"/>
    <n v="4160.2079999999987"/>
    <n v="58.759999999999984"/>
    <m/>
    <m/>
    <n v="11240.207999999999"/>
    <n v="374.67359999999996"/>
    <m/>
  </r>
  <r>
    <m/>
    <n v="8502"/>
    <x v="255"/>
    <x v="4"/>
    <x v="16"/>
    <n v="0"/>
    <x v="72"/>
    <x v="3"/>
    <m/>
    <n v="0"/>
    <n v="0"/>
    <d v="2015-01-01T00:00:00"/>
    <d v="2017-12-31T00:00:00"/>
    <n v="3600"/>
    <n v="2"/>
    <n v="11"/>
    <n v="5.76"/>
    <n v="207.35999999999999"/>
    <n v="317.26080000000002"/>
    <m/>
    <m/>
    <m/>
    <m/>
    <m/>
    <m/>
    <m/>
    <m/>
    <m/>
    <m/>
    <n v="45"/>
    <n v="45"/>
    <m/>
    <m/>
    <m/>
    <m/>
    <m/>
    <m/>
    <n v="55"/>
    <n v="55"/>
    <m/>
    <n v="100"/>
    <m/>
    <m/>
    <m/>
    <m/>
    <m/>
    <n v="55"/>
    <n v="53"/>
    <n v="1908"/>
    <n v="5508"/>
    <m/>
    <n v="5000"/>
    <n v="5508"/>
    <n v="5715.36"/>
    <n v="2115.3599999999997"/>
    <n v="58.759999999999991"/>
    <n v="5715.36"/>
    <n v="2115.3599999999997"/>
    <n v="58.759999999999991"/>
    <m/>
    <n v="5"/>
    <n v="5720.36"/>
    <n v="190.67866666666666"/>
    <m/>
  </r>
  <r>
    <m/>
    <n v="8503"/>
    <x v="256"/>
    <x v="4"/>
    <x v="16"/>
    <n v="0"/>
    <x v="72"/>
    <x v="3"/>
    <m/>
    <n v="0"/>
    <n v="0"/>
    <d v="2015-01-01T00:00:00"/>
    <d v="2017-12-31T00:00:00"/>
    <n v="3600"/>
    <n v="2"/>
    <n v="11"/>
    <n v="5.76"/>
    <n v="207.35999999999999"/>
    <n v="317.26080000000002"/>
    <m/>
    <m/>
    <m/>
    <m/>
    <m/>
    <m/>
    <m/>
    <m/>
    <m/>
    <m/>
    <n v="45"/>
    <n v="45"/>
    <m/>
    <m/>
    <m/>
    <m/>
    <m/>
    <m/>
    <n v="55"/>
    <n v="55"/>
    <m/>
    <n v="100"/>
    <m/>
    <m/>
    <m/>
    <m/>
    <m/>
    <n v="55"/>
    <n v="53"/>
    <n v="1908"/>
    <n v="5508"/>
    <m/>
    <n v="5000"/>
    <n v="5508"/>
    <n v="5715.36"/>
    <n v="2115.3599999999997"/>
    <n v="58.759999999999991"/>
    <n v="5715.36"/>
    <n v="2115.3599999999997"/>
    <n v="58.759999999999991"/>
    <m/>
    <n v="5"/>
    <n v="5720.36"/>
    <n v="190.67866666666666"/>
    <m/>
  </r>
  <r>
    <m/>
    <n v="8504"/>
    <x v="257"/>
    <x v="4"/>
    <x v="7"/>
    <n v="0"/>
    <x v="21"/>
    <x v="5"/>
    <m/>
    <n v="0"/>
    <n v="0"/>
    <d v="2015-01-01T00:00:00"/>
    <d v="2017-12-31T00:00:00"/>
    <n v="2210"/>
    <n v="2"/>
    <n v="11"/>
    <n v="5.76"/>
    <n v="127.29599999999999"/>
    <n v="194.76288"/>
    <m/>
    <m/>
    <m/>
    <m/>
    <m/>
    <m/>
    <m/>
    <m/>
    <m/>
    <m/>
    <n v="45"/>
    <n v="45"/>
    <m/>
    <m/>
    <m/>
    <m/>
    <m/>
    <m/>
    <n v="55"/>
    <n v="55"/>
    <m/>
    <n v="100"/>
    <m/>
    <m/>
    <m/>
    <m/>
    <m/>
    <n v="55"/>
    <n v="53"/>
    <n v="1171.3"/>
    <n v="3381.3"/>
    <m/>
    <n v="3000"/>
    <n v="3381.3"/>
    <n v="3508.596"/>
    <n v="1298.596"/>
    <n v="58.76"/>
    <n v="3508.596"/>
    <n v="1298.596"/>
    <n v="58.76"/>
    <m/>
    <n v="1"/>
    <n v="3509.596"/>
    <n v="116.98653333333333"/>
    <m/>
  </r>
  <r>
    <m/>
    <n v="8505"/>
    <x v="258"/>
    <x v="4"/>
    <x v="8"/>
    <n v="0"/>
    <x v="22"/>
    <x v="3"/>
    <m/>
    <n v="0"/>
    <n v="0"/>
    <d v="2016-03-01T00:00:00"/>
    <d v="2017-12-31T00:00:00"/>
    <n v="2600"/>
    <n v="1"/>
    <n v="9"/>
    <n v="3.44"/>
    <n v="89.44"/>
    <n v="172"/>
    <m/>
    <m/>
    <m/>
    <m/>
    <m/>
    <m/>
    <m/>
    <m/>
    <m/>
    <m/>
    <n v="45"/>
    <n v="45"/>
    <m/>
    <m/>
    <m/>
    <m/>
    <m/>
    <m/>
    <n v="55"/>
    <n v="55"/>
    <m/>
    <n v="100"/>
    <m/>
    <m/>
    <m/>
    <m/>
    <m/>
    <n v="55"/>
    <n v="53"/>
    <n v="1378"/>
    <n v="3978"/>
    <n v="1022"/>
    <n v="5000"/>
    <n v="5000"/>
    <n v="5089.4399999999996"/>
    <n v="2489.4399999999996"/>
    <n v="95.74769230769229"/>
    <n v="5089.4399999999996"/>
    <n v="2489.4399999999996"/>
    <n v="95.74769230769229"/>
    <m/>
    <n v="1"/>
    <n v="5090.4399999999996"/>
    <n v="169.68133333333333"/>
    <m/>
  </r>
  <r>
    <m/>
    <s v="A1"/>
    <x v="259"/>
    <x v="2"/>
    <x v="13"/>
    <n v="0"/>
    <x v="73"/>
    <x v="1"/>
    <m/>
    <n v="0"/>
    <n v="0"/>
    <d v="2007-01-01T00:00:00"/>
    <d v="2017-12-31T00:00:00"/>
    <n v="12000"/>
    <n v="10"/>
    <n v="11"/>
    <n v="21.76"/>
    <n v="2611.2000000000003"/>
    <n v="3912.0998400000008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5978.4"/>
    <n v="17978.400000000001"/>
    <m/>
    <n v="5000"/>
    <n v="17978.400000000001"/>
    <n v="20589.600000000002"/>
    <n v="8589.6000000000022"/>
    <n v="71.580000000000013"/>
    <n v="20589.600000000002"/>
    <n v="8589.6000000000022"/>
    <n v="71.580000000000013"/>
    <m/>
    <m/>
    <n v="20589.600000000002"/>
    <n v="686.32"/>
    <m/>
  </r>
  <r>
    <m/>
    <s v="A10"/>
    <x v="260"/>
    <x v="2"/>
    <x v="17"/>
    <n v="0"/>
    <x v="12"/>
    <x v="4"/>
    <m/>
    <n v="0"/>
    <n v="0"/>
    <d v="2007-03-01T00:00:00"/>
    <d v="2017-12-31T00:00:00"/>
    <n v="4560"/>
    <n v="10"/>
    <n v="9"/>
    <n v="21.44"/>
    <n v="977.66399999999999"/>
    <n v="1449.1913472000001"/>
    <m/>
    <m/>
    <n v="5"/>
    <n v="4"/>
    <n v="3"/>
    <n v="4"/>
    <n v="4"/>
    <n v="4"/>
    <n v="5"/>
    <n v="4"/>
    <n v="6"/>
    <n v="39"/>
    <m/>
    <n v="9"/>
    <n v="14"/>
    <n v="15"/>
    <n v="7"/>
    <n v="4"/>
    <n v="3"/>
    <n v="52"/>
    <m/>
    <n v="91"/>
    <m/>
    <m/>
    <m/>
    <m/>
    <m/>
    <m/>
    <n v="48.230000000000004"/>
    <n v="2199.2880000000005"/>
    <n v="6759.2880000000005"/>
    <m/>
    <n v="4500"/>
    <n v="6759.2880000000005"/>
    <n v="7736.9520000000002"/>
    <n v="3176.9520000000002"/>
    <n v="69.67"/>
    <n v="7736.9520000000002"/>
    <n v="3176.9520000000002"/>
    <n v="69.67"/>
    <m/>
    <n v="3"/>
    <n v="7739.9520000000002"/>
    <n v="257.9984"/>
    <m/>
  </r>
  <r>
    <m/>
    <s v="A11"/>
    <x v="261"/>
    <x v="2"/>
    <x v="18"/>
    <n v="0"/>
    <x v="74"/>
    <x v="4"/>
    <m/>
    <n v="0"/>
    <n v="0"/>
    <d v="2007-03-01T00:00:00"/>
    <d v="2017-12-31T00:00:00"/>
    <n v="13000"/>
    <n v="10"/>
    <n v="9"/>
    <n v="21.44"/>
    <n v="2787.2000000000003"/>
    <n v="4146.2387200000003"/>
    <m/>
    <m/>
    <n v="6"/>
    <n v="5"/>
    <n v="4"/>
    <n v="2"/>
    <n v="4"/>
    <n v="4"/>
    <n v="5"/>
    <n v="4"/>
    <n v="6"/>
    <n v="40"/>
    <m/>
    <n v="9"/>
    <n v="14"/>
    <n v="15"/>
    <n v="7"/>
    <n v="4"/>
    <n v="3"/>
    <n v="52"/>
    <m/>
    <n v="92"/>
    <m/>
    <m/>
    <m/>
    <m/>
    <m/>
    <m/>
    <n v="48.760000000000005"/>
    <n v="6338.8"/>
    <n v="19338.8"/>
    <m/>
    <n v="4500"/>
    <n v="19338.8"/>
    <n v="22126"/>
    <n v="9126"/>
    <n v="70.2"/>
    <n v="22126"/>
    <n v="9126"/>
    <n v="70.2"/>
    <m/>
    <n v="4"/>
    <n v="22130"/>
    <n v="737.66666666666663"/>
    <m/>
  </r>
  <r>
    <m/>
    <s v="A12"/>
    <x v="262"/>
    <x v="2"/>
    <x v="7"/>
    <n v="0"/>
    <x v="21"/>
    <x v="5"/>
    <m/>
    <n v="0"/>
    <n v="0"/>
    <d v="2009-07-01T00:00:00"/>
    <d v="2017-12-31T00:00:00"/>
    <n v="1900"/>
    <n v="8"/>
    <n v="5"/>
    <n v="16.8"/>
    <n v="319.20000000000005"/>
    <n v="504.00000000000006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946.57999999999993"/>
    <n v="2846.58"/>
    <n v="153.42000000000007"/>
    <n v="3000"/>
    <n v="3000"/>
    <n v="3319.2"/>
    <n v="1419.1999999999998"/>
    <n v="74.694736842105257"/>
    <n v="3319.2"/>
    <n v="1419.1999999999998"/>
    <n v="74.694736842105257"/>
    <m/>
    <n v="1"/>
    <n v="3320.2"/>
    <n v="110.67333333333333"/>
    <m/>
  </r>
  <r>
    <m/>
    <s v="A13"/>
    <x v="263"/>
    <x v="2"/>
    <x v="7"/>
    <n v="0"/>
    <x v="21"/>
    <x v="5"/>
    <m/>
    <n v="0"/>
    <n v="0"/>
    <d v="2007-07-01T00:00:00"/>
    <d v="2017-12-31T00:00:00"/>
    <n v="2088"/>
    <n v="10"/>
    <n v="5"/>
    <n v="20.8"/>
    <n v="434.30400000000003"/>
    <n v="650.67425280000009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1040.2416000000001"/>
    <n v="3128.2416000000003"/>
    <m/>
    <n v="3000"/>
    <n v="3128.2416000000003"/>
    <n v="3562.5456000000004"/>
    <n v="1474.5456000000004"/>
    <n v="70.620000000000019"/>
    <n v="3562.5456000000004"/>
    <n v="1474.5456000000004"/>
    <n v="70.620000000000019"/>
    <m/>
    <n v="7"/>
    <n v="3569.5456000000004"/>
    <n v="118.98485333333335"/>
    <m/>
  </r>
  <r>
    <m/>
    <s v="A14"/>
    <x v="264"/>
    <x v="2"/>
    <x v="7"/>
    <n v="0"/>
    <x v="21"/>
    <x v="5"/>
    <m/>
    <n v="0"/>
    <n v="0"/>
    <d v="2007-03-01T00:00:00"/>
    <d v="2017-12-31T00:00:00"/>
    <n v="1956"/>
    <n v="10"/>
    <n v="9"/>
    <n v="21.44"/>
    <n v="419.3664"/>
    <n v="643.20000000000005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974.47919999999999"/>
    <n v="2930.4791999999998"/>
    <n v="69.520800000000236"/>
    <n v="3000"/>
    <n v="3000"/>
    <n v="3419.3663999999999"/>
    <n v="1463.3663999999999"/>
    <n v="74.81423312883436"/>
    <n v="3419.3663999999999"/>
    <n v="1463.3663999999999"/>
    <n v="74.81423312883436"/>
    <m/>
    <n v="1"/>
    <n v="3420.3663999999999"/>
    <n v="114.01221333333334"/>
    <m/>
  </r>
  <r>
    <m/>
    <s v="A15"/>
    <x v="265"/>
    <x v="2"/>
    <x v="8"/>
    <n v="0"/>
    <x v="22"/>
    <x v="3"/>
    <s v="A"/>
    <s v="بكلاريوس"/>
    <s v="محاسبة"/>
    <d v="2013-04-01T00:00:00"/>
    <d v="2017-12-31T00:00:00"/>
    <n v="3600"/>
    <n v="4"/>
    <n v="8"/>
    <n v="9.2799999999999994"/>
    <n v="334.08"/>
    <n v="491.66553599999997"/>
    <m/>
    <m/>
    <n v="4"/>
    <n v="5"/>
    <n v="5"/>
    <n v="4"/>
    <n v="3"/>
    <n v="3"/>
    <n v="5"/>
    <n v="3"/>
    <n v="5"/>
    <n v="37"/>
    <m/>
    <n v="9"/>
    <n v="14"/>
    <n v="15"/>
    <n v="7"/>
    <n v="4"/>
    <n v="3"/>
    <n v="52"/>
    <m/>
    <n v="89"/>
    <m/>
    <n v="10"/>
    <m/>
    <m/>
    <m/>
    <m/>
    <n v="47.17"/>
    <n v="1698.1200000000001"/>
    <n v="5298.12"/>
    <m/>
    <n v="5000"/>
    <n v="5298.12"/>
    <n v="5632.2"/>
    <n v="2032.1999999999998"/>
    <n v="56.449999999999996"/>
    <n v="5632.2"/>
    <n v="2032.1999999999998"/>
    <n v="56.449999999999996"/>
    <m/>
    <n v="8"/>
    <n v="5640.2"/>
    <n v="188.00666666666666"/>
    <m/>
  </r>
  <r>
    <m/>
    <s v="A16"/>
    <x v="266"/>
    <x v="2"/>
    <x v="1"/>
    <n v="0"/>
    <x v="22"/>
    <x v="4"/>
    <m/>
    <n v="0"/>
    <n v="0"/>
    <d v="2012-12-19T00:00:00"/>
    <d v="2017-12-31T00:00:00"/>
    <n v="2400"/>
    <n v="5"/>
    <n v="0"/>
    <n v="10"/>
    <n v="240"/>
    <n v="450"/>
    <m/>
    <m/>
    <n v="5"/>
    <n v="5"/>
    <n v="4"/>
    <n v="4"/>
    <n v="4"/>
    <n v="4"/>
    <n v="5"/>
    <n v="4"/>
    <n v="6"/>
    <n v="41"/>
    <m/>
    <n v="9"/>
    <n v="14"/>
    <n v="15"/>
    <n v="7"/>
    <n v="4"/>
    <n v="3"/>
    <n v="52"/>
    <m/>
    <n v="93"/>
    <m/>
    <m/>
    <m/>
    <m/>
    <m/>
    <m/>
    <n v="49.29"/>
    <n v="1182.96"/>
    <n v="3582.96"/>
    <n v="917.04"/>
    <n v="4500"/>
    <n v="4500"/>
    <n v="4740"/>
    <n v="2340"/>
    <n v="97.5"/>
    <n v="4740"/>
    <n v="2340"/>
    <n v="97.5"/>
    <m/>
    <m/>
    <n v="4740"/>
    <n v="158"/>
    <m/>
  </r>
  <r>
    <m/>
    <s v="A17"/>
    <x v="267"/>
    <x v="2"/>
    <x v="19"/>
    <n v="0"/>
    <x v="36"/>
    <x v="4"/>
    <s v="B"/>
    <s v="دبلوم تقني"/>
    <s v="هندسة بترول"/>
    <d v="2013-01-07T00:00:00"/>
    <d v="2017-12-31T00:00:00"/>
    <n v="3380"/>
    <n v="4"/>
    <n v="11"/>
    <n v="9.76"/>
    <n v="329.88799999999998"/>
    <n v="494.23820159999997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1683.9159999999999"/>
    <n v="5063.9160000000002"/>
    <m/>
    <n v="4500"/>
    <n v="5063.9160000000002"/>
    <n v="5393.8040000000001"/>
    <n v="2013.8040000000001"/>
    <n v="59.580000000000005"/>
    <n v="5393.8040000000001"/>
    <n v="2013.8040000000001"/>
    <n v="59.580000000000005"/>
    <m/>
    <n v="6"/>
    <n v="5399.8040000000001"/>
    <n v="179.99346666666668"/>
    <m/>
  </r>
  <r>
    <m/>
    <s v="A18"/>
    <x v="268"/>
    <x v="2"/>
    <x v="17"/>
    <n v="0"/>
    <x v="12"/>
    <x v="4"/>
    <m/>
    <n v="0"/>
    <n v="0"/>
    <d v="2013-05-01T00:00:00"/>
    <d v="2017-12-31T00:00:00"/>
    <n v="3600"/>
    <n v="4"/>
    <n v="7"/>
    <n v="9.120000000000001"/>
    <n v="328.32"/>
    <n v="462.30739199999999"/>
    <m/>
    <m/>
    <n v="6"/>
    <n v="4"/>
    <n v="2"/>
    <n v="3"/>
    <n v="4"/>
    <n v="3"/>
    <n v="4"/>
    <n v="4"/>
    <n v="5"/>
    <n v="35"/>
    <m/>
    <n v="7"/>
    <n v="8"/>
    <n v="15"/>
    <n v="7"/>
    <n v="2"/>
    <n v="3"/>
    <n v="42"/>
    <m/>
    <n v="77"/>
    <m/>
    <m/>
    <m/>
    <m/>
    <m/>
    <m/>
    <n v="40.81"/>
    <n v="1469.16"/>
    <n v="5069.16"/>
    <m/>
    <n v="4500"/>
    <n v="5069.16"/>
    <n v="5397.48"/>
    <n v="1797.4799999999996"/>
    <n v="49.929999999999986"/>
    <n v="5397.48"/>
    <n v="1797.4799999999996"/>
    <n v="49.929999999999986"/>
    <m/>
    <n v="3"/>
    <n v="5400.48"/>
    <n v="180.01599999999999"/>
    <m/>
  </r>
  <r>
    <m/>
    <s v="A19"/>
    <x v="269"/>
    <x v="2"/>
    <x v="17"/>
    <n v="0"/>
    <x v="74"/>
    <x v="6"/>
    <m/>
    <n v="0"/>
    <n v="0"/>
    <d v="2014-09-01T00:00:00"/>
    <d v="2017-12-31T00:00:00"/>
    <n v="2070"/>
    <n v="3"/>
    <n v="3"/>
    <n v="6.48"/>
    <n v="134.13600000000002"/>
    <n v="226.80000000000004"/>
    <m/>
    <m/>
    <n v="4"/>
    <n v="4"/>
    <n v="3"/>
    <n v="3"/>
    <n v="3"/>
    <n v="3"/>
    <n v="4"/>
    <n v="4"/>
    <n v="6"/>
    <n v="34"/>
    <m/>
    <n v="9"/>
    <n v="14"/>
    <n v="15"/>
    <n v="7"/>
    <n v="4"/>
    <n v="3"/>
    <n v="52"/>
    <m/>
    <n v="86"/>
    <m/>
    <m/>
    <m/>
    <m/>
    <m/>
    <m/>
    <n v="45.580000000000005"/>
    <n v="943.50600000000009"/>
    <n v="3013.5060000000003"/>
    <n v="486.49399999999969"/>
    <n v="3500"/>
    <n v="3500"/>
    <n v="3634.136"/>
    <n v="1564.136"/>
    <n v="75.562125603864729"/>
    <n v="3634.136"/>
    <n v="1564.136"/>
    <n v="75.562125603864729"/>
    <m/>
    <n v="6"/>
    <n v="3640.136"/>
    <n v="121.33786666666667"/>
    <m/>
  </r>
  <r>
    <m/>
    <s v="A21"/>
    <x v="270"/>
    <x v="2"/>
    <x v="8"/>
    <n v="0"/>
    <x v="22"/>
    <x v="3"/>
    <s v="A"/>
    <s v="بكلاريوس"/>
    <s v="بنوك ومصارف"/>
    <d v="2015-06-21T00:00:00"/>
    <d v="2017-12-31T00:00:00"/>
    <n v="2400"/>
    <n v="2"/>
    <n v="6"/>
    <n v="4.96"/>
    <n v="119.03999999999999"/>
    <n v="248"/>
    <m/>
    <m/>
    <n v="6"/>
    <n v="4"/>
    <n v="4"/>
    <n v="4"/>
    <n v="4"/>
    <n v="3"/>
    <n v="5"/>
    <n v="3"/>
    <n v="6"/>
    <n v="39"/>
    <m/>
    <n v="9"/>
    <n v="14"/>
    <n v="15"/>
    <n v="7"/>
    <n v="4"/>
    <n v="3"/>
    <n v="52"/>
    <m/>
    <n v="91"/>
    <m/>
    <n v="10"/>
    <m/>
    <m/>
    <m/>
    <m/>
    <n v="48.230000000000004"/>
    <n v="1157.5200000000002"/>
    <n v="3557.5200000000004"/>
    <n v="1442.4799999999996"/>
    <n v="5000"/>
    <n v="5000"/>
    <n v="5119.04"/>
    <n v="2719.04"/>
    <n v="113.29333333333334"/>
    <n v="5119.04"/>
    <n v="2719.04"/>
    <n v="113.29333333333334"/>
    <m/>
    <n v="1"/>
    <n v="5120.04"/>
    <n v="170.66800000000001"/>
    <m/>
  </r>
  <r>
    <m/>
    <s v="A22"/>
    <x v="271"/>
    <x v="2"/>
    <x v="8"/>
    <n v="0"/>
    <x v="22"/>
    <x v="3"/>
    <s v="A"/>
    <s v="ماجستير"/>
    <s v="ادارة الاعمال"/>
    <d v="2016-02-03T00:00:00"/>
    <d v="2017-12-31T00:00:00"/>
    <n v="3000"/>
    <n v="1"/>
    <n v="10"/>
    <n v="3.6"/>
    <n v="108.00000000000001"/>
    <n v="180.00000000000003"/>
    <m/>
    <m/>
    <n v="5"/>
    <n v="5"/>
    <n v="3"/>
    <n v="5"/>
    <n v="4"/>
    <n v="3"/>
    <n v="5"/>
    <n v="4"/>
    <n v="6"/>
    <n v="40"/>
    <m/>
    <n v="9"/>
    <n v="14"/>
    <n v="15"/>
    <n v="7"/>
    <n v="4"/>
    <n v="3"/>
    <n v="52"/>
    <m/>
    <n v="92"/>
    <m/>
    <n v="9"/>
    <m/>
    <m/>
    <m/>
    <m/>
    <n v="48.760000000000005"/>
    <n v="1462.8000000000002"/>
    <n v="4462.8"/>
    <n v="537.19999999999982"/>
    <n v="5000"/>
    <n v="5000"/>
    <n v="5108"/>
    <n v="2108"/>
    <n v="70.266666666666666"/>
    <n v="5108"/>
    <n v="2108"/>
    <n v="70.266666666666666"/>
    <m/>
    <n v="2"/>
    <n v="5110"/>
    <n v="170.33333333333334"/>
    <m/>
  </r>
  <r>
    <m/>
    <s v="A24"/>
    <x v="272"/>
    <x v="2"/>
    <x v="7"/>
    <n v="0"/>
    <x v="21"/>
    <x v="5"/>
    <m/>
    <n v="0"/>
    <n v="0"/>
    <d v="2016-08-15T00:00:00"/>
    <d v="2017-12-31T00:00:00"/>
    <n v="1600"/>
    <n v="1"/>
    <n v="4"/>
    <n v="2.64"/>
    <n v="42.24"/>
    <n v="79.2"/>
    <m/>
    <m/>
    <n v="5"/>
    <n v="5"/>
    <n v="4"/>
    <n v="4"/>
    <n v="4"/>
    <n v="4"/>
    <n v="5"/>
    <n v="4"/>
    <n v="6"/>
    <n v="41"/>
    <m/>
    <n v="9"/>
    <n v="14"/>
    <n v="15"/>
    <n v="7"/>
    <n v="4"/>
    <n v="3"/>
    <n v="52"/>
    <m/>
    <n v="93"/>
    <m/>
    <m/>
    <m/>
    <m/>
    <m/>
    <m/>
    <n v="49.29"/>
    <n v="788.64"/>
    <n v="2388.64"/>
    <n v="611.36000000000013"/>
    <n v="3000"/>
    <n v="3000"/>
    <n v="3042.24"/>
    <n v="1442.2399999999998"/>
    <n v="90.139999999999986"/>
    <n v="3042.24"/>
    <n v="1442.2399999999998"/>
    <n v="90.139999999999986"/>
    <m/>
    <n v="8"/>
    <n v="3050.24"/>
    <n v="101.67466666666665"/>
    <m/>
  </r>
  <r>
    <m/>
    <s v="A25"/>
    <x v="273"/>
    <x v="2"/>
    <x v="1"/>
    <n v="0"/>
    <x v="75"/>
    <x v="3"/>
    <s v="A"/>
    <s v="بكلاريوس"/>
    <s v="محاسبة"/>
    <d v="2017-04-01T00:00:00"/>
    <d v="2017-12-31T00:00:00"/>
    <n v="6000"/>
    <n v="0"/>
    <n v="8"/>
    <n v="1.28"/>
    <n v="76.8"/>
    <n v="114.65472"/>
    <m/>
    <m/>
    <n v="5"/>
    <n v="5"/>
    <n v="4"/>
    <n v="4"/>
    <n v="4"/>
    <n v="4"/>
    <n v="5"/>
    <n v="4"/>
    <n v="6"/>
    <n v="41"/>
    <m/>
    <n v="9"/>
    <n v="14"/>
    <n v="15"/>
    <n v="7"/>
    <n v="4"/>
    <n v="3"/>
    <n v="52"/>
    <m/>
    <n v="93"/>
    <m/>
    <m/>
    <m/>
    <m/>
    <m/>
    <m/>
    <n v="49.29"/>
    <n v="2957.4"/>
    <n v="8957.4"/>
    <m/>
    <n v="5000"/>
    <n v="8957.4"/>
    <n v="9034.1999999999989"/>
    <n v="3034.1999999999989"/>
    <n v="50.569999999999979"/>
    <n v="9034.1999999999989"/>
    <n v="3034.1999999999989"/>
    <n v="50.569999999999979"/>
    <m/>
    <n v="6"/>
    <n v="9040.1999999999989"/>
    <n v="301.33999999999997"/>
    <m/>
  </r>
  <r>
    <m/>
    <s v="a28"/>
    <x v="274"/>
    <x v="2"/>
    <x v="8"/>
    <n v="0"/>
    <x v="22"/>
    <x v="3"/>
    <s v="A"/>
    <s v="بكلاريوس"/>
    <s v="المحاسبة والتمويل"/>
    <d v="2017-10-01T00:00:00"/>
    <d v="2017-12-31T00:00:00"/>
    <n v="2500"/>
    <n v="0"/>
    <n v="2"/>
    <n v="0.32"/>
    <n v="8"/>
    <n v="16"/>
    <m/>
    <m/>
    <n v="4"/>
    <n v="4"/>
    <n v="3"/>
    <n v="3"/>
    <n v="4"/>
    <n v="2"/>
    <n v="4"/>
    <n v="3"/>
    <n v="5"/>
    <n v="32"/>
    <m/>
    <n v="9"/>
    <n v="14"/>
    <n v="15"/>
    <n v="7"/>
    <n v="4"/>
    <n v="3"/>
    <n v="52"/>
    <m/>
    <n v="84"/>
    <m/>
    <m/>
    <m/>
    <m/>
    <m/>
    <m/>
    <n v="44.52"/>
    <n v="1113"/>
    <n v="3613"/>
    <n v="1387"/>
    <n v="5000"/>
    <n v="5000"/>
    <n v="5008"/>
    <n v="2508"/>
    <n v="100.32"/>
    <n v="5008"/>
    <n v="2508"/>
    <n v="100.32"/>
    <m/>
    <n v="2"/>
    <n v="5010"/>
    <n v="167"/>
    <m/>
  </r>
  <r>
    <m/>
    <s v="A3"/>
    <x v="275"/>
    <x v="2"/>
    <x v="8"/>
    <n v="0"/>
    <x v="76"/>
    <x v="1"/>
    <s v="A"/>
    <s v="بكلاريوس الشرف"/>
    <s v="الاقتصاد"/>
    <d v="2007-03-01T00:00:00"/>
    <d v="2017-12-31T00:00:00"/>
    <n v="10000"/>
    <n v="10"/>
    <n v="9"/>
    <n v="21.44"/>
    <n v="2144"/>
    <n v="3200.7775999999999"/>
    <m/>
    <m/>
    <n v="6"/>
    <n v="4"/>
    <n v="4"/>
    <n v="4"/>
    <n v="4"/>
    <n v="4"/>
    <n v="5"/>
    <n v="4"/>
    <n v="6"/>
    <n v="41"/>
    <m/>
    <n v="9"/>
    <n v="14"/>
    <n v="15"/>
    <n v="7"/>
    <n v="4"/>
    <n v="3"/>
    <n v="52"/>
    <m/>
    <n v="93"/>
    <m/>
    <n v="10"/>
    <m/>
    <m/>
    <m/>
    <m/>
    <n v="49.29"/>
    <n v="4929"/>
    <n v="14929"/>
    <m/>
    <n v="5000"/>
    <n v="14929"/>
    <n v="17073"/>
    <n v="7073"/>
    <n v="70.73"/>
    <n v="17073"/>
    <n v="7073"/>
    <n v="70.73"/>
    <m/>
    <n v="7"/>
    <n v="17080"/>
    <n v="569.33333333333337"/>
    <m/>
  </r>
  <r>
    <m/>
    <s v="A4"/>
    <x v="276"/>
    <x v="2"/>
    <x v="8"/>
    <n v="0"/>
    <x v="22"/>
    <x v="3"/>
    <m/>
    <n v="0"/>
    <n v="0"/>
    <d v="2007-03-01T00:00:00"/>
    <d v="2017-12-31T00:00:00"/>
    <n v="5513"/>
    <n v="10"/>
    <n v="9"/>
    <n v="21.44"/>
    <n v="1181.9872"/>
    <n v="1764.5886908800001"/>
    <m/>
    <m/>
    <n v="6"/>
    <n v="5"/>
    <n v="5"/>
    <n v="3"/>
    <n v="3"/>
    <n v="4"/>
    <n v="5"/>
    <n v="4"/>
    <n v="6"/>
    <n v="41"/>
    <m/>
    <n v="9"/>
    <n v="14"/>
    <n v="15"/>
    <n v="7"/>
    <n v="4"/>
    <n v="3"/>
    <n v="52"/>
    <m/>
    <n v="93"/>
    <m/>
    <n v="10"/>
    <m/>
    <m/>
    <m/>
    <m/>
    <n v="49.29"/>
    <n v="2717.3577"/>
    <n v="8230.3577000000005"/>
    <m/>
    <n v="5000"/>
    <n v="8230.3577000000005"/>
    <n v="9412.3449000000001"/>
    <n v="3899.3449000000001"/>
    <n v="70.73"/>
    <n v="9412.3449000000001"/>
    <n v="3899.3449000000001"/>
    <n v="70.73"/>
    <m/>
    <n v="8"/>
    <n v="9420.3449000000001"/>
    <n v="314.01149666666669"/>
    <m/>
  </r>
  <r>
    <m/>
    <s v="A5"/>
    <x v="277"/>
    <x v="2"/>
    <x v="20"/>
    <n v="0"/>
    <x v="77"/>
    <x v="3"/>
    <m/>
    <n v="0"/>
    <n v="0"/>
    <d v="2007-03-01T00:00:00"/>
    <d v="2017-12-31T00:00:00"/>
    <n v="6822"/>
    <n v="10"/>
    <n v="9"/>
    <n v="21.44"/>
    <n v="1462.6368"/>
    <n v="2199.0744288000001"/>
    <m/>
    <m/>
    <n v="6"/>
    <n v="5"/>
    <n v="5"/>
    <n v="4"/>
    <n v="4"/>
    <n v="4"/>
    <n v="5"/>
    <n v="4"/>
    <n v="6"/>
    <n v="43"/>
    <m/>
    <n v="9"/>
    <n v="14"/>
    <n v="15"/>
    <n v="7"/>
    <n v="4"/>
    <n v="3"/>
    <n v="52"/>
    <m/>
    <n v="95"/>
    <m/>
    <m/>
    <m/>
    <m/>
    <m/>
    <m/>
    <n v="50.35"/>
    <n v="3434.8770000000004"/>
    <n v="10256.877"/>
    <m/>
    <n v="5000"/>
    <n v="10256.877"/>
    <n v="11719.513800000001"/>
    <n v="4897.5138000000006"/>
    <n v="71.790000000000006"/>
    <n v="11719.513800000001"/>
    <n v="4897.5138000000006"/>
    <n v="71.790000000000006"/>
    <m/>
    <m/>
    <n v="11719.513800000001"/>
    <n v="390.65046000000001"/>
    <m/>
  </r>
  <r>
    <m/>
    <s v="A7"/>
    <x v="278"/>
    <x v="2"/>
    <x v="9"/>
    <s v="موظف"/>
    <x v="28"/>
    <x v="4"/>
    <m/>
    <s v="شهاده ثانويه"/>
    <n v="0"/>
    <d v="2006-12-01T00:00:00"/>
    <d v="2017-12-31T00:00:00"/>
    <n v="2400"/>
    <n v="11"/>
    <n v="0"/>
    <n v="22"/>
    <n v="528"/>
    <n v="990"/>
    <m/>
    <m/>
    <n v="6"/>
    <n v="5"/>
    <n v="5"/>
    <n v="4"/>
    <n v="4"/>
    <n v="4"/>
    <n v="5"/>
    <n v="4"/>
    <n v="6"/>
    <n v="43"/>
    <m/>
    <n v="9"/>
    <n v="14"/>
    <n v="15"/>
    <n v="7"/>
    <n v="4"/>
    <n v="3"/>
    <n v="52"/>
    <m/>
    <n v="95"/>
    <m/>
    <m/>
    <m/>
    <m/>
    <m/>
    <m/>
    <n v="50.35"/>
    <n v="1208.4000000000001"/>
    <n v="3608.4"/>
    <n v="891.59999999999991"/>
    <n v="4500"/>
    <n v="4500"/>
    <n v="5028"/>
    <n v="2628"/>
    <n v="109.5"/>
    <n v="5028"/>
    <n v="2628"/>
    <n v="109.5"/>
    <m/>
    <n v="2"/>
    <n v="5030"/>
    <n v="167.66666666666666"/>
    <m/>
  </r>
  <r>
    <m/>
    <s v="A8"/>
    <x v="279"/>
    <x v="2"/>
    <x v="17"/>
    <n v="0"/>
    <x v="78"/>
    <x v="3"/>
    <m/>
    <n v="0"/>
    <n v="0"/>
    <d v="2009-07-01T00:00:00"/>
    <d v="2017-12-31T00:00:00"/>
    <n v="6100"/>
    <n v="8"/>
    <n v="5"/>
    <n v="16.8"/>
    <n v="1024.8"/>
    <n v="1502.7667200000003"/>
    <m/>
    <m/>
    <n v="4"/>
    <n v="4"/>
    <n v="4"/>
    <n v="4"/>
    <n v="4"/>
    <n v="4"/>
    <n v="4"/>
    <n v="3"/>
    <n v="5"/>
    <n v="36"/>
    <m/>
    <n v="9"/>
    <n v="14"/>
    <n v="15"/>
    <n v="7"/>
    <n v="4"/>
    <n v="3"/>
    <n v="52"/>
    <m/>
    <n v="88"/>
    <m/>
    <m/>
    <m/>
    <m/>
    <m/>
    <m/>
    <n v="46.64"/>
    <n v="2845.04"/>
    <n v="8945.0400000000009"/>
    <m/>
    <n v="5000"/>
    <n v="8945.0400000000009"/>
    <n v="9969.84"/>
    <n v="3869.84"/>
    <n v="63.440000000000005"/>
    <n v="9969.84"/>
    <n v="3869.84"/>
    <n v="63.440000000000005"/>
    <m/>
    <m/>
    <n v="9969.84"/>
    <n v="332.32800000000003"/>
    <m/>
  </r>
  <r>
    <m/>
    <s v="A9"/>
    <x v="280"/>
    <x v="2"/>
    <x v="17"/>
    <n v="0"/>
    <x v="72"/>
    <x v="3"/>
    <m/>
    <n v="0"/>
    <n v="0"/>
    <d v="2007-03-01T00:00:00"/>
    <d v="2017-12-31T00:00:00"/>
    <n v="5292"/>
    <n v="10"/>
    <n v="9"/>
    <n v="21.44"/>
    <n v="1134.6048000000001"/>
    <n v="1699.8649113600002"/>
    <m/>
    <m/>
    <n v="6"/>
    <n v="5"/>
    <n v="4"/>
    <n v="4"/>
    <n v="4"/>
    <n v="4"/>
    <n v="5"/>
    <n v="4"/>
    <n v="6"/>
    <n v="42"/>
    <m/>
    <n v="9"/>
    <n v="14"/>
    <n v="15"/>
    <n v="7"/>
    <n v="4"/>
    <n v="3"/>
    <n v="52"/>
    <m/>
    <n v="94"/>
    <m/>
    <m/>
    <m/>
    <m/>
    <m/>
    <m/>
    <n v="49.82"/>
    <n v="2636.4744000000001"/>
    <n v="7928.4744000000001"/>
    <m/>
    <n v="5000"/>
    <n v="7928.4744000000001"/>
    <n v="9063.0792000000001"/>
    <n v="3771.0792000000001"/>
    <n v="71.260000000000005"/>
    <n v="9063.0792000000001"/>
    <n v="3771.0792000000001"/>
    <n v="71.260000000000005"/>
    <m/>
    <n v="7"/>
    <n v="9070.0792000000001"/>
    <n v="302.33597333333336"/>
    <m/>
  </r>
  <r>
    <m/>
    <s v="B 1"/>
    <x v="281"/>
    <x v="5"/>
    <x v="1"/>
    <n v="0"/>
    <x v="74"/>
    <x v="0"/>
    <m/>
    <n v="0"/>
    <n v="0"/>
    <d v="2006-12-12T00:00:00"/>
    <d v="2017-12-31T00:00:00"/>
    <n v="8800"/>
    <n v="11"/>
    <n v="0"/>
    <n v="22"/>
    <n v="1936"/>
    <e v="#N/A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n v="55"/>
    <n v="11.66"/>
    <n v="1026.08"/>
    <n v="9826.08"/>
    <e v="#N/A"/>
    <e v="#N/A"/>
    <e v="#N/A"/>
    <e v="#N/A"/>
    <e v="#N/A"/>
    <e v="#N/A"/>
    <e v="#N/A"/>
    <e v="#N/A"/>
    <e v="#N/A"/>
    <m/>
    <m/>
    <e v="#N/A"/>
    <e v="#N/A"/>
    <m/>
  </r>
  <r>
    <m/>
    <s v="B 2"/>
    <x v="282"/>
    <x v="6"/>
    <x v="8"/>
    <n v="0"/>
    <x v="79"/>
    <x v="0"/>
    <m/>
    <n v="0"/>
    <n v="0"/>
    <d v="2007-04-01T00:00:00"/>
    <d v="2017-12-31T00:00:00"/>
    <n v="20000"/>
    <n v="10"/>
    <n v="8"/>
    <n v="21.28"/>
    <n v="4256"/>
    <e v="#N/A"/>
    <m/>
    <m/>
    <m/>
    <m/>
    <m/>
    <m/>
    <m/>
    <m/>
    <m/>
    <m/>
    <m/>
    <n v="0"/>
    <m/>
    <m/>
    <m/>
    <n v="15"/>
    <n v="7"/>
    <m/>
    <m/>
    <n v="22"/>
    <m/>
    <n v="22"/>
    <m/>
    <m/>
    <m/>
    <m/>
    <m/>
    <n v="55"/>
    <n v="11.66"/>
    <n v="2332"/>
    <n v="22332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d v="2017-12-31T00:00:00"/>
    <e v="#N/A"/>
    <e v="#N/A"/>
    <e v="#N/A"/>
    <e v="#N/A"/>
    <e v="#N/A"/>
    <e v="#N/A"/>
    <m/>
    <m/>
    <m/>
    <m/>
    <m/>
    <m/>
    <m/>
    <m/>
    <m/>
    <m/>
    <m/>
    <n v="0"/>
    <m/>
    <m/>
    <m/>
    <m/>
    <m/>
    <m/>
    <m/>
    <n v="0"/>
    <m/>
    <n v="0"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n v="8081"/>
    <x v="283"/>
    <x v="1"/>
    <x v="4"/>
    <n v="0"/>
    <x v="74"/>
    <x v="6"/>
    <m/>
    <n v="0"/>
    <n v="0"/>
    <d v="2015-01-01T00:00:00"/>
    <d v="2017-12-31T00:00:00"/>
    <n v="1950"/>
    <n v="2"/>
    <n v="11"/>
    <n v="2.88"/>
    <n v="56.16"/>
    <n v="100.8"/>
    <m/>
    <m/>
    <n v="3"/>
    <n v="3"/>
    <n v="3"/>
    <n v="2"/>
    <n v="3"/>
    <n v="2"/>
    <n v="4"/>
    <n v="3"/>
    <n v="5"/>
    <n v="28"/>
    <m/>
    <n v="8"/>
    <n v="13"/>
    <n v="6"/>
    <n v="1"/>
    <n v="4"/>
    <n v="3"/>
    <n v="35"/>
    <m/>
    <n v="63"/>
    <m/>
    <m/>
    <m/>
    <m/>
    <m/>
    <m/>
    <n v="33.39"/>
    <n v="651.10500000000002"/>
    <n v="2601.105"/>
    <n v="898.89499999999998"/>
    <n v="3500"/>
    <n v="3500"/>
    <n v="3556.16"/>
    <n v="1606.1599999999999"/>
    <n v="82.367179487179484"/>
    <n v="3556.16"/>
    <n v="1606.1599999999999"/>
    <n v="82.367179487179484"/>
    <m/>
    <n v="4"/>
    <n v="3560.16"/>
    <n v="118.672"/>
    <n v="120"/>
  </r>
  <r>
    <m/>
    <n v="8100"/>
    <x v="284"/>
    <x v="1"/>
    <x v="4"/>
    <n v="0"/>
    <x v="21"/>
    <x v="5"/>
    <m/>
    <n v="0"/>
    <n v="0"/>
    <d v="2017-01-01T00:00:00"/>
    <d v="2017-12-31T00:00:00"/>
    <n v="1300"/>
    <n v="0"/>
    <n v="11"/>
    <n v="0.88"/>
    <n v="11.440000000000001"/>
    <n v="26.400000000000002"/>
    <m/>
    <m/>
    <n v="4"/>
    <n v="4"/>
    <n v="4"/>
    <n v="2"/>
    <n v="2"/>
    <n v="2"/>
    <n v="4"/>
    <n v="3"/>
    <n v="4"/>
    <n v="29"/>
    <m/>
    <n v="10"/>
    <n v="14"/>
    <n v="15"/>
    <n v="7"/>
    <n v="5"/>
    <n v="3"/>
    <n v="54"/>
    <m/>
    <n v="83"/>
    <m/>
    <m/>
    <m/>
    <m/>
    <m/>
    <m/>
    <n v="43.99"/>
    <n v="571.87"/>
    <n v="1871.87"/>
    <n v="1128.1300000000001"/>
    <n v="3000"/>
    <n v="3000"/>
    <n v="3011.44"/>
    <n v="1711.44"/>
    <n v="131.64923076923077"/>
    <n v="3011.44"/>
    <n v="1711.44"/>
    <n v="131.64923076923077"/>
    <m/>
    <n v="9"/>
    <n v="3020.44"/>
    <n v="100.68133333333334"/>
    <n v="100"/>
  </r>
  <r>
    <m/>
    <n v="8095"/>
    <x v="285"/>
    <x v="1"/>
    <x v="4"/>
    <n v="0"/>
    <x v="14"/>
    <x v="4"/>
    <m/>
    <n v="0"/>
    <n v="0"/>
    <d v="2016-05-07T00:00:00"/>
    <d v="2017-12-31T00:00:00"/>
    <n v="1950"/>
    <n v="1"/>
    <n v="7"/>
    <n v="1.56"/>
    <n v="30.42"/>
    <n v="70.2"/>
    <m/>
    <m/>
    <n v="6"/>
    <n v="5"/>
    <n v="5"/>
    <n v="4"/>
    <n v="4"/>
    <n v="3"/>
    <n v="5"/>
    <n v="4"/>
    <n v="6"/>
    <n v="42"/>
    <m/>
    <n v="10"/>
    <n v="14"/>
    <n v="15"/>
    <n v="7"/>
    <n v="5"/>
    <n v="3"/>
    <n v="54"/>
    <m/>
    <n v="96"/>
    <m/>
    <m/>
    <m/>
    <m/>
    <m/>
    <m/>
    <n v="50.88"/>
    <n v="992.16000000000008"/>
    <n v="2942.16"/>
    <n v="1557.8400000000001"/>
    <n v="4500"/>
    <n v="4500"/>
    <n v="4530.42"/>
    <n v="2580.42"/>
    <n v="132.32923076923078"/>
    <n v="4530.42"/>
    <n v="2580.42"/>
    <n v="132.32923076923078"/>
    <m/>
    <m/>
    <n v="4530.42"/>
    <n v="151.01400000000001"/>
    <n v="150"/>
  </r>
  <r>
    <m/>
    <n v="8094"/>
    <x v="286"/>
    <x v="1"/>
    <x v="4"/>
    <n v="0"/>
    <x v="15"/>
    <x v="2"/>
    <m/>
    <n v="0"/>
    <n v="0"/>
    <d v="2016-05-03T00:00:00"/>
    <d v="2017-12-31T00:00:00"/>
    <n v="1950"/>
    <n v="1"/>
    <n v="7"/>
    <n v="1.56"/>
    <n v="30.42"/>
    <n v="62.400000000000006"/>
    <m/>
    <m/>
    <n v="6"/>
    <n v="4"/>
    <n v="5"/>
    <n v="4"/>
    <n v="3"/>
    <n v="3"/>
    <n v="5"/>
    <n v="4"/>
    <n v="6"/>
    <n v="40"/>
    <m/>
    <n v="9"/>
    <n v="14"/>
    <n v="12"/>
    <n v="5"/>
    <n v="5"/>
    <n v="3"/>
    <n v="48"/>
    <m/>
    <n v="88"/>
    <m/>
    <m/>
    <m/>
    <m/>
    <m/>
    <m/>
    <n v="46.64"/>
    <n v="909.48"/>
    <n v="2859.48"/>
    <n v="1140.52"/>
    <n v="4000"/>
    <n v="4000"/>
    <n v="4030.42"/>
    <n v="2080.42"/>
    <n v="106.68820512820513"/>
    <n v="4030.42"/>
    <n v="2080.42"/>
    <n v="106.68820512820513"/>
    <m/>
    <m/>
    <n v="4030.42"/>
    <n v="134.34733333333332"/>
    <n v="135"/>
  </r>
  <r>
    <m/>
    <n v="8102"/>
    <x v="287"/>
    <x v="1"/>
    <x v="4"/>
    <n v="0"/>
    <x v="24"/>
    <x v="4"/>
    <m/>
    <n v="0"/>
    <n v="0"/>
    <d v="2017-09-18T00:00:00"/>
    <d v="2017-12-31T00:00:00"/>
    <n v="2470"/>
    <n v="0"/>
    <n v="3"/>
    <n v="0.24"/>
    <n v="5.927999999999999"/>
    <n v="10.799999999999999"/>
    <m/>
    <m/>
    <n v="6"/>
    <n v="4"/>
    <n v="4"/>
    <n v="4"/>
    <n v="4"/>
    <n v="3"/>
    <n v="5"/>
    <n v="4"/>
    <n v="5"/>
    <n v="39"/>
    <m/>
    <n v="9"/>
    <n v="15"/>
    <n v="15"/>
    <n v="7"/>
    <n v="5"/>
    <n v="3"/>
    <n v="54"/>
    <m/>
    <n v="93"/>
    <m/>
    <m/>
    <m/>
    <m/>
    <m/>
    <m/>
    <n v="49.29"/>
    <n v="1217.463"/>
    <n v="3687.4629999999997"/>
    <n v="812.53700000000026"/>
    <n v="4500"/>
    <n v="4500"/>
    <n v="4505.9279999999999"/>
    <n v="2035.9279999999999"/>
    <n v="82.426234817813764"/>
    <n v="4505.9279999999999"/>
    <n v="2035.9279999999999"/>
    <n v="82.426234817813764"/>
    <m/>
    <n v="4"/>
    <n v="4509.9279999999999"/>
    <n v="150.33093333333332"/>
    <n v="150"/>
  </r>
  <r>
    <m/>
    <n v="8096"/>
    <x v="288"/>
    <x v="1"/>
    <x v="2"/>
    <n v="0"/>
    <x v="48"/>
    <x v="2"/>
    <m/>
    <n v="0"/>
    <n v="0"/>
    <d v="2017-01-05T00:00:00"/>
    <d v="2017-12-31T00:00:00"/>
    <n v="1950"/>
    <n v="0"/>
    <n v="11"/>
    <n v="0.88"/>
    <n v="17.16"/>
    <n v="35.200000000000003"/>
    <m/>
    <m/>
    <n v="5"/>
    <n v="5"/>
    <n v="5"/>
    <n v="4"/>
    <n v="4"/>
    <n v="3"/>
    <n v="5"/>
    <n v="4"/>
    <n v="6"/>
    <n v="41"/>
    <m/>
    <n v="10"/>
    <n v="14"/>
    <n v="15"/>
    <n v="7"/>
    <n v="4"/>
    <n v="3"/>
    <n v="53"/>
    <m/>
    <n v="94"/>
    <m/>
    <m/>
    <m/>
    <m/>
    <m/>
    <m/>
    <n v="49.82"/>
    <n v="971.49"/>
    <n v="2921.49"/>
    <n v="1078.5100000000002"/>
    <n v="4000"/>
    <n v="4000"/>
    <n v="4017.16"/>
    <n v="2067.16"/>
    <n v="106.00820512820512"/>
    <n v="4017.16"/>
    <n v="2067.16"/>
    <n v="106.00820512820512"/>
    <m/>
    <n v="3"/>
    <n v="4020.16"/>
    <n v="134.00533333333334"/>
    <n v="135"/>
  </r>
  <r>
    <m/>
    <n v="8091"/>
    <x v="289"/>
    <x v="3"/>
    <x v="4"/>
    <n v="0"/>
    <x v="9"/>
    <x v="3"/>
    <m/>
    <n v="0"/>
    <n v="0"/>
    <d v="2016-01-01T00:00:00"/>
    <d v="2017-12-31T00:00:00"/>
    <n v="2340"/>
    <n v="1"/>
    <n v="11"/>
    <n v="1.88"/>
    <n v="43.99199999999999"/>
    <n v="93.999999999999986"/>
    <m/>
    <m/>
    <n v="6"/>
    <n v="5"/>
    <n v="5"/>
    <n v="5"/>
    <n v="4"/>
    <n v="4"/>
    <n v="6"/>
    <n v="4"/>
    <n v="6"/>
    <n v="45"/>
    <m/>
    <n v="10"/>
    <n v="14"/>
    <n v="15"/>
    <n v="7"/>
    <n v="5"/>
    <n v="3"/>
    <n v="54"/>
    <m/>
    <n v="99"/>
    <m/>
    <m/>
    <m/>
    <m/>
    <m/>
    <m/>
    <n v="52.470000000000006"/>
    <n v="1227.7980000000002"/>
    <n v="3567.7980000000002"/>
    <n v="1432.2019999999998"/>
    <n v="5000"/>
    <n v="5000"/>
    <n v="5043.9920000000002"/>
    <n v="2703.9920000000002"/>
    <n v="115.55521367521369"/>
    <n v="5043.9920000000002"/>
    <n v="2703.9920000000002"/>
    <n v="115.55521367521369"/>
    <m/>
    <n v="6"/>
    <n v="5049.9920000000002"/>
    <n v="168.33306666666667"/>
    <n v="170"/>
  </r>
  <r>
    <m/>
    <n v="8092"/>
    <x v="290"/>
    <x v="3"/>
    <x v="4"/>
    <n v="0"/>
    <x v="9"/>
    <x v="3"/>
    <m/>
    <n v="0"/>
    <n v="0"/>
    <d v="2016-03-06T00:00:00"/>
    <d v="2017-12-31T00:00:00"/>
    <n v="2210"/>
    <n v="1"/>
    <n v="9"/>
    <n v="1.72"/>
    <n v="38.012"/>
    <n v="86"/>
    <m/>
    <m/>
    <n v="6"/>
    <n v="4"/>
    <n v="5"/>
    <n v="3"/>
    <n v="4"/>
    <n v="3"/>
    <n v="6"/>
    <n v="4"/>
    <n v="6"/>
    <n v="41"/>
    <m/>
    <n v="9"/>
    <n v="13"/>
    <n v="15"/>
    <n v="5"/>
    <n v="5"/>
    <n v="3"/>
    <n v="50"/>
    <m/>
    <n v="91"/>
    <m/>
    <m/>
    <m/>
    <m/>
    <m/>
    <m/>
    <n v="48.230000000000004"/>
    <n v="1065.883"/>
    <n v="3275.8829999999998"/>
    <n v="1724.1170000000002"/>
    <n v="5000"/>
    <n v="5000"/>
    <n v="5038.0119999999997"/>
    <n v="2828.0119999999997"/>
    <n v="127.96434389140269"/>
    <n v="5038.0119999999997"/>
    <n v="2828.0119999999997"/>
    <n v="127.96434389140269"/>
    <m/>
    <n v="2"/>
    <n v="5040.0119999999997"/>
    <n v="168.00039999999998"/>
    <n v="170"/>
  </r>
  <r>
    <m/>
    <n v="8093"/>
    <x v="291"/>
    <x v="1"/>
    <x v="4"/>
    <n v="0"/>
    <x v="80"/>
    <x v="3"/>
    <m/>
    <n v="0"/>
    <n v="0"/>
    <d v="2016-04-21T00:00:00"/>
    <d v="2017-12-31T00:00:00"/>
    <n v="2600"/>
    <n v="1"/>
    <n v="8"/>
    <n v="1.6400000000000001"/>
    <n v="42.64"/>
    <n v="82"/>
    <m/>
    <m/>
    <n v="6"/>
    <n v="5"/>
    <n v="5"/>
    <n v="5"/>
    <n v="4"/>
    <n v="4"/>
    <n v="6"/>
    <n v="4"/>
    <n v="6"/>
    <n v="45"/>
    <m/>
    <n v="9"/>
    <n v="14"/>
    <n v="15"/>
    <n v="7"/>
    <n v="5"/>
    <n v="3"/>
    <n v="53"/>
    <m/>
    <n v="98"/>
    <m/>
    <m/>
    <m/>
    <m/>
    <m/>
    <m/>
    <n v="51.940000000000005"/>
    <n v="1350.4400000000003"/>
    <n v="3950.4400000000005"/>
    <n v="1049.5599999999995"/>
    <n v="5000"/>
    <n v="5000"/>
    <n v="5042.6400000000003"/>
    <n v="2442.6400000000003"/>
    <n v="93.947692307692321"/>
    <n v="5042.6400000000003"/>
    <n v="2442.6400000000003"/>
    <n v="93.947692307692321"/>
    <m/>
    <n v="7"/>
    <n v="5049.6400000000003"/>
    <n v="168.32133333333334"/>
    <n v="170"/>
  </r>
  <r>
    <m/>
    <n v="8099"/>
    <x v="292"/>
    <x v="1"/>
    <x v="9"/>
    <n v="0"/>
    <x v="28"/>
    <x v="2"/>
    <m/>
    <n v="0"/>
    <n v="0"/>
    <d v="2017-04-01T00:00:00"/>
    <d v="2017-12-31T00:00:00"/>
    <n v="1950"/>
    <n v="0"/>
    <n v="8"/>
    <n v="0.64"/>
    <n v="12.48"/>
    <n v="25.6"/>
    <m/>
    <m/>
    <n v="5"/>
    <n v="5"/>
    <n v="4"/>
    <n v="4"/>
    <n v="4"/>
    <n v="4"/>
    <n v="6"/>
    <n v="4"/>
    <n v="6"/>
    <n v="42"/>
    <m/>
    <n v="9"/>
    <n v="15"/>
    <n v="15"/>
    <n v="7"/>
    <n v="4"/>
    <n v="3"/>
    <n v="53"/>
    <m/>
    <n v="95"/>
    <m/>
    <m/>
    <m/>
    <m/>
    <m/>
    <m/>
    <n v="50.35"/>
    <n v="981.82500000000016"/>
    <n v="2931.8250000000003"/>
    <n v="1068.1749999999997"/>
    <n v="4000"/>
    <n v="4000"/>
    <n v="4012.48"/>
    <n v="2062.48"/>
    <n v="105.76820512820512"/>
    <n v="4012.48"/>
    <n v="2062.48"/>
    <n v="105.76820512820512"/>
    <m/>
    <n v="8"/>
    <n v="4020.48"/>
    <n v="134.01599999999999"/>
    <n v="135"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0"/>
    <x v="0"/>
    <x v="0"/>
    <e v="#N/A"/>
    <x v="0"/>
    <x v="0"/>
    <m/>
    <e v="#N/A"/>
    <e v="#N/A"/>
    <e v="#N/A"/>
    <m/>
    <e v="#N/A"/>
    <e v="#N/A"/>
    <e v="#N/A"/>
    <e v="#N/A"/>
    <e v="#N/A"/>
    <e v="#N/A"/>
    <m/>
    <m/>
    <m/>
    <m/>
    <m/>
    <m/>
    <m/>
    <m/>
    <m/>
    <m/>
    <m/>
    <m/>
    <m/>
    <m/>
    <m/>
    <m/>
    <m/>
    <m/>
    <m/>
    <m/>
    <m/>
    <m/>
    <m/>
    <m/>
    <m/>
    <m/>
    <m/>
    <m/>
    <n v="0"/>
    <e v="#N/A"/>
    <e v="#N/A"/>
    <e v="#N/A"/>
    <e v="#N/A"/>
    <e v="#N/A"/>
    <e v="#N/A"/>
    <e v="#N/A"/>
    <e v="#N/A"/>
    <e v="#N/A"/>
    <e v="#N/A"/>
    <e v="#N/A"/>
    <m/>
    <m/>
    <e v="#N/A"/>
    <e v="#N/A"/>
    <m/>
  </r>
  <r>
    <m/>
    <m/>
    <x v="293"/>
    <x v="7"/>
    <x v="21"/>
    <m/>
    <x v="8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1">
  <r>
    <n v="-1"/>
    <x v="0"/>
    <x v="0"/>
    <x v="0"/>
    <e v="#N/A"/>
    <x v="0"/>
    <e v="#N/A"/>
    <e v="#N/A"/>
    <e v="#N/A"/>
    <x v="0"/>
    <d v="2018-12-31T00:00:00"/>
    <d v="2018-12-31T00:00:00"/>
    <n v="0"/>
    <n v="0"/>
    <n v="0"/>
    <n v="0"/>
    <n v="0"/>
    <s v="I"/>
    <s v="II"/>
    <s v="III"/>
    <s v="IV"/>
    <s v="V"/>
    <s v="VI"/>
    <s v="VII"/>
    <s v="VIII"/>
    <s v="IX"/>
    <s v="A"/>
    <s v="I"/>
    <s v="II"/>
    <s v="III"/>
    <s v="IV"/>
    <s v="V"/>
    <s v="VI"/>
    <s v="B"/>
    <s v="A+B"/>
    <s v="I"/>
    <s v="II"/>
    <s v="III"/>
    <s v="IV"/>
    <s v="C"/>
    <n v="0.6"/>
    <n v="0"/>
    <n v="0"/>
    <e v="#N/A"/>
    <e v="#N/A"/>
    <e v="#N/A"/>
    <e v="#N/A"/>
    <e v="#N/A"/>
    <e v="#N/A"/>
    <e v="#N/A"/>
    <e v="#N/A"/>
    <e v="#N/A"/>
    <e v="#N/A"/>
    <n v="0"/>
    <m/>
    <e v="#N/A"/>
    <e v="#N/A"/>
    <e v="#N/A"/>
    <e v="#N/A"/>
    <e v="#N/A"/>
    <e v="#N/A"/>
  </r>
  <r>
    <n v="0"/>
    <x v="0"/>
    <x v="0"/>
    <x v="0"/>
    <e v="#N/A"/>
    <x v="0"/>
    <e v="#N/A"/>
    <e v="#N/A"/>
    <e v="#N/A"/>
    <x v="0"/>
    <d v="2018-12-31T00:00:00"/>
    <d v="2018-12-31T00:00:00"/>
    <n v="0"/>
    <n v="0"/>
    <n v="0"/>
    <n v="0"/>
    <n v="0"/>
    <s v="VI"/>
    <s v="V"/>
    <s v="V"/>
    <s v="V"/>
    <s v="IV"/>
    <s v="IV"/>
    <s v="VI"/>
    <s v="IV"/>
    <s v="VI"/>
    <s v="XXXXV"/>
    <s v="X"/>
    <s v="XV"/>
    <s v="XV"/>
    <s v="VII"/>
    <s v="V"/>
    <s v="III"/>
    <s v="XXXXXV"/>
    <s v="L"/>
    <s v="X"/>
    <s v="X"/>
    <s v="X"/>
    <s v="X"/>
    <s v="XXXX"/>
    <m/>
    <n v="0"/>
    <n v="0"/>
    <e v="#N/A"/>
    <e v="#N/A"/>
    <e v="#N/A"/>
    <e v="#N/A"/>
    <e v="#N/A"/>
    <e v="#N/A"/>
    <e v="#N/A"/>
    <e v="#N/A"/>
    <e v="#N/A"/>
    <e v="#N/A"/>
    <n v="0"/>
    <m/>
    <e v="#N/A"/>
    <e v="#N/A"/>
    <e v="#N/A"/>
    <e v="#N/A"/>
    <e v="#N/A"/>
    <e v="#N/A"/>
  </r>
  <r>
    <n v="1"/>
    <x v="1"/>
    <x v="1"/>
    <x v="1"/>
    <s v="الاداره"/>
    <x v="1"/>
    <n v="0"/>
    <n v="0"/>
    <s v="H"/>
    <x v="1"/>
    <d v="2007-01-01T00:00:00"/>
    <d v="2018-12-31T00:00:00"/>
    <n v="11"/>
    <n v="11"/>
    <n v="23.76"/>
    <n v="34960"/>
    <n v="8306.4959999999992"/>
    <n v="5"/>
    <n v="5"/>
    <n v="5"/>
    <n v="3"/>
    <n v="3"/>
    <n v="3"/>
    <n v="3"/>
    <n v="3"/>
    <n v="5"/>
    <n v="35"/>
    <n v="15"/>
    <n v="15"/>
    <n v="15"/>
    <n v="12"/>
    <n v="5"/>
    <n v="3"/>
    <n v="65"/>
    <n v="100"/>
    <n v="1"/>
    <n v="2"/>
    <n v="3"/>
    <n v="4"/>
    <n v="10"/>
    <n v="60"/>
    <n v="20976"/>
    <n v="55936"/>
    <n v="0"/>
    <n v="55000"/>
    <n v="55936"/>
    <n v="20976"/>
    <n v="59.999999999999993"/>
    <n v="0"/>
    <n v="14"/>
    <n v="20990"/>
    <n v="55950"/>
    <n v="60.040045766590389"/>
    <n v="34960"/>
    <m/>
    <n v="55950"/>
    <n v="55936"/>
    <n v="-936"/>
    <n v="-55936"/>
    <n v="55936"/>
    <n v="0"/>
  </r>
  <r>
    <n v="6"/>
    <x v="2"/>
    <x v="1"/>
    <x v="2"/>
    <s v="قطع الغيار"/>
    <x v="2"/>
    <n v="0"/>
    <n v="0"/>
    <s v="H"/>
    <x v="2"/>
    <d v="2007-02-01T00:00:00"/>
    <d v="2018-12-31T00:00:00"/>
    <n v="11"/>
    <n v="10"/>
    <n v="23.6"/>
    <n v="5130"/>
    <n v="1210.68"/>
    <n v="5"/>
    <n v="5"/>
    <n v="5"/>
    <n v="3"/>
    <n v="3"/>
    <n v="3"/>
    <n v="3"/>
    <n v="3"/>
    <n v="5"/>
    <n v="35"/>
    <n v="14"/>
    <n v="12"/>
    <n v="15"/>
    <n v="12"/>
    <n v="3"/>
    <n v="3"/>
    <n v="59"/>
    <n v="94"/>
    <m/>
    <m/>
    <m/>
    <m/>
    <m/>
    <n v="56.4"/>
    <n v="2893.3199999999997"/>
    <n v="8023.32"/>
    <n v="0"/>
    <n v="7000"/>
    <n v="8023.32"/>
    <n v="2893.3199999999997"/>
    <n v="56.4"/>
    <n v="0"/>
    <n v="6.680000000000291"/>
    <n v="2900"/>
    <n v="8030"/>
    <n v="56.530214424951268"/>
    <n v="5130"/>
    <m/>
    <n v="8030"/>
    <n v="8023.32"/>
    <n v="-1023.3199999999997"/>
    <n v="-8023.32"/>
    <n v="8023.32"/>
    <n v="0"/>
  </r>
  <r>
    <n v="8"/>
    <x v="3"/>
    <x v="1"/>
    <x v="2"/>
    <s v="الخام"/>
    <x v="3"/>
    <s v="بكلاريوس"/>
    <s v="محاسبة"/>
    <s v="C"/>
    <x v="3"/>
    <d v="2007-02-17T00:00:00"/>
    <d v="2018-12-31T00:00:00"/>
    <n v="11"/>
    <n v="10"/>
    <n v="23.6"/>
    <n v="6370"/>
    <n v="1503.32"/>
    <n v="5"/>
    <n v="5"/>
    <n v="5"/>
    <n v="3"/>
    <n v="3"/>
    <n v="3"/>
    <n v="3"/>
    <n v="3"/>
    <n v="4"/>
    <n v="34"/>
    <n v="15"/>
    <n v="15"/>
    <n v="15"/>
    <n v="12"/>
    <n v="5"/>
    <n v="3"/>
    <n v="65"/>
    <n v="99"/>
    <m/>
    <m/>
    <m/>
    <m/>
    <m/>
    <n v="59.4"/>
    <n v="3783.7799999999997"/>
    <n v="10153.779999999999"/>
    <n v="1846.2200000000012"/>
    <n v="12000"/>
    <n v="12000"/>
    <n v="5630"/>
    <n v="88.383045525902659"/>
    <n v="0"/>
    <n v="0"/>
    <n v="5630"/>
    <n v="12000"/>
    <n v="88.383045525902659"/>
    <n v="6370"/>
    <m/>
    <n v="12000"/>
    <n v="12000"/>
    <n v="1846.2200000000012"/>
    <n v="-12000"/>
    <n v="12000"/>
    <n v="0"/>
  </r>
  <r>
    <n v="9"/>
    <x v="4"/>
    <x v="1"/>
    <x v="2"/>
    <s v="مدير قسم"/>
    <x v="4"/>
    <s v="دبلوم تقني"/>
    <s v="محاسبة"/>
    <s v="D"/>
    <x v="4"/>
    <d v="2007-01-15T00:00:00"/>
    <d v="2018-12-31T00:00:00"/>
    <n v="11"/>
    <n v="11"/>
    <n v="23.76"/>
    <n v="19440"/>
    <n v="4618.9440000000004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11547.359999999999"/>
    <n v="30987.360000000001"/>
    <n v="0"/>
    <n v="30000"/>
    <n v="30987.360000000001"/>
    <n v="11547.36"/>
    <n v="59.4"/>
    <n v="0"/>
    <n v="12.639999999999418"/>
    <n v="11560"/>
    <n v="31000"/>
    <n v="59.465020576131685"/>
    <n v="19440"/>
    <m/>
    <n v="31000"/>
    <n v="30987.360000000001"/>
    <n v="-987.36000000000058"/>
    <n v="-30987.360000000001"/>
    <n v="30987.360000000001"/>
    <n v="0"/>
  </r>
  <r>
    <n v="0"/>
    <x v="0"/>
    <x v="0"/>
    <x v="0"/>
    <e v="#N/A"/>
    <x v="0"/>
    <e v="#N/A"/>
    <e v="#N/A"/>
    <e v="#N/A"/>
    <x v="5"/>
    <e v="#N/A"/>
    <d v="2018-12-31T00:00:00"/>
    <e v="#N/A"/>
    <e v="#N/A"/>
    <e v="#N/A"/>
    <n v="4490"/>
    <n v="7.1840000000000002"/>
    <n v="0"/>
    <n v="0"/>
    <n v="0"/>
    <n v="0"/>
    <n v="2"/>
    <n v="0"/>
    <n v="0"/>
    <n v="0"/>
    <n v="3"/>
    <n v="5"/>
    <n v="0"/>
    <n v="13"/>
    <n v="0"/>
    <n v="0"/>
    <n v="0"/>
    <n v="0"/>
    <n v="13"/>
    <n v="18"/>
    <m/>
    <m/>
    <m/>
    <m/>
    <m/>
    <n v="10.799999999999999"/>
    <n v="484.91999999999996"/>
    <n v="4974.92"/>
    <n v="25.079999999999927"/>
    <n v="5000"/>
    <n v="5000"/>
    <n v="510"/>
    <n v="11.35857461024499"/>
    <n v="0"/>
    <n v="0"/>
    <n v="510"/>
    <n v="5000"/>
    <n v="11.35857461024499"/>
    <n v="0"/>
    <m/>
    <n v="6760"/>
    <n v="6760"/>
    <n v="25.079999999999927"/>
    <n v="-6752.96"/>
    <n v="6752.96"/>
    <n v="0"/>
  </r>
  <r>
    <n v="16"/>
    <x v="5"/>
    <x v="1"/>
    <x v="3"/>
    <s v="مدير قسم"/>
    <x v="5"/>
    <s v="دبلوم تقني"/>
    <s v="هندسة ميكانيكية ( قوى )"/>
    <s v="D"/>
    <x v="6"/>
    <d v="2006-12-12T00:00:00"/>
    <d v="2018-12-31T00:00:00"/>
    <n v="12"/>
    <n v="0"/>
    <n v="24"/>
    <n v="25860"/>
    <n v="6206.4"/>
    <n v="5"/>
    <n v="5"/>
    <n v="4"/>
    <n v="3"/>
    <n v="3"/>
    <n v="3"/>
    <n v="3"/>
    <n v="3"/>
    <n v="5"/>
    <n v="34"/>
    <n v="15"/>
    <n v="15"/>
    <n v="15"/>
    <n v="12"/>
    <n v="4"/>
    <n v="3"/>
    <n v="64"/>
    <n v="98"/>
    <m/>
    <m/>
    <m/>
    <m/>
    <m/>
    <n v="58.8"/>
    <n v="15205.679999999998"/>
    <n v="41065.68"/>
    <n v="8934.32"/>
    <n v="50000"/>
    <n v="50000"/>
    <n v="24140"/>
    <n v="93.348801237432326"/>
    <n v="0"/>
    <n v="0"/>
    <n v="24140"/>
    <n v="50000"/>
    <n v="93.348801237432326"/>
    <n v="25860"/>
    <m/>
    <n v="50000"/>
    <n v="50000"/>
    <n v="8934.32"/>
    <n v="-50000"/>
    <n v="50000"/>
    <n v="0"/>
  </r>
  <r>
    <n v="17"/>
    <x v="6"/>
    <x v="1"/>
    <x v="3"/>
    <s v="الاشراف"/>
    <x v="6"/>
    <n v="0"/>
    <n v="0"/>
    <s v="H"/>
    <x v="7"/>
    <d v="2006-12-01T00:00:00"/>
    <d v="2018-12-31T00:00:00"/>
    <n v="12"/>
    <n v="0"/>
    <n v="24"/>
    <n v="12970"/>
    <n v="3112.8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m/>
    <m/>
    <m/>
    <m/>
    <m/>
    <n v="57.599999999999994"/>
    <n v="7470.7199999999993"/>
    <n v="20440.72"/>
    <n v="0"/>
    <n v="20000"/>
    <n v="20440.72"/>
    <n v="7470.7200000000012"/>
    <n v="57.600000000000016"/>
    <n v="0"/>
    <n v="9.2799999999988358"/>
    <n v="7480"/>
    <n v="20450"/>
    <n v="57.671549730146495"/>
    <n v="12970"/>
    <m/>
    <n v="20450"/>
    <n v="20440.72"/>
    <n v="-440.72000000000116"/>
    <n v="-20440.72"/>
    <n v="20440.72"/>
    <n v="0"/>
  </r>
  <r>
    <n v="18"/>
    <x v="7"/>
    <x v="1"/>
    <x v="3"/>
    <s v="المواسير"/>
    <x v="7"/>
    <n v="0"/>
    <n v="0"/>
    <s v="H"/>
    <x v="8"/>
    <d v="2006-12-01T00:00:00"/>
    <d v="2018-12-31T00:00:00"/>
    <n v="12"/>
    <n v="0"/>
    <n v="24"/>
    <n v="6000"/>
    <n v="1440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m/>
    <m/>
    <m/>
    <m/>
    <m/>
    <n v="58.199999999999996"/>
    <n v="3491.9999999999995"/>
    <n v="9492"/>
    <n v="0"/>
    <n v="9000"/>
    <n v="9492"/>
    <n v="3492"/>
    <n v="58.2"/>
    <n v="2508"/>
    <n v="0"/>
    <n v="6000"/>
    <n v="12000"/>
    <n v="100"/>
    <n v="6000"/>
    <n v="12000"/>
    <n v="12000"/>
    <n v="12000"/>
    <n v="-492"/>
    <n v="2508"/>
    <n v="9492"/>
    <n v="2508"/>
  </r>
  <r>
    <n v="19"/>
    <x v="8"/>
    <x v="1"/>
    <x v="3"/>
    <s v="المواسير"/>
    <x v="7"/>
    <s v="دبلوم تقني"/>
    <s v="هندسة ميكانيكية ( إنتاج )"/>
    <s v="D"/>
    <x v="3"/>
    <d v="2006-12-12T00:00:00"/>
    <d v="2018-12-31T00:00:00"/>
    <n v="12"/>
    <n v="0"/>
    <n v="24"/>
    <n v="8000"/>
    <n v="1920"/>
    <n v="4"/>
    <n v="5"/>
    <n v="4"/>
    <n v="3"/>
    <n v="2"/>
    <n v="3"/>
    <n v="3"/>
    <n v="3"/>
    <n v="3"/>
    <n v="30"/>
    <n v="14"/>
    <n v="14"/>
    <n v="11"/>
    <n v="6"/>
    <n v="4"/>
    <n v="3"/>
    <n v="52"/>
    <n v="82"/>
    <m/>
    <m/>
    <m/>
    <m/>
    <m/>
    <n v="49.199999999999996"/>
    <n v="3935.9999999999995"/>
    <n v="11936"/>
    <n v="64"/>
    <n v="12000"/>
    <n v="12000"/>
    <n v="4000"/>
    <n v="50"/>
    <n v="2000"/>
    <n v="0"/>
    <n v="6000"/>
    <n v="14000"/>
    <n v="75"/>
    <n v="8000"/>
    <n v="14000"/>
    <n v="14000"/>
    <n v="14000"/>
    <n v="64"/>
    <n v="2000"/>
    <n v="12000"/>
    <n v="2000"/>
  </r>
  <r>
    <n v="20"/>
    <x v="9"/>
    <x v="1"/>
    <x v="3"/>
    <s v="المواسير"/>
    <x v="8"/>
    <n v="0"/>
    <n v="0"/>
    <s v="H"/>
    <x v="2"/>
    <d v="2006-12-01T00:00:00"/>
    <d v="2018-12-31T00:00:00"/>
    <n v="12"/>
    <n v="0"/>
    <n v="24"/>
    <n v="5050"/>
    <n v="1212"/>
    <n v="5"/>
    <n v="5"/>
    <n v="5"/>
    <n v="2"/>
    <n v="3"/>
    <n v="3"/>
    <n v="3"/>
    <n v="3"/>
    <n v="5"/>
    <n v="34"/>
    <n v="15"/>
    <n v="15"/>
    <n v="15"/>
    <n v="12"/>
    <n v="5"/>
    <n v="3"/>
    <n v="65"/>
    <n v="99"/>
    <m/>
    <m/>
    <m/>
    <m/>
    <m/>
    <n v="59.4"/>
    <n v="2999.7"/>
    <n v="8049.7"/>
    <n v="0"/>
    <n v="7000"/>
    <n v="8049.7"/>
    <n v="2999.7"/>
    <n v="59.4"/>
    <n v="0"/>
    <n v="0.3000000000001819"/>
    <n v="3000"/>
    <n v="8050"/>
    <n v="59.405940594059409"/>
    <n v="5050"/>
    <m/>
    <n v="8050"/>
    <n v="8049.7"/>
    <n v="-1049.6999999999998"/>
    <n v="-8049.7"/>
    <n v="8049.7"/>
    <n v="0"/>
  </r>
  <r>
    <n v="21"/>
    <x v="10"/>
    <x v="1"/>
    <x v="4"/>
    <s v="صيانه عامه"/>
    <x v="9"/>
    <n v="0"/>
    <n v="0"/>
    <s v="H"/>
    <x v="2"/>
    <d v="2006-12-13T00:00:00"/>
    <d v="2018-12-31T00:00:00"/>
    <n v="12"/>
    <n v="0"/>
    <n v="24"/>
    <n v="4580"/>
    <n v="1099.2"/>
    <n v="4"/>
    <n v="5"/>
    <n v="5"/>
    <n v="2"/>
    <n v="3"/>
    <n v="3"/>
    <n v="3"/>
    <n v="3"/>
    <n v="5"/>
    <n v="33"/>
    <n v="14"/>
    <n v="14"/>
    <n v="15"/>
    <n v="12"/>
    <n v="5"/>
    <n v="3"/>
    <n v="63"/>
    <n v="96"/>
    <n v="10"/>
    <m/>
    <m/>
    <m/>
    <m/>
    <n v="57.599999999999994"/>
    <n v="2638.08"/>
    <n v="7218.08"/>
    <n v="0"/>
    <n v="7000"/>
    <n v="7218.08"/>
    <n v="2638.08"/>
    <n v="57.6"/>
    <n v="0"/>
    <n v="1.9200000000000728"/>
    <n v="2640"/>
    <n v="7220"/>
    <n v="57.641921397379917"/>
    <n v="4580"/>
    <m/>
    <n v="7220"/>
    <n v="7218.08"/>
    <n v="-218.07999999999993"/>
    <n v="-7218.08"/>
    <n v="7218.08"/>
    <n v="0"/>
  </r>
  <r>
    <n v="22"/>
    <x v="11"/>
    <x v="1"/>
    <x v="3"/>
    <s v="الزوايا"/>
    <x v="8"/>
    <n v="0"/>
    <n v="0"/>
    <s v="H"/>
    <x v="2"/>
    <d v="2006-12-01T00:00:00"/>
    <d v="2018-12-31T00:00:00"/>
    <n v="12"/>
    <n v="0"/>
    <n v="24"/>
    <n v="5090"/>
    <n v="1221.5999999999999"/>
    <n v="5"/>
    <n v="5"/>
    <n v="5"/>
    <n v="2"/>
    <n v="2"/>
    <n v="2"/>
    <n v="3"/>
    <n v="3"/>
    <n v="5"/>
    <n v="32"/>
    <n v="15"/>
    <n v="15"/>
    <n v="15"/>
    <n v="12"/>
    <n v="5"/>
    <n v="3"/>
    <n v="65"/>
    <n v="97"/>
    <m/>
    <m/>
    <m/>
    <m/>
    <m/>
    <n v="58.199999999999996"/>
    <n v="2962.3799999999997"/>
    <n v="8052.3799999999992"/>
    <n v="0"/>
    <n v="7000"/>
    <n v="8052.3799999999992"/>
    <n v="2962.3799999999992"/>
    <n v="58.199999999999989"/>
    <n v="0"/>
    <n v="7.6200000000008004"/>
    <n v="2970"/>
    <n v="8060"/>
    <n v="58.349705304518665"/>
    <n v="5090"/>
    <m/>
    <n v="8060"/>
    <n v="8052.3799999999992"/>
    <n v="-1052.3799999999992"/>
    <n v="-8052.3799999999992"/>
    <n v="8052.3799999999992"/>
    <n v="0"/>
  </r>
  <r>
    <n v="25"/>
    <x v="12"/>
    <x v="1"/>
    <x v="1"/>
    <s v="مكلف"/>
    <x v="10"/>
    <s v="تدريب مهني"/>
    <n v="0"/>
    <s v="F"/>
    <x v="9"/>
    <d v="2006-01-12T00:00:00"/>
    <d v="2018-12-31T00:00:00"/>
    <n v="12"/>
    <n v="11"/>
    <n v="25.76"/>
    <n v="4590"/>
    <n v="1182.384"/>
    <n v="4"/>
    <n v="4"/>
    <n v="3"/>
    <n v="2"/>
    <n v="3"/>
    <n v="2"/>
    <n v="3"/>
    <n v="3"/>
    <n v="5"/>
    <n v="29"/>
    <n v="14"/>
    <n v="10"/>
    <n v="15"/>
    <n v="12"/>
    <n v="2"/>
    <n v="3"/>
    <n v="56"/>
    <n v="85"/>
    <m/>
    <m/>
    <m/>
    <m/>
    <m/>
    <n v="51"/>
    <n v="2340.9"/>
    <n v="6930.9"/>
    <n v="0"/>
    <n v="6500"/>
    <n v="6930.9"/>
    <n v="2340.8999999999996"/>
    <n v="50.999999999999993"/>
    <n v="0"/>
    <n v="9.1000000000003638"/>
    <n v="2350"/>
    <n v="6940"/>
    <n v="51.19825708061002"/>
    <n v="4590"/>
    <m/>
    <n v="6940"/>
    <n v="6930.9"/>
    <n v="-430.89999999999964"/>
    <n v="-6930.9"/>
    <n v="6930.9"/>
    <n v="0"/>
  </r>
  <r>
    <n v="28"/>
    <x v="13"/>
    <x v="1"/>
    <x v="3"/>
    <s v="المواسير"/>
    <x v="11"/>
    <s v="شهاده ثانويه"/>
    <n v="0"/>
    <s v="F"/>
    <x v="10"/>
    <d v="2006-12-01T00:00:00"/>
    <d v="2018-12-31T00:00:00"/>
    <n v="12"/>
    <n v="0"/>
    <n v="24"/>
    <n v="4490"/>
    <n v="1077.5999999999999"/>
    <n v="5"/>
    <n v="5"/>
    <n v="5"/>
    <n v="1"/>
    <n v="2"/>
    <n v="2"/>
    <n v="3"/>
    <n v="3"/>
    <n v="5"/>
    <n v="31"/>
    <n v="15"/>
    <n v="15"/>
    <n v="15"/>
    <n v="12"/>
    <n v="5"/>
    <n v="3"/>
    <n v="65"/>
    <n v="96"/>
    <m/>
    <m/>
    <m/>
    <m/>
    <m/>
    <n v="57.599999999999994"/>
    <n v="2586.2399999999998"/>
    <n v="7076.24"/>
    <n v="0"/>
    <n v="5500"/>
    <n v="7076.24"/>
    <n v="2586.2399999999998"/>
    <n v="57.599999999999994"/>
    <n v="0"/>
    <n v="3.7600000000002183"/>
    <n v="2590"/>
    <n v="7080"/>
    <n v="57.683741648106903"/>
    <n v="4490"/>
    <m/>
    <n v="7080"/>
    <n v="7076.24"/>
    <n v="-1576.2399999999998"/>
    <n v="-7076.24"/>
    <n v="7076.24"/>
    <n v="0"/>
  </r>
  <r>
    <n v="29"/>
    <x v="14"/>
    <x v="1"/>
    <x v="2"/>
    <s v="التحميل"/>
    <x v="12"/>
    <n v="0"/>
    <n v="0"/>
    <s v="H"/>
    <x v="11"/>
    <d v="2007-02-07T00:00:00"/>
    <d v="2018-12-31T00:00:00"/>
    <n v="11"/>
    <n v="10"/>
    <n v="23.6"/>
    <n v="4440"/>
    <n v="1047.8399999999999"/>
    <n v="5"/>
    <n v="5"/>
    <n v="5"/>
    <n v="3"/>
    <n v="3"/>
    <n v="3"/>
    <n v="3"/>
    <n v="3"/>
    <n v="5"/>
    <n v="35"/>
    <n v="13"/>
    <n v="13"/>
    <n v="15"/>
    <n v="12"/>
    <n v="3"/>
    <n v="3"/>
    <n v="59"/>
    <n v="94"/>
    <m/>
    <m/>
    <m/>
    <m/>
    <m/>
    <n v="56.4"/>
    <n v="2504.16"/>
    <n v="6944.16"/>
    <n v="0"/>
    <n v="6000"/>
    <n v="6944.16"/>
    <n v="2504.16"/>
    <n v="56.4"/>
    <n v="0"/>
    <n v="5.8400000000001455"/>
    <n v="2510"/>
    <n v="6950"/>
    <n v="56.531531531531535"/>
    <n v="4440"/>
    <m/>
    <n v="6950"/>
    <n v="6944.16"/>
    <n v="-944.15999999999985"/>
    <n v="-6944.16"/>
    <n v="6944.16"/>
    <n v="0"/>
  </r>
  <r>
    <n v="31"/>
    <x v="15"/>
    <x v="1"/>
    <x v="3"/>
    <s v="المواسير"/>
    <x v="7"/>
    <s v="شهاده ثانويه"/>
    <n v="0"/>
    <s v="F"/>
    <x v="12"/>
    <d v="2007-01-06T00:00:00"/>
    <d v="2018-12-31T00:00:00"/>
    <n v="11"/>
    <n v="11"/>
    <n v="23.76"/>
    <n v="9000"/>
    <n v="2138.4"/>
    <n v="5"/>
    <n v="5"/>
    <n v="5"/>
    <n v="3"/>
    <n v="3"/>
    <n v="3"/>
    <n v="3"/>
    <n v="3"/>
    <n v="5"/>
    <n v="35"/>
    <n v="15"/>
    <n v="14"/>
    <n v="15"/>
    <n v="12"/>
    <n v="5"/>
    <n v="3"/>
    <n v="64"/>
    <n v="99"/>
    <m/>
    <m/>
    <m/>
    <m/>
    <m/>
    <n v="59.4"/>
    <n v="5346"/>
    <n v="14346"/>
    <n v="654"/>
    <n v="15000"/>
    <n v="15000"/>
    <n v="6000"/>
    <n v="66.666666666666671"/>
    <n v="2000"/>
    <n v="0"/>
    <n v="8000"/>
    <n v="17000"/>
    <n v="88.888888888888886"/>
    <n v="9000"/>
    <n v="17000"/>
    <n v="17000"/>
    <n v="17000"/>
    <n v="654"/>
    <n v="2000"/>
    <n v="15000"/>
    <n v="2000"/>
  </r>
  <r>
    <n v="32"/>
    <x v="16"/>
    <x v="1"/>
    <x v="4"/>
    <s v="المخارط"/>
    <x v="13"/>
    <n v="0"/>
    <n v="0"/>
    <s v="H"/>
    <x v="2"/>
    <d v="2007-02-12T00:00:00"/>
    <d v="2018-12-31T00:00:00"/>
    <n v="11"/>
    <n v="10"/>
    <n v="23.6"/>
    <n v="5140"/>
    <n v="1213.04"/>
    <n v="4"/>
    <n v="4"/>
    <n v="5"/>
    <n v="2"/>
    <n v="2"/>
    <n v="2"/>
    <n v="3"/>
    <n v="3"/>
    <n v="5"/>
    <n v="30"/>
    <n v="15"/>
    <n v="15"/>
    <n v="15"/>
    <n v="12"/>
    <n v="4"/>
    <n v="3"/>
    <n v="64"/>
    <n v="94"/>
    <n v="9"/>
    <m/>
    <m/>
    <m/>
    <m/>
    <n v="56.4"/>
    <n v="2898.9599999999996"/>
    <n v="8038.9599999999991"/>
    <n v="0"/>
    <n v="7000"/>
    <n v="8038.9599999999991"/>
    <n v="2898.9599999999991"/>
    <n v="56.399999999999984"/>
    <n v="0"/>
    <n v="1.0400000000008731"/>
    <n v="2900"/>
    <n v="8040"/>
    <n v="56.420233463035018"/>
    <n v="5140"/>
    <m/>
    <n v="8040"/>
    <n v="8038.9599999999991"/>
    <n v="-1038.9599999999991"/>
    <n v="-8038.9599999999991"/>
    <n v="8038.9599999999991"/>
    <n v="0"/>
  </r>
  <r>
    <n v="33"/>
    <x v="17"/>
    <x v="1"/>
    <x v="4"/>
    <s v="صيانه عامه"/>
    <x v="14"/>
    <s v="دبلوم تقني"/>
    <s v="هندسة ميكانيكية ( قوى )"/>
    <s v="D"/>
    <x v="3"/>
    <d v="2007-01-13T00:00:00"/>
    <d v="2018-12-31T00:00:00"/>
    <n v="11"/>
    <n v="11"/>
    <n v="23.76"/>
    <n v="7730"/>
    <n v="1836.6479999999999"/>
    <n v="5"/>
    <n v="5"/>
    <n v="5"/>
    <n v="3"/>
    <n v="3"/>
    <n v="2"/>
    <n v="3"/>
    <n v="3"/>
    <n v="5"/>
    <n v="34"/>
    <n v="14"/>
    <n v="14"/>
    <n v="13"/>
    <n v="10"/>
    <n v="4"/>
    <n v="3"/>
    <n v="58"/>
    <n v="92"/>
    <n v="10"/>
    <m/>
    <m/>
    <m/>
    <m/>
    <n v="55.199999999999996"/>
    <n v="4266.9599999999991"/>
    <n v="11996.96"/>
    <n v="3.0400000000008731"/>
    <n v="12000"/>
    <n v="12000"/>
    <n v="4270"/>
    <n v="55.239327296248383"/>
    <n v="1000"/>
    <n v="0"/>
    <n v="5270"/>
    <n v="13000"/>
    <n v="68.175937904269091"/>
    <n v="7730"/>
    <n v="13000"/>
    <n v="13000"/>
    <n v="13000"/>
    <n v="3.0400000000008731"/>
    <n v="1000"/>
    <n v="12000"/>
    <n v="1000"/>
  </r>
  <r>
    <n v="34"/>
    <x v="18"/>
    <x v="1"/>
    <x v="3"/>
    <s v="الزوايا"/>
    <x v="11"/>
    <n v="0"/>
    <n v="0"/>
    <s v="H"/>
    <x v="5"/>
    <d v="2007-01-16T00:00:00"/>
    <d v="2018-12-31T00:00:00"/>
    <n v="11"/>
    <n v="11"/>
    <n v="23.76"/>
    <n v="4490"/>
    <n v="1066.8240000000001"/>
    <n v="5"/>
    <n v="5"/>
    <n v="5"/>
    <n v="0"/>
    <n v="1"/>
    <n v="1"/>
    <n v="3"/>
    <n v="3"/>
    <n v="5"/>
    <n v="28"/>
    <n v="15"/>
    <n v="14"/>
    <n v="15"/>
    <n v="12"/>
    <n v="5"/>
    <n v="3"/>
    <n v="64"/>
    <n v="92"/>
    <m/>
    <m/>
    <m/>
    <m/>
    <m/>
    <n v="55.199999999999996"/>
    <n v="2478.4799999999996"/>
    <n v="6968.48"/>
    <n v="0"/>
    <n v="5000"/>
    <n v="6968.48"/>
    <n v="2478.4799999999996"/>
    <n v="55.199999999999989"/>
    <n v="0"/>
    <n v="1.5200000000004366"/>
    <n v="2480"/>
    <n v="6970"/>
    <n v="55.233853006681514"/>
    <n v="4490"/>
    <m/>
    <n v="6970"/>
    <n v="6968.48"/>
    <n v="-1968.4799999999996"/>
    <n v="-6968.48"/>
    <n v="6968.48"/>
    <n v="0"/>
  </r>
  <r>
    <n v="36"/>
    <x v="19"/>
    <x v="1"/>
    <x v="4"/>
    <s v="صيانه عامه"/>
    <x v="9"/>
    <s v="تدريب مهني"/>
    <n v="0"/>
    <s v="F"/>
    <x v="13"/>
    <d v="2007-02-07T00:00:00"/>
    <d v="2018-12-31T00:00:00"/>
    <n v="11"/>
    <n v="10"/>
    <n v="23.6"/>
    <n v="5990"/>
    <n v="1413.64"/>
    <n v="4"/>
    <n v="5"/>
    <n v="5"/>
    <n v="3"/>
    <n v="3"/>
    <n v="2"/>
    <n v="3"/>
    <n v="3"/>
    <n v="5"/>
    <n v="33"/>
    <n v="15"/>
    <n v="14"/>
    <n v="15"/>
    <n v="12"/>
    <n v="4"/>
    <n v="3"/>
    <n v="63"/>
    <n v="96"/>
    <n v="10"/>
    <m/>
    <m/>
    <m/>
    <m/>
    <n v="57.599999999999994"/>
    <n v="3450.24"/>
    <n v="9440.24"/>
    <n v="559.76000000000022"/>
    <n v="10000"/>
    <n v="10000"/>
    <n v="4010"/>
    <n v="66.944908180300501"/>
    <n v="1000"/>
    <n v="0"/>
    <n v="5010"/>
    <n v="11000"/>
    <n v="83.639398998330549"/>
    <n v="5990"/>
    <n v="11000"/>
    <n v="11000"/>
    <n v="11000"/>
    <n v="559.76000000000022"/>
    <n v="1000"/>
    <n v="10000"/>
    <n v="1000"/>
  </r>
  <r>
    <n v="37"/>
    <x v="20"/>
    <x v="1"/>
    <x v="4"/>
    <s v="مدير قسم"/>
    <x v="15"/>
    <s v="بكلاريوس الشرف"/>
    <s v="هندسة تكنولوجية - ميكانيكية"/>
    <s v="C"/>
    <x v="14"/>
    <d v="2007-03-01T00:00:00"/>
    <d v="2018-12-31T00:00:00"/>
    <n v="11"/>
    <n v="9"/>
    <n v="23.44"/>
    <n v="13620"/>
    <n v="3192.5279999999998"/>
    <n v="5"/>
    <n v="5"/>
    <n v="4"/>
    <n v="3"/>
    <n v="3"/>
    <n v="3"/>
    <n v="3"/>
    <n v="3"/>
    <n v="5"/>
    <n v="34"/>
    <n v="14"/>
    <n v="15"/>
    <n v="15"/>
    <n v="12"/>
    <n v="5"/>
    <n v="3"/>
    <n v="64"/>
    <n v="98"/>
    <m/>
    <m/>
    <m/>
    <m/>
    <m/>
    <n v="58.8"/>
    <n v="8008.5599999999995"/>
    <n v="21628.559999999998"/>
    <n v="3371.4400000000023"/>
    <n v="25000"/>
    <n v="25000"/>
    <n v="11380"/>
    <n v="83.55359765051395"/>
    <n v="0"/>
    <n v="0"/>
    <n v="11380"/>
    <n v="25000"/>
    <n v="83.55359765051395"/>
    <n v="13620"/>
    <m/>
    <n v="25000"/>
    <n v="25000"/>
    <n v="3371.4400000000023"/>
    <n v="-25000"/>
    <n v="25000"/>
    <n v="0"/>
  </r>
  <r>
    <n v="38"/>
    <x v="21"/>
    <x v="1"/>
    <x v="5"/>
    <s v="مدير قسم"/>
    <x v="16"/>
    <s v="بكلاريوس الشرف"/>
    <s v="هندسة كهرباء"/>
    <s v="C"/>
    <x v="14"/>
    <d v="2006-12-01T00:00:00"/>
    <d v="2018-12-31T00:00:00"/>
    <n v="12"/>
    <n v="0"/>
    <n v="24"/>
    <n v="13790"/>
    <n v="3309.6"/>
    <n v="5"/>
    <n v="5"/>
    <n v="4"/>
    <n v="3"/>
    <n v="3"/>
    <n v="3"/>
    <n v="3"/>
    <n v="3"/>
    <n v="5"/>
    <n v="34"/>
    <n v="14"/>
    <n v="15"/>
    <n v="15"/>
    <n v="12"/>
    <n v="5"/>
    <n v="3"/>
    <n v="64"/>
    <n v="98"/>
    <m/>
    <m/>
    <m/>
    <m/>
    <m/>
    <n v="58.8"/>
    <n v="8108.5199999999995"/>
    <n v="21898.52"/>
    <n v="3101.4799999999996"/>
    <n v="25000"/>
    <n v="25000"/>
    <n v="11210"/>
    <n v="81.290790427846261"/>
    <n v="0"/>
    <n v="0"/>
    <n v="11210"/>
    <n v="25000"/>
    <n v="81.290790427846261"/>
    <n v="13790"/>
    <m/>
    <n v="25000"/>
    <n v="25000"/>
    <n v="3101.4799999999996"/>
    <n v="-25000"/>
    <n v="25000"/>
    <n v="0"/>
  </r>
  <r>
    <n v="39"/>
    <x v="22"/>
    <x v="1"/>
    <x v="5"/>
    <s v="كهرباء عامه"/>
    <x v="17"/>
    <s v="شهاده كورس"/>
    <s v="حاسوب"/>
    <s v="F"/>
    <x v="13"/>
    <d v="2006-12-01T00:00:00"/>
    <d v="2018-12-31T00:00:00"/>
    <n v="12"/>
    <n v="0"/>
    <n v="24"/>
    <n v="6040"/>
    <n v="1449.6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n v="10"/>
    <m/>
    <m/>
    <m/>
    <m/>
    <n v="58.199999999999996"/>
    <n v="3515.2799999999997"/>
    <n v="9555.2799999999988"/>
    <n v="444.72000000000116"/>
    <n v="10000"/>
    <n v="10000"/>
    <n v="3960"/>
    <n v="65.562913907284766"/>
    <n v="0"/>
    <n v="0"/>
    <n v="3960"/>
    <n v="10000"/>
    <n v="65.562913907284766"/>
    <n v="6040"/>
    <m/>
    <n v="10000"/>
    <n v="10000"/>
    <n v="444.72000000000116"/>
    <n v="-10000"/>
    <n v="10000"/>
    <n v="0"/>
  </r>
  <r>
    <n v="40"/>
    <x v="23"/>
    <x v="1"/>
    <x v="5"/>
    <s v="كهرباء عامه"/>
    <x v="17"/>
    <s v="تدريب مهني"/>
    <s v="كهرباء عامة"/>
    <s v="F"/>
    <x v="9"/>
    <d v="2006-12-01T00:00:00"/>
    <d v="2018-12-31T00:00:00"/>
    <n v="12"/>
    <n v="0"/>
    <n v="24"/>
    <n v="4580"/>
    <n v="1099.2"/>
    <n v="5"/>
    <n v="5"/>
    <n v="5"/>
    <n v="3"/>
    <n v="2"/>
    <n v="2"/>
    <n v="3"/>
    <n v="3"/>
    <n v="5"/>
    <n v="33"/>
    <n v="15"/>
    <n v="14"/>
    <n v="15"/>
    <n v="12"/>
    <n v="4"/>
    <n v="3"/>
    <n v="63"/>
    <n v="96"/>
    <n v="10"/>
    <m/>
    <m/>
    <m/>
    <m/>
    <n v="57.599999999999994"/>
    <n v="2638.08"/>
    <n v="7218.08"/>
    <n v="0"/>
    <n v="6500"/>
    <n v="7218.08"/>
    <n v="2638.08"/>
    <n v="57.6"/>
    <n v="281.92000000000007"/>
    <n v="0"/>
    <n v="2920"/>
    <n v="7500"/>
    <n v="63.755458515283848"/>
    <n v="4580"/>
    <n v="7500"/>
    <n v="7500"/>
    <n v="7500"/>
    <n v="-718.07999999999993"/>
    <n v="281.92000000000007"/>
    <n v="7218.08"/>
    <n v="281.92000000000007"/>
  </r>
  <r>
    <n v="42"/>
    <x v="24"/>
    <x v="1"/>
    <x v="6"/>
    <s v="الكافتريا"/>
    <x v="18"/>
    <n v="0"/>
    <n v="0"/>
    <s v="H"/>
    <x v="15"/>
    <d v="2007-01-06T00:00:00"/>
    <d v="2018-12-31T00:00:00"/>
    <n v="11"/>
    <n v="11"/>
    <n v="23.76"/>
    <n v="3410"/>
    <n v="810.21600000000001"/>
    <n v="5"/>
    <n v="5"/>
    <n v="5"/>
    <n v="2"/>
    <n v="2"/>
    <n v="2"/>
    <n v="3"/>
    <n v="3"/>
    <n v="5"/>
    <n v="32"/>
    <n v="15"/>
    <n v="15"/>
    <n v="15"/>
    <n v="12"/>
    <n v="5"/>
    <n v="3"/>
    <n v="65"/>
    <n v="97"/>
    <m/>
    <m/>
    <m/>
    <m/>
    <m/>
    <n v="58.199999999999996"/>
    <n v="1984.62"/>
    <n v="5394.62"/>
    <n v="0"/>
    <n v="4500"/>
    <n v="5394.62"/>
    <n v="1984.62"/>
    <n v="58.199999999999996"/>
    <n v="0"/>
    <n v="5.3800000000001091"/>
    <n v="1990"/>
    <n v="5400"/>
    <n v="58.357771260997062"/>
    <n v="3410"/>
    <m/>
    <n v="5400"/>
    <n v="5394.62"/>
    <n v="-894.61999999999989"/>
    <n v="-5394.62"/>
    <n v="5394.62"/>
    <n v="0"/>
  </r>
  <r>
    <n v="43"/>
    <x v="25"/>
    <x v="1"/>
    <x v="6"/>
    <s v="البوفيه"/>
    <x v="18"/>
    <n v="0"/>
    <n v="0"/>
    <s v="H"/>
    <x v="5"/>
    <d v="2015-02-10T00:00:00"/>
    <d v="2018-12-31T00:00:00"/>
    <n v="3"/>
    <n v="10"/>
    <n v="7.6"/>
    <n v="4110"/>
    <n v="312.36"/>
    <n v="5"/>
    <n v="5"/>
    <n v="3"/>
    <n v="2"/>
    <n v="2"/>
    <n v="2"/>
    <n v="3"/>
    <n v="2"/>
    <n v="4"/>
    <n v="28"/>
    <n v="12"/>
    <n v="12"/>
    <n v="15"/>
    <n v="12"/>
    <n v="4"/>
    <n v="3"/>
    <n v="58"/>
    <n v="86"/>
    <m/>
    <m/>
    <m/>
    <m/>
    <m/>
    <n v="51.6"/>
    <n v="2120.7600000000002"/>
    <n v="6230.76"/>
    <n v="0"/>
    <n v="5000"/>
    <n v="6230.76"/>
    <n v="2120.7600000000002"/>
    <n v="51.6"/>
    <n v="0"/>
    <n v="9.2399999999997817"/>
    <n v="2130"/>
    <n v="6240"/>
    <n v="51.824817518248175"/>
    <n v="4110"/>
    <m/>
    <n v="6240"/>
    <n v="6230.76"/>
    <n v="-1230.7600000000002"/>
    <n v="-6230.76"/>
    <n v="6230.76"/>
    <n v="0"/>
  </r>
  <r>
    <n v="45"/>
    <x v="26"/>
    <x v="1"/>
    <x v="6"/>
    <s v="الكافتريا"/>
    <x v="18"/>
    <n v="0"/>
    <n v="0"/>
    <s v="H"/>
    <x v="10"/>
    <d v="2007-02-07T00:00:00"/>
    <d v="2018-12-31T00:00:00"/>
    <n v="11"/>
    <n v="10"/>
    <n v="23.6"/>
    <n v="4440"/>
    <n v="1047.8399999999999"/>
    <n v="5"/>
    <n v="5"/>
    <n v="5"/>
    <n v="2"/>
    <n v="2"/>
    <n v="2"/>
    <n v="3"/>
    <n v="3"/>
    <n v="5"/>
    <n v="32"/>
    <n v="15"/>
    <n v="14"/>
    <n v="15"/>
    <n v="12"/>
    <n v="4"/>
    <n v="3"/>
    <n v="63"/>
    <n v="95"/>
    <m/>
    <m/>
    <m/>
    <m/>
    <m/>
    <n v="57"/>
    <n v="2530.7999999999997"/>
    <n v="6970.7999999999993"/>
    <n v="0"/>
    <n v="5500"/>
    <n v="6970.7999999999993"/>
    <n v="2530.7999999999993"/>
    <n v="56.999999999999986"/>
    <n v="0"/>
    <n v="9.2000000000007276"/>
    <n v="2540"/>
    <n v="6980"/>
    <n v="57.207207207207212"/>
    <n v="4440"/>
    <m/>
    <n v="6980"/>
    <n v="6970.7999999999993"/>
    <n v="-1470.7999999999993"/>
    <n v="-6970.7999999999993"/>
    <n v="6970.7999999999993"/>
    <n v="0"/>
  </r>
  <r>
    <n v="47"/>
    <x v="27"/>
    <x v="1"/>
    <x v="3"/>
    <s v="الاشراف"/>
    <x v="6"/>
    <n v="0"/>
    <n v="0"/>
    <s v="H"/>
    <x v="7"/>
    <d v="2008-02-08T00:00:00"/>
    <d v="2018-12-31T00:00:00"/>
    <n v="10"/>
    <n v="10"/>
    <n v="21.6"/>
    <n v="11090"/>
    <n v="2395.44"/>
    <n v="5"/>
    <n v="5"/>
    <n v="5"/>
    <n v="3"/>
    <n v="3"/>
    <n v="3"/>
    <n v="3"/>
    <n v="3"/>
    <n v="5"/>
    <n v="35"/>
    <n v="13"/>
    <n v="14"/>
    <n v="15"/>
    <n v="12"/>
    <n v="4"/>
    <n v="3"/>
    <n v="61"/>
    <n v="96"/>
    <m/>
    <m/>
    <m/>
    <m/>
    <m/>
    <n v="57.599999999999994"/>
    <n v="6387.8399999999992"/>
    <n v="17477.84"/>
    <n v="2522.16"/>
    <n v="20000"/>
    <n v="20000"/>
    <n v="8910"/>
    <n v="80.342651036970238"/>
    <n v="0"/>
    <n v="0"/>
    <n v="8910"/>
    <n v="20000"/>
    <n v="80.342651036970238"/>
    <n v="11090"/>
    <m/>
    <n v="20000"/>
    <n v="20000"/>
    <n v="2522.16"/>
    <n v="-20000"/>
    <n v="20000"/>
    <n v="0"/>
  </r>
  <r>
    <n v="51"/>
    <x v="28"/>
    <x v="1"/>
    <x v="7"/>
    <s v="الخزنه"/>
    <x v="19"/>
    <s v="دبلوم تقني"/>
    <s v="محاسبة"/>
    <s v="D"/>
    <x v="3"/>
    <d v="2008-11-01T00:00:00"/>
    <d v="2018-12-31T00:00:00"/>
    <n v="10"/>
    <n v="1"/>
    <n v="20.16"/>
    <n v="5870"/>
    <n v="1183.3920000000001"/>
    <n v="4"/>
    <n v="5"/>
    <n v="4"/>
    <n v="2"/>
    <n v="2"/>
    <n v="3"/>
    <n v="2"/>
    <n v="2"/>
    <n v="4"/>
    <n v="28"/>
    <n v="14"/>
    <n v="14"/>
    <n v="15"/>
    <n v="12"/>
    <n v="4"/>
    <n v="3"/>
    <n v="62"/>
    <n v="90"/>
    <n v="9"/>
    <m/>
    <m/>
    <n v="8"/>
    <m/>
    <n v="54"/>
    <n v="3169.8"/>
    <n v="9039.7999999999993"/>
    <n v="2960.2000000000007"/>
    <n v="12000"/>
    <n v="12000"/>
    <n v="6130"/>
    <n v="104.42930153321976"/>
    <n v="0"/>
    <n v="0"/>
    <n v="6130"/>
    <n v="12000"/>
    <n v="104.42930153321976"/>
    <n v="5870"/>
    <m/>
    <n v="12000"/>
    <n v="12000"/>
    <n v="2960.2000000000007"/>
    <n v="-12000"/>
    <n v="12000"/>
    <n v="0"/>
  </r>
  <r>
    <n v="52"/>
    <x v="29"/>
    <x v="1"/>
    <x v="3"/>
    <s v="الزوايا"/>
    <x v="11"/>
    <n v="0"/>
    <n v="0"/>
    <s v="H"/>
    <x v="15"/>
    <d v="2009-06-01T00:00:00"/>
    <d v="2018-12-31T00:00:00"/>
    <n v="9"/>
    <n v="6"/>
    <n v="18.96"/>
    <n v="4320"/>
    <n v="819.072"/>
    <n v="3"/>
    <n v="3"/>
    <n v="3"/>
    <n v="1"/>
    <n v="1"/>
    <n v="0"/>
    <n v="3"/>
    <n v="3"/>
    <n v="5"/>
    <n v="22"/>
    <n v="15"/>
    <n v="15"/>
    <n v="15"/>
    <n v="12"/>
    <n v="4"/>
    <n v="3"/>
    <n v="64"/>
    <n v="86"/>
    <m/>
    <m/>
    <m/>
    <m/>
    <m/>
    <n v="51.6"/>
    <n v="2229.12"/>
    <n v="6549.12"/>
    <n v="0"/>
    <n v="4500"/>
    <n v="6549.12"/>
    <n v="2229.12"/>
    <n v="51.599999999999994"/>
    <n v="0"/>
    <n v="0.88000000000010914"/>
    <n v="2230"/>
    <n v="6550"/>
    <n v="51.620370370370367"/>
    <n v="4320"/>
    <m/>
    <n v="6550"/>
    <n v="6549.12"/>
    <n v="-2049.12"/>
    <n v="-6549.12"/>
    <n v="6549.12"/>
    <n v="0"/>
  </r>
  <r>
    <n v="54"/>
    <x v="30"/>
    <x v="1"/>
    <x v="2"/>
    <s v="الاسكراب"/>
    <x v="20"/>
    <n v="0"/>
    <n v="0"/>
    <s v="H"/>
    <x v="11"/>
    <d v="2009-06-04T00:00:00"/>
    <d v="2018-12-31T00:00:00"/>
    <n v="9"/>
    <n v="6"/>
    <n v="18.96"/>
    <n v="4340"/>
    <n v="822.86400000000003"/>
    <n v="5"/>
    <n v="5"/>
    <n v="5"/>
    <n v="3"/>
    <n v="3"/>
    <n v="3"/>
    <n v="3"/>
    <n v="3"/>
    <n v="4"/>
    <n v="34"/>
    <n v="14"/>
    <n v="13"/>
    <n v="15"/>
    <n v="12"/>
    <n v="3"/>
    <n v="3"/>
    <n v="60"/>
    <n v="94"/>
    <m/>
    <m/>
    <m/>
    <m/>
    <m/>
    <n v="56.4"/>
    <n v="2447.7599999999998"/>
    <n v="6787.76"/>
    <n v="0"/>
    <n v="6000"/>
    <n v="6787.76"/>
    <n v="2447.7600000000002"/>
    <n v="56.400000000000006"/>
    <n v="0"/>
    <n v="2.2399999999997817"/>
    <n v="2450"/>
    <n v="6790"/>
    <n v="56.451612903225808"/>
    <n v="4340"/>
    <m/>
    <n v="6790"/>
    <n v="6787.76"/>
    <n v="-787.76000000000022"/>
    <n v="-6787.76"/>
    <n v="6787.76"/>
    <n v="0"/>
  </r>
  <r>
    <n v="55"/>
    <x v="31"/>
    <x v="1"/>
    <x v="3"/>
    <s v="اليات"/>
    <x v="21"/>
    <n v="0"/>
    <n v="0"/>
    <s v="H"/>
    <x v="2"/>
    <d v="2009-06-15T00:00:00"/>
    <d v="2018-12-31T00:00:00"/>
    <n v="9"/>
    <n v="6"/>
    <n v="18.96"/>
    <n v="5340"/>
    <n v="1012.4640000000001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m/>
    <m/>
    <m/>
    <m/>
    <m/>
    <n v="58.199999999999996"/>
    <n v="3107.8799999999997"/>
    <n v="8447.8799999999992"/>
    <n v="0"/>
    <n v="7000"/>
    <n v="8447.8799999999992"/>
    <n v="3107.8799999999992"/>
    <n v="58.199999999999989"/>
    <n v="52.1200000000008"/>
    <n v="0"/>
    <n v="3160"/>
    <n v="8500"/>
    <n v="59.176029962546821"/>
    <n v="5340"/>
    <n v="8500"/>
    <n v="8500"/>
    <n v="8500"/>
    <n v="-1447.8799999999992"/>
    <n v="52.1200000000008"/>
    <n v="8447.8799999999992"/>
    <n v="52.1200000000008"/>
  </r>
  <r>
    <n v="58"/>
    <x v="32"/>
    <x v="1"/>
    <x v="8"/>
    <s v="موظف"/>
    <x v="22"/>
    <s v="بكلاريوس"/>
    <s v="إدارة الاعمال"/>
    <s v="C"/>
    <x v="14"/>
    <d v="2009-07-19T00:00:00"/>
    <d v="2018-12-31T00:00:00"/>
    <n v="9"/>
    <n v="5"/>
    <n v="18.8"/>
    <n v="10000"/>
    <n v="1880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5940"/>
    <n v="15940"/>
    <n v="9060"/>
    <n v="25000"/>
    <n v="25000"/>
    <n v="15000"/>
    <n v="150"/>
    <n v="0"/>
    <n v="0"/>
    <n v="15000"/>
    <n v="25000"/>
    <n v="150"/>
    <n v="10000"/>
    <m/>
    <n v="25000"/>
    <n v="25000"/>
    <n v="9060"/>
    <n v="-25000"/>
    <n v="25000"/>
    <n v="0"/>
  </r>
  <r>
    <n v="60"/>
    <x v="33"/>
    <x v="1"/>
    <x v="3"/>
    <s v="الزوايا"/>
    <x v="8"/>
    <n v="0"/>
    <n v="0"/>
    <s v="H"/>
    <x v="11"/>
    <d v="2009-08-03T00:00:00"/>
    <d v="2018-12-31T00:00:00"/>
    <n v="9"/>
    <n v="4"/>
    <n v="18.64"/>
    <n v="4380"/>
    <n v="816.43200000000002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m/>
    <m/>
    <m/>
    <m/>
    <m/>
    <n v="57.599999999999994"/>
    <n v="2522.8799999999997"/>
    <n v="6902.8799999999992"/>
    <n v="0"/>
    <n v="6000"/>
    <n v="6902.8799999999992"/>
    <n v="2522.8799999999992"/>
    <n v="57.599999999999987"/>
    <n v="97.1200000000008"/>
    <n v="0"/>
    <n v="2620"/>
    <n v="7000"/>
    <n v="59.817351598173516"/>
    <n v="4380"/>
    <n v="7000"/>
    <n v="7000"/>
    <n v="7000"/>
    <n v="-902.8799999999992"/>
    <n v="97.1200000000008"/>
    <n v="6902.8799999999992"/>
    <n v="97.1200000000008"/>
  </r>
  <r>
    <n v="62"/>
    <x v="34"/>
    <x v="1"/>
    <x v="2"/>
    <s v="قطع الغيار"/>
    <x v="23"/>
    <s v="بكلاريوس"/>
    <s v="محاسبة"/>
    <s v="C"/>
    <x v="12"/>
    <d v="2009-10-19T00:00:00"/>
    <d v="2018-12-31T00:00:00"/>
    <n v="9"/>
    <n v="2"/>
    <n v="18.32"/>
    <n v="8000"/>
    <n v="1465.6"/>
    <n v="5"/>
    <n v="5"/>
    <n v="5"/>
    <n v="3"/>
    <n v="3"/>
    <n v="3"/>
    <n v="3"/>
    <n v="3"/>
    <n v="5"/>
    <n v="35"/>
    <n v="15"/>
    <n v="15"/>
    <n v="15"/>
    <n v="12"/>
    <n v="5"/>
    <n v="3"/>
    <n v="65"/>
    <n v="100"/>
    <m/>
    <m/>
    <m/>
    <m/>
    <m/>
    <n v="60"/>
    <n v="4800"/>
    <n v="12800"/>
    <n v="2200"/>
    <n v="15000"/>
    <n v="15000"/>
    <n v="7000"/>
    <n v="87.5"/>
    <n v="0"/>
    <n v="0"/>
    <n v="7000"/>
    <n v="15000"/>
    <n v="87.5"/>
    <n v="8000"/>
    <m/>
    <n v="15000"/>
    <n v="15000"/>
    <n v="2200"/>
    <n v="-15000"/>
    <n v="15000"/>
    <n v="0"/>
  </r>
  <r>
    <n v="65"/>
    <x v="35"/>
    <x v="1"/>
    <x v="2"/>
    <s v="المنتج الجاهز"/>
    <x v="24"/>
    <s v="دبلوم وسيط"/>
    <s v="تقنيه معلومات"/>
    <s v="E"/>
    <x v="2"/>
    <d v="2013-12-18T00:00:00"/>
    <d v="2018-12-31T00:00:00"/>
    <n v="5"/>
    <n v="0"/>
    <n v="10"/>
    <n v="4710"/>
    <n v="471"/>
    <n v="5"/>
    <n v="5"/>
    <n v="5"/>
    <n v="3"/>
    <n v="3"/>
    <n v="3"/>
    <n v="3"/>
    <n v="3"/>
    <n v="5"/>
    <n v="35"/>
    <n v="15"/>
    <n v="14"/>
    <n v="15"/>
    <n v="12"/>
    <n v="4"/>
    <n v="3"/>
    <n v="63"/>
    <n v="98"/>
    <n v="10"/>
    <m/>
    <m/>
    <m/>
    <m/>
    <n v="58.8"/>
    <n v="2769.48"/>
    <n v="7479.48"/>
    <n v="0"/>
    <n v="7000"/>
    <n v="7479.48"/>
    <n v="2769.4799999999996"/>
    <n v="58.79999999999999"/>
    <n v="520.52000000000044"/>
    <n v="0"/>
    <n v="3290"/>
    <n v="8000"/>
    <n v="69.85138004246285"/>
    <n v="4710"/>
    <n v="8000"/>
    <n v="8000"/>
    <n v="8000"/>
    <n v="-479.47999999999956"/>
    <n v="520.52000000000044"/>
    <n v="7479.48"/>
    <n v="520.52000000000044"/>
  </r>
  <r>
    <n v="66"/>
    <x v="36"/>
    <x v="1"/>
    <x v="3"/>
    <s v="الاشراف"/>
    <x v="6"/>
    <n v="0"/>
    <n v="0"/>
    <s v="H"/>
    <x v="13"/>
    <d v="2010-09-09T00:00:00"/>
    <d v="2018-12-31T00:00:00"/>
    <n v="8"/>
    <n v="3"/>
    <n v="16.48"/>
    <n v="5370"/>
    <n v="884.976"/>
    <n v="5"/>
    <n v="5"/>
    <n v="5"/>
    <n v="2"/>
    <n v="2"/>
    <n v="2"/>
    <n v="3"/>
    <n v="3"/>
    <n v="5"/>
    <n v="32"/>
    <n v="14"/>
    <n v="14"/>
    <n v="15"/>
    <n v="12"/>
    <n v="3"/>
    <n v="3"/>
    <n v="61"/>
    <n v="93"/>
    <m/>
    <m/>
    <m/>
    <m/>
    <m/>
    <n v="55.8"/>
    <n v="2996.4599999999996"/>
    <n v="8366.4599999999991"/>
    <n v="1633.5400000000009"/>
    <n v="10000"/>
    <n v="10000"/>
    <n v="4630"/>
    <n v="86.219739292364991"/>
    <n v="0"/>
    <n v="0"/>
    <n v="4630"/>
    <n v="10000"/>
    <n v="86.219739292364991"/>
    <n v="5370"/>
    <m/>
    <n v="10000"/>
    <n v="10000"/>
    <n v="1633.5400000000009"/>
    <n v="-10000"/>
    <n v="10000"/>
    <n v="0"/>
  </r>
  <r>
    <n v="68"/>
    <x v="37"/>
    <x v="1"/>
    <x v="3"/>
    <s v="الصاج والزنك"/>
    <x v="11"/>
    <n v="0"/>
    <n v="0"/>
    <s v="H"/>
    <x v="5"/>
    <d v="2010-09-01T00:00:00"/>
    <d v="2018-12-31T00:00:00"/>
    <n v="8"/>
    <n v="3"/>
    <n v="16.48"/>
    <n v="4330"/>
    <n v="713.58399999999995"/>
    <n v="5"/>
    <n v="5"/>
    <n v="5"/>
    <n v="1"/>
    <n v="2"/>
    <n v="2"/>
    <n v="3"/>
    <n v="3"/>
    <n v="5"/>
    <n v="31"/>
    <n v="14"/>
    <n v="14"/>
    <n v="12"/>
    <n v="10"/>
    <n v="4"/>
    <n v="3"/>
    <n v="57"/>
    <n v="88"/>
    <m/>
    <m/>
    <m/>
    <m/>
    <m/>
    <n v="52.8"/>
    <n v="2286.2400000000002"/>
    <n v="6616.24"/>
    <n v="0"/>
    <n v="5000"/>
    <n v="6616.24"/>
    <n v="2286.2399999999998"/>
    <n v="52.8"/>
    <n v="0"/>
    <n v="3.7600000000002183"/>
    <n v="2290"/>
    <n v="6620"/>
    <n v="52.886836027713628"/>
    <n v="4330"/>
    <m/>
    <n v="6620"/>
    <n v="6616.24"/>
    <n v="-1616.2399999999998"/>
    <n v="-6616.24"/>
    <n v="6616.24"/>
    <n v="0"/>
  </r>
  <r>
    <n v="71"/>
    <x v="38"/>
    <x v="1"/>
    <x v="2"/>
    <s v="المنتج الجاهز"/>
    <x v="24"/>
    <s v="بكلاريوس الشرف"/>
    <s v="محاسبة"/>
    <s v="C"/>
    <x v="12"/>
    <d v="2010-10-07T00:00:00"/>
    <d v="2018-12-31T00:00:00"/>
    <n v="8"/>
    <n v="2"/>
    <n v="16.32"/>
    <n v="5470"/>
    <n v="892.70399999999995"/>
    <n v="5"/>
    <n v="5"/>
    <n v="4"/>
    <n v="3"/>
    <n v="3"/>
    <n v="3"/>
    <n v="3"/>
    <n v="3"/>
    <n v="5"/>
    <n v="34"/>
    <n v="14"/>
    <n v="14"/>
    <n v="15"/>
    <n v="12"/>
    <n v="4"/>
    <n v="3"/>
    <n v="62"/>
    <n v="96"/>
    <n v="9"/>
    <m/>
    <m/>
    <n v="9"/>
    <m/>
    <n v="57.599999999999994"/>
    <n v="3150.72"/>
    <n v="8620.7199999999993"/>
    <n v="6379.2800000000007"/>
    <n v="15000"/>
    <n v="15000"/>
    <n v="9530"/>
    <n v="174.22303473491772"/>
    <n v="0"/>
    <n v="0"/>
    <n v="9530"/>
    <n v="15000"/>
    <n v="174.22303473491772"/>
    <n v="5470"/>
    <m/>
    <n v="15000"/>
    <n v="15000"/>
    <n v="6379.2800000000007"/>
    <n v="-15000"/>
    <n v="15000"/>
    <n v="0"/>
  </r>
  <r>
    <n v="72"/>
    <x v="39"/>
    <x v="1"/>
    <x v="8"/>
    <s v="موظف"/>
    <x v="25"/>
    <s v="شهاده ثانويه"/>
    <n v="0"/>
    <s v="F"/>
    <x v="13"/>
    <d v="2010-10-20T00:00:00"/>
    <d v="2018-12-31T00:00:00"/>
    <n v="8"/>
    <n v="2"/>
    <n v="16.32"/>
    <n v="4360"/>
    <n v="711.55200000000002"/>
    <n v="4"/>
    <n v="5"/>
    <n v="5"/>
    <n v="2"/>
    <n v="3"/>
    <n v="2"/>
    <n v="3"/>
    <n v="3"/>
    <n v="5"/>
    <n v="32"/>
    <n v="15"/>
    <n v="15"/>
    <n v="15"/>
    <n v="12"/>
    <n v="5"/>
    <n v="3"/>
    <n v="65"/>
    <n v="97"/>
    <m/>
    <m/>
    <m/>
    <m/>
    <m/>
    <n v="58.199999999999996"/>
    <n v="2537.52"/>
    <n v="6897.52"/>
    <n v="3102.4799999999996"/>
    <n v="10000"/>
    <n v="10000"/>
    <n v="5640"/>
    <n v="129.35779816513761"/>
    <n v="1000"/>
    <n v="0"/>
    <n v="6640"/>
    <n v="11000"/>
    <n v="152.29357798165137"/>
    <n v="4360"/>
    <n v="11000"/>
    <n v="11000"/>
    <n v="11000"/>
    <n v="3102.4799999999996"/>
    <n v="1000"/>
    <n v="10000"/>
    <n v="1000"/>
  </r>
  <r>
    <n v="73"/>
    <x v="40"/>
    <x v="1"/>
    <x v="7"/>
    <n v="0"/>
    <x v="19"/>
    <s v="بكلاريوس الشرف"/>
    <s v="تامين"/>
    <s v="C"/>
    <x v="2"/>
    <d v="2010-10-24T00:00:00"/>
    <d v="2018-12-31T00:00:00"/>
    <n v="8"/>
    <n v="2"/>
    <n v="16.32"/>
    <n v="5430"/>
    <n v="886.17600000000004"/>
    <n v="4"/>
    <n v="5"/>
    <n v="5"/>
    <n v="2"/>
    <n v="2"/>
    <n v="2"/>
    <n v="3"/>
    <n v="3"/>
    <n v="4"/>
    <n v="30"/>
    <n v="14"/>
    <n v="14"/>
    <n v="15"/>
    <n v="12"/>
    <n v="4"/>
    <n v="3"/>
    <n v="62"/>
    <n v="92"/>
    <n v="9"/>
    <m/>
    <m/>
    <n v="8"/>
    <m/>
    <n v="55.199999999999996"/>
    <n v="2997.3599999999997"/>
    <n v="8427.36"/>
    <n v="0"/>
    <n v="7000"/>
    <n v="8427.36"/>
    <n v="2997.3600000000006"/>
    <n v="55.200000000000017"/>
    <n v="1072.6399999999994"/>
    <n v="0"/>
    <n v="4070"/>
    <n v="9500"/>
    <n v="74.953959484346228"/>
    <n v="5430"/>
    <n v="9500"/>
    <n v="9500"/>
    <n v="9500"/>
    <n v="-1427.3600000000006"/>
    <n v="1072.6399999999994"/>
    <n v="8427.36"/>
    <n v="1072.6399999999994"/>
  </r>
  <r>
    <n v="76"/>
    <x v="41"/>
    <x v="1"/>
    <x v="3"/>
    <s v="المواسير"/>
    <x v="7"/>
    <s v="دبلوم تقني"/>
    <s v="هندسة ميكانيكية ( إنتاج )"/>
    <s v="D"/>
    <x v="12"/>
    <d v="2010-12-14T00:00:00"/>
    <d v="2018-12-31T00:00:00"/>
    <n v="8"/>
    <n v="0"/>
    <n v="16"/>
    <n v="9000"/>
    <n v="1440"/>
    <n v="5"/>
    <n v="5"/>
    <n v="5"/>
    <n v="2"/>
    <n v="2"/>
    <n v="2"/>
    <n v="3"/>
    <n v="2"/>
    <n v="3"/>
    <n v="29"/>
    <n v="12"/>
    <n v="14"/>
    <n v="15"/>
    <n v="10"/>
    <n v="4"/>
    <n v="3"/>
    <n v="58"/>
    <n v="87"/>
    <m/>
    <m/>
    <m/>
    <m/>
    <m/>
    <n v="52.199999999999996"/>
    <n v="4697.9999999999991"/>
    <n v="13698"/>
    <n v="1302"/>
    <n v="15000"/>
    <n v="15000"/>
    <n v="6000"/>
    <n v="66.666666666666671"/>
    <n v="2000"/>
    <n v="0"/>
    <n v="8000"/>
    <n v="17000"/>
    <n v="88.888888888888886"/>
    <n v="9000"/>
    <n v="17000"/>
    <n v="17000"/>
    <n v="17000"/>
    <n v="1302"/>
    <n v="2000"/>
    <n v="15000"/>
    <n v="2000"/>
  </r>
  <r>
    <n v="78"/>
    <x v="42"/>
    <x v="1"/>
    <x v="2"/>
    <s v="التحميل"/>
    <x v="12"/>
    <n v="0"/>
    <n v="0"/>
    <s v="H"/>
    <x v="16"/>
    <d v="2011-01-18T00:00:00"/>
    <d v="2018-12-31T00:00:00"/>
    <n v="7"/>
    <n v="11"/>
    <n v="15.76"/>
    <n v="4280"/>
    <n v="674.52800000000002"/>
    <n v="5"/>
    <n v="4"/>
    <n v="5"/>
    <n v="3"/>
    <n v="3"/>
    <n v="3"/>
    <n v="3"/>
    <n v="3"/>
    <n v="5"/>
    <n v="34"/>
    <n v="14"/>
    <n v="14"/>
    <n v="10"/>
    <n v="8"/>
    <n v="5"/>
    <n v="3"/>
    <n v="54"/>
    <n v="88"/>
    <m/>
    <m/>
    <m/>
    <m/>
    <m/>
    <n v="52.8"/>
    <n v="2259.84"/>
    <n v="6539.84"/>
    <n v="0"/>
    <n v="6000"/>
    <n v="6539.84"/>
    <n v="2259.84"/>
    <n v="52.800000000000004"/>
    <n v="0"/>
    <n v="0.15999999999985448"/>
    <n v="2260"/>
    <n v="6540"/>
    <n v="52.803738317757016"/>
    <n v="4280"/>
    <m/>
    <n v="6540"/>
    <n v="6539.84"/>
    <n v="-539.84000000000015"/>
    <n v="-6539.84"/>
    <n v="6539.84"/>
    <n v="0"/>
  </r>
  <r>
    <n v="80"/>
    <x v="43"/>
    <x v="1"/>
    <x v="2"/>
    <s v="التحميل"/>
    <x v="12"/>
    <s v="تدريب مهني"/>
    <n v="0"/>
    <s v="F"/>
    <x v="11"/>
    <d v="2011-02-02T00:00:00"/>
    <d v="2018-12-31T00:00:00"/>
    <n v="7"/>
    <n v="10"/>
    <n v="15.6"/>
    <n v="4280"/>
    <n v="667.68"/>
    <n v="5"/>
    <n v="4"/>
    <n v="5"/>
    <n v="3"/>
    <n v="3"/>
    <n v="3"/>
    <n v="3"/>
    <n v="3"/>
    <n v="5"/>
    <n v="34"/>
    <n v="12"/>
    <n v="14"/>
    <n v="10"/>
    <n v="6"/>
    <n v="4"/>
    <n v="3"/>
    <n v="49"/>
    <n v="83"/>
    <m/>
    <m/>
    <m/>
    <m/>
    <m/>
    <n v="49.8"/>
    <n v="2131.44"/>
    <n v="6411.4400000000005"/>
    <n v="0"/>
    <n v="6000"/>
    <n v="6411.4400000000005"/>
    <n v="2131.4400000000005"/>
    <n v="49.800000000000018"/>
    <n v="0"/>
    <n v="8.5599999999994907"/>
    <n v="2140"/>
    <n v="6420"/>
    <n v="50"/>
    <n v="4280"/>
    <m/>
    <n v="6420"/>
    <n v="6411.4400000000005"/>
    <n v="-411.44000000000051"/>
    <n v="-6411.4400000000005"/>
    <n v="6411.4400000000005"/>
    <n v="0"/>
  </r>
  <r>
    <n v="89"/>
    <x v="44"/>
    <x v="1"/>
    <x v="2"/>
    <s v="التحميل"/>
    <x v="12"/>
    <s v="شهاده ثانويه"/>
    <n v="0"/>
    <s v="F"/>
    <x v="11"/>
    <d v="2011-04-21T00:00:00"/>
    <d v="2018-12-31T00:00:00"/>
    <n v="7"/>
    <n v="8"/>
    <n v="15.28"/>
    <n v="4270"/>
    <n v="652.45600000000002"/>
    <n v="5"/>
    <n v="4"/>
    <n v="4"/>
    <n v="3"/>
    <n v="3"/>
    <n v="3"/>
    <n v="3"/>
    <n v="3"/>
    <n v="5"/>
    <n v="33"/>
    <n v="13"/>
    <n v="14"/>
    <n v="13"/>
    <n v="8"/>
    <n v="5"/>
    <n v="3"/>
    <n v="56"/>
    <n v="89"/>
    <m/>
    <m/>
    <m/>
    <m/>
    <m/>
    <n v="53.4"/>
    <n v="2280.1800000000003"/>
    <n v="6550.18"/>
    <n v="0"/>
    <n v="6000"/>
    <n v="6550.18"/>
    <n v="2280.1800000000003"/>
    <n v="53.400000000000006"/>
    <n v="0"/>
    <n v="9.819999999999709"/>
    <n v="2290"/>
    <n v="6560"/>
    <n v="53.629976580796246"/>
    <n v="4270"/>
    <m/>
    <n v="6560"/>
    <n v="6550.18"/>
    <n v="-550.18000000000029"/>
    <n v="-6550.18"/>
    <n v="6550.18"/>
    <n v="0"/>
  </r>
  <r>
    <n v="90"/>
    <x v="45"/>
    <x v="1"/>
    <x v="2"/>
    <s v="التحميل"/>
    <x v="12"/>
    <n v="0"/>
    <n v="0"/>
    <s v="H"/>
    <x v="11"/>
    <d v="2011-04-21T00:00:00"/>
    <d v="2018-12-31T00:00:00"/>
    <n v="7"/>
    <n v="8"/>
    <n v="15.28"/>
    <n v="4280"/>
    <n v="653.98400000000004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m/>
    <m/>
    <m/>
    <m/>
    <m/>
    <n v="58.199999999999996"/>
    <n v="2490.96"/>
    <n v="6770.96"/>
    <n v="0"/>
    <n v="6000"/>
    <n v="6770.96"/>
    <n v="2490.96"/>
    <n v="58.2"/>
    <n v="0"/>
    <n v="9.0399999999999636"/>
    <n v="2500"/>
    <n v="6780"/>
    <n v="58.411214953271035"/>
    <n v="4280"/>
    <m/>
    <n v="6780"/>
    <n v="6770.96"/>
    <n v="-770.96"/>
    <n v="-6770.96"/>
    <n v="6770.96"/>
    <n v="0"/>
  </r>
  <r>
    <n v="93"/>
    <x v="46"/>
    <x v="1"/>
    <x v="3"/>
    <s v="المواسير"/>
    <x v="8"/>
    <s v="دبلوم تقني"/>
    <s v="هندسة ميكانيكية ( إنتاج )"/>
    <s v="D"/>
    <x v="2"/>
    <d v="2011-05-22T00:00:00"/>
    <d v="2018-12-31T00:00:00"/>
    <n v="7"/>
    <n v="7"/>
    <n v="15.120000000000001"/>
    <n v="4850"/>
    <n v="733.32"/>
    <n v="5"/>
    <n v="5"/>
    <n v="5"/>
    <n v="1"/>
    <n v="2"/>
    <n v="3"/>
    <n v="3"/>
    <n v="3"/>
    <n v="5"/>
    <n v="32"/>
    <n v="14"/>
    <n v="0"/>
    <n v="15"/>
    <n v="12"/>
    <n v="0"/>
    <n v="3"/>
    <n v="44"/>
    <n v="76"/>
    <m/>
    <m/>
    <m/>
    <m/>
    <m/>
    <n v="45.6"/>
    <n v="2211.6"/>
    <n v="7061.6"/>
    <n v="0"/>
    <n v="7000"/>
    <n v="7061.6"/>
    <n v="2211.6000000000004"/>
    <n v="45.600000000000009"/>
    <n v="0"/>
    <n v="8.3999999999996362"/>
    <n v="2220"/>
    <n v="7070"/>
    <n v="45.773195876288661"/>
    <n v="4850"/>
    <m/>
    <n v="7070"/>
    <n v="7061.6"/>
    <n v="-61.600000000000364"/>
    <n v="-7061.6"/>
    <n v="7061.6"/>
    <n v="0"/>
  </r>
  <r>
    <n v="94"/>
    <x v="47"/>
    <x v="1"/>
    <x v="2"/>
    <s v="قطع الغيار"/>
    <x v="26"/>
    <s v="شهاده متوسطه"/>
    <n v="0"/>
    <s v="G"/>
    <x v="11"/>
    <d v="2011-06-18T00:00:00"/>
    <d v="2018-12-31T00:00:00"/>
    <n v="7"/>
    <n v="6"/>
    <n v="14.96"/>
    <n v="4260"/>
    <n v="637.29600000000005"/>
    <n v="5"/>
    <n v="4"/>
    <n v="5"/>
    <n v="3"/>
    <n v="3"/>
    <n v="3"/>
    <n v="3"/>
    <n v="3"/>
    <n v="5"/>
    <n v="34"/>
    <n v="14"/>
    <n v="14"/>
    <n v="15"/>
    <n v="12"/>
    <n v="4"/>
    <n v="3"/>
    <n v="62"/>
    <n v="96"/>
    <m/>
    <m/>
    <m/>
    <m/>
    <m/>
    <n v="57.599999999999994"/>
    <n v="2453.7599999999998"/>
    <n v="6713.76"/>
    <n v="0"/>
    <n v="6000"/>
    <n v="6713.76"/>
    <n v="2453.7600000000002"/>
    <n v="57.6"/>
    <n v="0"/>
    <n v="6.2399999999997817"/>
    <n v="2460"/>
    <n v="6720"/>
    <n v="57.746478873239433"/>
    <n v="4260"/>
    <m/>
    <n v="6720"/>
    <n v="6713.76"/>
    <n v="-713.76000000000022"/>
    <n v="-6713.76"/>
    <n v="6713.76"/>
    <n v="0"/>
  </r>
  <r>
    <n v="98"/>
    <x v="48"/>
    <x v="1"/>
    <x v="3"/>
    <s v="المواسير"/>
    <x v="8"/>
    <n v="0"/>
    <n v="0"/>
    <s v="H"/>
    <x v="11"/>
    <d v="2013-11-16T00:00:00"/>
    <d v="2018-12-31T00:00:00"/>
    <n v="5"/>
    <n v="1"/>
    <n v="10.16"/>
    <n v="4190"/>
    <n v="425.70400000000001"/>
    <n v="5"/>
    <n v="5"/>
    <n v="5"/>
    <n v="1"/>
    <n v="2"/>
    <n v="2"/>
    <n v="3"/>
    <n v="3"/>
    <n v="5"/>
    <n v="31"/>
    <n v="15"/>
    <n v="14"/>
    <n v="15"/>
    <n v="12"/>
    <n v="4"/>
    <n v="3"/>
    <n v="63"/>
    <n v="94"/>
    <m/>
    <m/>
    <m/>
    <m/>
    <m/>
    <n v="56.4"/>
    <n v="2363.16"/>
    <n v="6553.16"/>
    <n v="0"/>
    <n v="6000"/>
    <n v="6553.16"/>
    <n v="2363.16"/>
    <n v="56.4"/>
    <n v="0"/>
    <n v="6.8400000000001455"/>
    <n v="2370"/>
    <n v="6560"/>
    <n v="56.563245823389025"/>
    <n v="4190"/>
    <m/>
    <n v="6560"/>
    <n v="6553.16"/>
    <n v="-553.15999999999985"/>
    <n v="-6553.16"/>
    <n v="6553.16"/>
    <n v="0"/>
  </r>
  <r>
    <n v="101"/>
    <x v="49"/>
    <x v="2"/>
    <x v="7"/>
    <n v="0"/>
    <x v="27"/>
    <s v="بكلاريوس"/>
    <s v="إدارة الاعمال"/>
    <s v="C"/>
    <x v="4"/>
    <d v="2010-11-01T00:00:00"/>
    <d v="2018-12-31T00:00:00"/>
    <n v="8"/>
    <n v="1"/>
    <n v="16.16"/>
    <n v="17220"/>
    <n v="2782.752"/>
    <n v="5"/>
    <n v="5"/>
    <n v="4"/>
    <n v="3"/>
    <n v="3"/>
    <n v="3"/>
    <n v="3"/>
    <n v="3"/>
    <n v="5"/>
    <n v="34"/>
    <n v="15"/>
    <n v="15"/>
    <n v="15"/>
    <n v="12"/>
    <n v="5"/>
    <n v="3"/>
    <n v="65"/>
    <n v="99"/>
    <n v="10"/>
    <m/>
    <m/>
    <n v="9"/>
    <m/>
    <n v="59.4"/>
    <n v="10228.68"/>
    <n v="27448.68"/>
    <n v="2551.3199999999997"/>
    <n v="30000"/>
    <n v="30000"/>
    <n v="12780"/>
    <n v="74.21602787456446"/>
    <n v="0"/>
    <n v="0"/>
    <n v="12780"/>
    <n v="30000"/>
    <n v="74.21602787456446"/>
    <n v="17220"/>
    <m/>
    <n v="30000"/>
    <n v="30000"/>
    <n v="2551.3199999999997"/>
    <n v="-30000"/>
    <n v="30000"/>
    <n v="0"/>
  </r>
  <r>
    <n v="103"/>
    <x v="50"/>
    <x v="1"/>
    <x v="5"/>
    <s v="كهرباء عامه"/>
    <x v="28"/>
    <s v="دبلوم تقني"/>
    <s v="هندسة كهرباء"/>
    <s v="D"/>
    <x v="9"/>
    <d v="2011-08-04T00:00:00"/>
    <d v="2018-12-31T00:00:00"/>
    <n v="7"/>
    <n v="4"/>
    <n v="14.64"/>
    <n v="4870"/>
    <n v="712.96799999999996"/>
    <n v="5"/>
    <n v="5"/>
    <n v="5"/>
    <n v="3"/>
    <n v="3"/>
    <n v="3"/>
    <n v="3"/>
    <n v="3"/>
    <n v="5"/>
    <n v="35"/>
    <n v="13"/>
    <n v="13"/>
    <n v="15"/>
    <n v="12"/>
    <n v="3"/>
    <n v="3"/>
    <n v="59"/>
    <n v="94"/>
    <n v="10"/>
    <m/>
    <m/>
    <m/>
    <m/>
    <n v="56.4"/>
    <n v="2746.68"/>
    <n v="7616.68"/>
    <n v="0"/>
    <n v="6500"/>
    <n v="7616.68"/>
    <n v="2746.6800000000003"/>
    <n v="56.400000000000006"/>
    <n v="0"/>
    <n v="3.319999999999709"/>
    <n v="2750"/>
    <n v="7620"/>
    <n v="56.468172484599584"/>
    <n v="4870"/>
    <m/>
    <n v="7620"/>
    <n v="7616.68"/>
    <n v="-1116.6800000000003"/>
    <n v="-7616.68"/>
    <n v="7616.68"/>
    <n v="0"/>
  </r>
  <r>
    <n v="108"/>
    <x v="51"/>
    <x v="1"/>
    <x v="3"/>
    <s v="المواسير"/>
    <x v="11"/>
    <n v="0"/>
    <n v="0"/>
    <s v="H"/>
    <x v="10"/>
    <d v="2011-10-09T00:00:00"/>
    <d v="2018-12-31T00:00:00"/>
    <n v="7"/>
    <n v="2"/>
    <n v="14.32"/>
    <n v="4320"/>
    <n v="618.62400000000002"/>
    <n v="5"/>
    <n v="5"/>
    <n v="5"/>
    <n v="1"/>
    <n v="2"/>
    <n v="2"/>
    <n v="3"/>
    <n v="3"/>
    <n v="5"/>
    <n v="31"/>
    <n v="13"/>
    <n v="13"/>
    <n v="10"/>
    <n v="8"/>
    <n v="4"/>
    <n v="3"/>
    <n v="51"/>
    <n v="82"/>
    <m/>
    <m/>
    <m/>
    <m/>
    <m/>
    <n v="49.199999999999996"/>
    <n v="2125.4399999999996"/>
    <n v="6445.44"/>
    <n v="0"/>
    <n v="5500"/>
    <n v="6445.44"/>
    <n v="2125.4399999999996"/>
    <n v="49.199999999999989"/>
    <n v="0"/>
    <n v="4.5600000000004002"/>
    <n v="2130"/>
    <n v="6450"/>
    <n v="49.30555555555555"/>
    <n v="4320"/>
    <m/>
    <n v="6450"/>
    <n v="6445.44"/>
    <n v="-945.4399999999996"/>
    <n v="-6445.44"/>
    <n v="6445.44"/>
    <n v="0"/>
  </r>
  <r>
    <n v="112"/>
    <x v="52"/>
    <x v="1"/>
    <x v="3"/>
    <s v="المواسير"/>
    <x v="11"/>
    <s v="شهاده ثانويه"/>
    <n v="0"/>
    <s v="F"/>
    <x v="17"/>
    <d v="2014-03-08T00:00:00"/>
    <d v="2018-12-31T00:00:00"/>
    <n v="4"/>
    <n v="9"/>
    <n v="9.44"/>
    <n v="4170"/>
    <n v="393.64800000000002"/>
    <n v="5"/>
    <n v="5"/>
    <n v="5"/>
    <n v="1"/>
    <n v="2"/>
    <n v="2"/>
    <n v="3"/>
    <n v="3"/>
    <n v="5"/>
    <n v="31"/>
    <n v="10"/>
    <n v="13"/>
    <n v="0"/>
    <n v="8"/>
    <n v="4"/>
    <n v="3"/>
    <n v="38"/>
    <n v="69"/>
    <m/>
    <m/>
    <m/>
    <m/>
    <m/>
    <n v="41.4"/>
    <n v="1726.3799999999999"/>
    <n v="5896.38"/>
    <n v="0"/>
    <n v="4000"/>
    <n v="5896.38"/>
    <n v="1726.38"/>
    <n v="41.4"/>
    <n v="0"/>
    <n v="3.6199999999998909"/>
    <n v="1730"/>
    <n v="5900"/>
    <n v="41.486810551558747"/>
    <n v="4170"/>
    <m/>
    <n v="5900"/>
    <n v="5896.38"/>
    <n v="-1896.38"/>
    <n v="-5896.38"/>
    <n v="5896.38"/>
    <n v="0"/>
  </r>
  <r>
    <n v="113"/>
    <x v="53"/>
    <x v="1"/>
    <x v="5"/>
    <s v="كهرباء عامه"/>
    <x v="17"/>
    <s v="شهاده ثانويه"/>
    <n v="0"/>
    <s v="F"/>
    <x v="9"/>
    <d v="2016-04-16T00:00:00"/>
    <d v="2018-12-31T00:00:00"/>
    <n v="2"/>
    <n v="8"/>
    <n v="5.28"/>
    <n v="4080"/>
    <n v="215.42400000000001"/>
    <n v="5"/>
    <n v="5"/>
    <n v="5"/>
    <n v="3"/>
    <n v="3"/>
    <n v="3"/>
    <n v="3"/>
    <n v="3"/>
    <n v="5"/>
    <n v="35"/>
    <n v="14"/>
    <n v="13"/>
    <n v="15"/>
    <n v="12"/>
    <n v="4"/>
    <n v="3"/>
    <n v="61"/>
    <n v="96"/>
    <n v="10"/>
    <m/>
    <m/>
    <m/>
    <m/>
    <n v="57.599999999999994"/>
    <n v="2350.08"/>
    <n v="6430.08"/>
    <n v="69.920000000000073"/>
    <n v="6500"/>
    <n v="6500"/>
    <n v="2420"/>
    <n v="59.313725490196084"/>
    <n v="500"/>
    <n v="0"/>
    <n v="2920"/>
    <n v="7000"/>
    <n v="71.568627450980401"/>
    <n v="4080"/>
    <n v="7000"/>
    <n v="7000"/>
    <n v="7000"/>
    <n v="69.920000000000073"/>
    <n v="500"/>
    <n v="6500"/>
    <n v="500"/>
  </r>
  <r>
    <n v="114"/>
    <x v="54"/>
    <x v="1"/>
    <x v="3"/>
    <s v="الصاج والزنك"/>
    <x v="11"/>
    <n v="0"/>
    <n v="0"/>
    <s v="H"/>
    <x v="5"/>
    <d v="2011-10-01T00:00:00"/>
    <d v="2018-12-31T00:00:00"/>
    <n v="7"/>
    <n v="2"/>
    <n v="14.32"/>
    <n v="4260"/>
    <n v="610.03200000000004"/>
    <n v="5"/>
    <n v="5"/>
    <n v="5"/>
    <n v="1"/>
    <n v="2"/>
    <n v="2"/>
    <n v="3"/>
    <n v="3"/>
    <n v="5"/>
    <n v="31"/>
    <n v="14"/>
    <n v="14"/>
    <n v="15"/>
    <n v="12"/>
    <n v="4"/>
    <n v="3"/>
    <n v="62"/>
    <n v="93"/>
    <m/>
    <m/>
    <m/>
    <m/>
    <m/>
    <n v="55.8"/>
    <n v="2377.08"/>
    <n v="6637.08"/>
    <n v="0"/>
    <n v="5000"/>
    <n v="6637.08"/>
    <n v="2377.08"/>
    <n v="55.8"/>
    <n v="0"/>
    <n v="2.9200000000000728"/>
    <n v="2380"/>
    <n v="6640"/>
    <n v="55.868544600938968"/>
    <n v="4260"/>
    <m/>
    <n v="6640"/>
    <n v="6637.08"/>
    <n v="-1637.08"/>
    <n v="-6637.08"/>
    <n v="6637.08"/>
    <n v="0"/>
  </r>
  <r>
    <n v="127"/>
    <x v="55"/>
    <x v="1"/>
    <x v="3"/>
    <s v="المواسير"/>
    <x v="8"/>
    <n v="0"/>
    <n v="0"/>
    <s v="H"/>
    <x v="2"/>
    <d v="2012-01-11T00:00:00"/>
    <d v="2018-12-31T00:00:00"/>
    <n v="6"/>
    <n v="11"/>
    <n v="13.76"/>
    <n v="4790"/>
    <n v="659.10400000000004"/>
    <n v="5"/>
    <n v="5"/>
    <n v="5"/>
    <n v="2"/>
    <n v="3"/>
    <n v="2"/>
    <n v="3"/>
    <n v="3"/>
    <n v="5"/>
    <n v="33"/>
    <n v="14"/>
    <n v="15"/>
    <n v="15"/>
    <n v="12"/>
    <n v="4"/>
    <n v="3"/>
    <n v="63"/>
    <n v="96"/>
    <m/>
    <m/>
    <m/>
    <m/>
    <m/>
    <n v="57.599999999999994"/>
    <n v="2759.04"/>
    <n v="7549.04"/>
    <n v="0"/>
    <n v="7000"/>
    <n v="7549.04"/>
    <n v="2759.04"/>
    <n v="57.6"/>
    <n v="0"/>
    <n v="0.96000000000003638"/>
    <n v="2760"/>
    <n v="7550"/>
    <n v="57.620041753653446"/>
    <n v="4790"/>
    <m/>
    <n v="7550"/>
    <n v="7549.04"/>
    <n v="-549.04"/>
    <n v="-7549.04"/>
    <n v="7549.04"/>
    <n v="0"/>
  </r>
  <r>
    <n v="128"/>
    <x v="56"/>
    <x v="1"/>
    <x v="3"/>
    <s v="الصاج والزنك"/>
    <x v="8"/>
    <s v="تدريب مهني"/>
    <n v="0"/>
    <s v="F"/>
    <x v="11"/>
    <d v="2012-01-11T00:00:00"/>
    <d v="2018-12-31T00:00:00"/>
    <n v="6"/>
    <n v="11"/>
    <n v="13.76"/>
    <n v="4250"/>
    <n v="584.79999999999995"/>
    <n v="5"/>
    <n v="5"/>
    <n v="5"/>
    <n v="2"/>
    <n v="3"/>
    <n v="2"/>
    <n v="3"/>
    <n v="3"/>
    <n v="5"/>
    <n v="33"/>
    <n v="14"/>
    <n v="13"/>
    <n v="14"/>
    <n v="12"/>
    <n v="4"/>
    <n v="3"/>
    <n v="60"/>
    <n v="93"/>
    <m/>
    <m/>
    <m/>
    <m/>
    <m/>
    <n v="55.8"/>
    <n v="2371.4999999999995"/>
    <n v="6621.5"/>
    <n v="0"/>
    <n v="6000"/>
    <n v="6621.5"/>
    <n v="2371.5"/>
    <n v="55.8"/>
    <n v="0"/>
    <n v="8.5"/>
    <n v="2380"/>
    <n v="6630"/>
    <n v="56"/>
    <n v="4250"/>
    <m/>
    <n v="6630"/>
    <n v="6621.5"/>
    <n v="-621.5"/>
    <n v="-6621.5"/>
    <n v="6621.5"/>
    <n v="0"/>
  </r>
  <r>
    <n v="130"/>
    <x v="57"/>
    <x v="1"/>
    <x v="2"/>
    <n v="0"/>
    <x v="2"/>
    <s v="بكلاريوس الشرف"/>
    <s v="هندسة تصنيع غذائى"/>
    <s v="C"/>
    <x v="11"/>
    <d v="2017-11-02T00:00:00"/>
    <d v="2018-12-31T00:00:00"/>
    <n v="1"/>
    <n v="1"/>
    <n v="2.16"/>
    <n v="3500"/>
    <n v="75.599999999999994"/>
    <n v="5"/>
    <n v="5"/>
    <n v="5"/>
    <n v="3"/>
    <n v="3"/>
    <n v="3"/>
    <n v="3"/>
    <n v="3"/>
    <n v="4"/>
    <n v="34"/>
    <n v="13"/>
    <n v="13"/>
    <n v="12"/>
    <n v="10"/>
    <n v="3"/>
    <n v="3"/>
    <n v="54"/>
    <n v="88"/>
    <m/>
    <m/>
    <m/>
    <m/>
    <m/>
    <n v="52.8"/>
    <n v="1848"/>
    <n v="5348"/>
    <n v="652"/>
    <n v="6000"/>
    <n v="6000"/>
    <n v="2500"/>
    <n v="71.428571428571431"/>
    <n v="0"/>
    <n v="0"/>
    <n v="2500"/>
    <n v="6000"/>
    <n v="71.428571428571431"/>
    <n v="3500"/>
    <m/>
    <n v="6000"/>
    <n v="6000"/>
    <n v="652"/>
    <n v="-6000"/>
    <n v="6000"/>
    <n v="0"/>
  </r>
  <r>
    <n v="138"/>
    <x v="58"/>
    <x v="1"/>
    <x v="9"/>
    <n v="0"/>
    <x v="29"/>
    <s v="شهاده ثانويه"/>
    <n v="0"/>
    <s v="F"/>
    <x v="13"/>
    <d v="2012-01-17T00:00:00"/>
    <d v="2018-12-31T00:00:00"/>
    <n v="6"/>
    <n v="11"/>
    <n v="13.76"/>
    <n v="5300"/>
    <n v="729.28"/>
    <n v="5"/>
    <n v="5"/>
    <n v="5"/>
    <n v="3"/>
    <n v="3"/>
    <n v="2"/>
    <n v="3"/>
    <n v="3"/>
    <n v="5"/>
    <n v="34"/>
    <n v="14"/>
    <n v="13"/>
    <n v="15"/>
    <n v="12"/>
    <n v="4"/>
    <n v="3"/>
    <n v="61"/>
    <n v="95"/>
    <m/>
    <m/>
    <m/>
    <m/>
    <m/>
    <n v="57"/>
    <n v="3020.9999999999995"/>
    <n v="8321"/>
    <n v="1679"/>
    <n v="10000"/>
    <n v="10000"/>
    <n v="4700"/>
    <n v="88.679245283018872"/>
    <n v="0"/>
    <n v="0"/>
    <n v="4700"/>
    <n v="10000"/>
    <n v="88.679245283018872"/>
    <n v="5300"/>
    <m/>
    <n v="10000"/>
    <n v="10000"/>
    <n v="1679"/>
    <n v="-10000"/>
    <n v="10000"/>
    <n v="0"/>
  </r>
  <r>
    <n v="140"/>
    <x v="59"/>
    <x v="1"/>
    <x v="3"/>
    <s v="المواسير"/>
    <x v="8"/>
    <n v="0"/>
    <n v="0"/>
    <s v="H"/>
    <x v="11"/>
    <d v="2012-01-18T00:00:00"/>
    <d v="2018-12-31T00:00:00"/>
    <n v="6"/>
    <n v="11"/>
    <n v="13.76"/>
    <n v="4260"/>
    <n v="586.17600000000004"/>
    <n v="5"/>
    <n v="5"/>
    <n v="5"/>
    <n v="1"/>
    <n v="2"/>
    <n v="2"/>
    <n v="3"/>
    <n v="3"/>
    <n v="5"/>
    <n v="31"/>
    <n v="14"/>
    <n v="13"/>
    <n v="12"/>
    <n v="10"/>
    <n v="3"/>
    <n v="3"/>
    <n v="55"/>
    <n v="86"/>
    <m/>
    <m/>
    <m/>
    <m/>
    <m/>
    <n v="51.6"/>
    <n v="2198.16"/>
    <n v="6458.16"/>
    <n v="0"/>
    <n v="6000"/>
    <n v="6458.16"/>
    <n v="2198.16"/>
    <n v="51.599999999999994"/>
    <n v="541.84000000000015"/>
    <n v="0"/>
    <n v="2740"/>
    <n v="7000"/>
    <n v="64.319248826291073"/>
    <n v="4260"/>
    <n v="7000"/>
    <n v="7000"/>
    <n v="7000"/>
    <n v="-458.15999999999985"/>
    <n v="541.84000000000015"/>
    <n v="6458.16"/>
    <n v="541.84000000000015"/>
  </r>
  <r>
    <n v="141"/>
    <x v="60"/>
    <x v="1"/>
    <x v="10"/>
    <n v="0"/>
    <x v="30"/>
    <s v="بكلاريوس"/>
    <s v="العلوم  فى الدراسات الاقتصاديه والاجتماعيه"/>
    <s v="C"/>
    <x v="3"/>
    <d v="2011-12-15T00:00:00"/>
    <d v="2018-12-31T00:00:00"/>
    <n v="7"/>
    <n v="0"/>
    <n v="14"/>
    <n v="10220"/>
    <n v="1430.8"/>
    <n v="4"/>
    <n v="4"/>
    <n v="1"/>
    <n v="2"/>
    <n v="3"/>
    <n v="2"/>
    <n v="2"/>
    <n v="2"/>
    <n v="3"/>
    <n v="23"/>
    <n v="10"/>
    <n v="5"/>
    <n v="15"/>
    <n v="10"/>
    <n v="1"/>
    <n v="3"/>
    <n v="44"/>
    <n v="67"/>
    <m/>
    <m/>
    <m/>
    <m/>
    <m/>
    <n v="40.199999999999996"/>
    <n v="4108.4399999999996"/>
    <n v="14328.439999999999"/>
    <n v="0"/>
    <n v="12000"/>
    <n v="14328.439999999999"/>
    <n v="4108.4399999999987"/>
    <n v="40.199999999999989"/>
    <n v="0"/>
    <n v="1.5600000000013097"/>
    <n v="4110"/>
    <n v="14330"/>
    <n v="40.215264187866929"/>
    <n v="10220"/>
    <m/>
    <n v="14330"/>
    <n v="14328.439999999999"/>
    <n v="-2328.4399999999987"/>
    <n v="-14328.439999999999"/>
    <n v="14328.439999999999"/>
    <n v="0"/>
  </r>
  <r>
    <n v="144"/>
    <x v="61"/>
    <x v="1"/>
    <x v="9"/>
    <n v="0"/>
    <x v="31"/>
    <s v="شهاده ثانويه"/>
    <n v="0"/>
    <s v="F"/>
    <x v="10"/>
    <d v="2012-01-28T00:00:00"/>
    <d v="2018-12-31T00:00:00"/>
    <n v="6"/>
    <n v="11"/>
    <n v="13.76"/>
    <n v="3220"/>
    <n v="443.072"/>
    <n v="5"/>
    <n v="5"/>
    <n v="4"/>
    <n v="3"/>
    <n v="2"/>
    <n v="3"/>
    <n v="3"/>
    <n v="3"/>
    <n v="5"/>
    <n v="33"/>
    <n v="14"/>
    <n v="15"/>
    <n v="15"/>
    <n v="12"/>
    <n v="4"/>
    <n v="3"/>
    <n v="63"/>
    <n v="96"/>
    <n v="8"/>
    <m/>
    <m/>
    <m/>
    <m/>
    <n v="57.599999999999994"/>
    <n v="1854.7199999999998"/>
    <n v="5074.7199999999993"/>
    <n v="425.28000000000065"/>
    <n v="5500"/>
    <n v="5500"/>
    <n v="2280"/>
    <n v="70.807453416149059"/>
    <n v="0"/>
    <n v="0"/>
    <n v="2280"/>
    <n v="5500"/>
    <n v="70.807453416149059"/>
    <n v="3220"/>
    <m/>
    <n v="5500"/>
    <n v="5500"/>
    <n v="425.28000000000065"/>
    <n v="-5500"/>
    <n v="5500"/>
    <n v="0"/>
  </r>
  <r>
    <n v="147"/>
    <x v="62"/>
    <x v="1"/>
    <x v="5"/>
    <n v="0"/>
    <x v="17"/>
    <n v="0"/>
    <n v="0"/>
    <s v="H"/>
    <x v="11"/>
    <d v="2016-08-01T00:00:00"/>
    <d v="2018-12-31T00:00:00"/>
    <n v="2"/>
    <n v="4"/>
    <n v="4.6399999999999997"/>
    <n v="4190"/>
    <n v="194.416"/>
    <n v="5"/>
    <n v="5"/>
    <n v="4"/>
    <n v="3"/>
    <n v="3"/>
    <n v="3"/>
    <n v="3"/>
    <n v="3"/>
    <n v="5"/>
    <n v="34"/>
    <n v="12"/>
    <n v="10"/>
    <n v="11"/>
    <n v="4"/>
    <n v="2"/>
    <n v="3"/>
    <n v="42"/>
    <n v="76"/>
    <n v="10"/>
    <m/>
    <m/>
    <m/>
    <m/>
    <n v="45.6"/>
    <n v="1910.64"/>
    <n v="6100.64"/>
    <n v="0"/>
    <n v="6000"/>
    <n v="6100.64"/>
    <n v="1910.6400000000003"/>
    <n v="45.600000000000009"/>
    <n v="399.35999999999967"/>
    <n v="0"/>
    <n v="2310"/>
    <n v="6500"/>
    <n v="55.131264916467785"/>
    <n v="4190"/>
    <n v="6500"/>
    <n v="6500"/>
    <n v="6500"/>
    <n v="-100.64000000000033"/>
    <n v="399.35999999999967"/>
    <n v="6100.64"/>
    <n v="399.35999999999967"/>
  </r>
  <r>
    <n v="151"/>
    <x v="63"/>
    <x v="1"/>
    <x v="9"/>
    <n v="0"/>
    <x v="31"/>
    <n v="0"/>
    <n v="0"/>
    <s v="H"/>
    <x v="11"/>
    <d v="2012-02-08T00:00:00"/>
    <d v="2018-12-31T00:00:00"/>
    <n v="6"/>
    <n v="10"/>
    <n v="13.6"/>
    <n v="4240"/>
    <n v="576.64"/>
    <n v="5"/>
    <n v="5"/>
    <n v="5"/>
    <n v="2"/>
    <n v="3"/>
    <n v="3"/>
    <n v="3"/>
    <n v="3"/>
    <n v="5"/>
    <n v="34"/>
    <n v="15"/>
    <n v="15"/>
    <n v="15"/>
    <n v="12"/>
    <n v="4"/>
    <n v="3"/>
    <n v="64"/>
    <n v="98"/>
    <n v="9"/>
    <m/>
    <m/>
    <m/>
    <m/>
    <n v="58.8"/>
    <n v="2493.12"/>
    <n v="6733.12"/>
    <n v="0"/>
    <n v="6000"/>
    <n v="6733.12"/>
    <n v="2493.12"/>
    <n v="58.8"/>
    <n v="0"/>
    <n v="6.8800000000001091"/>
    <n v="2500"/>
    <n v="6740"/>
    <n v="58.962264150943398"/>
    <n v="4240"/>
    <m/>
    <n v="6740"/>
    <n v="6733.12"/>
    <n v="-733.11999999999989"/>
    <n v="-6733.12"/>
    <n v="6733.12"/>
    <n v="0"/>
  </r>
  <r>
    <n v="168"/>
    <x v="64"/>
    <x v="1"/>
    <x v="2"/>
    <s v="التحميل"/>
    <x v="12"/>
    <s v="شهاده ثانويه"/>
    <n v="0"/>
    <s v="F"/>
    <x v="17"/>
    <d v="2012-03-14T00:00:00"/>
    <d v="2018-12-31T00:00:00"/>
    <n v="6"/>
    <n v="9"/>
    <n v="13.44"/>
    <n v="4230"/>
    <n v="568.51199999999994"/>
    <n v="4"/>
    <n v="4"/>
    <n v="5"/>
    <n v="3"/>
    <n v="3"/>
    <n v="3"/>
    <n v="3"/>
    <n v="3"/>
    <n v="4"/>
    <n v="32"/>
    <n v="11"/>
    <n v="10"/>
    <n v="0"/>
    <n v="8"/>
    <n v="3"/>
    <n v="3"/>
    <n v="35"/>
    <n v="67"/>
    <m/>
    <m/>
    <m/>
    <m/>
    <m/>
    <n v="40.199999999999996"/>
    <n v="1700.4599999999998"/>
    <n v="5930.46"/>
    <n v="0"/>
    <n v="4000"/>
    <n v="5930.46"/>
    <n v="1700.46"/>
    <n v="40.200000000000003"/>
    <n v="0"/>
    <n v="9.5399999999999636"/>
    <n v="1710"/>
    <n v="5940"/>
    <n v="40.425531914893618"/>
    <n v="4230"/>
    <m/>
    <n v="5940"/>
    <n v="5930.46"/>
    <n v="-1930.46"/>
    <n v="-5930.46"/>
    <n v="5930.46"/>
    <n v="0"/>
  </r>
  <r>
    <n v="206"/>
    <x v="65"/>
    <x v="1"/>
    <x v="9"/>
    <n v="0"/>
    <x v="31"/>
    <s v="دبلوم وسيط"/>
    <s v="الإدارة والعلوم المالية"/>
    <s v="E"/>
    <x v="11"/>
    <d v="2012-04-01T00:00:00"/>
    <d v="2018-12-31T00:00:00"/>
    <n v="6"/>
    <n v="8"/>
    <n v="13.28"/>
    <n v="4230"/>
    <n v="561.74400000000003"/>
    <n v="5"/>
    <n v="5"/>
    <n v="5"/>
    <n v="3"/>
    <n v="3"/>
    <n v="3"/>
    <n v="3"/>
    <n v="3"/>
    <n v="5"/>
    <n v="35"/>
    <n v="14"/>
    <n v="15"/>
    <n v="13"/>
    <n v="10"/>
    <n v="4"/>
    <n v="3"/>
    <n v="59"/>
    <n v="94"/>
    <n v="10"/>
    <m/>
    <m/>
    <m/>
    <m/>
    <n v="56.4"/>
    <n v="2385.7199999999998"/>
    <n v="6615.7199999999993"/>
    <n v="0"/>
    <n v="6000"/>
    <n v="6615.7199999999993"/>
    <n v="2385.7199999999993"/>
    <n v="56.399999999999991"/>
    <n v="0"/>
    <n v="4.2800000000006548"/>
    <n v="2390"/>
    <n v="6620"/>
    <n v="56.501182033096931"/>
    <n v="4230"/>
    <m/>
    <n v="6620"/>
    <n v="6615.7199999999993"/>
    <n v="-615.71999999999935"/>
    <n v="-6615.7199999999993"/>
    <n v="6615.7199999999993"/>
    <n v="0"/>
  </r>
  <r>
    <n v="207"/>
    <x v="66"/>
    <x v="1"/>
    <x v="3"/>
    <s v="الخوص"/>
    <x v="7"/>
    <n v="0"/>
    <n v="0"/>
    <s v="H"/>
    <x v="13"/>
    <d v="2012-04-01T00:00:00"/>
    <d v="2018-12-31T00:00:00"/>
    <n v="6"/>
    <n v="8"/>
    <n v="13.28"/>
    <n v="4800"/>
    <n v="637.44000000000005"/>
    <n v="5"/>
    <n v="5"/>
    <n v="4"/>
    <n v="3"/>
    <n v="3"/>
    <n v="3"/>
    <n v="3"/>
    <n v="3"/>
    <n v="5"/>
    <n v="34"/>
    <n v="15"/>
    <n v="15"/>
    <n v="15"/>
    <n v="12"/>
    <n v="4"/>
    <n v="3"/>
    <n v="64"/>
    <n v="98"/>
    <m/>
    <m/>
    <m/>
    <m/>
    <m/>
    <n v="58.8"/>
    <n v="2822.3999999999996"/>
    <n v="7622.4"/>
    <n v="2377.6000000000004"/>
    <n v="10000"/>
    <n v="10000"/>
    <n v="5200"/>
    <n v="108.33333333333333"/>
    <n v="0"/>
    <n v="0"/>
    <n v="5200"/>
    <n v="10000"/>
    <n v="108.33333333333333"/>
    <n v="4800"/>
    <m/>
    <n v="10000"/>
    <n v="10000"/>
    <n v="2377.6000000000004"/>
    <n v="-10000"/>
    <n v="10000"/>
    <n v="0"/>
  </r>
  <r>
    <n v="213"/>
    <x v="67"/>
    <x v="1"/>
    <x v="3"/>
    <s v="المواسير"/>
    <x v="8"/>
    <s v="شهاده ثانويه"/>
    <n v="0"/>
    <s v="F"/>
    <x v="17"/>
    <d v="2012-04-01T00:00:00"/>
    <d v="2018-12-31T00:00:00"/>
    <n v="6"/>
    <n v="8"/>
    <n v="13.28"/>
    <n v="4260"/>
    <n v="565.72799999999995"/>
    <n v="5"/>
    <n v="5"/>
    <n v="5"/>
    <n v="2"/>
    <n v="3"/>
    <n v="2"/>
    <n v="3"/>
    <n v="3"/>
    <n v="5"/>
    <n v="33"/>
    <n v="10"/>
    <n v="12"/>
    <n v="0"/>
    <n v="8"/>
    <n v="2"/>
    <n v="3"/>
    <n v="35"/>
    <n v="68"/>
    <m/>
    <m/>
    <m/>
    <m/>
    <m/>
    <n v="40.799999999999997"/>
    <n v="1738.08"/>
    <n v="5998.08"/>
    <n v="0"/>
    <n v="4000"/>
    <n v="5998.08"/>
    <n v="1738.08"/>
    <n v="40.799999999999997"/>
    <n v="0"/>
    <n v="1.9200000000000728"/>
    <n v="1740"/>
    <n v="6000"/>
    <n v="40.845070422535208"/>
    <n v="4260"/>
    <m/>
    <n v="6000"/>
    <n v="5998.08"/>
    <n v="-1998.08"/>
    <n v="-5998.08"/>
    <n v="5998.08"/>
    <n v="0"/>
  </r>
  <r>
    <n v="241"/>
    <x v="68"/>
    <x v="1"/>
    <x v="3"/>
    <s v="الزوايا"/>
    <x v="11"/>
    <n v="0"/>
    <n v="0"/>
    <s v="H"/>
    <x v="5"/>
    <d v="2012-04-24T00:00:00"/>
    <d v="2018-12-31T00:00:00"/>
    <n v="6"/>
    <n v="8"/>
    <n v="13.28"/>
    <n v="4220"/>
    <n v="560.41600000000005"/>
    <n v="5"/>
    <n v="5"/>
    <n v="5"/>
    <n v="1"/>
    <n v="1"/>
    <n v="1"/>
    <n v="3"/>
    <n v="3"/>
    <n v="5"/>
    <n v="29"/>
    <n v="13"/>
    <n v="14"/>
    <n v="12"/>
    <n v="10"/>
    <n v="3"/>
    <n v="2"/>
    <n v="54"/>
    <n v="83"/>
    <m/>
    <m/>
    <m/>
    <m/>
    <m/>
    <n v="49.8"/>
    <n v="2101.56"/>
    <n v="6321.5599999999995"/>
    <n v="0"/>
    <n v="5000"/>
    <n v="6321.5599999999995"/>
    <n v="2101.5599999999995"/>
    <n v="49.799999999999983"/>
    <n v="0"/>
    <n v="8.4400000000005093"/>
    <n v="2110"/>
    <n v="6330"/>
    <n v="50"/>
    <n v="4220"/>
    <m/>
    <n v="6330"/>
    <n v="6321.5599999999995"/>
    <n v="-1321.5599999999995"/>
    <n v="-6321.5599999999995"/>
    <n v="6321.5599999999995"/>
    <n v="0"/>
  </r>
  <r>
    <n v="242"/>
    <x v="69"/>
    <x v="1"/>
    <x v="1"/>
    <n v="0"/>
    <x v="32"/>
    <n v="0"/>
    <n v="0"/>
    <s v="H"/>
    <x v="2"/>
    <d v="2012-04-23T00:00:00"/>
    <d v="2018-12-31T00:00:00"/>
    <n v="6"/>
    <n v="8"/>
    <n v="13.28"/>
    <n v="4290"/>
    <n v="569.71199999999999"/>
    <n v="4"/>
    <n v="4"/>
    <n v="4"/>
    <n v="2"/>
    <n v="3"/>
    <n v="3"/>
    <n v="3"/>
    <n v="3"/>
    <n v="4"/>
    <n v="30"/>
    <n v="13"/>
    <n v="14"/>
    <n v="15"/>
    <n v="12"/>
    <n v="4"/>
    <n v="3"/>
    <n v="61"/>
    <n v="91"/>
    <m/>
    <m/>
    <m/>
    <m/>
    <m/>
    <n v="54.6"/>
    <n v="2342.34"/>
    <n v="6632.34"/>
    <n v="367.65999999999985"/>
    <n v="7000"/>
    <n v="7000"/>
    <n v="2710"/>
    <n v="63.170163170163171"/>
    <n v="1000"/>
    <n v="0"/>
    <n v="3710"/>
    <n v="8000"/>
    <n v="86.480186480186489"/>
    <n v="4290"/>
    <n v="8000"/>
    <n v="7000"/>
    <n v="7000"/>
    <n v="367.65999999999985"/>
    <n v="1000"/>
    <n v="7000"/>
    <n v="1000"/>
  </r>
  <r>
    <n v="260"/>
    <x v="70"/>
    <x v="1"/>
    <x v="3"/>
    <s v="الاكسبنده"/>
    <x v="8"/>
    <s v="دبلوم وسيط"/>
    <s v="العلوم الرياضيه والحاسوب"/>
    <s v="E"/>
    <x v="16"/>
    <d v="2015-11-04T00:00:00"/>
    <d v="2018-12-31T00:00:00"/>
    <n v="3"/>
    <n v="1"/>
    <n v="6.16"/>
    <n v="4100"/>
    <n v="252.56"/>
    <n v="5"/>
    <n v="5"/>
    <n v="5"/>
    <n v="2"/>
    <n v="3"/>
    <n v="2"/>
    <n v="3"/>
    <n v="3"/>
    <n v="5"/>
    <n v="33"/>
    <n v="14"/>
    <n v="14"/>
    <n v="15"/>
    <n v="12"/>
    <n v="4"/>
    <n v="3"/>
    <n v="62"/>
    <n v="95"/>
    <m/>
    <m/>
    <m/>
    <m/>
    <m/>
    <n v="57"/>
    <n v="2337"/>
    <n v="6437"/>
    <n v="0"/>
    <n v="6000"/>
    <n v="6437"/>
    <n v="2337"/>
    <n v="57"/>
    <n v="0"/>
    <n v="3"/>
    <n v="2340"/>
    <n v="6440"/>
    <n v="57.073170731707314"/>
    <n v="4100"/>
    <m/>
    <n v="6440"/>
    <n v="6437"/>
    <n v="-437"/>
    <n v="-6437"/>
    <n v="6437"/>
    <n v="0"/>
  </r>
  <r>
    <n v="293"/>
    <x v="71"/>
    <x v="1"/>
    <x v="3"/>
    <s v="المواسير"/>
    <x v="11"/>
    <n v="0"/>
    <n v="0"/>
    <s v="H"/>
    <x v="10"/>
    <d v="2012-07-10T00:00:00"/>
    <d v="2018-12-31T00:00:00"/>
    <n v="6"/>
    <n v="5"/>
    <n v="12.8"/>
    <n v="4210"/>
    <n v="538.88"/>
    <n v="5"/>
    <n v="5"/>
    <n v="5"/>
    <n v="2"/>
    <n v="3"/>
    <n v="2"/>
    <n v="3"/>
    <n v="3"/>
    <n v="5"/>
    <n v="33"/>
    <n v="14"/>
    <n v="14"/>
    <n v="15"/>
    <n v="12"/>
    <n v="4"/>
    <n v="3"/>
    <n v="62"/>
    <n v="95"/>
    <m/>
    <m/>
    <m/>
    <m/>
    <m/>
    <n v="57"/>
    <n v="2399.6999999999998"/>
    <n v="6609.7"/>
    <n v="0"/>
    <n v="5500"/>
    <n v="6609.7"/>
    <n v="2399.6999999999998"/>
    <n v="56.999999999999993"/>
    <n v="0"/>
    <n v="0.3000000000001819"/>
    <n v="2400"/>
    <n v="6610"/>
    <n v="57.00712589073634"/>
    <n v="4210"/>
    <m/>
    <n v="6610"/>
    <n v="6609.7"/>
    <n v="-1109.6999999999998"/>
    <n v="-6609.7"/>
    <n v="6609.7"/>
    <n v="0"/>
  </r>
  <r>
    <n v="297"/>
    <x v="72"/>
    <x v="1"/>
    <x v="3"/>
    <s v="الخوص"/>
    <x v="8"/>
    <n v="0"/>
    <n v="0"/>
    <s v="H"/>
    <x v="9"/>
    <d v="2012-07-11T00:00:00"/>
    <d v="2018-12-31T00:00:00"/>
    <n v="6"/>
    <n v="5"/>
    <n v="12.8"/>
    <n v="4260"/>
    <n v="545.28"/>
    <n v="5"/>
    <n v="5"/>
    <n v="5"/>
    <n v="2"/>
    <n v="3"/>
    <n v="2"/>
    <n v="3"/>
    <n v="3"/>
    <n v="5"/>
    <n v="33"/>
    <n v="15"/>
    <n v="14"/>
    <n v="15"/>
    <n v="12"/>
    <n v="4"/>
    <n v="3"/>
    <n v="63"/>
    <n v="96"/>
    <m/>
    <m/>
    <m/>
    <m/>
    <m/>
    <n v="57.599999999999994"/>
    <n v="2453.7599999999998"/>
    <n v="6713.76"/>
    <n v="0"/>
    <n v="6500"/>
    <n v="6713.76"/>
    <n v="2453.7600000000002"/>
    <n v="57.6"/>
    <n v="0"/>
    <n v="6.2399999999997817"/>
    <n v="2460"/>
    <n v="6720"/>
    <n v="57.746478873239433"/>
    <n v="4260"/>
    <m/>
    <n v="6720"/>
    <n v="6713.76"/>
    <n v="-213.76000000000022"/>
    <n v="-6713.76"/>
    <n v="6713.76"/>
    <n v="0"/>
  </r>
  <r>
    <n v="301"/>
    <x v="73"/>
    <x v="1"/>
    <x v="3"/>
    <s v="الزوايا"/>
    <x v="11"/>
    <n v="0"/>
    <n v="0"/>
    <s v="H"/>
    <x v="16"/>
    <d v="2014-02-22T00:00:00"/>
    <d v="2018-12-31T00:00:00"/>
    <n v="4"/>
    <n v="10"/>
    <n v="9.6"/>
    <n v="4150"/>
    <n v="398.4"/>
    <n v="5"/>
    <n v="5"/>
    <n v="4"/>
    <n v="1"/>
    <n v="2"/>
    <n v="1"/>
    <n v="3"/>
    <n v="3"/>
    <n v="5"/>
    <n v="29"/>
    <n v="14"/>
    <n v="14"/>
    <n v="13"/>
    <n v="10"/>
    <n v="4"/>
    <n v="3"/>
    <n v="58"/>
    <n v="87"/>
    <m/>
    <m/>
    <m/>
    <m/>
    <m/>
    <n v="52.199999999999996"/>
    <n v="2166.2999999999997"/>
    <n v="6316.2999999999993"/>
    <n v="0"/>
    <n v="6000"/>
    <n v="6316.2999999999993"/>
    <n v="2166.2999999999993"/>
    <n v="52.199999999999982"/>
    <n v="0"/>
    <n v="3.7000000000007276"/>
    <n v="2170"/>
    <n v="6320"/>
    <n v="52.289156626506021"/>
    <n v="4150"/>
    <m/>
    <n v="6320"/>
    <n v="6316.2999999999993"/>
    <n v="-316.29999999999927"/>
    <n v="-6316.2999999999993"/>
    <n v="6316.2999999999993"/>
    <n v="0"/>
  </r>
  <r>
    <n v="322"/>
    <x v="74"/>
    <x v="1"/>
    <x v="3"/>
    <s v="الاكسبنده"/>
    <x v="11"/>
    <n v="0"/>
    <n v="0"/>
    <s v="H"/>
    <x v="15"/>
    <d v="2012-09-09T00:00:00"/>
    <d v="2018-12-31T00:00:00"/>
    <n v="6"/>
    <n v="3"/>
    <n v="12.48"/>
    <n v="4200"/>
    <n v="524.16"/>
    <n v="5"/>
    <n v="5"/>
    <n v="4"/>
    <n v="0"/>
    <n v="0"/>
    <n v="0"/>
    <n v="3"/>
    <n v="3"/>
    <n v="5"/>
    <n v="25"/>
    <n v="13"/>
    <n v="13"/>
    <n v="13"/>
    <n v="10"/>
    <n v="4"/>
    <n v="3"/>
    <n v="56"/>
    <n v="81"/>
    <m/>
    <m/>
    <m/>
    <m/>
    <m/>
    <n v="48.6"/>
    <n v="2041.2"/>
    <n v="6241.2"/>
    <n v="0"/>
    <n v="4500"/>
    <n v="6241.2"/>
    <n v="2041.1999999999998"/>
    <n v="48.599999999999994"/>
    <n v="0"/>
    <n v="8.8000000000001819"/>
    <n v="2050"/>
    <n v="6250"/>
    <n v="48.80952380952381"/>
    <n v="4200"/>
    <m/>
    <n v="6250"/>
    <n v="6241.2"/>
    <n v="-1741.1999999999998"/>
    <n v="-6241.2"/>
    <n v="6241.2"/>
    <n v="0"/>
  </r>
  <r>
    <n v="330"/>
    <x v="75"/>
    <x v="2"/>
    <x v="1"/>
    <n v="0"/>
    <x v="33"/>
    <s v="دبلوم تقني"/>
    <s v="ترجمة"/>
    <s v="D"/>
    <x v="2"/>
    <d v="2012-09-25T00:00:00"/>
    <d v="2018-12-31T00:00:00"/>
    <n v="6"/>
    <n v="3"/>
    <n v="12.48"/>
    <n v="4740"/>
    <n v="591.55200000000002"/>
    <n v="5"/>
    <n v="5"/>
    <n v="5"/>
    <n v="2"/>
    <n v="3"/>
    <n v="3"/>
    <n v="3"/>
    <n v="2"/>
    <n v="5"/>
    <n v="33"/>
    <n v="14"/>
    <n v="13"/>
    <n v="15"/>
    <n v="10"/>
    <n v="4"/>
    <n v="3"/>
    <n v="59"/>
    <n v="92"/>
    <n v="9"/>
    <m/>
    <m/>
    <n v="7"/>
    <m/>
    <n v="55.199999999999996"/>
    <n v="2616.4799999999996"/>
    <n v="7356.48"/>
    <n v="0"/>
    <n v="7000"/>
    <n v="7356.48"/>
    <n v="2616.4799999999996"/>
    <n v="55.199999999999996"/>
    <n v="1643.5200000000004"/>
    <n v="0"/>
    <n v="4260"/>
    <n v="9000"/>
    <n v="89.87341772151899"/>
    <n v="4740"/>
    <n v="9000"/>
    <n v="8500"/>
    <n v="8500"/>
    <n v="-356.47999999999956"/>
    <n v="1643.5200000000004"/>
    <n v="7356.48"/>
    <n v="1643.5200000000004"/>
  </r>
  <r>
    <n v="346"/>
    <x v="76"/>
    <x v="1"/>
    <x v="11"/>
    <s v="العياده"/>
    <x v="34"/>
    <s v="شهاده دورة تدريب"/>
    <s v="شهادة تمريض"/>
    <s v="F"/>
    <x v="11"/>
    <d v="2012-10-15T00:00:00"/>
    <d v="2018-12-31T00:00:00"/>
    <n v="6"/>
    <n v="2"/>
    <n v="12.32"/>
    <n v="4230"/>
    <n v="521.13599999999997"/>
    <n v="5"/>
    <n v="5"/>
    <n v="5"/>
    <n v="3"/>
    <n v="3"/>
    <n v="3"/>
    <n v="3"/>
    <n v="3"/>
    <n v="5"/>
    <n v="35"/>
    <n v="13"/>
    <n v="13"/>
    <n v="15"/>
    <n v="10"/>
    <n v="4"/>
    <n v="3"/>
    <n v="58"/>
    <n v="93"/>
    <m/>
    <m/>
    <m/>
    <m/>
    <m/>
    <n v="55.8"/>
    <n v="2360.3399999999997"/>
    <n v="6590.34"/>
    <n v="0"/>
    <n v="6000"/>
    <n v="6590.34"/>
    <n v="2360.34"/>
    <n v="55.800000000000004"/>
    <n v="0"/>
    <n v="9.6599999999998545"/>
    <n v="2370"/>
    <n v="6600"/>
    <n v="56.028368794326248"/>
    <n v="4230"/>
    <m/>
    <n v="6600"/>
    <n v="6590.34"/>
    <n v="-590.34000000000015"/>
    <n v="-6590.34"/>
    <n v="6590.34"/>
    <n v="0"/>
  </r>
  <r>
    <n v="363"/>
    <x v="77"/>
    <x v="1"/>
    <x v="3"/>
    <s v="المواسير"/>
    <x v="11"/>
    <n v="0"/>
    <n v="0"/>
    <s v="H"/>
    <x v="16"/>
    <d v="2012-11-19T00:00:00"/>
    <d v="2018-12-31T00:00:00"/>
    <n v="6"/>
    <n v="1"/>
    <n v="12.16"/>
    <n v="4220"/>
    <n v="513.15200000000004"/>
    <n v="5"/>
    <n v="5"/>
    <n v="5"/>
    <n v="1"/>
    <n v="2"/>
    <n v="2"/>
    <n v="3"/>
    <n v="3"/>
    <n v="5"/>
    <n v="31"/>
    <n v="15"/>
    <n v="15"/>
    <n v="15"/>
    <n v="10"/>
    <n v="4"/>
    <n v="3"/>
    <n v="62"/>
    <n v="93"/>
    <m/>
    <m/>
    <m/>
    <m/>
    <m/>
    <n v="55.8"/>
    <n v="2354.7599999999998"/>
    <n v="6574.76"/>
    <n v="0"/>
    <n v="6000"/>
    <n v="6574.76"/>
    <n v="2354.7600000000002"/>
    <n v="55.800000000000004"/>
    <n v="0"/>
    <n v="5.2399999999997817"/>
    <n v="2360"/>
    <n v="6580"/>
    <n v="55.924170616113742"/>
    <n v="4220"/>
    <m/>
    <n v="6580"/>
    <n v="6574.76"/>
    <n v="-574.76000000000022"/>
    <n v="-6574.76"/>
    <n v="6574.76"/>
    <n v="0"/>
  </r>
  <r>
    <n v="372"/>
    <x v="78"/>
    <x v="1"/>
    <x v="9"/>
    <n v="0"/>
    <x v="31"/>
    <s v="بكلاريوس الشرف"/>
    <s v="التامين"/>
    <s v="C"/>
    <x v="5"/>
    <d v="2018-02-13T00:00:00"/>
    <d v="2018-12-31T00:00:00"/>
    <n v="0"/>
    <n v="10"/>
    <n v="1.6"/>
    <n v="3000"/>
    <n v="48"/>
    <n v="5"/>
    <n v="5"/>
    <n v="5"/>
    <n v="3"/>
    <n v="3"/>
    <n v="3"/>
    <n v="3"/>
    <n v="3"/>
    <n v="5"/>
    <n v="35"/>
    <n v="15"/>
    <n v="15"/>
    <n v="15"/>
    <n v="12"/>
    <n v="3"/>
    <n v="3"/>
    <n v="63"/>
    <n v="98"/>
    <n v="9"/>
    <m/>
    <m/>
    <m/>
    <m/>
    <n v="58.8"/>
    <n v="1764"/>
    <n v="4764"/>
    <n v="236"/>
    <n v="5000"/>
    <n v="5000"/>
    <n v="2000"/>
    <n v="66.666666666666671"/>
    <n v="0"/>
    <n v="0"/>
    <n v="2000"/>
    <n v="5000"/>
    <n v="66.666666666666671"/>
    <n v="3000"/>
    <m/>
    <n v="5000"/>
    <n v="5000"/>
    <n v="236"/>
    <n v="-5000"/>
    <n v="5000"/>
    <n v="0"/>
  </r>
  <r>
    <n v="373"/>
    <x v="79"/>
    <x v="1"/>
    <x v="3"/>
    <s v="المواسير"/>
    <x v="8"/>
    <s v="دبلوم وسيط"/>
    <s v="العلوم الإدارية"/>
    <s v="E"/>
    <x v="9"/>
    <d v="2012-11-01T00:00:00"/>
    <d v="2018-12-31T00:00:00"/>
    <n v="6"/>
    <n v="1"/>
    <n v="12.16"/>
    <n v="4220"/>
    <n v="513.15200000000004"/>
    <n v="5"/>
    <n v="5"/>
    <n v="5"/>
    <n v="2"/>
    <n v="3"/>
    <n v="2"/>
    <n v="3"/>
    <n v="3"/>
    <n v="5"/>
    <n v="33"/>
    <n v="14"/>
    <n v="13"/>
    <n v="15"/>
    <n v="8"/>
    <n v="4"/>
    <n v="3"/>
    <n v="57"/>
    <n v="90"/>
    <m/>
    <m/>
    <m/>
    <m/>
    <m/>
    <n v="54"/>
    <n v="2278.8000000000002"/>
    <n v="6498.8"/>
    <n v="1.1999999999998181"/>
    <n v="6500"/>
    <n v="6500"/>
    <n v="2280"/>
    <n v="54.028436018957343"/>
    <n v="500"/>
    <n v="0"/>
    <n v="2780"/>
    <n v="7000"/>
    <n v="65.876777251184834"/>
    <n v="4220"/>
    <n v="7000"/>
    <n v="7000"/>
    <n v="7000"/>
    <n v="1.1999999999998181"/>
    <n v="500"/>
    <n v="6500"/>
    <n v="500"/>
  </r>
  <r>
    <n v="374"/>
    <x v="80"/>
    <x v="1"/>
    <x v="12"/>
    <s v="الامن"/>
    <x v="35"/>
    <n v="0"/>
    <n v="0"/>
    <s v="H"/>
    <x v="11"/>
    <d v="2012-12-04T00:00:00"/>
    <d v="2018-12-31T00:00:00"/>
    <n v="6"/>
    <n v="0"/>
    <n v="12"/>
    <n v="4200"/>
    <n v="504"/>
    <n v="5"/>
    <n v="5"/>
    <n v="5"/>
    <n v="3"/>
    <n v="3"/>
    <n v="3"/>
    <n v="3"/>
    <n v="3"/>
    <n v="5"/>
    <n v="35"/>
    <n v="15"/>
    <n v="14"/>
    <n v="15"/>
    <n v="12"/>
    <n v="4"/>
    <n v="3"/>
    <n v="63"/>
    <n v="98"/>
    <m/>
    <m/>
    <m/>
    <m/>
    <m/>
    <n v="58.8"/>
    <n v="2469.6"/>
    <n v="6669.6"/>
    <n v="0"/>
    <n v="6000"/>
    <n v="6669.6"/>
    <n v="2469.6000000000004"/>
    <n v="58.800000000000011"/>
    <n v="0"/>
    <n v="0.3999999999996362"/>
    <n v="2470"/>
    <n v="6670"/>
    <n v="58.80952380952381"/>
    <n v="4200"/>
    <m/>
    <n v="6670"/>
    <n v="6669.6"/>
    <n v="-669.60000000000036"/>
    <n v="-6669.6"/>
    <n v="6669.6"/>
    <n v="0"/>
  </r>
  <r>
    <n v="376"/>
    <x v="81"/>
    <x v="1"/>
    <x v="3"/>
    <s v="الاكسبنده"/>
    <x v="18"/>
    <n v="0"/>
    <n v="0"/>
    <s v="H"/>
    <x v="17"/>
    <d v="2012-12-06T00:00:00"/>
    <d v="2018-12-31T00:00:00"/>
    <n v="6"/>
    <n v="0"/>
    <n v="12"/>
    <n v="3200"/>
    <n v="384"/>
    <n v="3"/>
    <n v="3"/>
    <n v="3"/>
    <n v="0"/>
    <n v="0"/>
    <n v="0"/>
    <n v="2"/>
    <n v="2"/>
    <n v="5"/>
    <n v="18"/>
    <n v="14"/>
    <n v="14"/>
    <n v="15"/>
    <n v="12"/>
    <n v="4"/>
    <n v="3"/>
    <n v="62"/>
    <n v="80"/>
    <m/>
    <m/>
    <m/>
    <m/>
    <m/>
    <n v="48"/>
    <n v="1536"/>
    <n v="4736"/>
    <n v="0"/>
    <n v="4000"/>
    <n v="4736"/>
    <n v="1536"/>
    <n v="48"/>
    <n v="0"/>
    <n v="4"/>
    <n v="1540"/>
    <n v="4740"/>
    <n v="48.125"/>
    <n v="3200"/>
    <m/>
    <n v="4740"/>
    <n v="4736"/>
    <n v="-736"/>
    <n v="-4736"/>
    <n v="4736"/>
    <n v="0"/>
  </r>
  <r>
    <n v="403"/>
    <x v="82"/>
    <x v="1"/>
    <x v="2"/>
    <s v="الخام"/>
    <x v="36"/>
    <s v="بكلاريوس"/>
    <s v="الاقتصاد"/>
    <s v="C"/>
    <x v="9"/>
    <d v="2016-04-12T00:00:00"/>
    <d v="2018-12-31T00:00:00"/>
    <n v="2"/>
    <n v="8"/>
    <n v="5.28"/>
    <n v="5070"/>
    <n v="267.69600000000003"/>
    <n v="5"/>
    <n v="4"/>
    <n v="5"/>
    <n v="3"/>
    <n v="3"/>
    <n v="3"/>
    <n v="3"/>
    <n v="3"/>
    <n v="4"/>
    <n v="33"/>
    <n v="14"/>
    <n v="14"/>
    <n v="15"/>
    <n v="8"/>
    <n v="3"/>
    <n v="3"/>
    <n v="57"/>
    <n v="90"/>
    <m/>
    <m/>
    <m/>
    <m/>
    <m/>
    <n v="54"/>
    <n v="2737.8"/>
    <n v="7807.8"/>
    <n v="0"/>
    <n v="6500"/>
    <n v="7807.8"/>
    <n v="2737.8"/>
    <n v="54"/>
    <n v="0"/>
    <n v="2.1999999999998181"/>
    <n v="2740"/>
    <n v="7810"/>
    <n v="54.043392504930964"/>
    <n v="5070"/>
    <m/>
    <n v="7810"/>
    <n v="7807.8"/>
    <n v="-1307.8000000000002"/>
    <n v="-7807.8"/>
    <n v="7807.8"/>
    <n v="0"/>
  </r>
  <r>
    <n v="408"/>
    <x v="83"/>
    <x v="1"/>
    <x v="3"/>
    <s v="اليات"/>
    <x v="21"/>
    <n v="0"/>
    <n v="0"/>
    <s v="H"/>
    <x v="2"/>
    <d v="2013-01-08T00:00:00"/>
    <d v="2018-12-31T00:00:00"/>
    <n v="5"/>
    <n v="11"/>
    <n v="11.76"/>
    <n v="4800"/>
    <n v="564.48"/>
    <n v="5"/>
    <n v="5"/>
    <n v="5"/>
    <n v="3"/>
    <n v="3"/>
    <n v="3"/>
    <n v="3"/>
    <n v="3"/>
    <n v="5"/>
    <n v="35"/>
    <n v="15"/>
    <n v="14"/>
    <n v="15"/>
    <n v="8"/>
    <n v="4"/>
    <n v="3"/>
    <n v="59"/>
    <n v="94"/>
    <m/>
    <m/>
    <m/>
    <m/>
    <m/>
    <n v="56.4"/>
    <n v="2707.2"/>
    <n v="7507.2"/>
    <n v="0"/>
    <n v="7000"/>
    <n v="7507.2"/>
    <n v="2707.2"/>
    <n v="56.4"/>
    <n v="992.80000000000018"/>
    <n v="0"/>
    <n v="3700"/>
    <n v="8500"/>
    <n v="77.083333333333329"/>
    <n v="4800"/>
    <n v="8500"/>
    <n v="8500"/>
    <n v="8500"/>
    <n v="-507.19999999999982"/>
    <n v="992.80000000000018"/>
    <n v="7507.2"/>
    <n v="8500"/>
  </r>
  <r>
    <n v="410"/>
    <x v="84"/>
    <x v="1"/>
    <x v="13"/>
    <s v="الكمبيوتر"/>
    <x v="37"/>
    <s v="دبلوم تقني"/>
    <s v="هندسة حاسوب"/>
    <s v="D"/>
    <x v="13"/>
    <d v="2013-01-01T00:00:00"/>
    <d v="2018-12-31T00:00:00"/>
    <n v="5"/>
    <n v="11"/>
    <n v="11.76"/>
    <n v="5260"/>
    <n v="618.57600000000002"/>
    <n v="5"/>
    <n v="5"/>
    <n v="4"/>
    <n v="3"/>
    <n v="3"/>
    <n v="3"/>
    <n v="2"/>
    <n v="3"/>
    <n v="5"/>
    <n v="33"/>
    <n v="14"/>
    <n v="13"/>
    <n v="15"/>
    <n v="12"/>
    <n v="4"/>
    <n v="3"/>
    <n v="61"/>
    <n v="94"/>
    <n v="10"/>
    <m/>
    <m/>
    <m/>
    <m/>
    <n v="56.4"/>
    <n v="2966.64"/>
    <n v="8226.64"/>
    <n v="1773.3600000000006"/>
    <n v="10000"/>
    <n v="10000"/>
    <n v="4740"/>
    <n v="90.114068441064632"/>
    <n v="5000"/>
    <n v="0"/>
    <n v="9740"/>
    <n v="15000"/>
    <n v="185.17110266159696"/>
    <n v="5260"/>
    <n v="15000"/>
    <n v="10000"/>
    <n v="10000"/>
    <n v="1773.3600000000006"/>
    <n v="5000"/>
    <n v="10000"/>
    <m/>
  </r>
  <r>
    <n v="411"/>
    <x v="85"/>
    <x v="1"/>
    <x v="3"/>
    <n v="0"/>
    <x v="12"/>
    <s v="شهاده ثانويه"/>
    <n v="0"/>
    <s v="F"/>
    <x v="16"/>
    <d v="2013-01-22T00:00:00"/>
    <d v="2018-12-31T00:00:00"/>
    <n v="5"/>
    <n v="11"/>
    <n v="11.76"/>
    <n v="4200"/>
    <n v="493.92"/>
    <n v="5"/>
    <n v="5"/>
    <n v="5"/>
    <n v="2"/>
    <n v="3"/>
    <n v="3"/>
    <n v="3"/>
    <n v="3"/>
    <n v="5"/>
    <n v="34"/>
    <n v="14"/>
    <n v="14"/>
    <n v="15"/>
    <n v="12"/>
    <n v="4"/>
    <n v="3"/>
    <n v="62"/>
    <n v="96"/>
    <m/>
    <m/>
    <m/>
    <m/>
    <m/>
    <n v="57.599999999999994"/>
    <n v="2419.1999999999998"/>
    <n v="6619.2"/>
    <n v="0"/>
    <n v="6000"/>
    <n v="6619.2"/>
    <n v="2419.1999999999998"/>
    <n v="57.599999999999994"/>
    <n v="0"/>
    <n v="0.8000000000001819"/>
    <n v="2420"/>
    <n v="6620"/>
    <n v="57.61904761904762"/>
    <n v="4200"/>
    <m/>
    <n v="6620"/>
    <n v="6619.2"/>
    <n v="-619.19999999999982"/>
    <n v="-6619.2"/>
    <n v="6619.2"/>
    <m/>
  </r>
  <r>
    <n v="415"/>
    <x v="86"/>
    <x v="1"/>
    <x v="4"/>
    <s v="الميكانيكا"/>
    <x v="14"/>
    <s v="دبلوم تقني"/>
    <s v="هندسة ميكانيكية ( إنتاج )"/>
    <s v="D"/>
    <x v="2"/>
    <d v="2013-02-07T00:00:00"/>
    <d v="2018-12-31T00:00:00"/>
    <n v="5"/>
    <n v="10"/>
    <n v="11.6"/>
    <n v="4730"/>
    <n v="548.67999999999995"/>
    <n v="4"/>
    <n v="5"/>
    <n v="5"/>
    <n v="2"/>
    <n v="3"/>
    <n v="2"/>
    <n v="3"/>
    <n v="3"/>
    <n v="5"/>
    <n v="32"/>
    <n v="14"/>
    <n v="13"/>
    <n v="15"/>
    <n v="10"/>
    <n v="3"/>
    <n v="3"/>
    <n v="58"/>
    <n v="90"/>
    <n v="10"/>
    <m/>
    <m/>
    <m/>
    <m/>
    <n v="54"/>
    <n v="2554.2000000000003"/>
    <n v="7284.2000000000007"/>
    <n v="0"/>
    <n v="7000"/>
    <n v="7284.2000000000007"/>
    <n v="2554.2000000000007"/>
    <n v="54.000000000000021"/>
    <n v="0"/>
    <n v="5.7999999999992724"/>
    <n v="2560"/>
    <n v="7290"/>
    <n v="54.122621564482031"/>
    <n v="4730"/>
    <m/>
    <n v="7290"/>
    <n v="7284.2000000000007"/>
    <n v="-284.20000000000073"/>
    <n v="-7284.2000000000007"/>
    <n v="7284.2000000000007"/>
    <m/>
  </r>
  <r>
    <n v="418"/>
    <x v="87"/>
    <x v="1"/>
    <x v="9"/>
    <n v="0"/>
    <x v="31"/>
    <s v="دبلوم تقني"/>
    <s v="هندسة حاسوب"/>
    <s v="D"/>
    <x v="5"/>
    <d v="2018-04-03T00:00:00"/>
    <d v="2018-12-31T00:00:00"/>
    <n v="0"/>
    <n v="8"/>
    <n v="1.28"/>
    <n v="3000"/>
    <n v="38.4"/>
    <n v="5"/>
    <n v="4"/>
    <n v="5"/>
    <n v="2"/>
    <n v="3"/>
    <n v="3"/>
    <n v="3"/>
    <n v="3"/>
    <n v="5"/>
    <n v="33"/>
    <n v="14"/>
    <n v="13"/>
    <n v="12"/>
    <n v="10"/>
    <n v="3"/>
    <n v="3"/>
    <n v="55"/>
    <n v="88"/>
    <n v="9"/>
    <m/>
    <m/>
    <m/>
    <m/>
    <n v="52.8"/>
    <n v="1584"/>
    <n v="4584"/>
    <n v="416"/>
    <n v="5000"/>
    <n v="5000"/>
    <n v="2000"/>
    <n v="66.666666666666671"/>
    <n v="0"/>
    <n v="0"/>
    <n v="2000"/>
    <n v="5000"/>
    <n v="66.666666666666671"/>
    <n v="3000"/>
    <m/>
    <n v="5000"/>
    <n v="5000"/>
    <n v="416"/>
    <n v="-5000"/>
    <n v="5000"/>
    <m/>
  </r>
  <r>
    <n v="425"/>
    <x v="88"/>
    <x v="1"/>
    <x v="4"/>
    <s v="مشرف صيانه"/>
    <x v="38"/>
    <n v="0"/>
    <n v="0"/>
    <s v="H"/>
    <x v="18"/>
    <d v="2013-03-01T00:00:00"/>
    <d v="2018-12-31T00:00:00"/>
    <n v="5"/>
    <n v="9"/>
    <n v="11.44"/>
    <n v="7460"/>
    <n v="853.42399999999998"/>
    <n v="4"/>
    <n v="5"/>
    <n v="5"/>
    <n v="3"/>
    <n v="3"/>
    <n v="3"/>
    <n v="3"/>
    <n v="3"/>
    <n v="5"/>
    <n v="34"/>
    <n v="13"/>
    <n v="13"/>
    <n v="12"/>
    <n v="8"/>
    <n v="4"/>
    <n v="3"/>
    <n v="53"/>
    <n v="87"/>
    <m/>
    <m/>
    <m/>
    <m/>
    <m/>
    <n v="52.199999999999996"/>
    <n v="3894.1199999999994"/>
    <n v="11354.119999999999"/>
    <n v="0"/>
    <n v="9500"/>
    <n v="11354.119999999999"/>
    <n v="3894.119999999999"/>
    <n v="52.199999999999989"/>
    <n v="0"/>
    <n v="5.8800000000010186"/>
    <n v="3900"/>
    <n v="11360"/>
    <n v="52.278820375335123"/>
    <n v="7460"/>
    <m/>
    <n v="11360"/>
    <n v="11354.119999999999"/>
    <n v="-1854.119999999999"/>
    <n v="-11354.119999999999"/>
    <n v="11354.119999999999"/>
    <m/>
  </r>
  <r>
    <n v="434"/>
    <x v="89"/>
    <x v="1"/>
    <x v="3"/>
    <s v="المواسير"/>
    <x v="11"/>
    <n v="0"/>
    <n v="0"/>
    <s v="H"/>
    <x v="10"/>
    <d v="2013-03-19T00:00:00"/>
    <d v="2018-12-31T00:00:00"/>
    <n v="5"/>
    <n v="9"/>
    <n v="11.44"/>
    <n v="4220"/>
    <n v="482.76799999999997"/>
    <n v="5"/>
    <n v="5"/>
    <n v="5"/>
    <n v="2"/>
    <n v="3"/>
    <n v="3"/>
    <n v="3"/>
    <n v="3"/>
    <n v="5"/>
    <n v="34"/>
    <n v="14"/>
    <n v="13"/>
    <n v="8"/>
    <n v="6"/>
    <n v="3"/>
    <n v="3"/>
    <n v="47"/>
    <n v="81"/>
    <m/>
    <m/>
    <m/>
    <m/>
    <m/>
    <n v="48.6"/>
    <n v="2050.92"/>
    <n v="6270.92"/>
    <n v="0"/>
    <n v="5500"/>
    <n v="6270.92"/>
    <n v="2050.92"/>
    <n v="48.6"/>
    <n v="0"/>
    <n v="9.0799999999999272"/>
    <n v="2060"/>
    <n v="6280"/>
    <n v="48.81516587677725"/>
    <n v="4220"/>
    <m/>
    <n v="6280"/>
    <n v="6270.92"/>
    <n v="-770.92000000000007"/>
    <n v="-6270.92"/>
    <n v="6270.92"/>
    <m/>
  </r>
  <r>
    <n v="436"/>
    <x v="90"/>
    <x v="1"/>
    <x v="3"/>
    <s v="المواسير"/>
    <x v="8"/>
    <s v="تدريب مهني"/>
    <n v="0"/>
    <s v="F"/>
    <x v="9"/>
    <d v="2013-03-23T00:00:00"/>
    <d v="2018-12-31T00:00:00"/>
    <n v="5"/>
    <n v="9"/>
    <n v="11.44"/>
    <n v="4220"/>
    <n v="482.76799999999997"/>
    <n v="5"/>
    <n v="4"/>
    <n v="3"/>
    <n v="2"/>
    <n v="3"/>
    <n v="2"/>
    <n v="3"/>
    <n v="3"/>
    <n v="4"/>
    <n v="29"/>
    <n v="13"/>
    <n v="12"/>
    <n v="12"/>
    <n v="10"/>
    <n v="3"/>
    <n v="3"/>
    <n v="53"/>
    <n v="82"/>
    <m/>
    <m/>
    <m/>
    <m/>
    <m/>
    <n v="49.199999999999996"/>
    <n v="2076.2399999999998"/>
    <n v="6296.24"/>
    <n v="203.76000000000022"/>
    <n v="6500"/>
    <n v="6500"/>
    <n v="2280"/>
    <n v="54.028436018957343"/>
    <n v="0"/>
    <n v="0"/>
    <n v="2280"/>
    <n v="6500"/>
    <n v="54.028436018957343"/>
    <n v="4220"/>
    <m/>
    <n v="6500"/>
    <n v="6500"/>
    <n v="203.76000000000022"/>
    <n v="-6500"/>
    <n v="6500"/>
    <m/>
  </r>
  <r>
    <n v="439"/>
    <x v="91"/>
    <x v="1"/>
    <x v="3"/>
    <s v="عداد"/>
    <x v="30"/>
    <s v="دبلوم تقني"/>
    <s v="بنوك وحسابات"/>
    <s v="D"/>
    <x v="9"/>
    <d v="2013-03-23T00:00:00"/>
    <d v="2018-12-31T00:00:00"/>
    <n v="5"/>
    <n v="9"/>
    <n v="11.44"/>
    <n v="4710"/>
    <n v="538.82399999999996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2797.74"/>
    <n v="7507.74"/>
    <n v="0"/>
    <n v="6500"/>
    <n v="7507.74"/>
    <n v="2797.74"/>
    <n v="59.399999999999991"/>
    <n v="492.26000000000022"/>
    <n v="0"/>
    <n v="3290"/>
    <n v="8000"/>
    <n v="69.85138004246285"/>
    <n v="4710"/>
    <n v="8000"/>
    <n v="8000"/>
    <n v="8000"/>
    <n v="-1007.7399999999998"/>
    <n v="492.26000000000022"/>
    <n v="7507.74"/>
    <m/>
  </r>
  <r>
    <n v="440"/>
    <x v="92"/>
    <x v="1"/>
    <x v="2"/>
    <s v="الاسكلبات"/>
    <x v="39"/>
    <s v="دبلوم تقني"/>
    <s v="إدارة الاعمال"/>
    <s v="D"/>
    <x v="9"/>
    <d v="2013-03-24T00:00:00"/>
    <d v="2018-12-31T00:00:00"/>
    <n v="5"/>
    <n v="9"/>
    <n v="11.44"/>
    <n v="3710"/>
    <n v="424.42399999999998"/>
    <n v="5"/>
    <n v="4"/>
    <n v="5"/>
    <n v="3"/>
    <n v="3"/>
    <n v="3"/>
    <n v="3"/>
    <n v="3"/>
    <n v="4"/>
    <n v="33"/>
    <n v="15"/>
    <n v="14"/>
    <n v="12"/>
    <n v="10"/>
    <n v="4"/>
    <n v="3"/>
    <n v="58"/>
    <n v="91"/>
    <m/>
    <m/>
    <m/>
    <m/>
    <m/>
    <n v="54.6"/>
    <n v="2025.66"/>
    <n v="5735.66"/>
    <n v="764.34000000000015"/>
    <n v="6500"/>
    <n v="6500"/>
    <n v="2790"/>
    <n v="75.202156334231802"/>
    <n v="0"/>
    <n v="0"/>
    <n v="2790"/>
    <n v="6500"/>
    <n v="75.202156334231802"/>
    <n v="3710"/>
    <m/>
    <n v="6500"/>
    <n v="6500"/>
    <n v="764.34000000000015"/>
    <n v="-6500"/>
    <n v="6500"/>
    <m/>
  </r>
  <r>
    <n v="441"/>
    <x v="93"/>
    <x v="1"/>
    <x v="3"/>
    <s v="عداد"/>
    <x v="18"/>
    <s v="دبلوم تقني"/>
    <s v="الاقتصاد"/>
    <s v="D"/>
    <x v="16"/>
    <d v="2013-03-24T00:00:00"/>
    <d v="2018-12-31T00:00:00"/>
    <n v="5"/>
    <n v="9"/>
    <n v="11.44"/>
    <n v="3180"/>
    <n v="363.79199999999997"/>
    <n v="5"/>
    <n v="5"/>
    <n v="5"/>
    <n v="2"/>
    <n v="2"/>
    <n v="2"/>
    <n v="3"/>
    <n v="3"/>
    <n v="5"/>
    <n v="32"/>
    <n v="14"/>
    <n v="14"/>
    <n v="15"/>
    <n v="10"/>
    <n v="4"/>
    <n v="3"/>
    <n v="60"/>
    <n v="92"/>
    <m/>
    <m/>
    <m/>
    <m/>
    <m/>
    <n v="55.199999999999996"/>
    <n v="1755.36"/>
    <n v="4935.3599999999997"/>
    <n v="1064.6400000000003"/>
    <n v="6000"/>
    <n v="6000"/>
    <n v="2820"/>
    <n v="88.679245283018872"/>
    <n v="0"/>
    <n v="0"/>
    <n v="2820"/>
    <n v="6000"/>
    <n v="88.679245283018872"/>
    <n v="3180"/>
    <m/>
    <n v="6000"/>
    <n v="6000"/>
    <n v="1064.6400000000003"/>
    <n v="-6000"/>
    <n v="6000"/>
    <m/>
  </r>
  <r>
    <n v="453"/>
    <x v="94"/>
    <x v="1"/>
    <x v="3"/>
    <s v="الاكسبنده"/>
    <x v="8"/>
    <s v="شهاده ثانويه"/>
    <n v="0"/>
    <s v="F"/>
    <x v="2"/>
    <d v="2013-04-01T00:00:00"/>
    <d v="2018-12-31T00:00:00"/>
    <n v="5"/>
    <n v="8"/>
    <n v="11.28"/>
    <n v="4750"/>
    <n v="535.79999999999995"/>
    <n v="5"/>
    <n v="5"/>
    <n v="5"/>
    <n v="3"/>
    <n v="3"/>
    <n v="2"/>
    <n v="3"/>
    <n v="3"/>
    <n v="5"/>
    <n v="34"/>
    <n v="15"/>
    <n v="15"/>
    <n v="15"/>
    <n v="12"/>
    <n v="4"/>
    <n v="3"/>
    <n v="64"/>
    <n v="98"/>
    <m/>
    <m/>
    <m/>
    <m/>
    <m/>
    <n v="58.8"/>
    <n v="2793"/>
    <n v="7543"/>
    <n v="0"/>
    <n v="7000"/>
    <n v="7543"/>
    <n v="2793"/>
    <n v="58.8"/>
    <n v="0"/>
    <n v="7"/>
    <n v="2800"/>
    <n v="7550"/>
    <n v="58.94736842105263"/>
    <n v="4750"/>
    <m/>
    <n v="7550"/>
    <n v="7543"/>
    <n v="-543"/>
    <n v="-7543"/>
    <n v="7543"/>
    <m/>
  </r>
  <r>
    <n v="455"/>
    <x v="95"/>
    <x v="1"/>
    <x v="11"/>
    <n v="0"/>
    <x v="34"/>
    <s v="شهاده دورة تدريب"/>
    <s v="شهادة تمريض"/>
    <s v="F"/>
    <x v="11"/>
    <d v="2013-04-01T00:00:00"/>
    <d v="2018-12-31T00:00:00"/>
    <n v="5"/>
    <n v="8"/>
    <n v="11.28"/>
    <n v="4220"/>
    <n v="476.01600000000002"/>
    <n v="5"/>
    <n v="5"/>
    <n v="5"/>
    <n v="3"/>
    <n v="3"/>
    <n v="3"/>
    <n v="3"/>
    <n v="3"/>
    <n v="5"/>
    <n v="35"/>
    <n v="14"/>
    <n v="10"/>
    <n v="15"/>
    <n v="12"/>
    <n v="4"/>
    <n v="3"/>
    <n v="58"/>
    <n v="93"/>
    <n v="10"/>
    <m/>
    <m/>
    <m/>
    <m/>
    <n v="55.8"/>
    <n v="2354.7599999999998"/>
    <n v="6574.76"/>
    <n v="0"/>
    <n v="6000"/>
    <n v="6574.76"/>
    <n v="2354.7600000000002"/>
    <n v="55.800000000000004"/>
    <n v="0"/>
    <n v="5.2399999999997817"/>
    <n v="2360"/>
    <n v="6580"/>
    <n v="55.924170616113742"/>
    <n v="4220"/>
    <m/>
    <n v="6580"/>
    <n v="6574.76"/>
    <n v="-574.76000000000022"/>
    <n v="-6574.76"/>
    <n v="6574.76"/>
    <m/>
  </r>
  <r>
    <n v="459"/>
    <x v="96"/>
    <x v="1"/>
    <x v="4"/>
    <s v="المخارط"/>
    <x v="13"/>
    <s v="تدريب مهني"/>
    <n v="0"/>
    <s v="F"/>
    <x v="9"/>
    <d v="2013-04-04T00:00:00"/>
    <d v="2018-12-31T00:00:00"/>
    <n v="5"/>
    <n v="8"/>
    <n v="11.28"/>
    <n v="4750"/>
    <n v="535.79999999999995"/>
    <n v="4"/>
    <n v="4"/>
    <n v="4"/>
    <n v="3"/>
    <n v="2"/>
    <n v="2"/>
    <n v="3"/>
    <n v="3"/>
    <n v="5"/>
    <n v="30"/>
    <n v="13"/>
    <n v="13"/>
    <n v="15"/>
    <n v="8"/>
    <n v="4"/>
    <n v="3"/>
    <n v="56"/>
    <n v="86"/>
    <n v="9"/>
    <m/>
    <m/>
    <m/>
    <m/>
    <n v="51.6"/>
    <n v="2451"/>
    <n v="7201"/>
    <n v="0"/>
    <n v="6500"/>
    <n v="7201"/>
    <n v="2451"/>
    <n v="51.6"/>
    <n v="0"/>
    <n v="9"/>
    <n v="2460"/>
    <n v="7210"/>
    <n v="51.789473684210527"/>
    <n v="4750"/>
    <m/>
    <n v="7210"/>
    <n v="7201"/>
    <n v="-701"/>
    <n v="-7201"/>
    <n v="7201"/>
    <m/>
  </r>
  <r>
    <n v="470"/>
    <x v="97"/>
    <x v="1"/>
    <x v="3"/>
    <s v="الزوايا"/>
    <x v="8"/>
    <n v="0"/>
    <n v="0"/>
    <s v="H"/>
    <x v="2"/>
    <d v="2013-04-01T00:00:00"/>
    <d v="2018-12-31T00:00:00"/>
    <n v="5"/>
    <n v="8"/>
    <n v="11.28"/>
    <n v="4710"/>
    <n v="531.28800000000001"/>
    <n v="5"/>
    <n v="5"/>
    <n v="5"/>
    <n v="3"/>
    <n v="2"/>
    <n v="2"/>
    <n v="3"/>
    <n v="3"/>
    <n v="5"/>
    <n v="33"/>
    <n v="14"/>
    <n v="14"/>
    <n v="13"/>
    <n v="10"/>
    <n v="4"/>
    <n v="3"/>
    <n v="58"/>
    <n v="91"/>
    <m/>
    <m/>
    <m/>
    <m/>
    <m/>
    <n v="54.6"/>
    <n v="2571.6600000000003"/>
    <n v="7281.66"/>
    <n v="0"/>
    <n v="7000"/>
    <n v="7281.66"/>
    <n v="2571.66"/>
    <n v="54.599999999999994"/>
    <n v="0"/>
    <n v="8.3400000000001455"/>
    <n v="2580"/>
    <n v="7290"/>
    <n v="54.777070063694268"/>
    <n v="4710"/>
    <m/>
    <n v="7290"/>
    <n v="7281.66"/>
    <n v="-281.65999999999985"/>
    <n v="-7281.66"/>
    <n v="7281.66"/>
    <m/>
  </r>
  <r>
    <n v="478"/>
    <x v="98"/>
    <x v="1"/>
    <x v="3"/>
    <s v="الاكسبنده"/>
    <x v="7"/>
    <n v="0"/>
    <n v="0"/>
    <s v="H"/>
    <x v="3"/>
    <d v="2013-04-06T00:00:00"/>
    <d v="2018-12-31T00:00:00"/>
    <n v="5"/>
    <n v="8"/>
    <n v="11.28"/>
    <n v="7000"/>
    <n v="789.6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4158"/>
    <n v="11158"/>
    <n v="842"/>
    <n v="12000"/>
    <n v="12000"/>
    <n v="5000"/>
    <n v="71.428571428571431"/>
    <n v="0"/>
    <n v="0"/>
    <n v="5000"/>
    <n v="12000"/>
    <n v="71.428571428571431"/>
    <n v="7000"/>
    <m/>
    <n v="12000"/>
    <n v="12000"/>
    <n v="842"/>
    <n v="-12000"/>
    <n v="12000"/>
    <m/>
  </r>
  <r>
    <n v="479"/>
    <x v="99"/>
    <x v="1"/>
    <x v="3"/>
    <s v="الزوايا"/>
    <x v="18"/>
    <s v="شهاده ثانويه"/>
    <n v="0"/>
    <s v="F"/>
    <x v="15"/>
    <d v="2013-04-13T00:00:00"/>
    <d v="2018-12-31T00:00:00"/>
    <n v="5"/>
    <n v="8"/>
    <n v="11.28"/>
    <n v="3180"/>
    <n v="358.70400000000001"/>
    <n v="5"/>
    <n v="5"/>
    <n v="5"/>
    <n v="1"/>
    <n v="2"/>
    <n v="1"/>
    <n v="3"/>
    <n v="3"/>
    <n v="5"/>
    <n v="30"/>
    <n v="15"/>
    <n v="15"/>
    <n v="15"/>
    <n v="12"/>
    <n v="4"/>
    <n v="3"/>
    <n v="64"/>
    <n v="94"/>
    <m/>
    <m/>
    <m/>
    <m/>
    <m/>
    <n v="56.4"/>
    <n v="1793.5199999999998"/>
    <n v="4973.5199999999995"/>
    <n v="0"/>
    <n v="4500"/>
    <n v="4973.5199999999995"/>
    <n v="1793.5199999999995"/>
    <n v="56.399999999999984"/>
    <n v="0"/>
    <n v="6.4800000000004729"/>
    <n v="1800"/>
    <n v="4980"/>
    <n v="56.60377358490566"/>
    <n v="3180"/>
    <m/>
    <n v="4980"/>
    <n v="4973.5199999999995"/>
    <n v="-473.51999999999953"/>
    <n v="-4973.5199999999995"/>
    <n v="4973.5199999999995"/>
    <m/>
  </r>
  <r>
    <n v="491"/>
    <x v="100"/>
    <x v="1"/>
    <x v="5"/>
    <s v="المواسير"/>
    <x v="17"/>
    <s v="تدريب مهني"/>
    <s v="كهرباء عامة"/>
    <s v="F"/>
    <x v="11"/>
    <d v="2013-05-07T00:00:00"/>
    <d v="2018-12-31T00:00:00"/>
    <n v="5"/>
    <n v="7"/>
    <n v="11.120000000000001"/>
    <n v="4200"/>
    <n v="467.04"/>
    <n v="5"/>
    <n v="5"/>
    <n v="5"/>
    <n v="3"/>
    <n v="3"/>
    <n v="3"/>
    <n v="3"/>
    <n v="3"/>
    <n v="5"/>
    <n v="35"/>
    <n v="14"/>
    <n v="13"/>
    <n v="15"/>
    <n v="12"/>
    <n v="3"/>
    <n v="3"/>
    <n v="60"/>
    <n v="95"/>
    <n v="10"/>
    <m/>
    <m/>
    <m/>
    <m/>
    <n v="57"/>
    <n v="2394"/>
    <n v="6594"/>
    <n v="0"/>
    <n v="6000"/>
    <n v="6594"/>
    <n v="2394"/>
    <n v="57"/>
    <n v="0"/>
    <n v="6"/>
    <n v="2400"/>
    <n v="6600"/>
    <n v="57.142857142857146"/>
    <n v="4200"/>
    <m/>
    <n v="6600"/>
    <n v="6594"/>
    <n v="-594"/>
    <n v="-6594"/>
    <n v="6594"/>
    <m/>
  </r>
  <r>
    <n v="495"/>
    <x v="101"/>
    <x v="1"/>
    <x v="3"/>
    <s v="الزوايا"/>
    <x v="18"/>
    <s v="تدريب مهني"/>
    <s v="لحام وتوضيب"/>
    <s v="F"/>
    <x v="15"/>
    <d v="2013-05-17T00:00:00"/>
    <d v="2018-12-31T00:00:00"/>
    <n v="5"/>
    <n v="7"/>
    <n v="11.120000000000001"/>
    <n v="3170"/>
    <n v="352.50400000000002"/>
    <n v="5"/>
    <n v="5"/>
    <n v="5"/>
    <n v="1"/>
    <n v="1"/>
    <n v="1"/>
    <n v="3"/>
    <n v="3"/>
    <n v="5"/>
    <n v="29"/>
    <n v="15"/>
    <n v="15"/>
    <n v="15"/>
    <n v="12"/>
    <n v="4"/>
    <n v="3"/>
    <n v="64"/>
    <n v="93"/>
    <m/>
    <m/>
    <m/>
    <m/>
    <m/>
    <n v="55.8"/>
    <n v="1768.86"/>
    <n v="4938.8599999999997"/>
    <n v="0"/>
    <n v="4500"/>
    <n v="4938.8599999999997"/>
    <n v="1768.8599999999997"/>
    <n v="55.79999999999999"/>
    <n v="0"/>
    <n v="1.1400000000003274"/>
    <n v="1770"/>
    <n v="4940"/>
    <n v="55.835962145110415"/>
    <n v="3170"/>
    <m/>
    <n v="4940"/>
    <n v="4938.8599999999997"/>
    <n v="-438.85999999999967"/>
    <n v="-4938.8599999999997"/>
    <n v="4938.8599999999997"/>
    <m/>
  </r>
  <r>
    <n v="503"/>
    <x v="102"/>
    <x v="1"/>
    <x v="2"/>
    <s v="المنتج الجاهز"/>
    <x v="24"/>
    <n v="0"/>
    <n v="0"/>
    <s v="H"/>
    <x v="2"/>
    <d v="2013-06-03T00:00:00"/>
    <d v="2018-12-31T00:00:00"/>
    <n v="5"/>
    <n v="6"/>
    <n v="10.96"/>
    <n v="4190"/>
    <n v="459.22399999999999"/>
    <n v="5"/>
    <n v="5"/>
    <n v="5"/>
    <n v="3"/>
    <n v="3"/>
    <n v="3"/>
    <n v="3"/>
    <n v="3"/>
    <n v="5"/>
    <n v="35"/>
    <n v="14"/>
    <n v="13"/>
    <n v="15"/>
    <n v="8"/>
    <n v="3"/>
    <n v="3"/>
    <n v="56"/>
    <n v="91"/>
    <n v="8"/>
    <m/>
    <m/>
    <m/>
    <m/>
    <n v="54.6"/>
    <n v="2287.7400000000002"/>
    <n v="6477.74"/>
    <n v="522.26000000000022"/>
    <n v="7000"/>
    <n v="7000"/>
    <n v="2810"/>
    <n v="67.064439140811459"/>
    <n v="500"/>
    <n v="0"/>
    <n v="3310"/>
    <n v="7500"/>
    <n v="78.997613365155132"/>
    <n v="4190"/>
    <n v="7500"/>
    <n v="7500"/>
    <n v="7500"/>
    <n v="522.26000000000022"/>
    <n v="500"/>
    <n v="7000"/>
    <m/>
  </r>
  <r>
    <n v="510"/>
    <x v="103"/>
    <x v="1"/>
    <x v="3"/>
    <s v="الزوايا"/>
    <x v="18"/>
    <n v="0"/>
    <n v="0"/>
    <s v="H"/>
    <x v="15"/>
    <d v="2013-06-10T00:00:00"/>
    <d v="2018-12-31T00:00:00"/>
    <n v="5"/>
    <n v="6"/>
    <n v="10.96"/>
    <n v="3170"/>
    <n v="347.43200000000002"/>
    <n v="5"/>
    <n v="5"/>
    <n v="5"/>
    <n v="1"/>
    <n v="1"/>
    <n v="1"/>
    <n v="3"/>
    <n v="3"/>
    <n v="5"/>
    <n v="29"/>
    <n v="15"/>
    <n v="15"/>
    <n v="15"/>
    <n v="12"/>
    <n v="4"/>
    <n v="3"/>
    <n v="64"/>
    <n v="93"/>
    <m/>
    <m/>
    <m/>
    <m/>
    <m/>
    <n v="55.8"/>
    <n v="1768.86"/>
    <n v="4938.8599999999997"/>
    <n v="0"/>
    <n v="4500"/>
    <n v="4938.8599999999997"/>
    <n v="1768.8599999999997"/>
    <n v="55.79999999999999"/>
    <n v="0"/>
    <n v="1.1400000000003274"/>
    <n v="1770"/>
    <n v="4940"/>
    <n v="55.835962145110415"/>
    <n v="3170"/>
    <m/>
    <n v="4940"/>
    <n v="4938.8599999999997"/>
    <n v="-438.85999999999967"/>
    <n v="-4938.8599999999997"/>
    <n v="4938.8599999999997"/>
    <m/>
  </r>
  <r>
    <n v="511"/>
    <x v="104"/>
    <x v="1"/>
    <x v="3"/>
    <s v="الزوايا"/>
    <x v="11"/>
    <s v="شهاده ثانويه"/>
    <n v="0"/>
    <s v="F"/>
    <x v="10"/>
    <d v="2013-06-10T00:00:00"/>
    <d v="2018-12-31T00:00:00"/>
    <n v="5"/>
    <n v="6"/>
    <n v="10.96"/>
    <n v="3170"/>
    <n v="347.43200000000002"/>
    <n v="5"/>
    <n v="5"/>
    <n v="5"/>
    <n v="1"/>
    <n v="1"/>
    <n v="1"/>
    <n v="3"/>
    <n v="3"/>
    <n v="5"/>
    <n v="29"/>
    <n v="14"/>
    <n v="15"/>
    <n v="15"/>
    <n v="10"/>
    <n v="3"/>
    <n v="3"/>
    <n v="60"/>
    <n v="89"/>
    <m/>
    <m/>
    <m/>
    <m/>
    <m/>
    <n v="53.4"/>
    <n v="1692.7800000000002"/>
    <n v="4862.7800000000007"/>
    <n v="637.21999999999935"/>
    <n v="5500"/>
    <n v="5500"/>
    <n v="2330"/>
    <n v="73.501577287066254"/>
    <n v="0"/>
    <n v="0"/>
    <n v="2330"/>
    <n v="5500"/>
    <n v="73.501577287066254"/>
    <n v="3170"/>
    <m/>
    <n v="5500"/>
    <n v="5500"/>
    <n v="637.21999999999935"/>
    <n v="-5500"/>
    <n v="5500"/>
    <m/>
  </r>
  <r>
    <n v="514"/>
    <x v="105"/>
    <x v="1"/>
    <x v="3"/>
    <s v="الاكسبنده"/>
    <x v="11"/>
    <n v="0"/>
    <n v="0"/>
    <s v="H"/>
    <x v="16"/>
    <d v="2013-06-15T00:00:00"/>
    <d v="2018-12-31T00:00:00"/>
    <n v="5"/>
    <n v="6"/>
    <n v="10.96"/>
    <n v="4200"/>
    <n v="460.32"/>
    <n v="5"/>
    <n v="5"/>
    <n v="5"/>
    <n v="2"/>
    <n v="3"/>
    <n v="2"/>
    <n v="3"/>
    <n v="3"/>
    <n v="5"/>
    <n v="33"/>
    <n v="13"/>
    <n v="13"/>
    <n v="12"/>
    <n v="10"/>
    <n v="3"/>
    <n v="3"/>
    <n v="54"/>
    <n v="87"/>
    <m/>
    <m/>
    <m/>
    <m/>
    <m/>
    <n v="52.199999999999996"/>
    <n v="2192.3999999999996"/>
    <n v="6392.4"/>
    <n v="0"/>
    <n v="6000"/>
    <n v="6392.4"/>
    <n v="2192.3999999999996"/>
    <n v="52.199999999999989"/>
    <n v="0"/>
    <n v="7.6000000000003638"/>
    <n v="2200"/>
    <n v="6400"/>
    <n v="52.38095238095238"/>
    <n v="4200"/>
    <m/>
    <n v="6400"/>
    <n v="6392.4"/>
    <n v="-392.39999999999964"/>
    <n v="-6392.4"/>
    <n v="6392.4"/>
    <m/>
  </r>
  <r>
    <n v="525"/>
    <x v="106"/>
    <x v="1"/>
    <x v="3"/>
    <s v="المواسير"/>
    <x v="8"/>
    <n v="0"/>
    <n v="0"/>
    <s v="H"/>
    <x v="9"/>
    <d v="2013-06-26T00:00:00"/>
    <d v="2018-12-31T00:00:00"/>
    <n v="5"/>
    <n v="6"/>
    <n v="10.96"/>
    <n v="4210"/>
    <n v="461.416"/>
    <n v="5"/>
    <n v="4"/>
    <n v="4"/>
    <n v="2"/>
    <n v="2"/>
    <n v="2"/>
    <n v="3"/>
    <n v="3"/>
    <n v="5"/>
    <n v="30"/>
    <n v="12"/>
    <n v="12"/>
    <n v="15"/>
    <n v="6"/>
    <n v="2"/>
    <n v="3"/>
    <n v="50"/>
    <n v="80"/>
    <m/>
    <m/>
    <m/>
    <m/>
    <m/>
    <n v="48"/>
    <n v="2020.8"/>
    <n v="6230.8"/>
    <n v="269.19999999999982"/>
    <n v="6500"/>
    <n v="6500"/>
    <n v="2290"/>
    <n v="54.394299287410924"/>
    <n v="0"/>
    <n v="0"/>
    <n v="2290"/>
    <n v="6500"/>
    <n v="54.394299287410924"/>
    <n v="4210"/>
    <m/>
    <n v="6500"/>
    <n v="6500"/>
    <n v="269.19999999999982"/>
    <n v="-6500"/>
    <n v="6500"/>
    <m/>
  </r>
  <r>
    <n v="533"/>
    <x v="107"/>
    <x v="1"/>
    <x v="3"/>
    <s v="التشريح"/>
    <x v="12"/>
    <n v="0"/>
    <n v="0"/>
    <s v="H"/>
    <x v="16"/>
    <d v="2013-07-02T00:00:00"/>
    <d v="2018-12-31T00:00:00"/>
    <n v="5"/>
    <n v="5"/>
    <n v="10.8"/>
    <n v="4190"/>
    <n v="452.52"/>
    <n v="5"/>
    <n v="5"/>
    <n v="4"/>
    <n v="2"/>
    <n v="2"/>
    <n v="1"/>
    <n v="3"/>
    <n v="3"/>
    <n v="5"/>
    <n v="30"/>
    <n v="14"/>
    <n v="14"/>
    <n v="12"/>
    <n v="10"/>
    <n v="4"/>
    <n v="3"/>
    <n v="57"/>
    <n v="87"/>
    <m/>
    <m/>
    <m/>
    <m/>
    <m/>
    <n v="52.199999999999996"/>
    <n v="2187.1799999999998"/>
    <n v="6377.18"/>
    <n v="0"/>
    <n v="6000"/>
    <n v="6377.18"/>
    <n v="2187.1800000000003"/>
    <n v="52.20000000000001"/>
    <n v="0"/>
    <n v="2.819999999999709"/>
    <n v="2190"/>
    <n v="6380"/>
    <n v="52.267303102625299"/>
    <n v="4190"/>
    <m/>
    <n v="6380"/>
    <n v="6377.18"/>
    <n v="-377.18000000000029"/>
    <n v="-6377.18"/>
    <n v="6377.18"/>
    <m/>
  </r>
  <r>
    <n v="535"/>
    <x v="108"/>
    <x v="1"/>
    <x v="5"/>
    <s v="كهرباء عامه"/>
    <x v="17"/>
    <s v="تدريب مهني"/>
    <s v="كهرباء عامة"/>
    <s v="F"/>
    <x v="9"/>
    <d v="2013-07-03T00:00:00"/>
    <d v="2018-12-31T00:00:00"/>
    <n v="5"/>
    <n v="5"/>
    <n v="10.8"/>
    <n v="4220"/>
    <n v="455.76"/>
    <n v="5"/>
    <n v="5"/>
    <n v="5"/>
    <n v="3"/>
    <n v="3"/>
    <n v="3"/>
    <n v="3"/>
    <n v="3"/>
    <n v="5"/>
    <n v="35"/>
    <n v="14"/>
    <n v="13"/>
    <n v="15"/>
    <n v="12"/>
    <n v="3"/>
    <n v="3"/>
    <n v="60"/>
    <n v="95"/>
    <n v="10"/>
    <m/>
    <m/>
    <m/>
    <m/>
    <n v="57"/>
    <n v="2405.3999999999996"/>
    <n v="6625.4"/>
    <n v="0"/>
    <n v="6500"/>
    <n v="6625.4"/>
    <n v="2405.3999999999996"/>
    <n v="56.999999999999986"/>
    <n v="374.60000000000036"/>
    <n v="0"/>
    <n v="2780"/>
    <n v="7000"/>
    <n v="65.876777251184834"/>
    <n v="4220"/>
    <n v="7000"/>
    <n v="7000"/>
    <n v="7000"/>
    <n v="-125.39999999999964"/>
    <n v="374.60000000000036"/>
    <n v="6625.4"/>
    <m/>
  </r>
  <r>
    <n v="545"/>
    <x v="109"/>
    <x v="1"/>
    <x v="3"/>
    <s v="الزوايا"/>
    <x v="18"/>
    <n v="0"/>
    <n v="0"/>
    <s v="H"/>
    <x v="15"/>
    <d v="2013-07-17T00:00:00"/>
    <d v="2018-12-31T00:00:00"/>
    <n v="5"/>
    <n v="5"/>
    <n v="10.8"/>
    <n v="3160"/>
    <n v="341.28"/>
    <n v="4"/>
    <n v="4"/>
    <n v="4"/>
    <n v="1"/>
    <n v="1"/>
    <n v="1"/>
    <n v="3"/>
    <n v="3"/>
    <n v="5"/>
    <n v="26"/>
    <n v="14"/>
    <n v="14"/>
    <n v="15"/>
    <n v="12"/>
    <n v="4"/>
    <n v="3"/>
    <n v="62"/>
    <n v="88"/>
    <m/>
    <m/>
    <m/>
    <m/>
    <m/>
    <n v="52.8"/>
    <n v="1668.48"/>
    <n v="4828.4799999999996"/>
    <n v="0"/>
    <n v="4500"/>
    <n v="4828.4799999999996"/>
    <n v="1668.4799999999996"/>
    <n v="52.799999999999983"/>
    <n v="0"/>
    <n v="1.5200000000004366"/>
    <n v="1670"/>
    <n v="4830"/>
    <n v="52.848101265822784"/>
    <n v="3160"/>
    <m/>
    <n v="4830"/>
    <n v="4828.4799999999996"/>
    <n v="-328.47999999999956"/>
    <n v="-4828.4799999999996"/>
    <n v="4828.4799999999996"/>
    <m/>
  </r>
  <r>
    <n v="564"/>
    <x v="110"/>
    <x v="1"/>
    <x v="2"/>
    <s v="التحميل"/>
    <x v="18"/>
    <n v="0"/>
    <n v="0"/>
    <s v="H"/>
    <x v="15"/>
    <d v="2013-09-05T00:00:00"/>
    <d v="2018-12-31T00:00:00"/>
    <n v="5"/>
    <n v="3"/>
    <n v="10.48"/>
    <n v="3160"/>
    <n v="331.16800000000001"/>
    <n v="4"/>
    <n v="4"/>
    <n v="4"/>
    <n v="2"/>
    <n v="3"/>
    <n v="3"/>
    <n v="3"/>
    <n v="3"/>
    <n v="4"/>
    <n v="30"/>
    <n v="14"/>
    <n v="15"/>
    <n v="15"/>
    <n v="10"/>
    <n v="4"/>
    <n v="3"/>
    <n v="61"/>
    <n v="91"/>
    <m/>
    <m/>
    <m/>
    <m/>
    <m/>
    <n v="54.6"/>
    <n v="1725.3600000000001"/>
    <n v="4885.3600000000006"/>
    <n v="0"/>
    <n v="4500"/>
    <n v="4885.3600000000006"/>
    <n v="1725.3600000000006"/>
    <n v="54.600000000000016"/>
    <n v="0"/>
    <n v="4.6399999999994179"/>
    <n v="1730"/>
    <n v="4890"/>
    <n v="54.746835443037973"/>
    <n v="3160"/>
    <m/>
    <n v="4890"/>
    <n v="4885.3600000000006"/>
    <n v="-385.36000000000058"/>
    <n v="-4885.3600000000006"/>
    <n v="4885.3600000000006"/>
    <m/>
  </r>
  <r>
    <n v="570"/>
    <x v="111"/>
    <x v="1"/>
    <x v="3"/>
    <s v="كلبسات"/>
    <x v="18"/>
    <n v="0"/>
    <n v="0"/>
    <s v="H"/>
    <x v="15"/>
    <d v="2013-09-09T00:00:00"/>
    <d v="2018-12-31T00:00:00"/>
    <n v="5"/>
    <n v="3"/>
    <n v="10.48"/>
    <n v="3160"/>
    <n v="331.16800000000001"/>
    <n v="5"/>
    <n v="5"/>
    <n v="5"/>
    <n v="1"/>
    <n v="1"/>
    <n v="1"/>
    <n v="3"/>
    <n v="3"/>
    <n v="5"/>
    <n v="29"/>
    <n v="14"/>
    <n v="15"/>
    <n v="15"/>
    <n v="12"/>
    <n v="3"/>
    <n v="3"/>
    <n v="62"/>
    <n v="91"/>
    <m/>
    <m/>
    <m/>
    <m/>
    <m/>
    <n v="54.6"/>
    <n v="1725.3600000000001"/>
    <n v="4885.3600000000006"/>
    <n v="0"/>
    <n v="4500"/>
    <n v="4885.3600000000006"/>
    <n v="1725.3600000000006"/>
    <n v="54.600000000000016"/>
    <n v="0"/>
    <n v="4.6399999999994179"/>
    <n v="1730"/>
    <n v="4890"/>
    <n v="54.746835443037973"/>
    <n v="3160"/>
    <m/>
    <n v="4890"/>
    <n v="4885.3600000000006"/>
    <n v="-385.36000000000058"/>
    <n v="-4885.3600000000006"/>
    <n v="4885.3600000000006"/>
    <m/>
  </r>
  <r>
    <n v="572"/>
    <x v="112"/>
    <x v="1"/>
    <x v="9"/>
    <s v="عداد"/>
    <x v="31"/>
    <n v="0"/>
    <n v="0"/>
    <s v="H"/>
    <x v="5"/>
    <d v="2013-09-14T00:00:00"/>
    <d v="2018-12-31T00:00:00"/>
    <n v="5"/>
    <n v="3"/>
    <n v="10.48"/>
    <n v="3120"/>
    <n v="326.976"/>
    <n v="5"/>
    <n v="4"/>
    <n v="5"/>
    <n v="3"/>
    <n v="2"/>
    <n v="3"/>
    <n v="3"/>
    <n v="3"/>
    <n v="4"/>
    <n v="32"/>
    <n v="14"/>
    <n v="15"/>
    <n v="13"/>
    <n v="10"/>
    <n v="4"/>
    <n v="3"/>
    <n v="59"/>
    <n v="91"/>
    <n v="8"/>
    <m/>
    <m/>
    <m/>
    <m/>
    <n v="54.6"/>
    <n v="1703.5200000000002"/>
    <n v="4823.5200000000004"/>
    <n v="176.47999999999956"/>
    <n v="5000"/>
    <n v="5000"/>
    <n v="1880"/>
    <n v="60.256410256410255"/>
    <n v="0"/>
    <n v="0"/>
    <n v="1880"/>
    <n v="5000"/>
    <n v="60.256410256410255"/>
    <n v="3120"/>
    <m/>
    <n v="5000"/>
    <n v="5000"/>
    <n v="176.47999999999956"/>
    <n v="-5000"/>
    <n v="5000"/>
    <m/>
  </r>
  <r>
    <n v="574"/>
    <x v="113"/>
    <x v="1"/>
    <x v="3"/>
    <n v="0"/>
    <x v="18"/>
    <s v="شهاده ثانويه"/>
    <n v="0"/>
    <s v="F"/>
    <x v="15"/>
    <d v="2015-04-16T00:00:00"/>
    <d v="2018-12-31T00:00:00"/>
    <n v="3"/>
    <n v="8"/>
    <n v="7.28"/>
    <n v="3100"/>
    <n v="225.68"/>
    <n v="5"/>
    <n v="5"/>
    <n v="5"/>
    <n v="1"/>
    <n v="1"/>
    <n v="1"/>
    <n v="3"/>
    <n v="3"/>
    <n v="5"/>
    <n v="29"/>
    <n v="14"/>
    <n v="15"/>
    <n v="12"/>
    <n v="8"/>
    <n v="4"/>
    <n v="3"/>
    <n v="56"/>
    <n v="85"/>
    <m/>
    <m/>
    <m/>
    <m/>
    <m/>
    <n v="51"/>
    <n v="1581"/>
    <n v="4681"/>
    <n v="0"/>
    <n v="4500"/>
    <n v="4681"/>
    <n v="1581"/>
    <n v="51"/>
    <n v="0"/>
    <n v="9"/>
    <n v="1590"/>
    <n v="4690"/>
    <n v="51.29032258064516"/>
    <n v="3100"/>
    <m/>
    <n v="4690"/>
    <n v="4681"/>
    <n v="-181"/>
    <n v="-4681"/>
    <n v="4681"/>
    <m/>
  </r>
  <r>
    <n v="577"/>
    <x v="114"/>
    <x v="1"/>
    <x v="6"/>
    <n v="0"/>
    <x v="40"/>
    <n v="0"/>
    <n v="0"/>
    <s v="H"/>
    <x v="2"/>
    <d v="2013-09-11T00:00:00"/>
    <d v="2018-12-31T00:00:00"/>
    <n v="5"/>
    <n v="3"/>
    <n v="10.48"/>
    <n v="4660"/>
    <n v="488.36799999999999"/>
    <n v="4"/>
    <n v="4"/>
    <n v="4"/>
    <n v="3"/>
    <n v="3"/>
    <n v="2"/>
    <n v="3"/>
    <n v="3"/>
    <n v="4"/>
    <n v="30"/>
    <n v="15"/>
    <n v="14"/>
    <n v="15"/>
    <n v="12"/>
    <n v="4"/>
    <n v="3"/>
    <n v="63"/>
    <n v="93"/>
    <m/>
    <m/>
    <m/>
    <m/>
    <m/>
    <n v="55.8"/>
    <n v="2600.2799999999997"/>
    <n v="7260.28"/>
    <n v="0"/>
    <n v="7000"/>
    <n v="7260.28"/>
    <n v="2600.2799999999997"/>
    <n v="55.79999999999999"/>
    <n v="0"/>
    <n v="9.7200000000002547"/>
    <n v="2610"/>
    <n v="7270"/>
    <n v="56.008583690987123"/>
    <n v="4660"/>
    <m/>
    <n v="7270"/>
    <n v="7260.28"/>
    <n v="-260.27999999999975"/>
    <n v="-7260.28"/>
    <n v="7260.28"/>
    <m/>
  </r>
  <r>
    <n v="585"/>
    <x v="115"/>
    <x v="1"/>
    <x v="6"/>
    <n v="0"/>
    <x v="18"/>
    <n v="0"/>
    <n v="0"/>
    <s v="H"/>
    <x v="15"/>
    <d v="2013-09-24T00:00:00"/>
    <d v="2018-12-31T00:00:00"/>
    <n v="5"/>
    <n v="3"/>
    <n v="10.48"/>
    <n v="3160"/>
    <n v="331.16800000000001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m/>
    <m/>
    <m/>
    <m/>
    <m/>
    <n v="57.599999999999994"/>
    <n v="1820.1599999999999"/>
    <n v="4980.16"/>
    <n v="0"/>
    <n v="4500"/>
    <n v="4980.16"/>
    <n v="1820.1599999999999"/>
    <n v="57.599999999999994"/>
    <n v="0"/>
    <n v="9.8400000000001455"/>
    <n v="1830"/>
    <n v="4990"/>
    <n v="57.911392405063289"/>
    <n v="3160"/>
    <m/>
    <n v="4990"/>
    <n v="4980.16"/>
    <n v="-480.15999999999985"/>
    <n v="-4980.16"/>
    <n v="4980.16"/>
    <m/>
  </r>
  <r>
    <n v="591"/>
    <x v="116"/>
    <x v="1"/>
    <x v="3"/>
    <s v="الصاج والزنك"/>
    <x v="18"/>
    <n v="0"/>
    <n v="0"/>
    <s v="H"/>
    <x v="15"/>
    <d v="2013-10-07T00:00:00"/>
    <d v="2018-12-31T00:00:00"/>
    <n v="5"/>
    <n v="2"/>
    <n v="10.32"/>
    <n v="3150"/>
    <n v="325.08"/>
    <n v="5"/>
    <n v="5"/>
    <n v="5"/>
    <n v="1"/>
    <n v="1"/>
    <n v="1"/>
    <n v="3"/>
    <n v="3"/>
    <n v="5"/>
    <n v="29"/>
    <n v="15"/>
    <n v="15"/>
    <n v="15"/>
    <n v="12"/>
    <n v="4"/>
    <n v="3"/>
    <n v="64"/>
    <n v="93"/>
    <m/>
    <m/>
    <m/>
    <m/>
    <m/>
    <n v="55.8"/>
    <n v="1757.6999999999998"/>
    <n v="4907.7"/>
    <n v="0"/>
    <n v="4500"/>
    <n v="4907.7"/>
    <n v="1757.6999999999998"/>
    <n v="55.8"/>
    <n v="0"/>
    <n v="2.3000000000001819"/>
    <n v="1760"/>
    <n v="4910"/>
    <n v="55.873015873015873"/>
    <n v="3150"/>
    <m/>
    <n v="4910"/>
    <n v="4907.7"/>
    <n v="-407.69999999999982"/>
    <n v="-4907.7"/>
    <n v="4907.7"/>
    <m/>
  </r>
  <r>
    <n v="592"/>
    <x v="117"/>
    <x v="1"/>
    <x v="3"/>
    <s v="التشريح"/>
    <x v="7"/>
    <s v="شهاده ثانويه"/>
    <n v="0"/>
    <s v="F"/>
    <x v="3"/>
    <d v="2018-03-01T00:00:00"/>
    <d v="2018-12-31T00:00:00"/>
    <n v="0"/>
    <n v="9"/>
    <n v="1.44"/>
    <n v="8000"/>
    <n v="115.2"/>
    <n v="5"/>
    <n v="5"/>
    <n v="5"/>
    <n v="3"/>
    <n v="3"/>
    <n v="3"/>
    <n v="3"/>
    <n v="3"/>
    <n v="5"/>
    <n v="35"/>
    <n v="14"/>
    <n v="13"/>
    <n v="15"/>
    <n v="12"/>
    <n v="3"/>
    <n v="3"/>
    <n v="60"/>
    <n v="95"/>
    <m/>
    <m/>
    <m/>
    <m/>
    <m/>
    <n v="57"/>
    <n v="4560"/>
    <n v="12560"/>
    <n v="0"/>
    <n v="12000"/>
    <n v="12560"/>
    <n v="4560"/>
    <n v="57"/>
    <n v="1440"/>
    <n v="0"/>
    <n v="6000"/>
    <n v="14000"/>
    <n v="75"/>
    <n v="8000"/>
    <n v="14000"/>
    <n v="14000"/>
    <n v="14000"/>
    <n v="-560"/>
    <n v="1440"/>
    <n v="12560"/>
    <m/>
  </r>
  <r>
    <n v="604"/>
    <x v="118"/>
    <x v="1"/>
    <x v="3"/>
    <s v="المواسير"/>
    <x v="12"/>
    <s v="شهاده دورة تدريب"/>
    <s v="ميكانيكا سيارات"/>
    <s v="F"/>
    <x v="16"/>
    <d v="2013-11-02T00:00:00"/>
    <d v="2018-12-31T00:00:00"/>
    <n v="5"/>
    <n v="1"/>
    <n v="10.16"/>
    <n v="3150"/>
    <n v="320.04000000000002"/>
    <n v="5"/>
    <n v="5"/>
    <n v="5"/>
    <n v="1"/>
    <n v="2"/>
    <n v="1"/>
    <n v="3"/>
    <n v="3"/>
    <n v="5"/>
    <n v="30"/>
    <n v="14"/>
    <n v="14"/>
    <n v="15"/>
    <n v="6"/>
    <n v="4"/>
    <n v="3"/>
    <n v="56"/>
    <n v="86"/>
    <m/>
    <m/>
    <m/>
    <m/>
    <m/>
    <n v="51.6"/>
    <n v="1625.4"/>
    <n v="4775.3999999999996"/>
    <n v="1224.6000000000004"/>
    <n v="6000"/>
    <n v="6000"/>
    <n v="2850"/>
    <n v="90.476190476190482"/>
    <n v="0"/>
    <n v="0"/>
    <n v="2850"/>
    <n v="6000"/>
    <n v="90.476190476190482"/>
    <n v="3150"/>
    <m/>
    <n v="6000"/>
    <n v="6000"/>
    <n v="1224.6000000000004"/>
    <n v="-6000"/>
    <n v="6000"/>
    <m/>
  </r>
  <r>
    <n v="609"/>
    <x v="119"/>
    <x v="1"/>
    <x v="4"/>
    <n v="0"/>
    <x v="41"/>
    <n v="0"/>
    <n v="0"/>
    <s v="H"/>
    <x v="2"/>
    <d v="2017-07-06T00:00:00"/>
    <d v="2018-12-31T00:00:00"/>
    <n v="1"/>
    <n v="5"/>
    <n v="2.8"/>
    <n v="4520"/>
    <n v="126.56"/>
    <n v="5"/>
    <n v="5"/>
    <n v="5"/>
    <m/>
    <n v="3"/>
    <n v="3"/>
    <n v="3"/>
    <n v="3"/>
    <n v="5"/>
    <n v="32"/>
    <n v="15"/>
    <n v="14"/>
    <n v="15"/>
    <n v="12"/>
    <n v="4"/>
    <n v="3"/>
    <n v="63"/>
    <n v="95"/>
    <n v="10"/>
    <m/>
    <m/>
    <m/>
    <m/>
    <n v="57"/>
    <n v="2576.3999999999996"/>
    <n v="7096.4"/>
    <n v="0"/>
    <n v="7000"/>
    <n v="7096.4"/>
    <n v="2576.3999999999996"/>
    <n v="56.999999999999986"/>
    <n v="903.60000000000036"/>
    <n v="0"/>
    <n v="3480"/>
    <n v="8000"/>
    <n v="76.991150442477874"/>
    <n v="4520"/>
    <n v="8000"/>
    <n v="8000"/>
    <n v="8000"/>
    <n v="-96.399999999999636"/>
    <n v="903.60000000000036"/>
    <n v="7096.4"/>
    <m/>
  </r>
  <r>
    <n v="610"/>
    <x v="120"/>
    <x v="1"/>
    <x v="3"/>
    <n v="0"/>
    <x v="18"/>
    <s v="تدريب مهني"/>
    <s v="الخراطه"/>
    <s v="F"/>
    <x v="15"/>
    <d v="2016-02-14T00:00:00"/>
    <d v="2018-12-31T00:00:00"/>
    <n v="2"/>
    <n v="10"/>
    <n v="5.6"/>
    <n v="3070"/>
    <n v="171.92"/>
    <n v="4"/>
    <n v="4"/>
    <n v="4"/>
    <n v="1"/>
    <n v="2"/>
    <n v="1"/>
    <n v="3"/>
    <n v="3"/>
    <n v="5"/>
    <n v="27"/>
    <n v="13"/>
    <n v="13"/>
    <n v="15"/>
    <n v="10"/>
    <n v="4"/>
    <n v="3"/>
    <n v="58"/>
    <n v="85"/>
    <m/>
    <m/>
    <m/>
    <m/>
    <m/>
    <n v="51"/>
    <n v="1565.7"/>
    <n v="4635.7"/>
    <n v="0"/>
    <n v="4500"/>
    <n v="4635.7"/>
    <n v="1565.6999999999998"/>
    <n v="50.999999999999993"/>
    <n v="0"/>
    <n v="4.3000000000001819"/>
    <n v="1570"/>
    <n v="4640"/>
    <n v="51.140065146579808"/>
    <n v="3070"/>
    <m/>
    <n v="4640"/>
    <n v="4635.7"/>
    <n v="-135.69999999999982"/>
    <n v="-4635.7"/>
    <n v="4635.7"/>
    <m/>
  </r>
  <r>
    <n v="625"/>
    <x v="121"/>
    <x v="1"/>
    <x v="3"/>
    <s v="الزوايا"/>
    <x v="18"/>
    <n v="0"/>
    <n v="0"/>
    <s v="H"/>
    <x v="15"/>
    <d v="2013-11-07T00:00:00"/>
    <d v="2018-12-31T00:00:00"/>
    <n v="5"/>
    <n v="1"/>
    <n v="10.16"/>
    <n v="3160"/>
    <n v="321.05599999999998"/>
    <n v="5"/>
    <n v="5"/>
    <n v="5"/>
    <n v="1"/>
    <n v="1"/>
    <n v="1"/>
    <n v="3"/>
    <n v="3"/>
    <n v="5"/>
    <n v="29"/>
    <n v="14"/>
    <n v="14"/>
    <n v="15"/>
    <n v="12"/>
    <n v="4"/>
    <n v="3"/>
    <n v="62"/>
    <n v="91"/>
    <m/>
    <m/>
    <m/>
    <m/>
    <m/>
    <n v="54.6"/>
    <n v="1725.3600000000001"/>
    <n v="4885.3600000000006"/>
    <n v="0"/>
    <n v="4500"/>
    <n v="4885.3600000000006"/>
    <n v="1725.3600000000006"/>
    <n v="54.600000000000016"/>
    <n v="0"/>
    <n v="4.6399999999994179"/>
    <n v="1730"/>
    <n v="4890"/>
    <n v="54.746835443037973"/>
    <n v="3160"/>
    <m/>
    <n v="4890"/>
    <n v="4885.3600000000006"/>
    <n v="-385.36000000000058"/>
    <n v="-4885.3600000000006"/>
    <n v="4885.3600000000006"/>
    <m/>
  </r>
  <r>
    <n v="627"/>
    <x v="122"/>
    <x v="1"/>
    <x v="3"/>
    <s v="التشريح"/>
    <x v="11"/>
    <s v="شهاده ثانويه"/>
    <n v="0"/>
    <s v="F"/>
    <x v="16"/>
    <d v="2013-11-09T00:00:00"/>
    <d v="2018-12-31T00:00:00"/>
    <n v="5"/>
    <n v="1"/>
    <n v="10.16"/>
    <n v="4180"/>
    <n v="424.68799999999999"/>
    <n v="5"/>
    <n v="4"/>
    <n v="4"/>
    <n v="2"/>
    <n v="3"/>
    <n v="2"/>
    <n v="3"/>
    <n v="3"/>
    <n v="4"/>
    <n v="30"/>
    <n v="15"/>
    <n v="15"/>
    <n v="15"/>
    <n v="12"/>
    <n v="4"/>
    <n v="3"/>
    <n v="64"/>
    <n v="94"/>
    <m/>
    <m/>
    <m/>
    <m/>
    <m/>
    <n v="56.4"/>
    <n v="2357.52"/>
    <n v="6537.52"/>
    <n v="0"/>
    <n v="6000"/>
    <n v="6537.52"/>
    <n v="2357.5200000000004"/>
    <n v="56.400000000000013"/>
    <n v="0"/>
    <n v="2.4799999999995634"/>
    <n v="2360"/>
    <n v="6540"/>
    <n v="56.459330143540676"/>
    <n v="4180"/>
    <m/>
    <n v="6540"/>
    <n v="6537.52"/>
    <n v="-537.52000000000044"/>
    <n v="-6537.52"/>
    <n v="6537.52"/>
    <m/>
  </r>
  <r>
    <n v="631"/>
    <x v="123"/>
    <x v="1"/>
    <x v="3"/>
    <s v="المواسير"/>
    <x v="8"/>
    <n v="0"/>
    <n v="0"/>
    <s v="H"/>
    <x v="2"/>
    <d v="2013-11-11T00:00:00"/>
    <d v="2018-12-31T00:00:00"/>
    <n v="5"/>
    <n v="1"/>
    <n v="10.16"/>
    <n v="4180"/>
    <n v="424.68799999999999"/>
    <n v="5"/>
    <n v="5"/>
    <n v="5"/>
    <n v="2"/>
    <n v="3"/>
    <n v="3"/>
    <n v="3"/>
    <n v="3"/>
    <n v="5"/>
    <n v="34"/>
    <n v="13"/>
    <n v="14"/>
    <n v="15"/>
    <n v="8"/>
    <n v="3"/>
    <n v="3"/>
    <n v="56"/>
    <n v="90"/>
    <m/>
    <m/>
    <m/>
    <m/>
    <m/>
    <n v="54"/>
    <n v="2257.2000000000003"/>
    <n v="6437.2000000000007"/>
    <n v="562.79999999999927"/>
    <n v="7000"/>
    <n v="7000"/>
    <n v="2820"/>
    <n v="67.464114832535884"/>
    <n v="0"/>
    <n v="0"/>
    <n v="2820"/>
    <n v="7000"/>
    <n v="67.464114832535884"/>
    <n v="4180"/>
    <m/>
    <n v="7000"/>
    <n v="7000"/>
    <n v="562.79999999999927"/>
    <n v="-7000"/>
    <n v="7000"/>
    <m/>
  </r>
  <r>
    <n v="643"/>
    <x v="124"/>
    <x v="1"/>
    <x v="6"/>
    <n v="0"/>
    <x v="18"/>
    <n v="0"/>
    <n v="0"/>
    <s v="H"/>
    <x v="15"/>
    <d v="2013-11-21T00:00:00"/>
    <d v="2018-12-31T00:00:00"/>
    <n v="5"/>
    <n v="1"/>
    <n v="10.16"/>
    <n v="3150"/>
    <n v="320.04000000000002"/>
    <n v="5"/>
    <n v="5"/>
    <n v="5"/>
    <n v="2"/>
    <n v="2"/>
    <n v="2"/>
    <n v="3"/>
    <n v="3"/>
    <n v="5"/>
    <n v="32"/>
    <n v="15"/>
    <n v="14"/>
    <n v="15"/>
    <n v="12"/>
    <n v="4"/>
    <n v="3"/>
    <n v="63"/>
    <n v="95"/>
    <m/>
    <m/>
    <m/>
    <m/>
    <m/>
    <n v="57"/>
    <n v="1795.4999999999998"/>
    <n v="4945.5"/>
    <n v="0"/>
    <n v="4500"/>
    <n v="4945.5"/>
    <n v="1795.5"/>
    <n v="57"/>
    <n v="0"/>
    <n v="4.5"/>
    <n v="1800"/>
    <n v="4950"/>
    <n v="57.142857142857146"/>
    <n v="3150"/>
    <m/>
    <n v="4950"/>
    <n v="4945.5"/>
    <n v="-445.5"/>
    <n v="-4945.5"/>
    <n v="4945.5"/>
    <m/>
  </r>
  <r>
    <n v="650"/>
    <x v="125"/>
    <x v="1"/>
    <x v="3"/>
    <s v="اليات"/>
    <x v="21"/>
    <n v="0"/>
    <n v="0"/>
    <s v="H"/>
    <x v="2"/>
    <d v="2013-12-01T00:00:00"/>
    <d v="2018-12-31T00:00:00"/>
    <n v="5"/>
    <n v="0"/>
    <n v="10"/>
    <n v="5560"/>
    <n v="556"/>
    <n v="5"/>
    <n v="4"/>
    <n v="4"/>
    <n v="2"/>
    <n v="2"/>
    <n v="2"/>
    <n v="3"/>
    <n v="3"/>
    <n v="4"/>
    <n v="29"/>
    <n v="13"/>
    <n v="13"/>
    <n v="15"/>
    <n v="6"/>
    <n v="3"/>
    <n v="3"/>
    <n v="53"/>
    <n v="82"/>
    <m/>
    <m/>
    <m/>
    <m/>
    <m/>
    <n v="49.199999999999996"/>
    <n v="2735.5199999999995"/>
    <n v="8295.52"/>
    <n v="0"/>
    <n v="7000"/>
    <n v="8295.52"/>
    <n v="2735.5200000000004"/>
    <n v="49.20000000000001"/>
    <n v="204.47999999999956"/>
    <n v="0"/>
    <n v="2940"/>
    <n v="8500"/>
    <n v="52.877697841726615"/>
    <n v="5560"/>
    <n v="8500"/>
    <n v="8500"/>
    <n v="8500"/>
    <n v="-1295.5200000000004"/>
    <n v="204.47999999999956"/>
    <n v="8295.52"/>
    <m/>
  </r>
  <r>
    <n v="653"/>
    <x v="126"/>
    <x v="1"/>
    <x v="5"/>
    <s v="موتورات"/>
    <x v="42"/>
    <s v="شهاده ثانويه"/>
    <s v="كهرباء عامة"/>
    <s v="F"/>
    <x v="2"/>
    <d v="2013-12-01T00:00:00"/>
    <d v="2018-12-31T00:00:00"/>
    <n v="5"/>
    <n v="0"/>
    <n v="10"/>
    <n v="5740"/>
    <n v="574"/>
    <n v="5"/>
    <n v="5"/>
    <n v="5"/>
    <n v="3"/>
    <n v="3"/>
    <n v="3"/>
    <n v="3"/>
    <n v="3"/>
    <n v="5"/>
    <n v="35"/>
    <n v="13"/>
    <n v="12"/>
    <n v="15"/>
    <n v="12"/>
    <n v="3"/>
    <n v="3"/>
    <n v="58"/>
    <n v="93"/>
    <n v="10"/>
    <m/>
    <m/>
    <m/>
    <m/>
    <n v="55.8"/>
    <n v="3202.9199999999996"/>
    <n v="8942.92"/>
    <n v="0"/>
    <n v="7000"/>
    <n v="8942.92"/>
    <n v="3202.92"/>
    <n v="55.800000000000004"/>
    <n v="557.07999999999993"/>
    <n v="0"/>
    <n v="3760"/>
    <n v="9500"/>
    <n v="65.505226480836242"/>
    <n v="5740"/>
    <n v="9500"/>
    <n v="9500"/>
    <n v="9500"/>
    <n v="-1942.92"/>
    <n v="557.07999999999993"/>
    <n v="8942.92"/>
    <m/>
  </r>
  <r>
    <n v="656"/>
    <x v="127"/>
    <x v="1"/>
    <x v="2"/>
    <s v="الزوايا"/>
    <x v="43"/>
    <s v="دبلوم وسيط"/>
    <s v="العلاقات العامة والاعلام"/>
    <s v="E"/>
    <x v="9"/>
    <d v="2013-12-02T00:00:00"/>
    <d v="2018-12-31T00:00:00"/>
    <n v="5"/>
    <n v="0"/>
    <n v="10"/>
    <n v="4170"/>
    <n v="417"/>
    <n v="5"/>
    <n v="4"/>
    <n v="4"/>
    <n v="3"/>
    <n v="3"/>
    <n v="3"/>
    <n v="3"/>
    <n v="3"/>
    <n v="5"/>
    <n v="33"/>
    <n v="13"/>
    <n v="13"/>
    <n v="13"/>
    <n v="10"/>
    <n v="3"/>
    <n v="3"/>
    <n v="55"/>
    <n v="88"/>
    <m/>
    <m/>
    <m/>
    <m/>
    <m/>
    <n v="52.8"/>
    <n v="2201.7600000000002"/>
    <n v="6371.76"/>
    <n v="128.23999999999978"/>
    <n v="6500"/>
    <n v="6500"/>
    <n v="2330"/>
    <n v="55.875299760191844"/>
    <n v="0"/>
    <n v="0"/>
    <n v="2330"/>
    <n v="6500"/>
    <n v="55.875299760191844"/>
    <n v="4170"/>
    <m/>
    <n v="6500"/>
    <n v="6500"/>
    <n v="128.23999999999978"/>
    <n v="-6500"/>
    <n v="6500"/>
    <m/>
  </r>
  <r>
    <n v="662"/>
    <x v="128"/>
    <x v="1"/>
    <x v="3"/>
    <s v="المواسير"/>
    <x v="11"/>
    <n v="0"/>
    <n v="0"/>
    <s v="H"/>
    <x v="10"/>
    <d v="2013-12-04T00:00:00"/>
    <d v="2018-12-31T00:00:00"/>
    <n v="5"/>
    <n v="0"/>
    <n v="10"/>
    <n v="4150"/>
    <n v="415"/>
    <n v="5"/>
    <n v="5"/>
    <n v="5"/>
    <n v="2"/>
    <n v="2"/>
    <n v="2"/>
    <n v="3"/>
    <n v="3"/>
    <n v="5"/>
    <n v="32"/>
    <n v="14"/>
    <n v="14"/>
    <n v="15"/>
    <n v="12"/>
    <n v="4"/>
    <n v="3"/>
    <n v="62"/>
    <n v="94"/>
    <m/>
    <m/>
    <m/>
    <m/>
    <m/>
    <n v="56.4"/>
    <n v="2340.6"/>
    <n v="6490.6"/>
    <n v="0"/>
    <n v="5500"/>
    <n v="6490.6"/>
    <n v="2340.6000000000004"/>
    <n v="56.400000000000006"/>
    <n v="0"/>
    <n v="9.3999999999996362"/>
    <n v="2350"/>
    <n v="6500"/>
    <n v="56.626506024096386"/>
    <n v="4150"/>
    <m/>
    <n v="6500"/>
    <n v="6490.6"/>
    <n v="-990.60000000000036"/>
    <n v="-6490.6"/>
    <n v="6490.6"/>
    <m/>
  </r>
  <r>
    <n v="666"/>
    <x v="129"/>
    <x v="1"/>
    <x v="12"/>
    <s v="الامن"/>
    <x v="35"/>
    <s v="بكلاريوس"/>
    <s v="الشريعة والقانون"/>
    <s v="C"/>
    <x v="11"/>
    <d v="2013-12-08T00:00:00"/>
    <d v="2018-12-31T00:00:00"/>
    <n v="5"/>
    <n v="0"/>
    <n v="10"/>
    <n v="4200"/>
    <n v="420"/>
    <n v="5"/>
    <n v="5"/>
    <n v="5"/>
    <n v="3"/>
    <n v="3"/>
    <n v="2"/>
    <n v="3"/>
    <n v="3"/>
    <n v="5"/>
    <n v="34"/>
    <n v="15"/>
    <n v="14"/>
    <n v="15"/>
    <n v="12"/>
    <n v="4"/>
    <n v="3"/>
    <n v="63"/>
    <n v="97"/>
    <m/>
    <m/>
    <m/>
    <m/>
    <m/>
    <n v="58.199999999999996"/>
    <n v="2444.3999999999996"/>
    <n v="6644.4"/>
    <n v="0"/>
    <n v="6000"/>
    <n v="6644.4"/>
    <n v="2444.3999999999996"/>
    <n v="58.199999999999989"/>
    <n v="0"/>
    <n v="5.6000000000003638"/>
    <n v="2450"/>
    <n v="6650"/>
    <n v="58.333333333333336"/>
    <n v="4200"/>
    <m/>
    <n v="6650"/>
    <n v="6644.4"/>
    <n v="-644.39999999999964"/>
    <n v="-6644.4"/>
    <n v="6644.4"/>
    <m/>
  </r>
  <r>
    <n v="670"/>
    <x v="130"/>
    <x v="1"/>
    <x v="2"/>
    <s v="الميزان"/>
    <x v="44"/>
    <s v="شهاده ثانويه"/>
    <n v="0"/>
    <s v="F"/>
    <x v="11"/>
    <d v="2013-12-11T00:00:00"/>
    <d v="2018-12-31T00:00:00"/>
    <n v="5"/>
    <n v="0"/>
    <n v="10"/>
    <n v="4170"/>
    <n v="417"/>
    <n v="5"/>
    <n v="5"/>
    <n v="4"/>
    <n v="3"/>
    <n v="3"/>
    <n v="3"/>
    <n v="3"/>
    <n v="3"/>
    <n v="4"/>
    <n v="33"/>
    <n v="15"/>
    <n v="14"/>
    <n v="15"/>
    <n v="12"/>
    <n v="4"/>
    <n v="3"/>
    <n v="63"/>
    <n v="96"/>
    <m/>
    <m/>
    <m/>
    <m/>
    <m/>
    <n v="57.599999999999994"/>
    <n v="2401.9199999999996"/>
    <n v="6571.92"/>
    <n v="0"/>
    <n v="6000"/>
    <n v="6571.92"/>
    <n v="2401.92"/>
    <n v="57.599999999999994"/>
    <n v="0"/>
    <n v="8.0799999999999272"/>
    <n v="2410"/>
    <n v="6580"/>
    <n v="57.793764988009592"/>
    <n v="4170"/>
    <m/>
    <n v="6580"/>
    <n v="6571.92"/>
    <n v="-571.92000000000007"/>
    <n v="-6571.92"/>
    <n v="6571.92"/>
    <m/>
  </r>
  <r>
    <n v="677"/>
    <x v="131"/>
    <x v="1"/>
    <x v="9"/>
    <n v="0"/>
    <x v="31"/>
    <s v="بكلاريوس"/>
    <s v="Seientifie Laboratories ( Physics )"/>
    <s v="C"/>
    <x v="9"/>
    <d v="2013-12-18T00:00:00"/>
    <d v="2018-12-31T00:00:00"/>
    <n v="5"/>
    <n v="0"/>
    <n v="10"/>
    <n v="4170"/>
    <n v="417"/>
    <n v="5"/>
    <n v="5"/>
    <n v="5"/>
    <n v="3"/>
    <n v="3"/>
    <n v="3"/>
    <n v="3"/>
    <n v="3"/>
    <n v="5"/>
    <n v="35"/>
    <n v="15"/>
    <n v="14"/>
    <n v="15"/>
    <n v="12"/>
    <n v="4"/>
    <n v="3"/>
    <n v="63"/>
    <n v="98"/>
    <n v="10"/>
    <m/>
    <m/>
    <m/>
    <m/>
    <n v="58.8"/>
    <n v="2451.96"/>
    <n v="6621.96"/>
    <n v="0"/>
    <n v="6500"/>
    <n v="6621.96"/>
    <n v="2451.96"/>
    <n v="58.8"/>
    <n v="0"/>
    <n v="8.0399999999999636"/>
    <n v="2460"/>
    <n v="6630"/>
    <n v="58.992805755395679"/>
    <n v="4170"/>
    <m/>
    <n v="6630"/>
    <n v="6621.96"/>
    <n v="-121.96000000000004"/>
    <n v="-6621.96"/>
    <n v="6621.96"/>
    <m/>
  </r>
  <r>
    <n v="678"/>
    <x v="132"/>
    <x v="1"/>
    <x v="3"/>
    <s v="الزوايا"/>
    <x v="18"/>
    <n v="0"/>
    <n v="0"/>
    <s v="H"/>
    <x v="15"/>
    <d v="2013-12-18T00:00:00"/>
    <d v="2018-12-31T00:00:00"/>
    <n v="5"/>
    <n v="0"/>
    <n v="10"/>
    <n v="3150"/>
    <n v="315"/>
    <n v="5"/>
    <n v="5"/>
    <n v="5"/>
    <n v="2"/>
    <n v="2"/>
    <n v="2"/>
    <n v="3"/>
    <n v="3"/>
    <n v="5"/>
    <n v="32"/>
    <n v="15"/>
    <n v="14"/>
    <n v="12"/>
    <n v="10"/>
    <n v="4"/>
    <n v="3"/>
    <n v="58"/>
    <n v="90"/>
    <m/>
    <m/>
    <m/>
    <m/>
    <m/>
    <n v="54"/>
    <n v="1701"/>
    <n v="4851"/>
    <n v="0"/>
    <n v="4500"/>
    <n v="4851"/>
    <n v="1701"/>
    <n v="54"/>
    <n v="0"/>
    <n v="9"/>
    <n v="1710"/>
    <n v="4860"/>
    <n v="54.285714285714285"/>
    <n v="3150"/>
    <m/>
    <n v="4860"/>
    <n v="4851"/>
    <n v="-351"/>
    <n v="-4851"/>
    <n v="4851"/>
    <m/>
  </r>
  <r>
    <n v="686"/>
    <x v="133"/>
    <x v="1"/>
    <x v="2"/>
    <s v="الاسكلبات"/>
    <x v="45"/>
    <s v="بكلاريوس"/>
    <s v="إدارة الاعمال"/>
    <s v="C"/>
    <x v="19"/>
    <d v="2014-02-01T00:00:00"/>
    <d v="2018-12-31T00:00:00"/>
    <n v="4"/>
    <n v="10"/>
    <n v="9.6"/>
    <n v="5190"/>
    <n v="498.24"/>
    <n v="5"/>
    <n v="5"/>
    <n v="5"/>
    <n v="3"/>
    <n v="3"/>
    <n v="3"/>
    <n v="3"/>
    <n v="3"/>
    <n v="5"/>
    <n v="35"/>
    <n v="15"/>
    <n v="14"/>
    <n v="15"/>
    <n v="12"/>
    <n v="4"/>
    <n v="3"/>
    <n v="63"/>
    <n v="98"/>
    <m/>
    <m/>
    <m/>
    <m/>
    <m/>
    <n v="58.8"/>
    <n v="3051.72"/>
    <n v="8241.7199999999993"/>
    <n v="258.28000000000065"/>
    <n v="8500"/>
    <n v="8500"/>
    <n v="3310"/>
    <n v="63.776493256262043"/>
    <n v="0"/>
    <n v="0"/>
    <n v="3310"/>
    <n v="8500"/>
    <n v="63.776493256262043"/>
    <n v="5190"/>
    <m/>
    <n v="8500"/>
    <n v="8500"/>
    <n v="258.28000000000065"/>
    <n v="-8500"/>
    <n v="8500"/>
    <m/>
  </r>
  <r>
    <n v="689"/>
    <x v="134"/>
    <x v="1"/>
    <x v="6"/>
    <n v="0"/>
    <x v="18"/>
    <n v="0"/>
    <n v="0"/>
    <s v="H"/>
    <x v="15"/>
    <d v="2014-02-01T00:00:00"/>
    <d v="2018-12-31T00:00:00"/>
    <n v="4"/>
    <n v="10"/>
    <n v="9.6"/>
    <n v="3140"/>
    <n v="301.44"/>
    <n v="5"/>
    <n v="5"/>
    <n v="5"/>
    <n v="2"/>
    <n v="2"/>
    <n v="2"/>
    <n v="3"/>
    <n v="3"/>
    <n v="5"/>
    <n v="32"/>
    <n v="14"/>
    <n v="15"/>
    <n v="15"/>
    <n v="12"/>
    <n v="4"/>
    <n v="3"/>
    <n v="63"/>
    <n v="95"/>
    <m/>
    <m/>
    <m/>
    <m/>
    <m/>
    <n v="57"/>
    <n v="1789.8"/>
    <n v="4929.8"/>
    <n v="0"/>
    <n v="4500"/>
    <n v="4929.8"/>
    <n v="1789.8000000000002"/>
    <n v="57.000000000000007"/>
    <n v="0"/>
    <n v="0.1999999999998181"/>
    <n v="1790"/>
    <n v="4930"/>
    <n v="57.006369426751597"/>
    <n v="3140"/>
    <m/>
    <n v="4930"/>
    <n v="4929.8"/>
    <n v="-429.80000000000018"/>
    <n v="-4929.8"/>
    <n v="4929.8"/>
    <m/>
  </r>
  <r>
    <n v="690"/>
    <x v="135"/>
    <x v="1"/>
    <x v="2"/>
    <s v="الاسكبات"/>
    <x v="39"/>
    <s v="شهاده ثانويه"/>
    <n v="0"/>
    <s v="F"/>
    <x v="11"/>
    <d v="2015-11-14T00:00:00"/>
    <d v="2018-12-31T00:00:00"/>
    <n v="3"/>
    <n v="1"/>
    <n v="6.16"/>
    <n v="3580"/>
    <n v="220.52799999999999"/>
    <n v="5"/>
    <n v="5"/>
    <n v="4"/>
    <n v="3"/>
    <n v="3"/>
    <n v="3"/>
    <n v="3"/>
    <n v="3"/>
    <n v="5"/>
    <n v="34"/>
    <n v="15"/>
    <n v="13"/>
    <n v="15"/>
    <n v="12"/>
    <n v="4"/>
    <n v="3"/>
    <n v="62"/>
    <n v="96"/>
    <m/>
    <m/>
    <m/>
    <m/>
    <m/>
    <n v="57.599999999999994"/>
    <n v="2062.08"/>
    <n v="5642.08"/>
    <n v="357.92000000000007"/>
    <n v="6000"/>
    <n v="6000"/>
    <n v="2420"/>
    <n v="67.597765363128502"/>
    <n v="0"/>
    <n v="0"/>
    <n v="2420"/>
    <n v="6000"/>
    <n v="67.597765363128502"/>
    <n v="3580"/>
    <m/>
    <n v="6000"/>
    <n v="6000"/>
    <n v="357.92000000000007"/>
    <n v="-6000"/>
    <n v="6000"/>
    <m/>
  </r>
  <r>
    <n v="691"/>
    <x v="136"/>
    <x v="1"/>
    <x v="6"/>
    <n v="0"/>
    <x v="40"/>
    <s v="تدريب مهني"/>
    <s v="حدادة ولحام"/>
    <s v="F"/>
    <x v="2"/>
    <d v="2014-02-02T00:00:00"/>
    <d v="2018-12-31T00:00:00"/>
    <n v="4"/>
    <n v="10"/>
    <n v="9.6"/>
    <n v="5180"/>
    <n v="497.28"/>
    <n v="4"/>
    <n v="4"/>
    <n v="5"/>
    <n v="3"/>
    <n v="3"/>
    <n v="3"/>
    <n v="3"/>
    <n v="3"/>
    <n v="4"/>
    <n v="32"/>
    <n v="14"/>
    <n v="14"/>
    <n v="15"/>
    <n v="12"/>
    <n v="4"/>
    <n v="3"/>
    <n v="62"/>
    <n v="94"/>
    <n v="8"/>
    <m/>
    <m/>
    <m/>
    <m/>
    <n v="56.4"/>
    <n v="2921.5199999999995"/>
    <n v="8101.5199999999995"/>
    <n v="0"/>
    <n v="7000"/>
    <n v="8101.5199999999995"/>
    <n v="2921.5199999999995"/>
    <n v="56.399999999999991"/>
    <n v="0"/>
    <n v="8.4800000000004729"/>
    <n v="2930"/>
    <n v="8110"/>
    <n v="56.563706563706567"/>
    <n v="5180"/>
    <m/>
    <n v="8110"/>
    <n v="8101.5199999999995"/>
    <n v="-1101.5199999999995"/>
    <n v="-8101.5199999999995"/>
    <n v="8101.5199999999995"/>
    <m/>
  </r>
  <r>
    <n v="697"/>
    <x v="137"/>
    <x v="1"/>
    <x v="4"/>
    <s v="الحداده"/>
    <x v="41"/>
    <s v="تدريب مهني"/>
    <s v="توضيب ولحام"/>
    <s v="F"/>
    <x v="11"/>
    <d v="2014-02-09T00:00:00"/>
    <d v="2018-12-31T00:00:00"/>
    <n v="4"/>
    <n v="10"/>
    <n v="9.6"/>
    <n v="4160"/>
    <n v="399.36"/>
    <n v="4"/>
    <n v="4"/>
    <n v="5"/>
    <n v="2"/>
    <n v="2"/>
    <n v="3"/>
    <n v="2"/>
    <n v="3"/>
    <n v="5"/>
    <n v="30"/>
    <n v="13"/>
    <n v="12"/>
    <n v="15"/>
    <n v="10"/>
    <n v="3"/>
    <n v="3"/>
    <n v="56"/>
    <n v="86"/>
    <n v="7"/>
    <m/>
    <m/>
    <m/>
    <m/>
    <n v="51.6"/>
    <n v="2146.56"/>
    <n v="6306.5599999999995"/>
    <n v="0"/>
    <n v="6000"/>
    <n v="6306.5599999999995"/>
    <n v="2146.5599999999995"/>
    <n v="51.599999999999987"/>
    <n v="0"/>
    <n v="3.4400000000005093"/>
    <n v="2150"/>
    <n v="6310"/>
    <n v="51.682692307692307"/>
    <n v="4160"/>
    <m/>
    <n v="6310"/>
    <n v="6306.5599999999995"/>
    <n v="-306.55999999999949"/>
    <n v="-6306.5599999999995"/>
    <n v="6306.5599999999995"/>
    <m/>
  </r>
  <r>
    <n v="705"/>
    <x v="138"/>
    <x v="1"/>
    <x v="3"/>
    <s v="الزوايا"/>
    <x v="12"/>
    <s v="شهاده ثانويه"/>
    <n v="0"/>
    <s v="F"/>
    <x v="16"/>
    <d v="2014-02-11T00:00:00"/>
    <d v="2018-12-31T00:00:00"/>
    <n v="4"/>
    <n v="10"/>
    <n v="9.6"/>
    <n v="4140"/>
    <n v="397.44"/>
    <n v="4"/>
    <n v="4"/>
    <n v="5"/>
    <n v="2"/>
    <n v="2"/>
    <n v="2"/>
    <n v="3"/>
    <n v="3"/>
    <n v="5"/>
    <n v="30"/>
    <n v="14"/>
    <n v="14"/>
    <n v="15"/>
    <n v="12"/>
    <n v="3"/>
    <n v="3"/>
    <n v="61"/>
    <n v="91"/>
    <m/>
    <m/>
    <m/>
    <m/>
    <m/>
    <n v="54.6"/>
    <n v="2260.44"/>
    <n v="6400.4400000000005"/>
    <n v="0"/>
    <n v="6000"/>
    <n v="6400.4400000000005"/>
    <n v="2260.4400000000005"/>
    <n v="54.600000000000016"/>
    <n v="0"/>
    <n v="0"/>
    <n v="2260.4400000000005"/>
    <n v="6400.4400000000005"/>
    <n v="54.600000000000016"/>
    <n v="4140"/>
    <m/>
    <n v="6400"/>
    <n v="6400"/>
    <n v="-400.44000000000051"/>
    <n v="-6000"/>
    <n v="6000"/>
    <m/>
  </r>
  <r>
    <n v="723"/>
    <x v="139"/>
    <x v="1"/>
    <x v="3"/>
    <s v="الخوص"/>
    <x v="11"/>
    <s v="دبلوم تقني"/>
    <s v="هندسة ميكانيكية ( إنتاج )"/>
    <s v="D"/>
    <x v="16"/>
    <d v="2014-03-01T00:00:00"/>
    <d v="2018-12-31T00:00:00"/>
    <n v="4"/>
    <n v="9"/>
    <n v="9.44"/>
    <n v="4170"/>
    <n v="393.64800000000002"/>
    <n v="5"/>
    <n v="4"/>
    <n v="4"/>
    <n v="2"/>
    <n v="2"/>
    <n v="2"/>
    <n v="3"/>
    <n v="3"/>
    <n v="5"/>
    <n v="30"/>
    <n v="14"/>
    <n v="10"/>
    <n v="15"/>
    <n v="12"/>
    <n v="3"/>
    <n v="3"/>
    <n v="57"/>
    <n v="87"/>
    <m/>
    <m/>
    <m/>
    <m/>
    <m/>
    <n v="52.199999999999996"/>
    <n v="2176.7399999999998"/>
    <n v="6346.74"/>
    <n v="0"/>
    <n v="6000"/>
    <n v="6346.74"/>
    <n v="2176.7399999999998"/>
    <n v="52.199999999999989"/>
    <n v="0"/>
    <n v="3.2600000000002183"/>
    <n v="2180"/>
    <n v="6350"/>
    <n v="52.278177458033568"/>
    <n v="4170"/>
    <m/>
    <n v="6350"/>
    <n v="6346.74"/>
    <n v="-346.73999999999978"/>
    <n v="-6346.74"/>
    <n v="6346.74"/>
    <m/>
  </r>
  <r>
    <n v="734"/>
    <x v="140"/>
    <x v="1"/>
    <x v="12"/>
    <s v="الحركه"/>
    <x v="46"/>
    <n v="0"/>
    <n v="0"/>
    <s v="H"/>
    <x v="11"/>
    <d v="2014-03-15T00:00:00"/>
    <d v="2018-12-31T00:00:00"/>
    <n v="4"/>
    <n v="9"/>
    <n v="9.44"/>
    <n v="4160"/>
    <n v="392.70400000000001"/>
    <n v="2"/>
    <n v="2"/>
    <n v="5"/>
    <n v="1"/>
    <n v="2"/>
    <n v="1"/>
    <n v="0"/>
    <n v="1"/>
    <n v="1"/>
    <n v="15"/>
    <n v="13"/>
    <n v="11"/>
    <n v="15"/>
    <n v="12"/>
    <n v="3"/>
    <n v="3"/>
    <n v="57"/>
    <n v="72"/>
    <m/>
    <m/>
    <m/>
    <m/>
    <m/>
    <n v="43.199999999999996"/>
    <n v="1797.1199999999997"/>
    <n v="5957.12"/>
    <n v="42.880000000000109"/>
    <n v="6000"/>
    <n v="6000"/>
    <n v="1840"/>
    <n v="44.230769230769226"/>
    <n v="0"/>
    <n v="0"/>
    <n v="1840"/>
    <n v="6000"/>
    <n v="44.230769230769226"/>
    <n v="4160"/>
    <m/>
    <n v="6000"/>
    <n v="6000"/>
    <n v="42.880000000000109"/>
    <n v="-6000"/>
    <n v="6000"/>
    <m/>
  </r>
  <r>
    <n v="738"/>
    <x v="141"/>
    <x v="1"/>
    <x v="9"/>
    <n v="0"/>
    <x v="31"/>
    <n v="0"/>
    <n v="0"/>
    <s v="H"/>
    <x v="5"/>
    <d v="2014-04-02T00:00:00"/>
    <d v="2018-12-31T00:00:00"/>
    <n v="4"/>
    <n v="8"/>
    <n v="9.2799999999999994"/>
    <n v="3140"/>
    <n v="291.392"/>
    <n v="4"/>
    <n v="4"/>
    <n v="5"/>
    <n v="3"/>
    <n v="2"/>
    <n v="3"/>
    <n v="3"/>
    <n v="3"/>
    <n v="4"/>
    <n v="31"/>
    <n v="12"/>
    <n v="13"/>
    <n v="5"/>
    <n v="4"/>
    <n v="3"/>
    <n v="3"/>
    <n v="40"/>
    <n v="71"/>
    <n v="8"/>
    <m/>
    <m/>
    <m/>
    <m/>
    <n v="42.6"/>
    <n v="1337.6399999999999"/>
    <n v="4477.6399999999994"/>
    <n v="522.36000000000058"/>
    <n v="5000"/>
    <n v="5000"/>
    <n v="1860"/>
    <n v="59.235668789808919"/>
    <n v="0"/>
    <n v="0"/>
    <n v="1860"/>
    <n v="5000"/>
    <n v="59.235668789808919"/>
    <n v="3140"/>
    <m/>
    <n v="5000"/>
    <n v="5000"/>
    <n v="522.36000000000058"/>
    <n v="-5000"/>
    <n v="5000"/>
    <m/>
  </r>
  <r>
    <n v="751"/>
    <x v="142"/>
    <x v="1"/>
    <x v="5"/>
    <s v="كهرباء عامه"/>
    <x v="28"/>
    <s v="دبلوم تقني"/>
    <s v="هندسة الميكاترونكس"/>
    <s v="D"/>
    <x v="13"/>
    <d v="2014-05-15T00:00:00"/>
    <d v="2018-12-31T00:00:00"/>
    <n v="4"/>
    <n v="7"/>
    <n v="9.120000000000001"/>
    <n v="5460"/>
    <n v="497.952"/>
    <n v="5"/>
    <n v="5"/>
    <n v="5"/>
    <n v="3"/>
    <n v="3"/>
    <n v="3"/>
    <n v="3"/>
    <n v="3"/>
    <n v="5"/>
    <n v="35"/>
    <n v="13"/>
    <n v="12"/>
    <n v="15"/>
    <n v="10"/>
    <n v="3"/>
    <n v="3"/>
    <n v="56"/>
    <n v="91"/>
    <n v="10"/>
    <m/>
    <m/>
    <m/>
    <m/>
    <n v="54.6"/>
    <n v="2981.1600000000003"/>
    <n v="8441.16"/>
    <n v="1558.8400000000001"/>
    <n v="10000"/>
    <n v="10000"/>
    <n v="4540"/>
    <n v="83.150183150183153"/>
    <n v="0"/>
    <n v="0"/>
    <n v="4540"/>
    <n v="10000"/>
    <n v="83.150183150183153"/>
    <n v="5460"/>
    <m/>
    <n v="10000"/>
    <n v="10000"/>
    <n v="1558.8400000000001"/>
    <n v="-10000"/>
    <n v="10000"/>
    <m/>
  </r>
  <r>
    <n v="754"/>
    <x v="143"/>
    <x v="1"/>
    <x v="3"/>
    <s v="الخوص"/>
    <x v="8"/>
    <n v="0"/>
    <n v="0"/>
    <s v="H"/>
    <x v="11"/>
    <d v="2014-06-01T00:00:00"/>
    <d v="2018-12-31T00:00:00"/>
    <n v="4"/>
    <n v="6"/>
    <n v="8.9600000000000009"/>
    <n v="4150"/>
    <n v="371.84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2465.1"/>
    <n v="6615.1"/>
    <n v="0"/>
    <n v="6000"/>
    <n v="6615.1"/>
    <n v="2465.1000000000004"/>
    <n v="59.400000000000006"/>
    <n v="0"/>
    <n v="4.8999999999996362"/>
    <n v="2470"/>
    <n v="6620"/>
    <n v="59.518072289156628"/>
    <n v="4150"/>
    <m/>
    <n v="6620"/>
    <n v="6615.1"/>
    <n v="-615.10000000000036"/>
    <n v="-6615.1"/>
    <n v="6615.1"/>
    <m/>
  </r>
  <r>
    <n v="760"/>
    <x v="144"/>
    <x v="1"/>
    <x v="4"/>
    <n v="0"/>
    <x v="47"/>
    <s v="دبلوم تقني"/>
    <s v="هندسة ميكانيكية ( قوى )"/>
    <s v="D"/>
    <x v="11"/>
    <d v="2018-02-15T00:00:00"/>
    <d v="2018-12-31T00:00:00"/>
    <n v="0"/>
    <n v="10"/>
    <n v="1.6"/>
    <n v="4250"/>
    <n v="68"/>
    <n v="3"/>
    <n v="4"/>
    <n v="4"/>
    <n v="2"/>
    <n v="3"/>
    <n v="2"/>
    <n v="3"/>
    <n v="3"/>
    <n v="5"/>
    <n v="29"/>
    <n v="13"/>
    <n v="15"/>
    <n v="15"/>
    <n v="12"/>
    <n v="3"/>
    <n v="3"/>
    <n v="61"/>
    <n v="90"/>
    <n v="6"/>
    <m/>
    <m/>
    <m/>
    <m/>
    <n v="54"/>
    <n v="2295"/>
    <n v="6545"/>
    <n v="0"/>
    <n v="6000"/>
    <n v="6545"/>
    <n v="2295"/>
    <n v="54"/>
    <n v="0"/>
    <n v="5"/>
    <n v="2300"/>
    <n v="6550"/>
    <n v="54.117647058823529"/>
    <n v="4250"/>
    <m/>
    <n v="6550"/>
    <n v="6545"/>
    <n v="-545"/>
    <n v="-6545"/>
    <n v="6545"/>
    <m/>
  </r>
  <r>
    <n v="763"/>
    <x v="145"/>
    <x v="1"/>
    <x v="3"/>
    <s v="بيانات"/>
    <x v="48"/>
    <s v="بكلاريوس"/>
    <s v="الدراسات الإسلامية والقرأنية"/>
    <s v="C"/>
    <x v="16"/>
    <d v="2014-06-16T00:00:00"/>
    <d v="2018-12-31T00:00:00"/>
    <n v="4"/>
    <n v="6"/>
    <n v="8.9600000000000009"/>
    <n v="4150"/>
    <n v="371.84"/>
    <n v="5"/>
    <n v="5"/>
    <n v="4"/>
    <n v="2"/>
    <n v="2"/>
    <n v="2"/>
    <n v="3"/>
    <n v="3"/>
    <n v="5"/>
    <n v="31"/>
    <n v="14"/>
    <n v="13"/>
    <n v="15"/>
    <n v="12"/>
    <n v="3"/>
    <n v="3"/>
    <n v="60"/>
    <n v="91"/>
    <m/>
    <m/>
    <m/>
    <m/>
    <m/>
    <n v="54.6"/>
    <n v="2265.9"/>
    <n v="6415.9"/>
    <n v="0"/>
    <n v="6000"/>
    <n v="6415.9"/>
    <n v="2265.8999999999996"/>
    <n v="54.599999999999994"/>
    <n v="584.10000000000036"/>
    <n v="0"/>
    <n v="2850"/>
    <n v="7000"/>
    <n v="68.674698795180717"/>
    <n v="4150"/>
    <n v="7000"/>
    <n v="7000"/>
    <n v="7000"/>
    <n v="-415.89999999999964"/>
    <n v="584.10000000000036"/>
    <n v="6415.9"/>
    <m/>
  </r>
  <r>
    <n v="805"/>
    <x v="146"/>
    <x v="1"/>
    <x v="11"/>
    <n v="0"/>
    <x v="34"/>
    <s v="شهاده ثانويه"/>
    <s v="تمريض"/>
    <s v="F"/>
    <x v="11"/>
    <d v="2015-04-10T00:00:00"/>
    <d v="2018-12-31T00:00:00"/>
    <n v="3"/>
    <n v="8"/>
    <n v="7.28"/>
    <n v="4110"/>
    <n v="299.20800000000003"/>
    <n v="5"/>
    <n v="5"/>
    <n v="5"/>
    <n v="3"/>
    <n v="3"/>
    <n v="3"/>
    <n v="3"/>
    <n v="3"/>
    <n v="5"/>
    <n v="35"/>
    <n v="13"/>
    <n v="12"/>
    <n v="15"/>
    <n v="10"/>
    <n v="3"/>
    <n v="3"/>
    <n v="56"/>
    <n v="91"/>
    <m/>
    <m/>
    <m/>
    <m/>
    <m/>
    <n v="54.6"/>
    <n v="2244.06"/>
    <n v="6354.0599999999995"/>
    <n v="0"/>
    <n v="6000"/>
    <n v="6354.0599999999995"/>
    <n v="2244.0599999999995"/>
    <n v="54.599999999999987"/>
    <n v="0"/>
    <n v="5.9400000000005093"/>
    <n v="2250"/>
    <n v="6360"/>
    <n v="54.744525547445257"/>
    <n v="4110"/>
    <m/>
    <n v="6360"/>
    <n v="6354.0599999999995"/>
    <n v="-354.05999999999949"/>
    <n v="-6354.0599999999995"/>
    <n v="6354.0599999999995"/>
    <m/>
  </r>
  <r>
    <n v="811"/>
    <x v="147"/>
    <x v="1"/>
    <x v="5"/>
    <s v="كهرباء عامه"/>
    <x v="28"/>
    <s v="دبلوم تقني"/>
    <s v="هندسة كهرباء"/>
    <s v="D"/>
    <x v="9"/>
    <d v="2015-05-01T00:00:00"/>
    <d v="2018-12-31T00:00:00"/>
    <n v="3"/>
    <n v="7"/>
    <n v="7.12"/>
    <n v="4630"/>
    <n v="329.65600000000001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n v="10"/>
    <m/>
    <m/>
    <m/>
    <m/>
    <n v="57.599999999999994"/>
    <n v="2666.8799999999997"/>
    <n v="7296.8799999999992"/>
    <n v="0"/>
    <n v="6500"/>
    <n v="7296.8799999999992"/>
    <n v="2666.8799999999992"/>
    <n v="57.599999999999987"/>
    <n v="203.1200000000008"/>
    <n v="0"/>
    <n v="2870"/>
    <n v="7500"/>
    <n v="61.987041036717066"/>
    <n v="4630"/>
    <n v="7500"/>
    <n v="7500"/>
    <n v="7500"/>
    <n v="-796.8799999999992"/>
    <n v="203.1200000000008"/>
    <n v="7296.8799999999992"/>
    <m/>
  </r>
  <r>
    <n v="812"/>
    <x v="148"/>
    <x v="1"/>
    <x v="3"/>
    <n v="0"/>
    <x v="18"/>
    <n v="0"/>
    <n v="0"/>
    <s v="H"/>
    <x v="15"/>
    <d v="2015-05-03T00:00:00"/>
    <d v="2018-12-31T00:00:00"/>
    <n v="3"/>
    <n v="7"/>
    <n v="7.12"/>
    <n v="3090"/>
    <n v="220.00800000000001"/>
    <n v="5"/>
    <n v="5"/>
    <n v="5"/>
    <n v="1"/>
    <n v="1"/>
    <n v="1"/>
    <n v="3"/>
    <n v="3"/>
    <n v="5"/>
    <n v="29"/>
    <n v="13"/>
    <n v="13"/>
    <n v="13"/>
    <n v="8"/>
    <n v="3"/>
    <n v="3"/>
    <n v="53"/>
    <n v="82"/>
    <m/>
    <m/>
    <m/>
    <m/>
    <m/>
    <n v="49.199999999999996"/>
    <n v="1520.2799999999997"/>
    <n v="4610.28"/>
    <n v="0"/>
    <n v="4500"/>
    <n v="4610.28"/>
    <n v="1520.2799999999997"/>
    <n v="49.199999999999996"/>
    <n v="0"/>
    <n v="9.7200000000002547"/>
    <n v="1530"/>
    <n v="4620"/>
    <n v="49.514563106796118"/>
    <n v="3090"/>
    <m/>
    <n v="4620"/>
    <n v="4610.28"/>
    <n v="-110.27999999999975"/>
    <n v="-4610.28"/>
    <n v="4610.28"/>
    <m/>
  </r>
  <r>
    <n v="814"/>
    <x v="149"/>
    <x v="1"/>
    <x v="3"/>
    <n v="0"/>
    <x v="6"/>
    <s v="دبلوم (معاهد)"/>
    <s v="تبريد وتكييف"/>
    <s v="E"/>
    <x v="18"/>
    <d v="2015-05-16T00:00:00"/>
    <d v="2018-12-31T00:00:00"/>
    <n v="3"/>
    <n v="7"/>
    <n v="7.12"/>
    <n v="5170"/>
    <n v="368.10399999999998"/>
    <n v="5"/>
    <n v="5"/>
    <n v="5"/>
    <n v="1"/>
    <n v="1"/>
    <n v="1"/>
    <n v="3"/>
    <n v="3"/>
    <n v="5"/>
    <n v="29"/>
    <n v="14"/>
    <n v="15"/>
    <n v="15"/>
    <n v="12"/>
    <n v="5"/>
    <n v="3"/>
    <n v="64"/>
    <n v="93"/>
    <m/>
    <m/>
    <m/>
    <m/>
    <m/>
    <n v="55.8"/>
    <n v="2884.8599999999997"/>
    <n v="8054.86"/>
    <n v="1445.1400000000003"/>
    <n v="9500"/>
    <n v="9500"/>
    <n v="4330"/>
    <n v="83.752417794970981"/>
    <n v="0"/>
    <n v="0"/>
    <n v="4330"/>
    <n v="9500"/>
    <n v="83.752417794970981"/>
    <n v="5170"/>
    <m/>
    <n v="9500"/>
    <n v="9500"/>
    <n v="1445.1400000000003"/>
    <n v="-9500"/>
    <n v="9500"/>
    <m/>
  </r>
  <r>
    <n v="817"/>
    <x v="150"/>
    <x v="1"/>
    <x v="3"/>
    <s v="المواسير"/>
    <x v="11"/>
    <n v="0"/>
    <n v="0"/>
    <s v="H"/>
    <x v="10"/>
    <d v="2015-06-01T00:00:00"/>
    <d v="2018-12-31T00:00:00"/>
    <n v="3"/>
    <n v="6"/>
    <n v="6.96"/>
    <n v="4100"/>
    <n v="285.36"/>
    <n v="5"/>
    <n v="5"/>
    <n v="5"/>
    <n v="1"/>
    <n v="2"/>
    <n v="2"/>
    <n v="3"/>
    <n v="3"/>
    <n v="5"/>
    <n v="31"/>
    <n v="14"/>
    <n v="15"/>
    <n v="15"/>
    <n v="12"/>
    <n v="4"/>
    <n v="3"/>
    <n v="63"/>
    <n v="94"/>
    <m/>
    <m/>
    <m/>
    <m/>
    <m/>
    <n v="56.4"/>
    <n v="2312.3999999999996"/>
    <n v="6412.4"/>
    <n v="0"/>
    <n v="5500"/>
    <n v="6412.4"/>
    <n v="2312.3999999999996"/>
    <n v="56.399999999999991"/>
    <n v="0"/>
    <n v="7.6000000000003638"/>
    <n v="2320"/>
    <n v="6420"/>
    <n v="56.585365853658537"/>
    <n v="4100"/>
    <m/>
    <n v="6420"/>
    <n v="6412.4"/>
    <n v="-912.39999999999964"/>
    <n v="-6412.4"/>
    <n v="6412.4"/>
    <m/>
  </r>
  <r>
    <n v="823"/>
    <x v="151"/>
    <x v="1"/>
    <x v="14"/>
    <n v="0"/>
    <x v="49"/>
    <s v="دبلوم تقني"/>
    <s v="هندسة سيارات"/>
    <s v="D"/>
    <x v="11"/>
    <d v="2015-06-18T00:00:00"/>
    <d v="2018-12-31T00:00:00"/>
    <n v="3"/>
    <n v="6"/>
    <n v="6.96"/>
    <n v="4610"/>
    <n v="320.85599999999999"/>
    <n v="4"/>
    <n v="5"/>
    <n v="5"/>
    <n v="2"/>
    <n v="3"/>
    <n v="3"/>
    <n v="3"/>
    <n v="3"/>
    <n v="5"/>
    <n v="33"/>
    <n v="13"/>
    <n v="13"/>
    <n v="12"/>
    <n v="10"/>
    <n v="3"/>
    <n v="3"/>
    <n v="54"/>
    <n v="87"/>
    <m/>
    <m/>
    <m/>
    <m/>
    <m/>
    <n v="52.199999999999996"/>
    <n v="2406.4199999999996"/>
    <n v="7016.42"/>
    <n v="0"/>
    <n v="6000"/>
    <n v="7016.42"/>
    <n v="2406.42"/>
    <n v="52.2"/>
    <n v="0"/>
    <n v="3.5799999999999272"/>
    <n v="2410"/>
    <n v="7020"/>
    <n v="52.277657266811275"/>
    <n v="4610"/>
    <m/>
    <n v="7020"/>
    <n v="7016.42"/>
    <n v="-1016.4200000000001"/>
    <n v="-7016.42"/>
    <n v="7016.42"/>
    <m/>
  </r>
  <r>
    <n v="825"/>
    <x v="152"/>
    <x v="1"/>
    <x v="4"/>
    <s v="الحداده"/>
    <x v="41"/>
    <s v="تدريب مهني"/>
    <s v="البراده العامه"/>
    <s v="F"/>
    <x v="2"/>
    <d v="2015-07-01T00:00:00"/>
    <d v="2018-12-31T00:00:00"/>
    <n v="3"/>
    <n v="5"/>
    <n v="6.8"/>
    <n v="4640"/>
    <n v="315.52"/>
    <n v="4"/>
    <n v="5"/>
    <n v="4"/>
    <n v="2"/>
    <n v="3"/>
    <n v="3"/>
    <n v="3"/>
    <n v="3"/>
    <n v="5"/>
    <n v="32"/>
    <n v="14"/>
    <n v="14"/>
    <n v="15"/>
    <n v="12"/>
    <n v="4"/>
    <n v="3"/>
    <n v="62"/>
    <n v="94"/>
    <n v="10"/>
    <m/>
    <m/>
    <m/>
    <m/>
    <n v="56.4"/>
    <n v="2616.9599999999996"/>
    <n v="7256.9599999999991"/>
    <n v="0"/>
    <n v="7000"/>
    <n v="7256.9599999999991"/>
    <n v="2616.9599999999991"/>
    <n v="56.399999999999984"/>
    <n v="243.04000000000087"/>
    <n v="0"/>
    <n v="2860"/>
    <n v="7500"/>
    <n v="61.637931034482762"/>
    <n v="4640"/>
    <n v="7500"/>
    <n v="7500"/>
    <n v="7500"/>
    <n v="-256.95999999999913"/>
    <n v="243.04000000000087"/>
    <n v="7256.9599999999991"/>
    <m/>
  </r>
  <r>
    <n v="830"/>
    <x v="153"/>
    <x v="1"/>
    <x v="2"/>
    <s v="قطع الغيار"/>
    <x v="48"/>
    <s v="دبلوم تقني"/>
    <s v="هندسة حاسوب"/>
    <s v="D"/>
    <x v="16"/>
    <d v="2015-08-01T00:00:00"/>
    <d v="2018-12-31T00:00:00"/>
    <n v="3"/>
    <n v="4"/>
    <n v="6.64"/>
    <n v="4100"/>
    <n v="272.24"/>
    <n v="5"/>
    <n v="5"/>
    <n v="4"/>
    <n v="3"/>
    <n v="3"/>
    <n v="3"/>
    <n v="3"/>
    <n v="3"/>
    <n v="5"/>
    <n v="34"/>
    <n v="13"/>
    <n v="14"/>
    <n v="15"/>
    <n v="12"/>
    <n v="3"/>
    <n v="3"/>
    <n v="60"/>
    <n v="94"/>
    <m/>
    <m/>
    <m/>
    <m/>
    <m/>
    <n v="56.4"/>
    <n v="2312.3999999999996"/>
    <n v="6412.4"/>
    <n v="0"/>
    <n v="6000"/>
    <n v="6412.4"/>
    <n v="2312.3999999999996"/>
    <n v="56.399999999999991"/>
    <n v="587.60000000000036"/>
    <n v="0"/>
    <n v="2900"/>
    <n v="7000"/>
    <n v="70.731707317073173"/>
    <n v="4100"/>
    <n v="7000"/>
    <n v="7000"/>
    <n v="7000"/>
    <n v="-412.39999999999964"/>
    <n v="587.60000000000036"/>
    <n v="6412.4"/>
    <m/>
  </r>
  <r>
    <n v="832"/>
    <x v="154"/>
    <x v="1"/>
    <x v="4"/>
    <s v="المخارط"/>
    <x v="50"/>
    <s v="شهاده ثانويه"/>
    <n v="0"/>
    <s v="F"/>
    <x v="3"/>
    <d v="2015-08-04T00:00:00"/>
    <d v="2018-12-31T00:00:00"/>
    <n v="3"/>
    <n v="4"/>
    <n v="6.64"/>
    <n v="5140"/>
    <n v="341.29599999999999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n v="10"/>
    <m/>
    <m/>
    <m/>
    <m/>
    <n v="59.4"/>
    <n v="3053.16"/>
    <n v="8193.16"/>
    <n v="3806.84"/>
    <n v="12000"/>
    <n v="12000"/>
    <n v="6860"/>
    <n v="133.46303501945525"/>
    <n v="0"/>
    <n v="0"/>
    <n v="6860"/>
    <n v="12000"/>
    <n v="133.46303501945525"/>
    <n v="5140"/>
    <m/>
    <n v="12000"/>
    <n v="12000"/>
    <n v="3806.84"/>
    <n v="-12000"/>
    <n v="12000"/>
    <m/>
  </r>
  <r>
    <n v="833"/>
    <x v="155"/>
    <x v="1"/>
    <x v="3"/>
    <n v="0"/>
    <x v="18"/>
    <s v="شهاده ثانويه"/>
    <n v="0"/>
    <s v="F"/>
    <x v="15"/>
    <d v="2015-08-12T00:00:00"/>
    <d v="2018-12-31T00:00:00"/>
    <n v="3"/>
    <n v="4"/>
    <n v="6.64"/>
    <n v="3090"/>
    <n v="205.17599999999999"/>
    <n v="5"/>
    <n v="5"/>
    <n v="5"/>
    <n v="1"/>
    <n v="1"/>
    <n v="1"/>
    <n v="3"/>
    <n v="3"/>
    <n v="5"/>
    <n v="29"/>
    <n v="14"/>
    <n v="15"/>
    <n v="15"/>
    <n v="12"/>
    <n v="4"/>
    <n v="3"/>
    <n v="63"/>
    <n v="92"/>
    <m/>
    <m/>
    <m/>
    <m/>
    <m/>
    <n v="55.199999999999996"/>
    <n v="1705.6799999999998"/>
    <n v="4795.68"/>
    <n v="0"/>
    <n v="4500"/>
    <n v="4795.68"/>
    <n v="1705.6800000000003"/>
    <n v="55.20000000000001"/>
    <n v="0"/>
    <n v="4.319999999999709"/>
    <n v="1710"/>
    <n v="4800"/>
    <n v="55.339805825242721"/>
    <n v="3090"/>
    <m/>
    <n v="4800"/>
    <n v="4795.68"/>
    <n v="-295.68000000000029"/>
    <n v="-4795.68"/>
    <n v="4795.68"/>
    <m/>
  </r>
  <r>
    <n v="834"/>
    <x v="156"/>
    <x v="1"/>
    <x v="6"/>
    <n v="0"/>
    <x v="18"/>
    <n v="0"/>
    <n v="0"/>
    <s v="H"/>
    <x v="15"/>
    <d v="2015-08-13T00:00:00"/>
    <d v="2018-12-31T00:00:00"/>
    <n v="3"/>
    <n v="4"/>
    <n v="6.64"/>
    <n v="3090"/>
    <n v="205.17599999999999"/>
    <n v="5"/>
    <n v="5"/>
    <n v="5"/>
    <n v="2"/>
    <n v="2"/>
    <n v="3"/>
    <n v="3"/>
    <n v="3"/>
    <n v="5"/>
    <n v="33"/>
    <n v="15"/>
    <n v="14"/>
    <n v="15"/>
    <n v="12"/>
    <n v="4"/>
    <n v="3"/>
    <n v="63"/>
    <n v="96"/>
    <m/>
    <m/>
    <m/>
    <m/>
    <m/>
    <n v="57.599999999999994"/>
    <n v="1779.84"/>
    <n v="4869.84"/>
    <n v="0"/>
    <n v="4500"/>
    <n v="4869.84"/>
    <n v="1779.8400000000001"/>
    <n v="57.600000000000009"/>
    <n v="0"/>
    <n v="0.15999999999985448"/>
    <n v="1780"/>
    <n v="4870"/>
    <n v="57.605177993527512"/>
    <n v="3090"/>
    <m/>
    <n v="4870"/>
    <n v="4869.84"/>
    <n v="-369.84000000000015"/>
    <n v="-4869.84"/>
    <n v="4869.84"/>
    <m/>
  </r>
  <r>
    <n v="839"/>
    <x v="157"/>
    <x v="1"/>
    <x v="4"/>
    <s v="صيانه عامه"/>
    <x v="14"/>
    <s v="دبلوم تقني"/>
    <s v="هندسة ميكانيكية ( صيانة )"/>
    <s v="D"/>
    <x v="11"/>
    <d v="2018-02-05T00:00:00"/>
    <d v="2018-12-31T00:00:00"/>
    <n v="0"/>
    <n v="10"/>
    <n v="1.6"/>
    <n v="4000"/>
    <n v="64"/>
    <n v="3"/>
    <n v="4"/>
    <n v="4"/>
    <n v="2"/>
    <n v="3"/>
    <n v="2"/>
    <n v="2"/>
    <n v="3"/>
    <n v="5"/>
    <n v="28"/>
    <n v="13"/>
    <n v="14"/>
    <n v="12"/>
    <n v="10"/>
    <n v="3"/>
    <n v="3"/>
    <n v="55"/>
    <n v="83"/>
    <n v="6"/>
    <m/>
    <m/>
    <m/>
    <m/>
    <n v="49.8"/>
    <n v="1992"/>
    <n v="5992"/>
    <n v="8"/>
    <n v="6000"/>
    <n v="6000"/>
    <n v="2000"/>
    <n v="50"/>
    <n v="0"/>
    <n v="0"/>
    <n v="2000"/>
    <n v="6000"/>
    <n v="50"/>
    <n v="4000"/>
    <m/>
    <n v="6000"/>
    <n v="6000"/>
    <n v="8"/>
    <n v="-6000"/>
    <n v="6000"/>
    <m/>
  </r>
  <r>
    <n v="840"/>
    <x v="158"/>
    <x v="1"/>
    <x v="4"/>
    <s v="صيانه عامه"/>
    <x v="14"/>
    <s v="شهاده ثانويه"/>
    <n v="0"/>
    <s v="F"/>
    <x v="9"/>
    <d v="2015-09-01T00:00:00"/>
    <d v="2018-12-31T00:00:00"/>
    <n v="3"/>
    <n v="3"/>
    <n v="6.48"/>
    <n v="4600"/>
    <n v="298.08"/>
    <n v="4"/>
    <n v="4"/>
    <n v="4"/>
    <n v="2"/>
    <n v="3"/>
    <n v="3"/>
    <n v="3"/>
    <n v="3"/>
    <n v="5"/>
    <n v="31"/>
    <n v="14"/>
    <n v="13"/>
    <n v="15"/>
    <n v="12"/>
    <n v="3"/>
    <n v="3"/>
    <n v="60"/>
    <n v="91"/>
    <n v="8"/>
    <m/>
    <m/>
    <m/>
    <m/>
    <n v="54.6"/>
    <n v="2511.6000000000004"/>
    <n v="7111.6"/>
    <n v="0"/>
    <n v="6500"/>
    <n v="7111.6"/>
    <n v="2511.6000000000004"/>
    <n v="54.600000000000009"/>
    <n v="0"/>
    <n v="8.3999999999996362"/>
    <n v="2520"/>
    <n v="7120"/>
    <n v="54.782608695652172"/>
    <n v="4600"/>
    <m/>
    <n v="7120"/>
    <n v="7111.6"/>
    <n v="-611.60000000000036"/>
    <n v="-7111.6"/>
    <n v="7111.6"/>
    <m/>
  </r>
  <r>
    <n v="842"/>
    <x v="159"/>
    <x v="1"/>
    <x v="3"/>
    <s v="المواسير"/>
    <x v="8"/>
    <s v="شهاده ثانويه"/>
    <n v="0"/>
    <s v="F"/>
    <x v="9"/>
    <d v="2015-09-01T00:00:00"/>
    <d v="2018-12-31T00:00:00"/>
    <n v="3"/>
    <n v="3"/>
    <n v="6.48"/>
    <n v="4100"/>
    <n v="265.68"/>
    <n v="5"/>
    <n v="5"/>
    <n v="4"/>
    <n v="2"/>
    <n v="3"/>
    <n v="3"/>
    <n v="3"/>
    <n v="3"/>
    <n v="5"/>
    <n v="33"/>
    <n v="14"/>
    <n v="13"/>
    <n v="12"/>
    <n v="10"/>
    <n v="3"/>
    <n v="3"/>
    <n v="55"/>
    <n v="88"/>
    <m/>
    <m/>
    <m/>
    <m/>
    <m/>
    <n v="52.8"/>
    <n v="2164.8000000000002"/>
    <n v="6264.8"/>
    <n v="235.19999999999982"/>
    <n v="6500"/>
    <n v="6500"/>
    <n v="2400"/>
    <n v="58.536585365853661"/>
    <n v="0"/>
    <n v="0"/>
    <n v="2400"/>
    <n v="6500"/>
    <n v="58.536585365853661"/>
    <n v="4100"/>
    <n v="6500"/>
    <n v="6500"/>
    <n v="6500"/>
    <n v="235.19999999999982"/>
    <n v="0"/>
    <n v="6500"/>
    <m/>
  </r>
  <r>
    <n v="849"/>
    <x v="160"/>
    <x v="1"/>
    <x v="15"/>
    <n v="0"/>
    <x v="51"/>
    <s v="شهاده كورس"/>
    <s v="صيانة حاسوب"/>
    <s v="F"/>
    <x v="16"/>
    <d v="2015-11-01T00:00:00"/>
    <d v="2018-12-31T00:00:00"/>
    <n v="3"/>
    <n v="1"/>
    <n v="6.16"/>
    <n v="4090"/>
    <n v="251.94399999999999"/>
    <n v="4"/>
    <n v="5"/>
    <n v="4"/>
    <n v="1"/>
    <n v="2"/>
    <n v="2"/>
    <n v="3"/>
    <n v="2"/>
    <n v="5"/>
    <n v="28"/>
    <n v="14"/>
    <n v="13"/>
    <n v="15"/>
    <n v="10"/>
    <n v="3"/>
    <n v="3"/>
    <n v="58"/>
    <n v="86"/>
    <m/>
    <m/>
    <m/>
    <m/>
    <m/>
    <n v="51.6"/>
    <n v="2110.44"/>
    <n v="6200.4400000000005"/>
    <n v="0"/>
    <n v="6000"/>
    <n v="6200.4400000000005"/>
    <n v="2110.4400000000005"/>
    <n v="51.600000000000016"/>
    <n v="0"/>
    <n v="9.5599999999994907"/>
    <n v="2120"/>
    <n v="6210"/>
    <n v="51.833740831295849"/>
    <n v="4090"/>
    <m/>
    <n v="6210"/>
    <n v="6200.4400000000005"/>
    <n v="-200.44000000000051"/>
    <n v="-6200.4400000000005"/>
    <n v="6200.4400000000005"/>
    <m/>
  </r>
  <r>
    <n v="852"/>
    <x v="161"/>
    <x v="1"/>
    <x v="3"/>
    <s v="المواسير"/>
    <x v="18"/>
    <n v="0"/>
    <n v="0"/>
    <s v="H"/>
    <x v="15"/>
    <d v="2015-11-08T00:00:00"/>
    <d v="2018-12-31T00:00:00"/>
    <n v="3"/>
    <n v="1"/>
    <n v="6.16"/>
    <n v="3080"/>
    <n v="189.72800000000001"/>
    <n v="5"/>
    <n v="5"/>
    <n v="5"/>
    <n v="0"/>
    <n v="0"/>
    <n v="0"/>
    <n v="3"/>
    <n v="3"/>
    <n v="5"/>
    <n v="26"/>
    <n v="15"/>
    <n v="14"/>
    <n v="15"/>
    <n v="12"/>
    <n v="4"/>
    <n v="3"/>
    <n v="63"/>
    <n v="89"/>
    <m/>
    <m/>
    <m/>
    <m/>
    <m/>
    <n v="53.4"/>
    <n v="1644.72"/>
    <n v="4724.72"/>
    <n v="0"/>
    <n v="4500"/>
    <n v="4724.72"/>
    <n v="1644.7200000000003"/>
    <n v="53.400000000000006"/>
    <n v="0"/>
    <n v="5.2799999999997453"/>
    <n v="1650"/>
    <n v="4730"/>
    <n v="53.571428571428569"/>
    <n v="3080"/>
    <m/>
    <n v="4730"/>
    <n v="4724.72"/>
    <n v="-224.72000000000025"/>
    <n v="-4724.72"/>
    <n v="4724.72"/>
    <m/>
  </r>
  <r>
    <n v="854"/>
    <x v="162"/>
    <x v="1"/>
    <x v="6"/>
    <n v="0"/>
    <x v="18"/>
    <n v="0"/>
    <n v="0"/>
    <s v="H"/>
    <x v="15"/>
    <d v="2015-11-21T00:00:00"/>
    <d v="2018-12-31T00:00:00"/>
    <n v="3"/>
    <n v="1"/>
    <n v="6.16"/>
    <n v="3080"/>
    <n v="189.72800000000001"/>
    <n v="5"/>
    <n v="5"/>
    <n v="5"/>
    <n v="2"/>
    <n v="2"/>
    <n v="3"/>
    <n v="3"/>
    <n v="3"/>
    <n v="5"/>
    <n v="33"/>
    <n v="14"/>
    <n v="14"/>
    <n v="15"/>
    <n v="12"/>
    <n v="3"/>
    <n v="3"/>
    <n v="61"/>
    <n v="94"/>
    <m/>
    <m/>
    <m/>
    <m/>
    <m/>
    <n v="56.4"/>
    <n v="1737.12"/>
    <n v="4817.12"/>
    <n v="0"/>
    <n v="4500"/>
    <n v="4817.12"/>
    <n v="1737.12"/>
    <n v="56.4"/>
    <n v="0"/>
    <n v="2.8800000000001091"/>
    <n v="1740"/>
    <n v="4820"/>
    <n v="56.493506493506494"/>
    <n v="3080"/>
    <m/>
    <n v="4820"/>
    <n v="4817.12"/>
    <n v="-317.11999999999989"/>
    <n v="-4817.12"/>
    <n v="4817.12"/>
    <m/>
  </r>
  <r>
    <n v="855"/>
    <x v="163"/>
    <x v="1"/>
    <x v="7"/>
    <n v="0"/>
    <x v="19"/>
    <s v="بكلاريوس"/>
    <s v="محاسبة"/>
    <s v="C"/>
    <x v="2"/>
    <d v="2015-12-15T00:00:00"/>
    <d v="2018-12-31T00:00:00"/>
    <n v="3"/>
    <n v="0"/>
    <n v="6"/>
    <n v="5100"/>
    <n v="306"/>
    <n v="4"/>
    <n v="4"/>
    <n v="4"/>
    <n v="2"/>
    <n v="2"/>
    <n v="2"/>
    <n v="1"/>
    <n v="2"/>
    <n v="4"/>
    <n v="25"/>
    <n v="14"/>
    <n v="13"/>
    <n v="15"/>
    <n v="15"/>
    <n v="3"/>
    <n v="3"/>
    <n v="63"/>
    <n v="88"/>
    <n v="10"/>
    <m/>
    <m/>
    <n v="6"/>
    <m/>
    <n v="52.8"/>
    <n v="2692.8"/>
    <n v="7792.8"/>
    <n v="0"/>
    <n v="7000"/>
    <n v="7792.8"/>
    <n v="2692.8"/>
    <n v="52.800000000000004"/>
    <n v="707.19999999999982"/>
    <n v="0"/>
    <n v="3400"/>
    <n v="8500"/>
    <n v="66.666666666666671"/>
    <n v="5100"/>
    <n v="8500"/>
    <n v="8500"/>
    <n v="8500"/>
    <n v="-792.80000000000018"/>
    <n v="707.19999999999982"/>
    <n v="7792.8"/>
    <m/>
  </r>
  <r>
    <n v="856"/>
    <x v="164"/>
    <x v="1"/>
    <x v="3"/>
    <s v="التشريح"/>
    <x v="8"/>
    <s v="دبلوم تقني"/>
    <s v="هندسة ميكانيكية ( إنتاج )"/>
    <s v="D"/>
    <x v="2"/>
    <d v="2016-01-03T00:00:00"/>
    <d v="2018-12-31T00:00:00"/>
    <n v="2"/>
    <n v="11"/>
    <n v="5.76"/>
    <n v="5550"/>
    <n v="319.68"/>
    <n v="5"/>
    <n v="5"/>
    <n v="5"/>
    <n v="3"/>
    <n v="3"/>
    <n v="3"/>
    <n v="3"/>
    <n v="3"/>
    <n v="5"/>
    <n v="35"/>
    <n v="14"/>
    <n v="13"/>
    <n v="15"/>
    <n v="12"/>
    <n v="3"/>
    <n v="3"/>
    <n v="60"/>
    <n v="95"/>
    <m/>
    <m/>
    <m/>
    <m/>
    <m/>
    <n v="57"/>
    <n v="3163.4999999999995"/>
    <n v="8713.5"/>
    <n v="0"/>
    <n v="7000"/>
    <n v="8713.5"/>
    <n v="3163.5"/>
    <n v="57"/>
    <n v="286.5"/>
    <n v="0"/>
    <n v="3450"/>
    <n v="9000"/>
    <n v="62.162162162162161"/>
    <n v="5550"/>
    <n v="9000"/>
    <n v="9000"/>
    <n v="9000"/>
    <n v="-1713.5"/>
    <n v="286.5"/>
    <n v="8713.5"/>
    <m/>
  </r>
  <r>
    <n v="857"/>
    <x v="165"/>
    <x v="1"/>
    <x v="12"/>
    <s v="الحركه"/>
    <x v="46"/>
    <n v="0"/>
    <n v="0"/>
    <s v="H"/>
    <x v="11"/>
    <d v="2016-01-17T00:00:00"/>
    <d v="2018-12-31T00:00:00"/>
    <n v="2"/>
    <n v="11"/>
    <n v="5.76"/>
    <n v="4080"/>
    <n v="235.00800000000001"/>
    <n v="5"/>
    <n v="5"/>
    <n v="5"/>
    <n v="2"/>
    <n v="2"/>
    <n v="2"/>
    <n v="3"/>
    <n v="3"/>
    <n v="5"/>
    <n v="32"/>
    <n v="15"/>
    <n v="14"/>
    <n v="15"/>
    <n v="10"/>
    <n v="4"/>
    <n v="3"/>
    <n v="61"/>
    <n v="93"/>
    <n v="10"/>
    <m/>
    <m/>
    <n v="8"/>
    <m/>
    <n v="55.8"/>
    <n v="2276.64"/>
    <n v="6356.6399999999994"/>
    <n v="0"/>
    <n v="6000"/>
    <n v="6356.6399999999994"/>
    <n v="2276.6399999999994"/>
    <n v="55.79999999999999"/>
    <n v="0"/>
    <n v="3.3600000000005821"/>
    <n v="2280"/>
    <n v="6360"/>
    <n v="55.882352941176471"/>
    <n v="4080"/>
    <m/>
    <n v="6360"/>
    <n v="6356.6399999999994"/>
    <n v="-356.63999999999942"/>
    <n v="-6356.6399999999994"/>
    <n v="6356.6399999999994"/>
    <m/>
  </r>
  <r>
    <n v="859"/>
    <x v="166"/>
    <x v="1"/>
    <x v="12"/>
    <s v="الحركه"/>
    <x v="46"/>
    <n v="0"/>
    <n v="0"/>
    <s v="H"/>
    <x v="11"/>
    <d v="2016-02-01T00:00:00"/>
    <d v="2018-12-31T00:00:00"/>
    <n v="2"/>
    <n v="10"/>
    <n v="5.6"/>
    <n v="4080"/>
    <n v="228.48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m/>
    <m/>
    <m/>
    <m/>
    <m/>
    <n v="59.4"/>
    <n v="2423.52"/>
    <n v="6503.52"/>
    <n v="0"/>
    <n v="6000"/>
    <n v="6503.52"/>
    <n v="2423.5200000000004"/>
    <n v="59.400000000000013"/>
    <n v="0"/>
    <n v="6.4799999999995634"/>
    <n v="2430"/>
    <n v="6510"/>
    <n v="59.558823529411768"/>
    <n v="4080"/>
    <m/>
    <n v="6510"/>
    <n v="6503.52"/>
    <n v="-503.52000000000044"/>
    <n v="-6503.52"/>
    <n v="6503.52"/>
    <m/>
  </r>
  <r>
    <n v="860"/>
    <x v="167"/>
    <x v="1"/>
    <x v="3"/>
    <s v="المواسير"/>
    <x v="18"/>
    <n v="0"/>
    <n v="0"/>
    <s v="H"/>
    <x v="15"/>
    <d v="2017-07-03T00:00:00"/>
    <d v="2018-12-31T00:00:00"/>
    <n v="1"/>
    <n v="5"/>
    <n v="2.8"/>
    <n v="3020"/>
    <n v="84.56"/>
    <n v="5"/>
    <n v="5"/>
    <n v="5"/>
    <n v="1"/>
    <n v="1"/>
    <n v="1"/>
    <n v="3"/>
    <n v="3"/>
    <n v="5"/>
    <n v="29"/>
    <n v="13"/>
    <n v="12"/>
    <n v="9"/>
    <n v="8"/>
    <n v="3"/>
    <n v="3"/>
    <n v="48"/>
    <n v="77"/>
    <m/>
    <m/>
    <m/>
    <m/>
    <m/>
    <n v="46.199999999999996"/>
    <n v="1395.24"/>
    <n v="4415.24"/>
    <n v="84.760000000000218"/>
    <n v="4500"/>
    <n v="4500"/>
    <n v="1480"/>
    <n v="49.006622516556291"/>
    <n v="0"/>
    <n v="0"/>
    <n v="1480"/>
    <n v="4500"/>
    <n v="49.006622516556291"/>
    <n v="3020"/>
    <m/>
    <n v="4500"/>
    <n v="4500"/>
    <n v="84.760000000000218"/>
    <n v="-4500"/>
    <n v="4500"/>
    <m/>
  </r>
  <r>
    <n v="862"/>
    <x v="168"/>
    <x v="1"/>
    <x v="3"/>
    <s v="المواسير"/>
    <x v="12"/>
    <s v="شهاده ثانويه"/>
    <n v="0"/>
    <s v="F"/>
    <x v="17"/>
    <d v="2016-02-04T00:00:00"/>
    <d v="2018-12-31T00:00:00"/>
    <n v="2"/>
    <n v="10"/>
    <n v="5.6"/>
    <n v="4080"/>
    <n v="228.48"/>
    <n v="5"/>
    <n v="5"/>
    <n v="4"/>
    <n v="2"/>
    <n v="2"/>
    <n v="1"/>
    <n v="3"/>
    <n v="3"/>
    <n v="5"/>
    <n v="30"/>
    <n v="13"/>
    <n v="10"/>
    <n v="0"/>
    <n v="6"/>
    <n v="2"/>
    <n v="3"/>
    <n v="34"/>
    <n v="64"/>
    <m/>
    <m/>
    <m/>
    <m/>
    <m/>
    <n v="38.4"/>
    <n v="1566.72"/>
    <n v="5646.72"/>
    <n v="0"/>
    <n v="4000"/>
    <n v="5646.72"/>
    <n v="1566.7200000000003"/>
    <n v="38.400000000000006"/>
    <n v="0"/>
    <n v="3.2799999999997453"/>
    <n v="1570"/>
    <n v="5650"/>
    <n v="38.480392156862749"/>
    <n v="4080"/>
    <m/>
    <n v="5650"/>
    <n v="5646.72"/>
    <n v="-1646.7200000000003"/>
    <n v="-5646.72"/>
    <n v="5646.72"/>
    <m/>
  </r>
  <r>
    <n v="863"/>
    <x v="169"/>
    <x v="1"/>
    <x v="8"/>
    <s v="موظف"/>
    <x v="25"/>
    <s v="بكلاريوس"/>
    <s v="إدارة الاعمال"/>
    <s v="C"/>
    <x v="13"/>
    <d v="2016-02-09T00:00:00"/>
    <d v="2018-12-31T00:00:00"/>
    <n v="2"/>
    <n v="10"/>
    <n v="5.6"/>
    <n v="5090"/>
    <n v="285.04000000000002"/>
    <n v="5"/>
    <n v="5"/>
    <n v="5"/>
    <n v="3"/>
    <n v="3"/>
    <n v="3"/>
    <n v="3"/>
    <n v="3"/>
    <n v="5"/>
    <n v="35"/>
    <n v="14"/>
    <n v="15"/>
    <n v="15"/>
    <n v="12"/>
    <n v="4"/>
    <n v="3"/>
    <n v="63"/>
    <n v="98"/>
    <m/>
    <m/>
    <m/>
    <m/>
    <m/>
    <n v="58.8"/>
    <n v="2992.9199999999996"/>
    <n v="8082.92"/>
    <n v="1917.08"/>
    <n v="10000"/>
    <n v="10000"/>
    <n v="4910"/>
    <n v="96.463654223968575"/>
    <n v="1000"/>
    <n v="0"/>
    <n v="5910"/>
    <n v="11000"/>
    <n v="116.11001964636543"/>
    <n v="5090"/>
    <n v="11000"/>
    <n v="11000"/>
    <n v="11000"/>
    <n v="1917.08"/>
    <n v="1000"/>
    <n v="10000"/>
    <m/>
  </r>
  <r>
    <n v="866"/>
    <x v="170"/>
    <x v="1"/>
    <x v="3"/>
    <s v="الخوص"/>
    <x v="11"/>
    <n v="0"/>
    <n v="0"/>
    <s v="H"/>
    <x v="17"/>
    <d v="2016-02-15T00:00:00"/>
    <d v="2018-12-31T00:00:00"/>
    <n v="2"/>
    <n v="10"/>
    <n v="5.6"/>
    <n v="3070"/>
    <n v="171.92"/>
    <n v="5"/>
    <n v="5"/>
    <n v="5"/>
    <n v="2"/>
    <n v="3"/>
    <n v="2"/>
    <n v="3"/>
    <n v="3"/>
    <n v="5"/>
    <n v="33"/>
    <n v="12"/>
    <n v="13"/>
    <n v="0"/>
    <n v="10"/>
    <n v="3"/>
    <n v="3"/>
    <n v="41"/>
    <n v="74"/>
    <m/>
    <m/>
    <m/>
    <m/>
    <m/>
    <n v="44.4"/>
    <n v="1363.08"/>
    <n v="4433.08"/>
    <n v="0"/>
    <n v="4000"/>
    <n v="4433.08"/>
    <n v="1363.08"/>
    <n v="44.4"/>
    <n v="0"/>
    <n v="6.9200000000000728"/>
    <n v="1370"/>
    <n v="4440"/>
    <n v="44.625407166123779"/>
    <n v="3070"/>
    <m/>
    <n v="4440"/>
    <n v="4433.08"/>
    <n v="-433.07999999999993"/>
    <n v="-4433.08"/>
    <n v="4433.08"/>
    <m/>
  </r>
  <r>
    <n v="867"/>
    <x v="171"/>
    <x v="1"/>
    <x v="5"/>
    <s v="تبريد وتكيف"/>
    <x v="52"/>
    <s v="تدريب مهني"/>
    <s v="تبريد وتكييف"/>
    <s v="F"/>
    <x v="17"/>
    <d v="2016-02-24T00:00:00"/>
    <d v="2018-12-31T00:00:00"/>
    <n v="2"/>
    <n v="10"/>
    <n v="5.6"/>
    <n v="4090"/>
    <n v="229.04"/>
    <n v="5"/>
    <n v="5"/>
    <n v="3"/>
    <n v="3"/>
    <n v="3"/>
    <n v="3"/>
    <n v="3"/>
    <n v="3"/>
    <n v="5"/>
    <n v="33"/>
    <n v="12"/>
    <n v="10"/>
    <n v="0"/>
    <n v="0"/>
    <n v="2"/>
    <n v="3"/>
    <n v="27"/>
    <n v="60"/>
    <n v="10"/>
    <m/>
    <m/>
    <m/>
    <m/>
    <n v="36"/>
    <n v="1472.3999999999999"/>
    <n v="5562.4"/>
    <n v="0"/>
    <n v="4000"/>
    <n v="5562.4"/>
    <n v="1472.3999999999996"/>
    <n v="35.999999999999993"/>
    <n v="0"/>
    <n v="7.6000000000003638"/>
    <n v="1480"/>
    <n v="5570"/>
    <n v="36.18581907090465"/>
    <n v="4090"/>
    <m/>
    <n v="5570"/>
    <n v="5562.4"/>
    <n v="-1562.3999999999996"/>
    <n v="-5562.4"/>
    <n v="5562.4"/>
    <m/>
  </r>
  <r>
    <n v="868"/>
    <x v="172"/>
    <x v="2"/>
    <x v="10"/>
    <n v="0"/>
    <x v="30"/>
    <s v="بكلاريوس"/>
    <s v="محاسبة"/>
    <s v="C"/>
    <x v="3"/>
    <d v="2016-02-17T00:00:00"/>
    <d v="2018-12-31T00:00:00"/>
    <n v="2"/>
    <n v="10"/>
    <n v="5.6"/>
    <n v="5060"/>
    <n v="283.36"/>
    <n v="4"/>
    <n v="4"/>
    <n v="4"/>
    <n v="2"/>
    <n v="3"/>
    <n v="3"/>
    <n v="2"/>
    <n v="2"/>
    <n v="4"/>
    <n v="28"/>
    <n v="12"/>
    <n v="10"/>
    <n v="15"/>
    <n v="10"/>
    <n v="2"/>
    <n v="3"/>
    <n v="52"/>
    <n v="80"/>
    <m/>
    <m/>
    <m/>
    <m/>
    <m/>
    <n v="48"/>
    <n v="2428.7999999999997"/>
    <n v="7488.7999999999993"/>
    <n v="4511.2000000000007"/>
    <n v="12000"/>
    <n v="12000"/>
    <n v="6940"/>
    <n v="137.15415019762847"/>
    <n v="0"/>
    <n v="0"/>
    <n v="6940"/>
    <n v="12000"/>
    <n v="137.15415019762847"/>
    <n v="5060"/>
    <m/>
    <n v="12000"/>
    <n v="12000"/>
    <n v="4511.2000000000007"/>
    <n v="-12000"/>
    <n v="12000"/>
    <m/>
  </r>
  <r>
    <n v="873"/>
    <x v="173"/>
    <x v="1"/>
    <x v="9"/>
    <n v="0"/>
    <x v="31"/>
    <s v="دبلوم تقني"/>
    <s v="هندسة مدنية"/>
    <s v="D"/>
    <x v="11"/>
    <d v="2016-03-07T00:00:00"/>
    <d v="2018-12-31T00:00:00"/>
    <n v="2"/>
    <n v="9"/>
    <n v="5.4399999999999995"/>
    <n v="3060"/>
    <n v="166.464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n v="10"/>
    <m/>
    <m/>
    <m/>
    <m/>
    <n v="58.199999999999996"/>
    <n v="1780.9199999999998"/>
    <n v="4840.92"/>
    <n v="1159.08"/>
    <n v="6000"/>
    <n v="6000"/>
    <n v="2940"/>
    <n v="96.078431372549019"/>
    <n v="0"/>
    <n v="0"/>
    <n v="2940"/>
    <n v="6000"/>
    <n v="96.078431372549019"/>
    <n v="3060"/>
    <m/>
    <n v="6000"/>
    <n v="6000"/>
    <n v="1159.08"/>
    <n v="-6000"/>
    <n v="6000"/>
    <m/>
  </r>
  <r>
    <n v="874"/>
    <x v="174"/>
    <x v="1"/>
    <x v="2"/>
    <s v="الاسكبات"/>
    <x v="39"/>
    <s v="دبلوم تقني"/>
    <s v="محاسبة"/>
    <s v="D"/>
    <x v="16"/>
    <d v="2016-03-08T00:00:00"/>
    <d v="2018-12-31T00:00:00"/>
    <n v="2"/>
    <n v="9"/>
    <n v="5.4399999999999995"/>
    <n v="3570"/>
    <n v="194.208"/>
    <n v="5"/>
    <n v="5"/>
    <n v="4"/>
    <n v="3"/>
    <n v="3"/>
    <n v="3"/>
    <n v="3"/>
    <n v="3"/>
    <n v="5"/>
    <n v="34"/>
    <n v="13"/>
    <n v="13"/>
    <n v="7"/>
    <n v="6"/>
    <n v="4"/>
    <n v="3"/>
    <n v="46"/>
    <n v="80"/>
    <m/>
    <m/>
    <m/>
    <m/>
    <m/>
    <n v="48"/>
    <n v="1713.6"/>
    <n v="5283.6"/>
    <n v="716.39999999999964"/>
    <n v="6000"/>
    <n v="6000"/>
    <n v="2430"/>
    <n v="68.067226890756302"/>
    <n v="0"/>
    <n v="0"/>
    <n v="2430"/>
    <n v="6000"/>
    <n v="68.067226890756302"/>
    <n v="3570"/>
    <m/>
    <n v="6000"/>
    <n v="6000"/>
    <n v="716.39999999999964"/>
    <n v="-6000"/>
    <n v="6000"/>
    <m/>
  </r>
  <r>
    <n v="882"/>
    <x v="175"/>
    <x v="1"/>
    <x v="3"/>
    <s v="المواسير"/>
    <x v="18"/>
    <s v="دبلوم تقني"/>
    <s v="الهندسة الزراعية"/>
    <s v="D"/>
    <x v="15"/>
    <d v="2016-05-14T00:00:00"/>
    <d v="2018-12-31T00:00:00"/>
    <n v="2"/>
    <n v="7"/>
    <n v="5.12"/>
    <n v="3050"/>
    <n v="156.16"/>
    <n v="5"/>
    <n v="5"/>
    <n v="5"/>
    <n v="0"/>
    <n v="0"/>
    <n v="0"/>
    <n v="3"/>
    <n v="3"/>
    <n v="5"/>
    <n v="26"/>
    <n v="14"/>
    <n v="14"/>
    <n v="13"/>
    <n v="10"/>
    <n v="4"/>
    <n v="3"/>
    <n v="58"/>
    <n v="84"/>
    <m/>
    <m/>
    <m/>
    <m/>
    <m/>
    <n v="50.4"/>
    <n v="1537.2"/>
    <n v="4587.2"/>
    <n v="0"/>
    <n v="4500"/>
    <n v="4587.2"/>
    <n v="1537.1999999999998"/>
    <n v="50.399999999999991"/>
    <n v="0"/>
    <n v="2.8000000000001819"/>
    <n v="1540"/>
    <n v="4590"/>
    <n v="50.491803278688522"/>
    <n v="3050"/>
    <m/>
    <n v="4590"/>
    <n v="4587.2"/>
    <n v="-87.199999999999818"/>
    <n v="-4587.2"/>
    <n v="4587.2"/>
    <m/>
  </r>
  <r>
    <n v="883"/>
    <x v="176"/>
    <x v="1"/>
    <x v="3"/>
    <s v="المواسير"/>
    <x v="8"/>
    <s v="دبلوم وسيط"/>
    <s v="هندسة ميكانيكية ( إنتاج )"/>
    <s v="E"/>
    <x v="2"/>
    <d v="2016-05-14T00:00:00"/>
    <d v="2018-12-31T00:00:00"/>
    <n v="2"/>
    <n v="7"/>
    <n v="5.12"/>
    <n v="4060"/>
    <n v="207.87200000000001"/>
    <n v="5"/>
    <n v="5"/>
    <n v="5"/>
    <n v="2"/>
    <n v="3"/>
    <n v="3"/>
    <n v="3"/>
    <n v="3"/>
    <n v="5"/>
    <n v="34"/>
    <n v="14"/>
    <n v="15"/>
    <n v="15"/>
    <n v="12"/>
    <n v="4"/>
    <n v="3"/>
    <n v="63"/>
    <n v="97"/>
    <m/>
    <m/>
    <m/>
    <m/>
    <m/>
    <n v="58.199999999999996"/>
    <n v="2362.9199999999996"/>
    <n v="6422.92"/>
    <n v="577.07999999999993"/>
    <n v="7000"/>
    <n v="7000"/>
    <n v="2940"/>
    <n v="72.41379310344827"/>
    <n v="0"/>
    <n v="0"/>
    <n v="2940"/>
    <n v="7000"/>
    <n v="72.41379310344827"/>
    <n v="4060"/>
    <m/>
    <n v="7000"/>
    <n v="7000"/>
    <n v="577.07999999999993"/>
    <n v="-7000"/>
    <n v="7000"/>
    <m/>
  </r>
  <r>
    <n v="894"/>
    <x v="177"/>
    <x v="1"/>
    <x v="3"/>
    <s v="المواسير"/>
    <x v="12"/>
    <s v="بكلاريوس"/>
    <s v="الدراسات الإسلامية "/>
    <s v="C"/>
    <x v="16"/>
    <d v="2016-05-19T00:00:00"/>
    <d v="2018-12-31T00:00:00"/>
    <n v="2"/>
    <n v="7"/>
    <n v="5.12"/>
    <n v="4050"/>
    <n v="207.36"/>
    <n v="5"/>
    <n v="5"/>
    <n v="5"/>
    <n v="1"/>
    <n v="2"/>
    <n v="2"/>
    <n v="3"/>
    <n v="3"/>
    <n v="5"/>
    <n v="31"/>
    <n v="14"/>
    <n v="15"/>
    <n v="15"/>
    <n v="12"/>
    <n v="3"/>
    <n v="3"/>
    <n v="62"/>
    <n v="93"/>
    <m/>
    <m/>
    <m/>
    <m/>
    <m/>
    <n v="55.8"/>
    <n v="2259.8999999999996"/>
    <n v="6309.9"/>
    <n v="0"/>
    <n v="6000"/>
    <n v="6309.9"/>
    <n v="2259.8999999999996"/>
    <n v="55.79999999999999"/>
    <n v="0"/>
    <n v="0.1000000000003638"/>
    <n v="2260"/>
    <n v="6310"/>
    <n v="55.802469135802468"/>
    <n v="4050"/>
    <m/>
    <n v="6310"/>
    <n v="6309.9"/>
    <n v="-309.89999999999964"/>
    <n v="-6309.9"/>
    <n v="6309.9"/>
    <m/>
  </r>
  <r>
    <n v="895"/>
    <x v="178"/>
    <x v="1"/>
    <x v="4"/>
    <n v="0"/>
    <x v="41"/>
    <n v="0"/>
    <n v="0"/>
    <s v="H"/>
    <x v="11"/>
    <d v="2016-06-01T00:00:00"/>
    <d v="2018-12-31T00:00:00"/>
    <n v="2"/>
    <n v="6"/>
    <n v="4.96"/>
    <n v="4070"/>
    <n v="201.87200000000001"/>
    <n v="4"/>
    <n v="4"/>
    <n v="5"/>
    <n v="2"/>
    <n v="3"/>
    <n v="2"/>
    <n v="3"/>
    <n v="3"/>
    <n v="5"/>
    <n v="31"/>
    <n v="13"/>
    <n v="13"/>
    <n v="15"/>
    <n v="12"/>
    <n v="4"/>
    <n v="3"/>
    <n v="60"/>
    <n v="91"/>
    <n v="9"/>
    <m/>
    <m/>
    <m/>
    <m/>
    <n v="54.6"/>
    <n v="2222.2200000000003"/>
    <n v="6292.22"/>
    <n v="0"/>
    <n v="6000"/>
    <n v="6292.22"/>
    <n v="2222.2200000000003"/>
    <n v="54.6"/>
    <n v="0"/>
    <n v="7.7799999999997453"/>
    <n v="2230"/>
    <n v="6300"/>
    <n v="54.791154791154788"/>
    <n v="4070"/>
    <m/>
    <n v="6300"/>
    <n v="6292.22"/>
    <n v="-292.22000000000025"/>
    <n v="-6292.22"/>
    <n v="6292.22"/>
    <m/>
  </r>
  <r>
    <n v="896"/>
    <x v="179"/>
    <x v="1"/>
    <x v="3"/>
    <n v="0"/>
    <x v="53"/>
    <s v="دبلوم تقني"/>
    <s v="إدارة المكاتب"/>
    <s v="D"/>
    <x v="15"/>
    <d v="2016-06-01T00:00:00"/>
    <d v="2018-12-31T00:00:00"/>
    <n v="2"/>
    <n v="6"/>
    <n v="4.96"/>
    <n v="3050"/>
    <n v="151.28"/>
    <n v="4"/>
    <n v="3"/>
    <n v="4"/>
    <n v="1"/>
    <n v="1"/>
    <n v="1"/>
    <n v="3"/>
    <n v="3"/>
    <n v="5"/>
    <n v="25"/>
    <n v="13"/>
    <n v="13"/>
    <n v="15"/>
    <n v="12"/>
    <n v="4"/>
    <n v="3"/>
    <n v="60"/>
    <n v="85"/>
    <m/>
    <m/>
    <m/>
    <m/>
    <m/>
    <n v="51"/>
    <n v="1555.5"/>
    <n v="4605.5"/>
    <n v="0"/>
    <n v="4500"/>
    <n v="4605.5"/>
    <n v="1555.5"/>
    <n v="51"/>
    <n v="0"/>
    <n v="4.5"/>
    <n v="1560"/>
    <n v="4610"/>
    <n v="51.147540983606561"/>
    <n v="3050"/>
    <m/>
    <n v="4610"/>
    <n v="4605.5"/>
    <n v="-105.5"/>
    <n v="-4605.5"/>
    <n v="4605.5"/>
    <m/>
  </r>
  <r>
    <n v="900"/>
    <x v="180"/>
    <x v="1"/>
    <x v="7"/>
    <n v="0"/>
    <x v="19"/>
    <s v="دبلوم تقني"/>
    <s v="محاسبة وإدارة الاعمال"/>
    <s v="D"/>
    <x v="11"/>
    <d v="2016-06-02T00:00:00"/>
    <d v="2018-12-31T00:00:00"/>
    <n v="2"/>
    <n v="6"/>
    <n v="4.96"/>
    <n v="4570"/>
    <n v="226.672"/>
    <n v="4"/>
    <n v="4"/>
    <n v="3"/>
    <n v="2"/>
    <n v="2"/>
    <n v="2"/>
    <n v="2"/>
    <n v="2"/>
    <n v="4"/>
    <n v="25"/>
    <n v="10"/>
    <n v="5"/>
    <n v="3"/>
    <n v="2"/>
    <n v="2"/>
    <n v="3"/>
    <n v="25"/>
    <n v="50"/>
    <n v="8"/>
    <m/>
    <m/>
    <n v="7"/>
    <m/>
    <n v="30"/>
    <n v="1371"/>
    <n v="5941"/>
    <n v="59"/>
    <n v="6000"/>
    <n v="6000"/>
    <n v="1430"/>
    <n v="31.291028446389493"/>
    <n v="1000"/>
    <n v="0"/>
    <n v="2430"/>
    <n v="7000"/>
    <n v="53.172866520787743"/>
    <n v="4570"/>
    <n v="7000"/>
    <n v="7000"/>
    <n v="7000"/>
    <n v="59"/>
    <n v="1000"/>
    <n v="6000"/>
    <m/>
  </r>
  <r>
    <n v="902"/>
    <x v="181"/>
    <x v="1"/>
    <x v="14"/>
    <n v="0"/>
    <x v="54"/>
    <n v="0"/>
    <n v="0"/>
    <s v="H"/>
    <x v="3"/>
    <d v="2016-06-20T00:00:00"/>
    <d v="2018-12-31T00:00:00"/>
    <n v="2"/>
    <n v="6"/>
    <n v="4.96"/>
    <n v="6500"/>
    <n v="322.39999999999998"/>
    <n v="4"/>
    <n v="4"/>
    <n v="4"/>
    <n v="3"/>
    <n v="3"/>
    <n v="3"/>
    <n v="3"/>
    <n v="3"/>
    <n v="4"/>
    <n v="31"/>
    <n v="14"/>
    <n v="15"/>
    <n v="15"/>
    <n v="12"/>
    <n v="3"/>
    <n v="3"/>
    <n v="62"/>
    <n v="93"/>
    <m/>
    <m/>
    <m/>
    <m/>
    <m/>
    <n v="55.8"/>
    <n v="3626.9999999999995"/>
    <n v="10127"/>
    <n v="1873"/>
    <n v="12000"/>
    <n v="12000"/>
    <n v="5500"/>
    <n v="84.615384615384613"/>
    <n v="0"/>
    <n v="0"/>
    <n v="5500"/>
    <n v="12000"/>
    <n v="84.615384615384613"/>
    <n v="6500"/>
    <m/>
    <n v="12000"/>
    <n v="12000"/>
    <n v="1873"/>
    <n v="-12000"/>
    <n v="12000"/>
    <m/>
  </r>
  <r>
    <n v="904"/>
    <x v="182"/>
    <x v="1"/>
    <x v="3"/>
    <n v="0"/>
    <x v="12"/>
    <n v="0"/>
    <n v="0"/>
    <s v="H"/>
    <x v="16"/>
    <d v="2016-07-18T00:00:00"/>
    <d v="2018-12-31T00:00:00"/>
    <n v="2"/>
    <n v="5"/>
    <n v="4.8"/>
    <n v="3050"/>
    <n v="146.4"/>
    <n v="5"/>
    <n v="5"/>
    <n v="5"/>
    <n v="1"/>
    <n v="2"/>
    <n v="2"/>
    <n v="3"/>
    <n v="3"/>
    <n v="5"/>
    <n v="31"/>
    <n v="14"/>
    <n v="15"/>
    <n v="15"/>
    <n v="12"/>
    <n v="4"/>
    <n v="3"/>
    <n v="63"/>
    <n v="94"/>
    <m/>
    <m/>
    <m/>
    <m/>
    <m/>
    <n v="56.4"/>
    <n v="1720.1999999999998"/>
    <n v="4770.2"/>
    <n v="1229.8000000000002"/>
    <n v="6000"/>
    <n v="6000"/>
    <n v="2950"/>
    <n v="96.721311475409834"/>
    <n v="0"/>
    <n v="0"/>
    <n v="2950"/>
    <n v="6000"/>
    <n v="96.721311475409834"/>
    <n v="3050"/>
    <m/>
    <n v="6000"/>
    <n v="6000"/>
    <n v="1229.8000000000002"/>
    <n v="-6000"/>
    <n v="6000"/>
    <m/>
  </r>
  <r>
    <n v="907"/>
    <x v="183"/>
    <x v="1"/>
    <x v="4"/>
    <n v="0"/>
    <x v="13"/>
    <s v="تدريب مهني"/>
    <s v="خراطه"/>
    <s v="F"/>
    <x v="10"/>
    <d v="2016-08-01T00:00:00"/>
    <d v="2018-12-31T00:00:00"/>
    <n v="2"/>
    <n v="4"/>
    <n v="4.6399999999999997"/>
    <n v="4060"/>
    <n v="188.38399999999999"/>
    <n v="4"/>
    <n v="4"/>
    <n v="4"/>
    <n v="3"/>
    <n v="2"/>
    <n v="2"/>
    <n v="3"/>
    <n v="3"/>
    <n v="4"/>
    <n v="29"/>
    <n v="14"/>
    <n v="14"/>
    <n v="15"/>
    <n v="12"/>
    <n v="3"/>
    <n v="3"/>
    <n v="61"/>
    <n v="90"/>
    <n v="6"/>
    <m/>
    <m/>
    <m/>
    <m/>
    <n v="54"/>
    <n v="2192.4"/>
    <n v="6252.4"/>
    <n v="0"/>
    <n v="5500"/>
    <n v="6252.4"/>
    <n v="2192.3999999999996"/>
    <n v="53.999999999999986"/>
    <n v="0"/>
    <n v="7.6000000000003638"/>
    <n v="2200"/>
    <n v="6260"/>
    <n v="54.187192118226598"/>
    <n v="4060"/>
    <m/>
    <n v="6260"/>
    <n v="6252.4"/>
    <n v="-752.39999999999964"/>
    <n v="-6252.4"/>
    <n v="6252.4"/>
    <m/>
  </r>
  <r>
    <n v="908"/>
    <x v="184"/>
    <x v="1"/>
    <x v="4"/>
    <n v="0"/>
    <x v="55"/>
    <s v="شهاده ثانويه"/>
    <s v="سيارات"/>
    <s v="F"/>
    <x v="16"/>
    <d v="2016-08-01T00:00:00"/>
    <d v="2018-12-31T00:00:00"/>
    <n v="2"/>
    <n v="4"/>
    <n v="4.6399999999999997"/>
    <n v="4060"/>
    <n v="188.38399999999999"/>
    <n v="4"/>
    <n v="4"/>
    <n v="4"/>
    <n v="2"/>
    <n v="3"/>
    <n v="2"/>
    <n v="3"/>
    <n v="3"/>
    <n v="5"/>
    <n v="30"/>
    <n v="14"/>
    <n v="14"/>
    <n v="15"/>
    <n v="12"/>
    <n v="3"/>
    <n v="3"/>
    <n v="61"/>
    <n v="91"/>
    <n v="9"/>
    <m/>
    <m/>
    <m/>
    <m/>
    <n v="54.6"/>
    <n v="2216.7600000000002"/>
    <n v="6276.76"/>
    <n v="0"/>
    <n v="6000"/>
    <n v="6276.76"/>
    <n v="2216.7600000000002"/>
    <n v="54.6"/>
    <n v="0"/>
    <n v="3.2399999999997817"/>
    <n v="2220"/>
    <n v="6280"/>
    <n v="54.679802955665025"/>
    <n v="4060"/>
    <m/>
    <n v="6280"/>
    <n v="6276.76"/>
    <n v="-276.76000000000022"/>
    <n v="-6276.76"/>
    <n v="6276.76"/>
    <m/>
  </r>
  <r>
    <n v="909"/>
    <x v="185"/>
    <x v="1"/>
    <x v="3"/>
    <s v="التشريح"/>
    <x v="8"/>
    <s v="شهاده ثانويه"/>
    <s v="كهرباء"/>
    <s v="F"/>
    <x v="2"/>
    <d v="2016-08-03T00:00:00"/>
    <d v="2018-12-31T00:00:00"/>
    <n v="2"/>
    <n v="4"/>
    <n v="4.6399999999999997"/>
    <n v="5550"/>
    <n v="257.52"/>
    <n v="5"/>
    <n v="5"/>
    <n v="5"/>
    <n v="2"/>
    <n v="3"/>
    <n v="3"/>
    <n v="3"/>
    <n v="3"/>
    <n v="5"/>
    <n v="34"/>
    <n v="14"/>
    <n v="14"/>
    <n v="15"/>
    <n v="12"/>
    <n v="3"/>
    <n v="3"/>
    <n v="61"/>
    <n v="95"/>
    <m/>
    <m/>
    <m/>
    <m/>
    <m/>
    <n v="57"/>
    <n v="3163.4999999999995"/>
    <n v="8713.5"/>
    <n v="0"/>
    <n v="7000"/>
    <n v="8713.5"/>
    <n v="3163.5"/>
    <n v="57"/>
    <n v="286.5"/>
    <n v="0"/>
    <n v="3450"/>
    <n v="9000"/>
    <n v="62.162162162162161"/>
    <n v="5550"/>
    <n v="9000"/>
    <n v="9000"/>
    <n v="9000"/>
    <n v="-1713.5"/>
    <n v="286.5"/>
    <n v="8713.5"/>
    <m/>
  </r>
  <r>
    <n v="911"/>
    <x v="186"/>
    <x v="1"/>
    <x v="3"/>
    <s v="المواسير"/>
    <x v="12"/>
    <n v="0"/>
    <n v="0"/>
    <s v="H"/>
    <x v="16"/>
    <d v="2016-08-11T00:00:00"/>
    <d v="2018-12-31T00:00:00"/>
    <n v="2"/>
    <n v="4"/>
    <n v="4.6399999999999997"/>
    <n v="4050"/>
    <n v="187.92"/>
    <n v="5"/>
    <n v="5"/>
    <n v="5"/>
    <n v="2"/>
    <n v="3"/>
    <n v="2"/>
    <n v="3"/>
    <n v="3"/>
    <n v="5"/>
    <n v="33"/>
    <n v="14"/>
    <n v="15"/>
    <n v="15"/>
    <n v="12"/>
    <n v="4"/>
    <n v="3"/>
    <n v="63"/>
    <n v="96"/>
    <m/>
    <m/>
    <m/>
    <m/>
    <m/>
    <n v="57.599999999999994"/>
    <n v="2332.7999999999997"/>
    <n v="6382.7999999999993"/>
    <n v="0"/>
    <n v="6000"/>
    <n v="6382.7999999999993"/>
    <n v="2332.7999999999993"/>
    <n v="57.59999999999998"/>
    <n v="0"/>
    <n v="7.2000000000007276"/>
    <n v="2340"/>
    <n v="6390"/>
    <n v="57.777777777777779"/>
    <n v="4050"/>
    <m/>
    <n v="6390"/>
    <n v="6382.7999999999993"/>
    <n v="-382.79999999999927"/>
    <n v="-6382.7999999999993"/>
    <n v="6382.7999999999993"/>
    <m/>
  </r>
  <r>
    <n v="912"/>
    <x v="187"/>
    <x v="1"/>
    <x v="3"/>
    <s v="الخوص"/>
    <x v="11"/>
    <n v="0"/>
    <n v="0"/>
    <s v="H"/>
    <x v="5"/>
    <d v="2016-08-11T00:00:00"/>
    <d v="2018-12-31T00:00:00"/>
    <n v="2"/>
    <n v="4"/>
    <n v="4.6399999999999997"/>
    <n v="4050"/>
    <n v="187.92"/>
    <n v="5"/>
    <n v="5"/>
    <n v="5"/>
    <n v="2"/>
    <n v="3"/>
    <n v="3"/>
    <n v="3"/>
    <n v="3"/>
    <n v="5"/>
    <n v="34"/>
    <n v="15"/>
    <n v="14"/>
    <n v="15"/>
    <n v="12"/>
    <n v="4"/>
    <n v="3"/>
    <n v="63"/>
    <n v="97"/>
    <m/>
    <m/>
    <m/>
    <m/>
    <m/>
    <n v="58.199999999999996"/>
    <n v="2357.1"/>
    <n v="6407.1"/>
    <n v="0"/>
    <n v="5000"/>
    <n v="6407.1"/>
    <n v="2357.1000000000004"/>
    <n v="58.20000000000001"/>
    <n v="0"/>
    <n v="2.8999999999996362"/>
    <n v="2360"/>
    <n v="6410"/>
    <n v="58.271604938271608"/>
    <n v="4050"/>
    <m/>
    <n v="6410"/>
    <n v="6407.1"/>
    <n v="-1407.1000000000004"/>
    <n v="-6407.1"/>
    <n v="6407.1"/>
    <m/>
  </r>
  <r>
    <n v="916"/>
    <x v="188"/>
    <x v="1"/>
    <x v="6"/>
    <n v="0"/>
    <x v="56"/>
    <s v="شهاده ثانويه"/>
    <n v="0"/>
    <s v="F"/>
    <x v="15"/>
    <d v="2016-09-20T00:00:00"/>
    <d v="2018-12-31T00:00:00"/>
    <n v="2"/>
    <n v="3"/>
    <n v="4.4800000000000004"/>
    <n v="3050"/>
    <n v="136.63999999999999"/>
    <n v="4"/>
    <n v="4"/>
    <n v="5"/>
    <n v="2"/>
    <n v="2"/>
    <n v="3"/>
    <n v="3"/>
    <n v="3"/>
    <n v="5"/>
    <n v="31"/>
    <n v="15"/>
    <n v="14"/>
    <n v="15"/>
    <n v="12"/>
    <n v="3"/>
    <n v="3"/>
    <n v="62"/>
    <n v="93"/>
    <m/>
    <m/>
    <m/>
    <m/>
    <m/>
    <n v="55.8"/>
    <n v="1701.8999999999999"/>
    <n v="4751.8999999999996"/>
    <n v="0"/>
    <n v="4500"/>
    <n v="4751.8999999999996"/>
    <n v="1701.8999999999996"/>
    <n v="55.79999999999999"/>
    <n v="0"/>
    <n v="8.1000000000003638"/>
    <n v="1710"/>
    <n v="4760"/>
    <n v="56.065573770491802"/>
    <n v="3050"/>
    <m/>
    <n v="4760"/>
    <n v="4751.8999999999996"/>
    <n v="-251.89999999999964"/>
    <n v="-4751.8999999999996"/>
    <n v="4751.8999999999996"/>
    <m/>
  </r>
  <r>
    <n v="923"/>
    <x v="189"/>
    <x v="1"/>
    <x v="4"/>
    <n v="0"/>
    <x v="57"/>
    <s v="بكلاريوس"/>
    <s v="هندسة ميكانيكة "/>
    <s v="C"/>
    <x v="2"/>
    <d v="2016-12-06T00:00:00"/>
    <d v="2018-12-31T00:00:00"/>
    <n v="2"/>
    <n v="0"/>
    <n v="4"/>
    <n v="5060"/>
    <n v="202.4"/>
    <n v="4"/>
    <n v="4"/>
    <n v="5"/>
    <n v="2"/>
    <n v="3"/>
    <n v="3"/>
    <n v="3"/>
    <n v="3"/>
    <n v="5"/>
    <n v="32"/>
    <n v="14"/>
    <n v="14"/>
    <n v="15"/>
    <n v="12"/>
    <n v="3"/>
    <n v="3"/>
    <n v="61"/>
    <n v="93"/>
    <n v="10"/>
    <m/>
    <m/>
    <m/>
    <m/>
    <n v="55.8"/>
    <n v="2823.4799999999996"/>
    <n v="7883.48"/>
    <n v="0"/>
    <n v="7000"/>
    <n v="7883.48"/>
    <n v="2823.4799999999996"/>
    <n v="55.79999999999999"/>
    <n v="1116.5200000000004"/>
    <n v="0"/>
    <n v="3940"/>
    <n v="9000"/>
    <n v="77.865612648221344"/>
    <n v="5060"/>
    <n v="9000"/>
    <n v="9000"/>
    <n v="9000"/>
    <n v="-883.47999999999956"/>
    <n v="1116.5200000000004"/>
    <n v="7883.48"/>
    <m/>
  </r>
  <r>
    <n v="928"/>
    <x v="190"/>
    <x v="1"/>
    <x v="2"/>
    <n v="0"/>
    <x v="18"/>
    <s v="شهاده ثانويه"/>
    <n v="0"/>
    <s v="F"/>
    <x v="15"/>
    <d v="2017-01-04T00:00:00"/>
    <d v="2018-12-31T00:00:00"/>
    <n v="1"/>
    <n v="11"/>
    <n v="3.76"/>
    <n v="3040"/>
    <n v="114.304"/>
    <n v="4"/>
    <n v="4"/>
    <n v="5"/>
    <n v="3"/>
    <n v="3"/>
    <n v="3"/>
    <n v="3"/>
    <n v="3"/>
    <n v="4"/>
    <n v="32"/>
    <n v="14"/>
    <n v="13"/>
    <n v="15"/>
    <n v="12"/>
    <n v="4"/>
    <n v="3"/>
    <n v="61"/>
    <n v="93"/>
    <m/>
    <m/>
    <m/>
    <m/>
    <m/>
    <n v="55.8"/>
    <n v="1696.3199999999997"/>
    <n v="4736.32"/>
    <n v="0"/>
    <n v="4500"/>
    <n v="4736.32"/>
    <n v="1696.3199999999997"/>
    <n v="55.79999999999999"/>
    <n v="0"/>
    <n v="3.680000000000291"/>
    <n v="1700"/>
    <n v="4740"/>
    <n v="55.921052631578952"/>
    <n v="3040"/>
    <m/>
    <n v="4740"/>
    <n v="4736.32"/>
    <n v="-236.31999999999971"/>
    <n v="-4736.32"/>
    <n v="4736.32"/>
    <m/>
  </r>
  <r>
    <n v="929"/>
    <x v="191"/>
    <x v="1"/>
    <x v="2"/>
    <n v="0"/>
    <x v="43"/>
    <s v="بكلاريوس"/>
    <s v="مياه جوفيه"/>
    <s v="C"/>
    <x v="3"/>
    <d v="2017-01-14T00:00:00"/>
    <d v="2018-12-31T00:00:00"/>
    <n v="1"/>
    <n v="11"/>
    <n v="3.76"/>
    <n v="4540"/>
    <n v="170.70400000000001"/>
    <n v="5"/>
    <n v="5"/>
    <n v="5"/>
    <n v="3"/>
    <n v="3"/>
    <n v="3"/>
    <n v="3"/>
    <n v="3"/>
    <n v="5"/>
    <n v="35"/>
    <n v="13"/>
    <n v="11"/>
    <n v="15"/>
    <n v="12"/>
    <n v="3"/>
    <n v="3"/>
    <n v="57"/>
    <n v="92"/>
    <n v="10"/>
    <m/>
    <m/>
    <m/>
    <m/>
    <n v="55.199999999999996"/>
    <n v="2506.08"/>
    <n v="7046.08"/>
    <n v="4953.92"/>
    <n v="12000"/>
    <n v="12000"/>
    <n v="7460"/>
    <n v="164.3171806167401"/>
    <n v="0"/>
    <n v="0"/>
    <n v="7460"/>
    <n v="12000"/>
    <n v="164.3171806167401"/>
    <n v="4540"/>
    <m/>
    <n v="12000"/>
    <n v="12000"/>
    <n v="4953.92"/>
    <n v="-12000"/>
    <n v="12000"/>
    <m/>
  </r>
  <r>
    <n v="938"/>
    <x v="192"/>
    <x v="1"/>
    <x v="3"/>
    <n v="0"/>
    <x v="18"/>
    <n v="0"/>
    <n v="0"/>
    <s v="H"/>
    <x v="17"/>
    <d v="2017-02-12T00:00:00"/>
    <d v="2018-12-31T00:00:00"/>
    <n v="1"/>
    <n v="10"/>
    <n v="3.6"/>
    <n v="3030"/>
    <n v="109.08"/>
    <n v="4"/>
    <n v="4"/>
    <n v="4"/>
    <n v="0"/>
    <n v="0"/>
    <n v="0"/>
    <n v="3"/>
    <n v="3"/>
    <n v="5"/>
    <n v="23"/>
    <n v="13"/>
    <n v="13"/>
    <n v="12"/>
    <n v="10"/>
    <n v="2"/>
    <n v="3"/>
    <n v="53"/>
    <n v="76"/>
    <m/>
    <m/>
    <m/>
    <m/>
    <m/>
    <n v="45.6"/>
    <n v="1381.68"/>
    <n v="4411.68"/>
    <n v="0"/>
    <n v="4000"/>
    <n v="4411.68"/>
    <n v="1381.6800000000003"/>
    <n v="45.600000000000009"/>
    <n v="0"/>
    <n v="8.319999999999709"/>
    <n v="1390"/>
    <n v="4420"/>
    <n v="45.874587458745872"/>
    <n v="3030"/>
    <m/>
    <n v="4420"/>
    <n v="4411.68"/>
    <n v="-411.68000000000029"/>
    <n v="-4411.68"/>
    <n v="4411.68"/>
    <m/>
  </r>
  <r>
    <n v="939"/>
    <x v="193"/>
    <x v="1"/>
    <x v="3"/>
    <s v="المواسير"/>
    <x v="11"/>
    <s v="بكلاريوس"/>
    <s v="تاريخ وحضاره"/>
    <s v="C"/>
    <x v="5"/>
    <d v="2017-02-11T00:00:00"/>
    <d v="2018-12-31T00:00:00"/>
    <n v="1"/>
    <n v="10"/>
    <n v="3.6"/>
    <n v="4030"/>
    <n v="145.08000000000001"/>
    <n v="5"/>
    <n v="5"/>
    <n v="5"/>
    <n v="2"/>
    <n v="3"/>
    <n v="3"/>
    <n v="3"/>
    <n v="3"/>
    <n v="5"/>
    <n v="34"/>
    <n v="13"/>
    <n v="13"/>
    <n v="15"/>
    <n v="10"/>
    <n v="3"/>
    <n v="3"/>
    <n v="57"/>
    <n v="91"/>
    <m/>
    <m/>
    <m/>
    <m/>
    <m/>
    <n v="54.6"/>
    <n v="2200.38"/>
    <n v="6230.38"/>
    <n v="0"/>
    <n v="5000"/>
    <n v="6230.38"/>
    <n v="2200.38"/>
    <n v="54.600000000000009"/>
    <n v="0"/>
    <n v="9.6199999999998909"/>
    <n v="2210"/>
    <n v="6240"/>
    <n v="54.838709677419359"/>
    <n v="4030"/>
    <m/>
    <n v="6240"/>
    <n v="6230.38"/>
    <n v="-1230.3800000000001"/>
    <n v="-6230.38"/>
    <n v="6230.38"/>
    <m/>
  </r>
  <r>
    <n v="941"/>
    <x v="194"/>
    <x v="1"/>
    <x v="3"/>
    <s v="التشريح"/>
    <x v="11"/>
    <n v="0"/>
    <n v="0"/>
    <s v="H"/>
    <x v="16"/>
    <d v="2017-02-20T00:00:00"/>
    <d v="2018-12-31T00:00:00"/>
    <n v="1"/>
    <n v="10"/>
    <n v="3.6"/>
    <n v="4040"/>
    <n v="145.44"/>
    <n v="5"/>
    <n v="5"/>
    <n v="5"/>
    <n v="1"/>
    <n v="2"/>
    <n v="2"/>
    <n v="3"/>
    <n v="3"/>
    <n v="5"/>
    <n v="31"/>
    <n v="15"/>
    <n v="15"/>
    <n v="15"/>
    <n v="12"/>
    <n v="4"/>
    <n v="3"/>
    <n v="64"/>
    <n v="95"/>
    <m/>
    <m/>
    <m/>
    <m/>
    <m/>
    <n v="57"/>
    <n v="2302.7999999999997"/>
    <n v="6342.7999999999993"/>
    <n v="0"/>
    <n v="6000"/>
    <n v="6342.7999999999993"/>
    <n v="2302.7999999999993"/>
    <n v="56.999999999999986"/>
    <n v="0"/>
    <n v="7.2000000000007276"/>
    <n v="2310"/>
    <n v="6350"/>
    <n v="57.178217821782184"/>
    <n v="4040"/>
    <m/>
    <n v="6350"/>
    <n v="6342.7999999999993"/>
    <n v="-342.79999999999927"/>
    <n v="-6342.7999999999993"/>
    <n v="6342.7999999999993"/>
    <m/>
  </r>
  <r>
    <n v="942"/>
    <x v="195"/>
    <x v="1"/>
    <x v="2"/>
    <n v="0"/>
    <x v="43"/>
    <s v="بكلاريوس"/>
    <s v="محاسبة"/>
    <s v="C"/>
    <x v="11"/>
    <d v="2017-02-20T00:00:00"/>
    <d v="2018-12-31T00:00:00"/>
    <n v="1"/>
    <n v="10"/>
    <n v="3.6"/>
    <n v="3530"/>
    <n v="127.08"/>
    <n v="5"/>
    <n v="5"/>
    <n v="4"/>
    <n v="3"/>
    <n v="3"/>
    <n v="3"/>
    <n v="3"/>
    <n v="3"/>
    <n v="5"/>
    <n v="34"/>
    <n v="14"/>
    <n v="14"/>
    <n v="15"/>
    <n v="12"/>
    <n v="3"/>
    <n v="3"/>
    <n v="61"/>
    <n v="95"/>
    <m/>
    <m/>
    <m/>
    <m/>
    <m/>
    <n v="57"/>
    <n v="2012.1"/>
    <n v="5542.1"/>
    <n v="457.89999999999964"/>
    <n v="6000"/>
    <n v="6000"/>
    <n v="2470"/>
    <n v="69.971671388101996"/>
    <n v="0"/>
    <n v="0"/>
    <n v="2470"/>
    <n v="6000"/>
    <n v="69.971671388101996"/>
    <n v="3530"/>
    <m/>
    <n v="6000"/>
    <n v="6000"/>
    <n v="457.89999999999964"/>
    <n v="-6000"/>
    <n v="6000"/>
    <m/>
  </r>
  <r>
    <n v="943"/>
    <x v="196"/>
    <x v="1"/>
    <x v="3"/>
    <s v="المواسير"/>
    <x v="8"/>
    <n v="0"/>
    <n v="0"/>
    <s v="H"/>
    <x v="2"/>
    <d v="2017-03-08T00:00:00"/>
    <d v="2018-12-31T00:00:00"/>
    <n v="1"/>
    <n v="9"/>
    <n v="3.44"/>
    <n v="4040"/>
    <n v="138.976"/>
    <n v="5"/>
    <n v="5"/>
    <n v="5"/>
    <n v="2"/>
    <n v="2"/>
    <n v="2"/>
    <n v="3"/>
    <n v="3"/>
    <n v="5"/>
    <n v="32"/>
    <n v="15"/>
    <n v="15"/>
    <n v="15"/>
    <n v="12"/>
    <n v="5"/>
    <n v="3"/>
    <n v="65"/>
    <n v="97"/>
    <m/>
    <m/>
    <m/>
    <m/>
    <m/>
    <n v="58.199999999999996"/>
    <n v="2351.2799999999997"/>
    <n v="6391.28"/>
    <n v="608.72000000000025"/>
    <n v="7000"/>
    <n v="7000"/>
    <n v="2960"/>
    <n v="73.267326732673268"/>
    <n v="0"/>
    <n v="0"/>
    <n v="2960"/>
    <n v="7000"/>
    <n v="73.267326732673268"/>
    <n v="4040"/>
    <m/>
    <n v="7000"/>
    <n v="7000"/>
    <n v="608.72000000000025"/>
    <n v="-7000"/>
    <n v="7000"/>
    <m/>
  </r>
  <r>
    <n v="946"/>
    <x v="197"/>
    <x v="1"/>
    <x v="3"/>
    <s v="المواسير"/>
    <x v="18"/>
    <n v="0"/>
    <n v="0"/>
    <s v="H"/>
    <x v="17"/>
    <d v="2017-07-10T00:00:00"/>
    <d v="2018-12-31T00:00:00"/>
    <n v="1"/>
    <n v="5"/>
    <n v="2.8"/>
    <n v="3020"/>
    <n v="84.56"/>
    <n v="4"/>
    <n v="3"/>
    <n v="3"/>
    <n v="0"/>
    <n v="0"/>
    <n v="0"/>
    <n v="2"/>
    <n v="2"/>
    <n v="3"/>
    <n v="17"/>
    <n v="13"/>
    <n v="13"/>
    <n v="15"/>
    <n v="12"/>
    <n v="3"/>
    <n v="3"/>
    <n v="59"/>
    <n v="76"/>
    <m/>
    <m/>
    <m/>
    <m/>
    <m/>
    <n v="45.6"/>
    <n v="1377.1200000000001"/>
    <n v="4397.12"/>
    <n v="0"/>
    <n v="4000"/>
    <n v="4397.12"/>
    <n v="1377.12"/>
    <n v="45.599999999999994"/>
    <n v="0"/>
    <n v="2.8800000000001091"/>
    <n v="1380"/>
    <n v="4400"/>
    <n v="45.695364238410598"/>
    <n v="3020"/>
    <m/>
    <n v="4400"/>
    <n v="4397.12"/>
    <n v="-397.11999999999989"/>
    <n v="-4397.12"/>
    <n v="4397.12"/>
    <m/>
  </r>
  <r>
    <n v="947"/>
    <x v="198"/>
    <x v="1"/>
    <x v="14"/>
    <n v="0"/>
    <x v="49"/>
    <s v="دبلوم تقني"/>
    <s v="Automobile Engineering"/>
    <s v="D"/>
    <x v="9"/>
    <d v="2017-03-18T00:00:00"/>
    <d v="2018-12-31T00:00:00"/>
    <n v="1"/>
    <n v="9"/>
    <n v="3.44"/>
    <n v="4530"/>
    <n v="155.83199999999999"/>
    <n v="5"/>
    <n v="5"/>
    <n v="5"/>
    <n v="3"/>
    <n v="3"/>
    <n v="3"/>
    <n v="3"/>
    <n v="3"/>
    <n v="5"/>
    <n v="35"/>
    <n v="13"/>
    <n v="14"/>
    <n v="12"/>
    <n v="8"/>
    <n v="3"/>
    <n v="3"/>
    <n v="53"/>
    <n v="88"/>
    <m/>
    <m/>
    <m/>
    <m/>
    <m/>
    <n v="52.8"/>
    <n v="2391.84"/>
    <n v="6921.84"/>
    <n v="0"/>
    <n v="6500"/>
    <n v="6921.84"/>
    <n v="2391.84"/>
    <n v="52.800000000000004"/>
    <n v="0"/>
    <n v="8.1599999999998545"/>
    <n v="2400"/>
    <n v="6930"/>
    <n v="52.980132450331126"/>
    <n v="4530"/>
    <m/>
    <n v="6930"/>
    <n v="6921.84"/>
    <n v="-421.84000000000015"/>
    <n v="-6921.84"/>
    <n v="6921.84"/>
    <m/>
  </r>
  <r>
    <n v="948"/>
    <x v="199"/>
    <x v="1"/>
    <x v="2"/>
    <n v="0"/>
    <x v="44"/>
    <s v="شهاده دورة تدريب"/>
    <s v="استراتيجيات التخطيط الادارى"/>
    <s v="F"/>
    <x v="16"/>
    <d v="2017-03-18T00:00:00"/>
    <d v="2018-12-31T00:00:00"/>
    <n v="1"/>
    <n v="9"/>
    <n v="3.44"/>
    <n v="4030"/>
    <n v="138.63200000000001"/>
    <n v="4"/>
    <n v="4"/>
    <n v="5"/>
    <n v="3"/>
    <n v="3"/>
    <n v="3"/>
    <n v="3"/>
    <n v="3"/>
    <n v="4"/>
    <n v="32"/>
    <n v="14"/>
    <n v="14"/>
    <n v="15"/>
    <n v="12"/>
    <n v="3"/>
    <n v="3"/>
    <n v="61"/>
    <n v="93"/>
    <m/>
    <m/>
    <m/>
    <m/>
    <m/>
    <n v="55.8"/>
    <n v="2248.7399999999998"/>
    <n v="6278.74"/>
    <n v="0"/>
    <n v="6000"/>
    <n v="6278.74"/>
    <n v="2248.7399999999998"/>
    <n v="55.8"/>
    <n v="0"/>
    <n v="1.2600000000002183"/>
    <n v="2250"/>
    <n v="6280"/>
    <n v="55.831265508684865"/>
    <n v="4030"/>
    <m/>
    <n v="6280"/>
    <n v="6278.74"/>
    <n v="-278.73999999999978"/>
    <n v="-6278.74"/>
    <n v="6278.74"/>
    <m/>
  </r>
  <r>
    <n v="949"/>
    <x v="200"/>
    <x v="1"/>
    <x v="5"/>
    <n v="0"/>
    <x v="42"/>
    <n v="0"/>
    <n v="0"/>
    <s v="H"/>
    <x v="11"/>
    <d v="2017-03-18T00:00:00"/>
    <d v="2018-12-31T00:00:00"/>
    <n v="1"/>
    <n v="9"/>
    <n v="3.44"/>
    <n v="4540"/>
    <n v="156.17599999999999"/>
    <n v="5"/>
    <n v="5"/>
    <n v="4"/>
    <n v="3"/>
    <n v="3"/>
    <n v="3"/>
    <n v="3"/>
    <n v="3"/>
    <n v="5"/>
    <n v="34"/>
    <n v="13"/>
    <n v="13"/>
    <n v="9"/>
    <n v="8"/>
    <n v="3"/>
    <n v="3"/>
    <n v="49"/>
    <n v="83"/>
    <n v="10"/>
    <m/>
    <m/>
    <m/>
    <m/>
    <n v="49.8"/>
    <n v="2260.92"/>
    <n v="6800.92"/>
    <n v="0"/>
    <n v="6000"/>
    <n v="6800.92"/>
    <n v="2260.92"/>
    <n v="49.800000000000004"/>
    <n v="0"/>
    <n v="9.0799999999999272"/>
    <n v="2270"/>
    <n v="6810"/>
    <n v="50"/>
    <n v="4540"/>
    <m/>
    <n v="6810"/>
    <n v="6800.92"/>
    <n v="-800.92000000000007"/>
    <n v="-6800.92"/>
    <n v="6800.92"/>
    <m/>
  </r>
  <r>
    <n v="950"/>
    <x v="201"/>
    <x v="1"/>
    <x v="11"/>
    <n v="0"/>
    <x v="58"/>
    <s v="دبلوم تقني"/>
    <s v="مختبرات طبيه"/>
    <s v="D"/>
    <x v="9"/>
    <d v="2017-03-21T00:00:00"/>
    <d v="2018-12-31T00:00:00"/>
    <n v="1"/>
    <n v="9"/>
    <n v="3.44"/>
    <n v="4540"/>
    <n v="156.17599999999999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n v="10"/>
    <m/>
    <m/>
    <m/>
    <m/>
    <n v="57.599999999999994"/>
    <n v="2615.04"/>
    <n v="7155.04"/>
    <n v="0"/>
    <n v="6500"/>
    <n v="7155.04"/>
    <n v="2615.04"/>
    <n v="57.6"/>
    <n v="844.96"/>
    <n v="0"/>
    <n v="3460"/>
    <n v="8000"/>
    <n v="76.211453744493397"/>
    <n v="4540"/>
    <n v="8000"/>
    <n v="8000"/>
    <n v="8000"/>
    <n v="-655.04"/>
    <n v="844.96"/>
    <n v="7155.04"/>
    <m/>
  </r>
  <r>
    <n v="951"/>
    <x v="202"/>
    <x v="1"/>
    <x v="4"/>
    <n v="0"/>
    <x v="59"/>
    <s v="دبلوم تقني"/>
    <s v="Production Engineering"/>
    <s v="D"/>
    <x v="9"/>
    <d v="2017-03-21T00:00:00"/>
    <d v="2018-12-31T00:00:00"/>
    <n v="1"/>
    <n v="9"/>
    <n v="3.44"/>
    <n v="4530"/>
    <n v="155.83199999999999"/>
    <n v="4"/>
    <n v="4"/>
    <n v="5"/>
    <n v="2"/>
    <n v="2"/>
    <n v="2"/>
    <n v="3"/>
    <n v="3"/>
    <n v="5"/>
    <n v="30"/>
    <n v="13"/>
    <n v="12"/>
    <n v="15"/>
    <n v="12"/>
    <n v="3"/>
    <n v="3"/>
    <n v="58"/>
    <n v="88"/>
    <n v="9"/>
    <m/>
    <m/>
    <m/>
    <m/>
    <n v="52.8"/>
    <n v="2391.84"/>
    <n v="6921.84"/>
    <n v="0"/>
    <n v="6500"/>
    <n v="6921.84"/>
    <n v="2391.84"/>
    <n v="52.800000000000004"/>
    <n v="0"/>
    <n v="8.1599999999998545"/>
    <n v="2400"/>
    <n v="6930"/>
    <n v="52.980132450331126"/>
    <n v="4530"/>
    <m/>
    <n v="6930"/>
    <n v="6921.84"/>
    <n v="-421.84000000000015"/>
    <n v="-6921.84"/>
    <n v="6921.84"/>
    <m/>
  </r>
  <r>
    <n v="952"/>
    <x v="203"/>
    <x v="1"/>
    <x v="3"/>
    <n v="0"/>
    <x v="18"/>
    <n v="0"/>
    <n v="0"/>
    <s v="H"/>
    <x v="15"/>
    <d v="2017-04-01T00:00:00"/>
    <d v="2018-12-31T00:00:00"/>
    <n v="1"/>
    <n v="8"/>
    <n v="3.2800000000000002"/>
    <n v="3020"/>
    <n v="99.055999999999997"/>
    <n v="5"/>
    <n v="5"/>
    <n v="5"/>
    <n v="0"/>
    <n v="0"/>
    <n v="0"/>
    <n v="3"/>
    <n v="3"/>
    <n v="5"/>
    <n v="26"/>
    <n v="14"/>
    <n v="15"/>
    <n v="12"/>
    <n v="10"/>
    <n v="4"/>
    <n v="3"/>
    <n v="58"/>
    <n v="84"/>
    <m/>
    <m/>
    <m/>
    <m/>
    <m/>
    <n v="50.4"/>
    <n v="1522.08"/>
    <n v="4542.08"/>
    <n v="0"/>
    <n v="4500"/>
    <n v="4542.08"/>
    <n v="1522.08"/>
    <n v="50.4"/>
    <n v="0"/>
    <n v="7.9200000000000728"/>
    <n v="1530"/>
    <n v="4550"/>
    <n v="50.662251655629142"/>
    <n v="3020"/>
    <m/>
    <n v="4550"/>
    <n v="4542.08"/>
    <n v="-42.079999999999927"/>
    <n v="-4542.08"/>
    <n v="4542.08"/>
    <m/>
  </r>
  <r>
    <n v="956"/>
    <x v="204"/>
    <x v="1"/>
    <x v="6"/>
    <n v="0"/>
    <x v="18"/>
    <n v="0"/>
    <n v="0"/>
    <s v="H"/>
    <x v="15"/>
    <d v="2017-04-01T00:00:00"/>
    <d v="2018-12-31T00:00:00"/>
    <n v="1"/>
    <n v="8"/>
    <n v="3.2800000000000002"/>
    <n v="3020"/>
    <n v="99.055999999999997"/>
    <n v="4"/>
    <n v="4"/>
    <n v="3"/>
    <n v="2"/>
    <n v="3"/>
    <n v="2"/>
    <n v="3"/>
    <n v="3"/>
    <n v="4"/>
    <n v="28"/>
    <n v="14"/>
    <n v="13"/>
    <n v="15"/>
    <n v="12"/>
    <n v="3"/>
    <n v="3"/>
    <n v="60"/>
    <n v="88"/>
    <m/>
    <m/>
    <m/>
    <m/>
    <m/>
    <n v="52.8"/>
    <n v="1594.5600000000002"/>
    <n v="4614.5600000000004"/>
    <n v="0"/>
    <n v="4500"/>
    <n v="4614.5600000000004"/>
    <n v="1594.5600000000004"/>
    <n v="52.800000000000011"/>
    <n v="0"/>
    <n v="5.4399999999995998"/>
    <n v="1600"/>
    <n v="4620"/>
    <n v="52.980132450331126"/>
    <n v="3020"/>
    <m/>
    <n v="4620"/>
    <n v="4614.5600000000004"/>
    <n v="-114.5600000000004"/>
    <n v="-4614.5600000000004"/>
    <n v="4614.5600000000004"/>
    <m/>
  </r>
  <r>
    <n v="959"/>
    <x v="205"/>
    <x v="1"/>
    <x v="3"/>
    <n v="0"/>
    <x v="12"/>
    <s v="دبلوم تقني"/>
    <s v="التامين"/>
    <s v="D"/>
    <x v="16"/>
    <d v="2017-04-17T00:00:00"/>
    <d v="2018-12-31T00:00:00"/>
    <n v="1"/>
    <n v="8"/>
    <n v="3.2800000000000002"/>
    <n v="3020"/>
    <n v="99.055999999999997"/>
    <n v="5"/>
    <n v="5"/>
    <n v="5"/>
    <n v="1"/>
    <n v="2"/>
    <n v="2"/>
    <n v="3"/>
    <n v="3"/>
    <n v="5"/>
    <n v="31"/>
    <n v="14"/>
    <n v="15"/>
    <n v="15"/>
    <n v="12"/>
    <n v="4"/>
    <n v="3"/>
    <n v="63"/>
    <n v="94"/>
    <m/>
    <m/>
    <m/>
    <m/>
    <m/>
    <n v="56.4"/>
    <n v="1703.2799999999997"/>
    <n v="4723.28"/>
    <n v="1276.7200000000003"/>
    <n v="6000"/>
    <n v="6000"/>
    <n v="2980"/>
    <n v="98.675496688741731"/>
    <n v="0"/>
    <n v="0"/>
    <n v="2980"/>
    <n v="6000"/>
    <n v="98.675496688741731"/>
    <n v="3020"/>
    <m/>
    <n v="6000"/>
    <n v="6000"/>
    <n v="1276.7200000000003"/>
    <n v="-6000"/>
    <n v="6000"/>
    <m/>
  </r>
  <r>
    <n v="961"/>
    <x v="206"/>
    <x v="1"/>
    <x v="9"/>
    <n v="0"/>
    <x v="31"/>
    <s v="دبلوم تقني"/>
    <s v="هندسة ميكانيكة "/>
    <s v="D"/>
    <x v="17"/>
    <d v="2017-05-01T00:00:00"/>
    <d v="2018-12-31T00:00:00"/>
    <n v="1"/>
    <n v="7"/>
    <n v="3.12"/>
    <n v="3030"/>
    <n v="94.536000000000001"/>
    <n v="4"/>
    <n v="4"/>
    <n v="5"/>
    <n v="3"/>
    <n v="3"/>
    <n v="3"/>
    <n v="3"/>
    <n v="3"/>
    <n v="4"/>
    <n v="32"/>
    <n v="10"/>
    <n v="12"/>
    <n v="0"/>
    <n v="4"/>
    <n v="2"/>
    <n v="3"/>
    <n v="31"/>
    <n v="63"/>
    <n v="8"/>
    <m/>
    <m/>
    <m/>
    <m/>
    <n v="37.799999999999997"/>
    <n v="1145.3399999999999"/>
    <n v="4175.34"/>
    <n v="0"/>
    <n v="4000"/>
    <n v="4175.34"/>
    <n v="1145.3400000000001"/>
    <n v="37.800000000000004"/>
    <n v="0"/>
    <n v="4.6599999999998545"/>
    <n v="1150"/>
    <n v="4180"/>
    <n v="37.953795379537951"/>
    <n v="3030"/>
    <m/>
    <n v="4180"/>
    <n v="4175.34"/>
    <n v="-175.34000000000015"/>
    <n v="-4175.34"/>
    <n v="4175.34"/>
    <m/>
  </r>
  <r>
    <n v="962"/>
    <x v="207"/>
    <x v="1"/>
    <x v="3"/>
    <n v="0"/>
    <x v="18"/>
    <n v="0"/>
    <n v="0"/>
    <s v="H"/>
    <x v="15"/>
    <d v="2017-05-01T00:00:00"/>
    <d v="2018-12-31T00:00:00"/>
    <n v="1"/>
    <n v="7"/>
    <n v="3.12"/>
    <n v="3020"/>
    <n v="94.224000000000004"/>
    <n v="5"/>
    <n v="5"/>
    <n v="5"/>
    <n v="0"/>
    <n v="0"/>
    <n v="0"/>
    <n v="3"/>
    <n v="3"/>
    <n v="5"/>
    <n v="26"/>
    <n v="15"/>
    <n v="14"/>
    <n v="8"/>
    <n v="6"/>
    <n v="4"/>
    <n v="3"/>
    <n v="50"/>
    <n v="76"/>
    <m/>
    <m/>
    <m/>
    <m/>
    <m/>
    <n v="45.6"/>
    <n v="1377.1200000000001"/>
    <n v="4397.12"/>
    <n v="102.88000000000011"/>
    <n v="4500"/>
    <n v="4500"/>
    <n v="1480"/>
    <n v="49.006622516556291"/>
    <n v="0"/>
    <n v="0"/>
    <n v="1480"/>
    <n v="4500"/>
    <n v="49.006622516556291"/>
    <n v="3020"/>
    <m/>
    <n v="4500"/>
    <n v="4500"/>
    <n v="102.88000000000011"/>
    <n v="-4500"/>
    <n v="4500"/>
    <m/>
  </r>
  <r>
    <n v="963"/>
    <x v="208"/>
    <x v="1"/>
    <x v="3"/>
    <n v="0"/>
    <x v="18"/>
    <n v="0"/>
    <n v="0"/>
    <s v="H"/>
    <x v="15"/>
    <d v="2017-05-01T00:00:00"/>
    <d v="2018-12-31T00:00:00"/>
    <n v="1"/>
    <n v="7"/>
    <n v="3.12"/>
    <n v="3020"/>
    <n v="94.224000000000004"/>
    <n v="5"/>
    <n v="5"/>
    <n v="5"/>
    <n v="0"/>
    <n v="0"/>
    <n v="0"/>
    <n v="3"/>
    <n v="3"/>
    <n v="5"/>
    <n v="26"/>
    <n v="15"/>
    <n v="14"/>
    <n v="15"/>
    <n v="12"/>
    <n v="4"/>
    <n v="3"/>
    <n v="63"/>
    <n v="89"/>
    <m/>
    <m/>
    <m/>
    <m/>
    <m/>
    <n v="53.4"/>
    <n v="1612.68"/>
    <n v="4632.68"/>
    <n v="0"/>
    <n v="4500"/>
    <n v="4632.68"/>
    <n v="1612.6800000000003"/>
    <n v="53.400000000000013"/>
    <n v="0"/>
    <n v="7.319999999999709"/>
    <n v="1620"/>
    <n v="4640"/>
    <n v="53.642384105960268"/>
    <n v="3020"/>
    <m/>
    <n v="4640"/>
    <n v="4632.68"/>
    <n v="-132.68000000000029"/>
    <n v="-4632.68"/>
    <n v="4632.68"/>
    <m/>
  </r>
  <r>
    <n v="965"/>
    <x v="209"/>
    <x v="1"/>
    <x v="15"/>
    <n v="0"/>
    <x v="60"/>
    <s v="بكلاريوس الشرف"/>
    <s v="هندسة الكترونيات ( تحكم )"/>
    <s v="C"/>
    <x v="2"/>
    <d v="2017-05-01T00:00:00"/>
    <d v="2018-12-31T00:00:00"/>
    <n v="1"/>
    <n v="7"/>
    <n v="3.12"/>
    <n v="5030"/>
    <n v="156.93600000000001"/>
    <n v="5"/>
    <n v="5"/>
    <n v="5"/>
    <n v="2"/>
    <n v="3"/>
    <n v="2"/>
    <n v="3"/>
    <n v="2"/>
    <n v="5"/>
    <n v="32"/>
    <n v="13"/>
    <n v="13"/>
    <n v="15"/>
    <n v="10"/>
    <n v="3"/>
    <n v="3"/>
    <n v="57"/>
    <n v="89"/>
    <m/>
    <m/>
    <m/>
    <m/>
    <m/>
    <n v="53.4"/>
    <n v="2686.02"/>
    <n v="7716.02"/>
    <n v="0"/>
    <n v="7000"/>
    <n v="7716.02"/>
    <n v="2686.0200000000004"/>
    <n v="53.400000000000013"/>
    <n v="283.97999999999956"/>
    <n v="0"/>
    <n v="2970"/>
    <n v="8000"/>
    <n v="59.045725646123266"/>
    <n v="5030"/>
    <n v="8000"/>
    <n v="8000"/>
    <n v="8000"/>
    <n v="-716.02000000000044"/>
    <n v="283.97999999999956"/>
    <n v="7716.02"/>
    <m/>
  </r>
  <r>
    <n v="966"/>
    <x v="210"/>
    <x v="1"/>
    <x v="2"/>
    <n v="0"/>
    <x v="43"/>
    <n v="0"/>
    <n v="0"/>
    <s v="H"/>
    <x v="11"/>
    <d v="2017-05-08T00:00:00"/>
    <d v="2018-12-31T00:00:00"/>
    <n v="1"/>
    <n v="7"/>
    <n v="3.12"/>
    <n v="3530"/>
    <n v="110.136"/>
    <n v="5"/>
    <n v="4"/>
    <n v="5"/>
    <n v="3"/>
    <n v="2"/>
    <n v="3"/>
    <n v="3"/>
    <n v="3"/>
    <n v="5"/>
    <n v="33"/>
    <n v="15"/>
    <n v="14"/>
    <n v="15"/>
    <n v="12"/>
    <n v="3"/>
    <n v="3"/>
    <n v="62"/>
    <n v="95"/>
    <m/>
    <m/>
    <m/>
    <m/>
    <m/>
    <n v="57"/>
    <n v="2012.1"/>
    <n v="5542.1"/>
    <n v="457.89999999999964"/>
    <n v="6000"/>
    <n v="6000"/>
    <n v="2470"/>
    <n v="69.971671388101996"/>
    <n v="0"/>
    <n v="0"/>
    <n v="2470"/>
    <n v="6000"/>
    <n v="69.971671388101996"/>
    <n v="3530"/>
    <m/>
    <n v="6000"/>
    <n v="6000"/>
    <n v="457.89999999999964"/>
    <n v="-6000"/>
    <n v="6000"/>
    <m/>
  </r>
  <r>
    <n v="968"/>
    <x v="211"/>
    <x v="1"/>
    <x v="3"/>
    <n v="0"/>
    <x v="18"/>
    <n v="0"/>
    <n v="0"/>
    <s v="H"/>
    <x v="15"/>
    <d v="2018-02-12T00:00:00"/>
    <d v="2018-12-31T00:00:00"/>
    <n v="0"/>
    <n v="10"/>
    <n v="1.6"/>
    <n v="3000"/>
    <n v="48"/>
    <n v="5"/>
    <n v="5"/>
    <n v="5"/>
    <n v="0"/>
    <n v="0"/>
    <n v="0"/>
    <n v="3"/>
    <n v="3"/>
    <n v="4"/>
    <n v="25"/>
    <n v="15"/>
    <n v="14"/>
    <n v="12"/>
    <n v="8"/>
    <n v="4"/>
    <n v="3"/>
    <n v="56"/>
    <n v="81"/>
    <m/>
    <m/>
    <m/>
    <m/>
    <m/>
    <n v="48.6"/>
    <n v="1458"/>
    <n v="4458"/>
    <n v="42"/>
    <n v="4500"/>
    <n v="4500"/>
    <n v="1500"/>
    <n v="50"/>
    <n v="0"/>
    <n v="0"/>
    <n v="1500"/>
    <n v="4500"/>
    <n v="50"/>
    <n v="3000"/>
    <m/>
    <n v="4500"/>
    <n v="4500"/>
    <n v="42"/>
    <n v="-4500"/>
    <n v="4500"/>
    <m/>
  </r>
  <r>
    <n v="970"/>
    <x v="212"/>
    <x v="1"/>
    <x v="3"/>
    <s v="الزاويه"/>
    <x v="18"/>
    <n v="0"/>
    <n v="0"/>
    <s v="H"/>
    <x v="15"/>
    <d v="2017-05-17T00:00:00"/>
    <d v="2018-12-31T00:00:00"/>
    <n v="1"/>
    <n v="7"/>
    <n v="3.12"/>
    <n v="3020"/>
    <n v="94.224000000000004"/>
    <n v="5"/>
    <n v="5"/>
    <n v="5"/>
    <n v="2"/>
    <n v="2"/>
    <n v="2"/>
    <n v="3"/>
    <n v="3"/>
    <n v="5"/>
    <n v="32"/>
    <n v="13"/>
    <n v="13"/>
    <n v="12"/>
    <n v="10"/>
    <n v="4"/>
    <n v="3"/>
    <n v="55"/>
    <n v="87"/>
    <m/>
    <m/>
    <m/>
    <m/>
    <m/>
    <n v="52.199999999999996"/>
    <n v="1576.4399999999998"/>
    <n v="4596.4399999999996"/>
    <n v="0"/>
    <n v="4500"/>
    <n v="4596.4399999999996"/>
    <n v="1576.4399999999996"/>
    <n v="52.199999999999989"/>
    <n v="0"/>
    <n v="3.5600000000004002"/>
    <n v="1580"/>
    <n v="4600"/>
    <n v="52.317880794701985"/>
    <n v="3020"/>
    <m/>
    <n v="4600"/>
    <n v="4596.4399999999996"/>
    <n v="-96.4399999999996"/>
    <n v="-4596.4399999999996"/>
    <n v="4596.4399999999996"/>
    <m/>
  </r>
  <r>
    <n v="971"/>
    <x v="213"/>
    <x v="1"/>
    <x v="6"/>
    <n v="0"/>
    <x v="18"/>
    <n v="0"/>
    <n v="0"/>
    <s v="H"/>
    <x v="15"/>
    <d v="2017-05-20T00:00:00"/>
    <d v="2018-12-31T00:00:00"/>
    <n v="1"/>
    <n v="7"/>
    <n v="3.12"/>
    <n v="3020"/>
    <n v="94.224000000000004"/>
    <n v="4"/>
    <n v="4"/>
    <n v="3"/>
    <n v="2"/>
    <n v="1"/>
    <n v="2"/>
    <n v="3"/>
    <n v="3"/>
    <n v="5"/>
    <n v="27"/>
    <n v="15"/>
    <n v="14"/>
    <n v="15"/>
    <n v="12"/>
    <n v="5"/>
    <n v="3"/>
    <n v="64"/>
    <n v="91"/>
    <m/>
    <m/>
    <m/>
    <m/>
    <m/>
    <n v="54.6"/>
    <n v="1648.92"/>
    <n v="4668.92"/>
    <n v="0"/>
    <n v="4500"/>
    <n v="4668.92"/>
    <n v="1648.92"/>
    <n v="54.6"/>
    <n v="0"/>
    <n v="1.0799999999999272"/>
    <n v="1650"/>
    <n v="4670"/>
    <n v="54.635761589403977"/>
    <n v="3020"/>
    <m/>
    <n v="4670"/>
    <n v="4668.92"/>
    <n v="-168.92000000000007"/>
    <n v="-4668.92"/>
    <n v="4668.92"/>
    <m/>
  </r>
  <r>
    <n v="972"/>
    <x v="214"/>
    <x v="1"/>
    <x v="3"/>
    <n v="0"/>
    <x v="12"/>
    <n v="0"/>
    <n v="0"/>
    <s v="H"/>
    <x v="16"/>
    <d v="2017-06-01T00:00:00"/>
    <d v="2018-12-31T00:00:00"/>
    <n v="1"/>
    <n v="6"/>
    <n v="2.96"/>
    <n v="3020"/>
    <n v="89.391999999999996"/>
    <n v="5"/>
    <n v="5"/>
    <n v="5"/>
    <n v="1"/>
    <n v="1"/>
    <n v="1"/>
    <n v="3"/>
    <n v="3"/>
    <n v="5"/>
    <n v="29"/>
    <n v="15"/>
    <n v="15"/>
    <n v="15"/>
    <n v="12"/>
    <n v="4"/>
    <n v="3"/>
    <n v="64"/>
    <n v="93"/>
    <m/>
    <m/>
    <m/>
    <m/>
    <m/>
    <n v="55.8"/>
    <n v="1685.1599999999999"/>
    <n v="4705.16"/>
    <n v="1294.8400000000001"/>
    <n v="6000"/>
    <n v="6000"/>
    <n v="2980"/>
    <n v="98.675496688741731"/>
    <n v="0"/>
    <n v="0"/>
    <n v="2980"/>
    <n v="6000"/>
    <n v="98.675496688741731"/>
    <n v="3020"/>
    <m/>
    <n v="6000"/>
    <n v="6000"/>
    <n v="1294.8400000000001"/>
    <n v="-6000"/>
    <n v="6000"/>
    <m/>
  </r>
  <r>
    <n v="973"/>
    <x v="215"/>
    <x v="1"/>
    <x v="4"/>
    <n v="0"/>
    <x v="9"/>
    <s v="تدريب مهني"/>
    <s v="ميكانيكا سيارات"/>
    <s v="F"/>
    <x v="11"/>
    <d v="2017-06-01T00:00:00"/>
    <d v="2018-12-31T00:00:00"/>
    <n v="1"/>
    <n v="6"/>
    <n v="2.96"/>
    <n v="4020"/>
    <n v="118.992"/>
    <n v="4"/>
    <n v="4"/>
    <n v="5"/>
    <n v="2"/>
    <n v="3"/>
    <n v="2"/>
    <n v="3"/>
    <n v="3"/>
    <n v="5"/>
    <n v="31"/>
    <n v="13"/>
    <n v="13"/>
    <n v="15"/>
    <n v="12"/>
    <n v="4"/>
    <n v="3"/>
    <n v="60"/>
    <n v="91"/>
    <n v="10"/>
    <m/>
    <m/>
    <m/>
    <m/>
    <n v="54.6"/>
    <n v="2194.92"/>
    <n v="6214.92"/>
    <n v="0"/>
    <n v="6000"/>
    <n v="6214.92"/>
    <n v="2194.92"/>
    <n v="54.6"/>
    <n v="0"/>
    <n v="5.0799999999999272"/>
    <n v="2200"/>
    <n v="6220"/>
    <n v="54.726368159203979"/>
    <n v="4020"/>
    <m/>
    <n v="6220"/>
    <n v="6214.92"/>
    <n v="-214.92000000000007"/>
    <n v="-6214.92"/>
    <n v="6214.92"/>
    <m/>
  </r>
  <r>
    <n v="976"/>
    <x v="216"/>
    <x v="1"/>
    <x v="3"/>
    <n v="0"/>
    <x v="18"/>
    <n v="0"/>
    <n v="0"/>
    <s v="H"/>
    <x v="15"/>
    <d v="2017-07-04T00:00:00"/>
    <d v="2018-12-31T00:00:00"/>
    <n v="1"/>
    <n v="5"/>
    <n v="2.8"/>
    <n v="3020"/>
    <n v="84.56"/>
    <n v="5"/>
    <n v="5"/>
    <n v="5"/>
    <n v="1"/>
    <n v="1"/>
    <n v="1"/>
    <n v="3"/>
    <n v="3"/>
    <n v="5"/>
    <n v="29"/>
    <n v="14"/>
    <n v="14"/>
    <n v="15"/>
    <n v="12"/>
    <n v="5"/>
    <n v="3"/>
    <n v="63"/>
    <n v="92"/>
    <m/>
    <m/>
    <m/>
    <m/>
    <m/>
    <n v="55.199999999999996"/>
    <n v="1667.0399999999997"/>
    <n v="4687.04"/>
    <n v="0"/>
    <n v="4500"/>
    <n v="4687.04"/>
    <n v="1667.04"/>
    <n v="55.2"/>
    <n v="0"/>
    <n v="2.9600000000000364"/>
    <n v="1670"/>
    <n v="4690"/>
    <n v="55.298013245033111"/>
    <n v="3020"/>
    <m/>
    <n v="4690"/>
    <n v="4687.04"/>
    <n v="-187.03999999999996"/>
    <n v="-4687.04"/>
    <n v="4687.04"/>
    <m/>
  </r>
  <r>
    <n v="978"/>
    <x v="217"/>
    <x v="1"/>
    <x v="9"/>
    <n v="0"/>
    <x v="31"/>
    <n v="0"/>
    <n v="0"/>
    <s v="H"/>
    <x v="11"/>
    <d v="2017-07-12T00:00:00"/>
    <d v="2018-12-31T00:00:00"/>
    <n v="1"/>
    <n v="5"/>
    <n v="2.8"/>
    <n v="3020"/>
    <n v="84.56"/>
    <n v="5"/>
    <n v="5"/>
    <n v="5"/>
    <n v="3"/>
    <n v="3"/>
    <n v="2"/>
    <n v="3"/>
    <n v="3"/>
    <n v="4"/>
    <n v="33"/>
    <n v="13"/>
    <n v="13"/>
    <n v="5"/>
    <n v="2"/>
    <n v="3"/>
    <n v="3"/>
    <n v="39"/>
    <n v="72"/>
    <n v="9"/>
    <m/>
    <m/>
    <m/>
    <m/>
    <n v="43.199999999999996"/>
    <n v="1304.6399999999999"/>
    <n v="4324.6399999999994"/>
    <n v="1675.3600000000006"/>
    <n v="6000"/>
    <n v="6000"/>
    <n v="2980"/>
    <n v="98.675496688741731"/>
    <n v="0"/>
    <n v="0"/>
    <n v="2980"/>
    <n v="6000"/>
    <n v="98.675496688741731"/>
    <n v="3020"/>
    <m/>
    <n v="6000"/>
    <n v="6000"/>
    <n v="1675.3600000000006"/>
    <n v="-6000"/>
    <n v="6000"/>
    <m/>
  </r>
  <r>
    <n v="979"/>
    <x v="218"/>
    <x v="1"/>
    <x v="2"/>
    <n v="0"/>
    <x v="43"/>
    <s v="بكلاريوس"/>
    <s v="الإحصاء والاقتصاد القياسي"/>
    <s v="C"/>
    <x v="9"/>
    <d v="2017-07-13T00:00:00"/>
    <d v="2018-12-31T00:00:00"/>
    <n v="1"/>
    <n v="5"/>
    <n v="2.8"/>
    <n v="3520"/>
    <n v="98.56"/>
    <n v="4"/>
    <n v="4"/>
    <n v="5"/>
    <n v="3"/>
    <n v="3"/>
    <n v="2"/>
    <n v="3"/>
    <n v="3"/>
    <n v="5"/>
    <n v="32"/>
    <n v="15"/>
    <n v="14"/>
    <n v="15"/>
    <n v="6"/>
    <n v="4"/>
    <n v="3"/>
    <n v="57"/>
    <n v="89"/>
    <m/>
    <m/>
    <m/>
    <m/>
    <m/>
    <n v="53.4"/>
    <n v="1879.68"/>
    <n v="5399.68"/>
    <n v="1100.3199999999997"/>
    <n v="6500"/>
    <n v="6500"/>
    <n v="2980"/>
    <n v="84.659090909090907"/>
    <n v="0"/>
    <n v="0"/>
    <n v="2980"/>
    <n v="6500"/>
    <n v="84.659090909090907"/>
    <n v="3520"/>
    <m/>
    <n v="6500"/>
    <n v="6500"/>
    <n v="1100.3199999999997"/>
    <n v="-6500"/>
    <n v="6500"/>
    <m/>
  </r>
  <r>
    <n v="980"/>
    <x v="219"/>
    <x v="1"/>
    <x v="3"/>
    <n v="0"/>
    <x v="18"/>
    <n v="0"/>
    <n v="0"/>
    <s v="H"/>
    <x v="15"/>
    <d v="2017-07-16T00:00:00"/>
    <d v="2018-12-31T00:00:00"/>
    <n v="1"/>
    <n v="5"/>
    <n v="2.8"/>
    <n v="3020"/>
    <n v="84.56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m/>
    <m/>
    <m/>
    <m/>
    <m/>
    <n v="57.599999999999994"/>
    <n v="1739.52"/>
    <n v="4759.5200000000004"/>
    <n v="0"/>
    <n v="4500"/>
    <n v="4759.5200000000004"/>
    <n v="1739.5200000000004"/>
    <n v="57.600000000000016"/>
    <n v="0"/>
    <n v="0.47999999999956344"/>
    <n v="1740"/>
    <n v="4760"/>
    <n v="57.615894039735103"/>
    <n v="3020"/>
    <m/>
    <n v="4760"/>
    <n v="4759.5200000000004"/>
    <n v="-259.52000000000044"/>
    <n v="-4759.5200000000004"/>
    <n v="4759.5200000000004"/>
    <m/>
  </r>
  <r>
    <n v="981"/>
    <x v="220"/>
    <x v="1"/>
    <x v="15"/>
    <n v="0"/>
    <x v="61"/>
    <s v="دبلوم تقني"/>
    <s v="نظم التحكم الالكترونى"/>
    <s v="D"/>
    <x v="9"/>
    <d v="2017-07-05T00:00:00"/>
    <d v="2018-12-31T00:00:00"/>
    <n v="1"/>
    <n v="5"/>
    <n v="2.8"/>
    <n v="4520"/>
    <n v="126.56"/>
    <n v="5"/>
    <n v="5"/>
    <n v="5"/>
    <n v="2"/>
    <n v="3"/>
    <n v="3"/>
    <n v="2"/>
    <n v="3"/>
    <n v="5"/>
    <n v="33"/>
    <n v="13"/>
    <n v="13"/>
    <n v="12"/>
    <n v="10"/>
    <n v="3"/>
    <n v="3"/>
    <n v="54"/>
    <n v="87"/>
    <m/>
    <m/>
    <m/>
    <m/>
    <m/>
    <n v="52.199999999999996"/>
    <n v="2359.4399999999996"/>
    <n v="6879.44"/>
    <n v="0"/>
    <n v="6500"/>
    <n v="6879.44"/>
    <n v="2359.4399999999996"/>
    <n v="52.199999999999989"/>
    <n v="0"/>
    <n v="0.56000000000040018"/>
    <n v="2360"/>
    <n v="6880"/>
    <n v="52.212389380530972"/>
    <n v="4520"/>
    <m/>
    <n v="6880"/>
    <n v="6879.44"/>
    <n v="-379.4399999999996"/>
    <n v="-6879.44"/>
    <n v="6879.44"/>
    <m/>
  </r>
  <r>
    <n v="984"/>
    <x v="221"/>
    <x v="1"/>
    <x v="3"/>
    <s v="الاليات"/>
    <x v="21"/>
    <n v="0"/>
    <n v="0"/>
    <s v="H"/>
    <x v="10"/>
    <d v="2017-08-07T00:00:00"/>
    <d v="2018-12-31T00:00:00"/>
    <n v="1"/>
    <n v="4"/>
    <n v="2.64"/>
    <n v="4020"/>
    <n v="106.128"/>
    <n v="5"/>
    <n v="4"/>
    <n v="4"/>
    <n v="2"/>
    <n v="2"/>
    <n v="2"/>
    <n v="3"/>
    <n v="3"/>
    <n v="5"/>
    <n v="30"/>
    <n v="15"/>
    <n v="15"/>
    <n v="15"/>
    <n v="12"/>
    <n v="2"/>
    <n v="3"/>
    <n v="62"/>
    <n v="92"/>
    <m/>
    <m/>
    <m/>
    <m/>
    <m/>
    <n v="55.199999999999996"/>
    <n v="2219.04"/>
    <n v="6239.04"/>
    <n v="0"/>
    <n v="5500"/>
    <n v="6239.04"/>
    <n v="2219.04"/>
    <n v="55.199999999999996"/>
    <n v="0"/>
    <n v="0.96000000000003638"/>
    <n v="2220"/>
    <n v="6240"/>
    <n v="55.223880597014919"/>
    <n v="4020"/>
    <m/>
    <n v="6240"/>
    <n v="6239.04"/>
    <n v="-739.04"/>
    <n v="-6239.04"/>
    <n v="6239.04"/>
    <m/>
  </r>
  <r>
    <n v="985"/>
    <x v="222"/>
    <x v="1"/>
    <x v="3"/>
    <n v="0"/>
    <x v="18"/>
    <s v="دبلوم تقني"/>
    <s v="هندسة مدنية ( تشييد )"/>
    <s v="D"/>
    <x v="15"/>
    <d v="2017-08-12T00:00:00"/>
    <d v="2018-12-31T00:00:00"/>
    <n v="1"/>
    <n v="4"/>
    <n v="2.64"/>
    <n v="3010"/>
    <n v="79.463999999999999"/>
    <n v="5"/>
    <n v="5"/>
    <n v="5"/>
    <n v="0"/>
    <n v="0"/>
    <n v="0"/>
    <n v="3"/>
    <n v="3"/>
    <n v="5"/>
    <n v="26"/>
    <n v="14"/>
    <n v="13"/>
    <n v="12"/>
    <n v="10"/>
    <n v="3"/>
    <n v="3"/>
    <n v="55"/>
    <n v="81"/>
    <m/>
    <m/>
    <m/>
    <m/>
    <m/>
    <n v="48.6"/>
    <n v="1462.86"/>
    <n v="4472.8599999999997"/>
    <n v="27.140000000000327"/>
    <n v="4500"/>
    <n v="4500"/>
    <n v="1490"/>
    <n v="49.501661129568106"/>
    <n v="0"/>
    <n v="0"/>
    <n v="1490"/>
    <n v="4500"/>
    <n v="49.501661129568106"/>
    <n v="3010"/>
    <m/>
    <n v="4500"/>
    <n v="4500"/>
    <n v="27.140000000000327"/>
    <n v="-4500"/>
    <n v="4500"/>
    <m/>
  </r>
  <r>
    <n v="986"/>
    <x v="223"/>
    <x v="1"/>
    <x v="6"/>
    <n v="0"/>
    <x v="18"/>
    <n v="0"/>
    <n v="0"/>
    <s v="H"/>
    <x v="15"/>
    <d v="2017-08-12T00:00:00"/>
    <d v="2018-12-31T00:00:00"/>
    <n v="1"/>
    <n v="4"/>
    <n v="2.64"/>
    <n v="3010"/>
    <n v="79.463999999999999"/>
    <n v="4"/>
    <n v="4"/>
    <n v="4"/>
    <n v="2"/>
    <n v="2"/>
    <n v="2"/>
    <n v="3"/>
    <n v="3"/>
    <n v="4"/>
    <n v="28"/>
    <n v="15"/>
    <n v="14"/>
    <n v="15"/>
    <n v="12"/>
    <n v="4"/>
    <n v="3"/>
    <n v="63"/>
    <n v="91"/>
    <m/>
    <m/>
    <m/>
    <m/>
    <m/>
    <n v="54.6"/>
    <n v="1643.46"/>
    <n v="4653.46"/>
    <n v="0"/>
    <n v="4500"/>
    <n v="4653.46"/>
    <n v="1643.46"/>
    <n v="54.6"/>
    <n v="0"/>
    <n v="6.5399999999999636"/>
    <n v="1650"/>
    <n v="4660"/>
    <n v="54.817275747508305"/>
    <n v="3010"/>
    <m/>
    <n v="4660"/>
    <n v="4653.46"/>
    <n v="-153.46000000000004"/>
    <n v="-4653.46"/>
    <n v="4653.46"/>
    <m/>
  </r>
  <r>
    <n v="990"/>
    <x v="224"/>
    <x v="1"/>
    <x v="3"/>
    <n v="0"/>
    <x v="18"/>
    <s v="شهاده ثانويه"/>
    <n v="0"/>
    <s v="F"/>
    <x v="15"/>
    <d v="2017-11-19T00:00:00"/>
    <d v="2018-12-31T00:00:00"/>
    <n v="1"/>
    <n v="1"/>
    <n v="2.16"/>
    <n v="3000"/>
    <n v="64.8"/>
    <n v="5"/>
    <n v="5"/>
    <n v="5"/>
    <n v="1"/>
    <n v="1"/>
    <n v="1"/>
    <n v="3"/>
    <n v="3"/>
    <n v="5"/>
    <n v="29"/>
    <n v="14"/>
    <n v="13"/>
    <n v="15"/>
    <n v="12"/>
    <n v="4"/>
    <n v="3"/>
    <n v="61"/>
    <n v="90"/>
    <m/>
    <m/>
    <m/>
    <m/>
    <m/>
    <n v="54"/>
    <n v="1620"/>
    <n v="4620"/>
    <n v="0"/>
    <n v="4500"/>
    <n v="4620"/>
    <n v="1620"/>
    <n v="54"/>
    <n v="0"/>
    <n v="0"/>
    <n v="1620"/>
    <n v="4620"/>
    <n v="54"/>
    <n v="3000"/>
    <m/>
    <n v="4620"/>
    <n v="4620"/>
    <n v="-120"/>
    <n v="-4620"/>
    <n v="4620"/>
    <m/>
  </r>
  <r>
    <n v="991"/>
    <x v="225"/>
    <x v="1"/>
    <x v="3"/>
    <n v="0"/>
    <x v="18"/>
    <s v="شهاده ثانويه"/>
    <n v="0"/>
    <s v="F"/>
    <x v="15"/>
    <d v="2017-12-01T00:00:00"/>
    <d v="2018-12-31T00:00:00"/>
    <n v="1"/>
    <n v="0"/>
    <n v="2"/>
    <n v="3000"/>
    <n v="60"/>
    <n v="5"/>
    <n v="5"/>
    <n v="5"/>
    <n v="1"/>
    <n v="1"/>
    <n v="1"/>
    <n v="3"/>
    <n v="3"/>
    <n v="5"/>
    <n v="29"/>
    <n v="13"/>
    <n v="12"/>
    <n v="15"/>
    <n v="10"/>
    <n v="3"/>
    <n v="3"/>
    <n v="56"/>
    <n v="85"/>
    <m/>
    <m/>
    <m/>
    <m/>
    <m/>
    <n v="51"/>
    <n v="1530"/>
    <n v="4530"/>
    <n v="0"/>
    <n v="4500"/>
    <n v="4530"/>
    <n v="1530"/>
    <n v="51"/>
    <n v="0"/>
    <n v="0"/>
    <n v="1530"/>
    <n v="4530"/>
    <n v="51"/>
    <n v="3000"/>
    <m/>
    <n v="4530"/>
    <n v="4530"/>
    <n v="-30"/>
    <n v="-4530"/>
    <n v="4530"/>
    <m/>
  </r>
  <r>
    <n v="992"/>
    <x v="226"/>
    <x v="1"/>
    <x v="6"/>
    <n v="0"/>
    <x v="62"/>
    <n v="0"/>
    <n v="0"/>
    <s v="H"/>
    <x v="16"/>
    <d v="2017-12-06T00:00:00"/>
    <d v="2018-12-31T00:00:00"/>
    <n v="1"/>
    <n v="0"/>
    <n v="2"/>
    <n v="4000"/>
    <n v="80"/>
    <n v="4"/>
    <n v="4"/>
    <n v="4"/>
    <n v="2"/>
    <n v="2"/>
    <n v="2"/>
    <n v="3"/>
    <n v="3"/>
    <n v="5"/>
    <n v="29"/>
    <n v="14"/>
    <n v="14"/>
    <n v="15"/>
    <n v="12"/>
    <n v="3"/>
    <n v="3"/>
    <n v="61"/>
    <n v="90"/>
    <m/>
    <m/>
    <m/>
    <m/>
    <m/>
    <n v="54"/>
    <n v="2160"/>
    <n v="6160"/>
    <n v="0"/>
    <n v="6000"/>
    <n v="6160"/>
    <n v="2160"/>
    <n v="54"/>
    <n v="0"/>
    <n v="0"/>
    <n v="2160"/>
    <n v="6160"/>
    <n v="54"/>
    <n v="4000"/>
    <m/>
    <n v="6160"/>
    <n v="6160"/>
    <n v="-160"/>
    <n v="-6160"/>
    <n v="6160"/>
    <m/>
  </r>
  <r>
    <n v="993"/>
    <x v="227"/>
    <x v="1"/>
    <x v="3"/>
    <n v="0"/>
    <x v="12"/>
    <n v="0"/>
    <n v="0"/>
    <s v="H"/>
    <x v="16"/>
    <d v="2018-01-04T00:00:00"/>
    <d v="2018-12-31T00:00:00"/>
    <n v="0"/>
    <n v="11"/>
    <n v="1.76"/>
    <n v="3000"/>
    <n v="52.8"/>
    <n v="5"/>
    <n v="5"/>
    <n v="5"/>
    <n v="1"/>
    <n v="2"/>
    <n v="2"/>
    <n v="3"/>
    <n v="3"/>
    <n v="5"/>
    <n v="31"/>
    <n v="15"/>
    <n v="14"/>
    <n v="15"/>
    <n v="12"/>
    <n v="5"/>
    <n v="3"/>
    <n v="64"/>
    <n v="95"/>
    <m/>
    <m/>
    <m/>
    <m/>
    <m/>
    <n v="57"/>
    <n v="1709.9999999999998"/>
    <n v="4710"/>
    <n v="1290"/>
    <n v="6000"/>
    <n v="6000"/>
    <n v="3000"/>
    <n v="100"/>
    <n v="0"/>
    <n v="0"/>
    <n v="3000"/>
    <n v="6000"/>
    <n v="100"/>
    <n v="3000"/>
    <m/>
    <n v="6000"/>
    <n v="6000"/>
    <n v="1290"/>
    <n v="-6000"/>
    <n v="6000"/>
    <m/>
  </r>
  <r>
    <n v="994"/>
    <x v="228"/>
    <x v="1"/>
    <x v="2"/>
    <n v="0"/>
    <x v="18"/>
    <s v="دبلوم تقني"/>
    <s v="علوم الاتصال ( العلاقات العامه )"/>
    <s v="D"/>
    <x v="15"/>
    <d v="2018-01-08T00:00:00"/>
    <d v="2018-12-31T00:00:00"/>
    <n v="0"/>
    <n v="11"/>
    <n v="1.76"/>
    <n v="3000"/>
    <n v="52.8"/>
    <n v="5"/>
    <n v="4"/>
    <n v="5"/>
    <n v="3"/>
    <n v="3"/>
    <n v="3"/>
    <n v="3"/>
    <n v="3"/>
    <n v="5"/>
    <n v="34"/>
    <n v="15"/>
    <n v="15"/>
    <n v="15"/>
    <n v="12"/>
    <n v="4"/>
    <n v="3"/>
    <n v="64"/>
    <n v="98"/>
    <m/>
    <m/>
    <m/>
    <m/>
    <m/>
    <n v="58.8"/>
    <n v="1764"/>
    <n v="4764"/>
    <n v="0"/>
    <n v="4500"/>
    <n v="4764"/>
    <n v="1764"/>
    <n v="58.8"/>
    <n v="0"/>
    <n v="6"/>
    <n v="1770"/>
    <n v="4770"/>
    <n v="59"/>
    <n v="3000"/>
    <m/>
    <n v="4770"/>
    <n v="4764"/>
    <n v="-264"/>
    <n v="-4764"/>
    <n v="4764"/>
    <m/>
  </r>
  <r>
    <n v="996"/>
    <x v="229"/>
    <x v="1"/>
    <x v="3"/>
    <n v="0"/>
    <x v="18"/>
    <n v="0"/>
    <n v="0"/>
    <s v="H"/>
    <x v="15"/>
    <d v="2018-01-16T00:00:00"/>
    <d v="2018-12-31T00:00:00"/>
    <n v="0"/>
    <n v="11"/>
    <n v="1.76"/>
    <n v="4000"/>
    <n v="70.400000000000006"/>
    <n v="5"/>
    <n v="5"/>
    <n v="5"/>
    <n v="1"/>
    <n v="2"/>
    <n v="2"/>
    <n v="3"/>
    <n v="3"/>
    <n v="5"/>
    <n v="31"/>
    <n v="15"/>
    <n v="14"/>
    <n v="15"/>
    <n v="12"/>
    <n v="4"/>
    <n v="3"/>
    <n v="63"/>
    <n v="94"/>
    <m/>
    <m/>
    <m/>
    <m/>
    <m/>
    <n v="56.4"/>
    <n v="2256"/>
    <n v="6256"/>
    <n v="0"/>
    <n v="4500"/>
    <n v="6256"/>
    <n v="2256"/>
    <n v="56.4"/>
    <n v="0"/>
    <n v="4"/>
    <n v="2260"/>
    <n v="6260"/>
    <n v="56.5"/>
    <n v="4000"/>
    <m/>
    <n v="6260"/>
    <n v="6256"/>
    <n v="-1756"/>
    <n v="-6256"/>
    <n v="6256"/>
    <m/>
  </r>
  <r>
    <n v="997"/>
    <x v="230"/>
    <x v="1"/>
    <x v="3"/>
    <n v="0"/>
    <x v="18"/>
    <s v="دبلوم وسيط"/>
    <s v="دراسات اسلامية"/>
    <s v="E"/>
    <x v="15"/>
    <d v="2018-01-16T00:00:00"/>
    <d v="2018-12-31T00:00:00"/>
    <n v="0"/>
    <n v="11"/>
    <n v="1.76"/>
    <n v="4000"/>
    <n v="70.400000000000006"/>
    <n v="5"/>
    <n v="5"/>
    <n v="5"/>
    <n v="0"/>
    <n v="0"/>
    <n v="0"/>
    <n v="3"/>
    <n v="3"/>
    <n v="5"/>
    <n v="26"/>
    <n v="14"/>
    <n v="14"/>
    <n v="15"/>
    <n v="12"/>
    <n v="4"/>
    <n v="3"/>
    <n v="62"/>
    <n v="88"/>
    <m/>
    <m/>
    <m/>
    <m/>
    <m/>
    <n v="52.8"/>
    <n v="2112"/>
    <n v="6112"/>
    <n v="0"/>
    <n v="4500"/>
    <n v="6112"/>
    <n v="2112"/>
    <n v="52.8"/>
    <n v="0"/>
    <n v="8"/>
    <n v="2120"/>
    <n v="6120"/>
    <n v="53"/>
    <n v="4000"/>
    <m/>
    <n v="6120"/>
    <n v="6112"/>
    <n v="-1612"/>
    <n v="-6112"/>
    <n v="6112"/>
    <m/>
  </r>
  <r>
    <n v="999"/>
    <x v="231"/>
    <x v="1"/>
    <x v="3"/>
    <n v="0"/>
    <x v="18"/>
    <n v="0"/>
    <n v="0"/>
    <s v="H"/>
    <x v="15"/>
    <d v="2018-02-03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5"/>
    <n v="13"/>
    <n v="15"/>
    <n v="12"/>
    <n v="4"/>
    <n v="3"/>
    <n v="62"/>
    <n v="91"/>
    <m/>
    <m/>
    <m/>
    <m/>
    <m/>
    <n v="54.6"/>
    <n v="1638.0000000000002"/>
    <n v="4638"/>
    <n v="0"/>
    <n v="4500"/>
    <n v="4638"/>
    <n v="1638"/>
    <n v="54.6"/>
    <n v="0"/>
    <n v="2"/>
    <n v="1640"/>
    <n v="4640"/>
    <n v="54.666666666666664"/>
    <n v="3000"/>
    <m/>
    <n v="4640"/>
    <n v="4638"/>
    <n v="-138"/>
    <n v="-4638"/>
    <n v="4638"/>
    <m/>
  </r>
  <r>
    <n v="1001"/>
    <x v="232"/>
    <x v="2"/>
    <x v="13"/>
    <n v="0"/>
    <x v="63"/>
    <n v="0"/>
    <n v="0"/>
    <s v="H"/>
    <x v="4"/>
    <d v="2007-01-01T00:00:00"/>
    <d v="2018-12-31T00:00:00"/>
    <n v="11"/>
    <n v="11"/>
    <n v="23.76"/>
    <n v="35000"/>
    <n v="8316"/>
    <n v="5"/>
    <n v="5"/>
    <n v="5"/>
    <n v="3"/>
    <n v="3"/>
    <n v="3"/>
    <n v="2"/>
    <n v="3"/>
    <n v="5"/>
    <n v="34"/>
    <n v="15"/>
    <n v="14"/>
    <n v="15"/>
    <n v="10"/>
    <n v="4"/>
    <n v="3"/>
    <n v="61"/>
    <n v="95"/>
    <n v="10"/>
    <m/>
    <m/>
    <n v="9"/>
    <m/>
    <n v="57"/>
    <n v="19950"/>
    <n v="54950"/>
    <n v="0"/>
    <n v="30000"/>
    <n v="54950"/>
    <n v="19950"/>
    <n v="57"/>
    <n v="0"/>
    <n v="0"/>
    <n v="19950"/>
    <n v="54950"/>
    <n v="57"/>
    <n v="35000"/>
    <m/>
    <n v="54950"/>
    <n v="54950"/>
    <n v="-24950"/>
    <n v="-54950"/>
    <n v="54950"/>
    <m/>
  </r>
  <r>
    <n v="1005"/>
    <x v="233"/>
    <x v="2"/>
    <x v="8"/>
    <s v="موظف"/>
    <x v="25"/>
    <s v="شهاده ثانويه"/>
    <n v="0"/>
    <s v="F"/>
    <x v="9"/>
    <d v="2006-12-01T00:00:00"/>
    <d v="2018-12-31T00:00:00"/>
    <n v="12"/>
    <n v="0"/>
    <n v="24"/>
    <n v="5030"/>
    <n v="1207.2"/>
    <n v="4"/>
    <n v="4"/>
    <n v="4"/>
    <n v="2"/>
    <n v="2"/>
    <n v="2"/>
    <n v="3"/>
    <n v="3"/>
    <n v="4"/>
    <n v="28"/>
    <n v="13"/>
    <n v="15"/>
    <n v="15"/>
    <n v="8"/>
    <n v="4"/>
    <n v="3"/>
    <n v="58"/>
    <n v="86"/>
    <m/>
    <m/>
    <m/>
    <m/>
    <m/>
    <n v="51.6"/>
    <n v="2595.48"/>
    <n v="7625.48"/>
    <n v="0"/>
    <n v="6500"/>
    <n v="7625.48"/>
    <n v="2595.4799999999996"/>
    <n v="51.599999999999994"/>
    <n v="374.52000000000044"/>
    <n v="0"/>
    <n v="2970"/>
    <n v="8000"/>
    <n v="59.045725646123266"/>
    <n v="5030"/>
    <n v="8000"/>
    <n v="8000"/>
    <n v="8000"/>
    <n v="-1125.4799999999996"/>
    <n v="374.52000000000044"/>
    <n v="7625.48"/>
    <m/>
  </r>
  <r>
    <n v="1016"/>
    <x v="234"/>
    <x v="2"/>
    <x v="16"/>
    <n v="0"/>
    <x v="64"/>
    <n v="0"/>
    <n v="0"/>
    <s v="H"/>
    <x v="15"/>
    <d v="2014-09-01T00:00:00"/>
    <d v="2018-12-31T00:00:00"/>
    <n v="4"/>
    <n v="3"/>
    <n v="8.48"/>
    <n v="3640"/>
    <n v="308.67200000000003"/>
    <n v="3"/>
    <n v="3"/>
    <n v="3"/>
    <n v="2"/>
    <n v="2"/>
    <n v="2"/>
    <n v="2"/>
    <n v="2"/>
    <n v="3"/>
    <n v="22"/>
    <n v="13"/>
    <n v="13"/>
    <n v="9"/>
    <n v="8"/>
    <n v="4"/>
    <n v="3"/>
    <n v="50"/>
    <n v="72"/>
    <n v="8"/>
    <m/>
    <m/>
    <n v="6"/>
    <m/>
    <n v="43.199999999999996"/>
    <n v="1572.4799999999998"/>
    <n v="5212.4799999999996"/>
    <n v="0"/>
    <n v="4500"/>
    <n v="5212.4799999999996"/>
    <n v="1572.4799999999996"/>
    <n v="43.199999999999989"/>
    <n v="787.52000000000044"/>
    <n v="0"/>
    <n v="2360"/>
    <n v="6000"/>
    <n v="64.835164835164832"/>
    <n v="3640"/>
    <n v="6000"/>
    <n v="5220"/>
    <n v="5220"/>
    <n v="-712.47999999999956"/>
    <n v="787.52000000000044"/>
    <n v="5212.4799999999996"/>
    <m/>
  </r>
  <r>
    <n v="1020"/>
    <x v="235"/>
    <x v="2"/>
    <x v="1"/>
    <n v="0"/>
    <x v="65"/>
    <s v="بكلاريوس"/>
    <s v="محاسبة"/>
    <s v="C"/>
    <x v="2"/>
    <d v="2017-04-01T00:00:00"/>
    <d v="2018-12-31T00:00:00"/>
    <n v="1"/>
    <n v="8"/>
    <n v="3.2800000000000002"/>
    <n v="9050"/>
    <n v="296.83999999999997"/>
    <n v="4"/>
    <n v="4"/>
    <n v="5"/>
    <n v="2"/>
    <n v="3"/>
    <n v="3"/>
    <n v="2"/>
    <n v="3"/>
    <n v="5"/>
    <n v="31"/>
    <n v="14"/>
    <n v="14"/>
    <n v="12"/>
    <n v="6"/>
    <n v="3"/>
    <n v="3"/>
    <n v="52"/>
    <n v="83"/>
    <n v="9"/>
    <m/>
    <m/>
    <n v="4"/>
    <m/>
    <n v="49.8"/>
    <n v="4506.8999999999996"/>
    <n v="13556.9"/>
    <n v="0"/>
    <n v="7000"/>
    <n v="13556.9"/>
    <n v="4506.8999999999996"/>
    <n v="49.8"/>
    <n v="0"/>
    <n v="3.1000000000003638"/>
    <n v="4510"/>
    <n v="13560"/>
    <n v="49.834254143646412"/>
    <n v="9050"/>
    <m/>
    <n v="13560"/>
    <n v="13556.9"/>
    <n v="-6556.9"/>
    <n v="-13556.9"/>
    <n v="13556.9"/>
    <m/>
  </r>
  <r>
    <n v="1023"/>
    <x v="236"/>
    <x v="1"/>
    <x v="2"/>
    <n v="0"/>
    <x v="18"/>
    <s v="دبلوم (معاهد)"/>
    <s v="حاسوب"/>
    <s v="E"/>
    <x v="15"/>
    <d v="2018-02-05T00:00:00"/>
    <d v="2018-12-31T00:00:00"/>
    <n v="0"/>
    <n v="10"/>
    <n v="1.6"/>
    <n v="3000"/>
    <n v="48"/>
    <n v="5"/>
    <n v="4"/>
    <n v="4"/>
    <n v="3"/>
    <n v="3"/>
    <n v="3"/>
    <n v="3"/>
    <n v="3"/>
    <n v="4"/>
    <n v="32"/>
    <n v="14"/>
    <n v="14"/>
    <n v="13"/>
    <n v="10"/>
    <n v="3"/>
    <n v="3"/>
    <n v="57"/>
    <n v="89"/>
    <m/>
    <m/>
    <m/>
    <m/>
    <m/>
    <n v="53.4"/>
    <n v="1602"/>
    <n v="4602"/>
    <n v="0"/>
    <n v="4500"/>
    <n v="4602"/>
    <n v="1602"/>
    <n v="53.4"/>
    <n v="0"/>
    <n v="8"/>
    <n v="1610"/>
    <n v="4610"/>
    <n v="53.666666666666664"/>
    <n v="3000"/>
    <m/>
    <n v="4610"/>
    <n v="4602"/>
    <n v="-102"/>
    <n v="-4602"/>
    <n v="4602"/>
    <m/>
  </r>
  <r>
    <n v="1024"/>
    <x v="237"/>
    <x v="1"/>
    <x v="3"/>
    <n v="0"/>
    <x v="11"/>
    <s v="تدريب مهني"/>
    <s v="برادة الصيانة"/>
    <s v="F"/>
    <x v="15"/>
    <d v="2018-02-07T00:00:00"/>
    <d v="2018-12-31T00:00:00"/>
    <n v="0"/>
    <n v="10"/>
    <n v="1.6"/>
    <n v="3000"/>
    <n v="48"/>
    <n v="5"/>
    <n v="5"/>
    <n v="5"/>
    <n v="1"/>
    <n v="2"/>
    <n v="2"/>
    <n v="3"/>
    <n v="3"/>
    <n v="5"/>
    <n v="31"/>
    <n v="14"/>
    <n v="14"/>
    <n v="15"/>
    <n v="12"/>
    <n v="4"/>
    <n v="3"/>
    <n v="62"/>
    <n v="93"/>
    <m/>
    <m/>
    <m/>
    <m/>
    <m/>
    <n v="55.8"/>
    <n v="1673.9999999999998"/>
    <n v="4674"/>
    <n v="0"/>
    <n v="4500"/>
    <n v="4674"/>
    <n v="1674"/>
    <n v="55.8"/>
    <n v="326"/>
    <n v="0"/>
    <n v="2000"/>
    <n v="5000"/>
    <n v="66.666666666666671"/>
    <n v="3000"/>
    <n v="5000"/>
    <n v="5000"/>
    <n v="5000"/>
    <n v="-174"/>
    <n v="326"/>
    <n v="4674"/>
    <m/>
  </r>
  <r>
    <n v="1025"/>
    <x v="238"/>
    <x v="1"/>
    <x v="2"/>
    <n v="0"/>
    <x v="43"/>
    <s v="ماجستير"/>
    <s v="إدارة الاعمال"/>
    <s v="B"/>
    <x v="2"/>
    <d v="2018-02-11T00:00:00"/>
    <d v="2018-12-31T00:00:00"/>
    <n v="0"/>
    <n v="10"/>
    <n v="1.6"/>
    <n v="4250"/>
    <n v="68"/>
    <n v="5"/>
    <n v="5"/>
    <n v="5"/>
    <n v="3"/>
    <n v="3"/>
    <n v="3"/>
    <n v="3"/>
    <n v="3"/>
    <n v="4"/>
    <n v="34"/>
    <n v="14"/>
    <n v="14"/>
    <n v="15"/>
    <n v="10"/>
    <n v="4"/>
    <n v="3"/>
    <n v="60"/>
    <n v="94"/>
    <m/>
    <m/>
    <m/>
    <m/>
    <m/>
    <n v="56.4"/>
    <n v="2396.9999999999995"/>
    <n v="6647"/>
    <n v="353"/>
    <n v="7000"/>
    <n v="7000"/>
    <n v="2750"/>
    <n v="64.705882352941174"/>
    <n v="0"/>
    <n v="0"/>
    <n v="2750"/>
    <n v="7000"/>
    <n v="64.705882352941174"/>
    <n v="4250"/>
    <n v="7000"/>
    <n v="7000"/>
    <n v="7000"/>
    <n v="353"/>
    <n v="0"/>
    <n v="7000"/>
    <m/>
  </r>
  <r>
    <n v="1026"/>
    <x v="239"/>
    <x v="1"/>
    <x v="2"/>
    <n v="0"/>
    <x v="43"/>
    <s v="بكلاريوس"/>
    <s v="إدارة الاعمال"/>
    <s v="C"/>
    <x v="9"/>
    <d v="2018-02-11T00:00:00"/>
    <d v="2018-12-31T00:00:00"/>
    <n v="0"/>
    <n v="10"/>
    <n v="1.6"/>
    <n v="3750"/>
    <n v="60"/>
    <n v="5"/>
    <n v="4"/>
    <n v="4"/>
    <n v="2"/>
    <n v="3"/>
    <n v="3"/>
    <n v="3"/>
    <n v="3"/>
    <n v="5"/>
    <n v="32"/>
    <n v="14"/>
    <n v="14"/>
    <n v="12"/>
    <n v="8"/>
    <n v="3"/>
    <n v="3"/>
    <n v="54"/>
    <n v="86"/>
    <m/>
    <m/>
    <m/>
    <m/>
    <m/>
    <n v="51.6"/>
    <n v="1935"/>
    <n v="5685"/>
    <n v="815"/>
    <n v="6500"/>
    <n v="6500"/>
    <n v="2750"/>
    <n v="73.333333333333329"/>
    <n v="0"/>
    <n v="0"/>
    <n v="2750"/>
    <n v="6500"/>
    <n v="73.333333333333329"/>
    <n v="3750"/>
    <m/>
    <n v="6500"/>
    <n v="6500"/>
    <n v="815"/>
    <n v="-6500"/>
    <n v="6500"/>
    <m/>
  </r>
  <r>
    <n v="1029"/>
    <x v="240"/>
    <x v="1"/>
    <x v="3"/>
    <n v="0"/>
    <x v="11"/>
    <s v="دبلوم تقني"/>
    <s v="هندسة مدنية"/>
    <s v="D"/>
    <x v="15"/>
    <d v="2018-02-12T00:00:00"/>
    <d v="2018-12-31T00:00:00"/>
    <n v="0"/>
    <n v="10"/>
    <n v="1.6"/>
    <n v="3000"/>
    <n v="48"/>
    <n v="5"/>
    <n v="5"/>
    <n v="5"/>
    <n v="2"/>
    <n v="2"/>
    <n v="2"/>
    <n v="3"/>
    <n v="3"/>
    <n v="5"/>
    <n v="32"/>
    <n v="13"/>
    <n v="13"/>
    <n v="6"/>
    <n v="6"/>
    <n v="3"/>
    <n v="3"/>
    <n v="44"/>
    <n v="76"/>
    <m/>
    <m/>
    <m/>
    <m/>
    <m/>
    <n v="45.6"/>
    <n v="1368"/>
    <n v="4368"/>
    <n v="132"/>
    <n v="4500"/>
    <n v="4500"/>
    <n v="1500"/>
    <n v="50"/>
    <n v="500"/>
    <n v="0"/>
    <n v="2000"/>
    <n v="5000"/>
    <n v="66.666666666666671"/>
    <n v="3000"/>
    <n v="5000"/>
    <n v="5000"/>
    <n v="5000"/>
    <n v="132"/>
    <n v="500"/>
    <n v="4500"/>
    <m/>
  </r>
  <r>
    <n v="1031"/>
    <x v="241"/>
    <x v="1"/>
    <x v="2"/>
    <n v="0"/>
    <x v="18"/>
    <s v="دبلوم تقني"/>
    <s v="نظم المعلومات الإدارية"/>
    <s v="D"/>
    <x v="16"/>
    <d v="2018-02-13T00:00:00"/>
    <d v="2018-12-31T00:00:00"/>
    <n v="0"/>
    <n v="10"/>
    <n v="1.6"/>
    <n v="3000"/>
    <n v="48"/>
    <n v="5"/>
    <n v="4"/>
    <n v="5"/>
    <n v="2"/>
    <n v="3"/>
    <n v="3"/>
    <n v="3"/>
    <n v="3"/>
    <n v="5"/>
    <n v="33"/>
    <n v="14"/>
    <n v="14"/>
    <n v="15"/>
    <n v="12"/>
    <n v="3"/>
    <n v="3"/>
    <n v="61"/>
    <n v="94"/>
    <n v="10"/>
    <m/>
    <m/>
    <m/>
    <m/>
    <n v="56.4"/>
    <n v="1691.9999999999998"/>
    <n v="4692"/>
    <n v="1308"/>
    <n v="6000"/>
    <n v="6000"/>
    <n v="3000"/>
    <n v="100"/>
    <n v="0"/>
    <n v="0"/>
    <n v="3000"/>
    <n v="6000"/>
    <n v="100"/>
    <n v="3000"/>
    <m/>
    <n v="6000"/>
    <n v="6000"/>
    <n v="1308"/>
    <n v="-6000"/>
    <n v="6000"/>
    <m/>
  </r>
  <r>
    <n v="1032"/>
    <x v="242"/>
    <x v="1"/>
    <x v="3"/>
    <n v="0"/>
    <x v="18"/>
    <s v="بكلاريوس"/>
    <s v="تامين ومصارف"/>
    <s v="C"/>
    <x v="15"/>
    <d v="2018-02-13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4"/>
    <n v="14"/>
    <n v="15"/>
    <n v="8"/>
    <n v="4"/>
    <n v="3"/>
    <n v="58"/>
    <n v="87"/>
    <m/>
    <m/>
    <m/>
    <m/>
    <m/>
    <n v="52.199999999999996"/>
    <n v="1565.9999999999998"/>
    <n v="4566"/>
    <n v="0"/>
    <n v="4500"/>
    <n v="4566"/>
    <n v="1566"/>
    <n v="52.2"/>
    <n v="0"/>
    <n v="4"/>
    <n v="1570"/>
    <n v="4570"/>
    <n v="52.333333333333336"/>
    <n v="3000"/>
    <m/>
    <n v="4570"/>
    <n v="4566"/>
    <n v="-66"/>
    <n v="-4566"/>
    <n v="4566"/>
    <m/>
  </r>
  <r>
    <n v="1035"/>
    <x v="243"/>
    <x v="1"/>
    <x v="3"/>
    <n v="0"/>
    <x v="18"/>
    <n v="0"/>
    <n v="0"/>
    <s v="H"/>
    <x v="17"/>
    <d v="2018-02-13T00:00:00"/>
    <d v="2018-12-31T00:00:00"/>
    <n v="0"/>
    <n v="10"/>
    <n v="1.6"/>
    <n v="3000"/>
    <n v="48"/>
    <n v="4"/>
    <n v="4"/>
    <n v="3"/>
    <n v="0"/>
    <n v="0"/>
    <n v="0"/>
    <n v="2"/>
    <n v="3"/>
    <n v="4"/>
    <n v="20"/>
    <n v="14"/>
    <n v="13"/>
    <n v="15"/>
    <n v="12"/>
    <n v="3"/>
    <n v="3"/>
    <n v="60"/>
    <n v="80"/>
    <m/>
    <m/>
    <m/>
    <m/>
    <m/>
    <n v="48"/>
    <n v="1440"/>
    <n v="4440"/>
    <n v="0"/>
    <n v="4000"/>
    <n v="4440"/>
    <n v="1440"/>
    <n v="48"/>
    <n v="0"/>
    <n v="0"/>
    <n v="1440"/>
    <n v="4440"/>
    <n v="48"/>
    <n v="3000"/>
    <m/>
    <n v="4440"/>
    <n v="4440"/>
    <n v="-440"/>
    <n v="-4440"/>
    <n v="4440"/>
    <m/>
  </r>
  <r>
    <n v="1036"/>
    <x v="244"/>
    <x v="1"/>
    <x v="3"/>
    <n v="0"/>
    <x v="18"/>
    <n v="0"/>
    <n v="0"/>
    <s v="H"/>
    <x v="15"/>
    <d v="2018-02-13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4"/>
    <n v="14"/>
    <n v="12"/>
    <n v="10"/>
    <n v="3"/>
    <n v="3"/>
    <n v="56"/>
    <n v="85"/>
    <m/>
    <m/>
    <m/>
    <m/>
    <m/>
    <n v="51"/>
    <n v="1530"/>
    <n v="4530"/>
    <n v="0"/>
    <n v="4500"/>
    <n v="4530"/>
    <n v="1530"/>
    <n v="51"/>
    <n v="0"/>
    <n v="0"/>
    <n v="1530"/>
    <n v="4530"/>
    <n v="51"/>
    <n v="3000"/>
    <m/>
    <n v="4530"/>
    <n v="4530"/>
    <n v="-30"/>
    <n v="-4530"/>
    <n v="4530"/>
    <m/>
  </r>
  <r>
    <n v="1037"/>
    <x v="245"/>
    <x v="1"/>
    <x v="3"/>
    <n v="0"/>
    <x v="18"/>
    <n v="0"/>
    <n v="0"/>
    <s v="H"/>
    <x v="15"/>
    <d v="2018-02-13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3"/>
    <n v="13"/>
    <n v="12"/>
    <n v="10"/>
    <n v="3"/>
    <n v="3"/>
    <n v="54"/>
    <n v="83"/>
    <m/>
    <m/>
    <m/>
    <m/>
    <m/>
    <n v="49.8"/>
    <n v="1494"/>
    <n v="4494"/>
    <n v="6"/>
    <n v="4500"/>
    <n v="4500"/>
    <n v="1500"/>
    <n v="50"/>
    <n v="0"/>
    <n v="0"/>
    <n v="1500"/>
    <n v="4500"/>
    <n v="50"/>
    <n v="3000"/>
    <m/>
    <n v="4500"/>
    <n v="4500"/>
    <n v="6"/>
    <n v="-4500"/>
    <n v="4500"/>
    <m/>
  </r>
  <r>
    <n v="1038"/>
    <x v="246"/>
    <x v="1"/>
    <x v="3"/>
    <n v="0"/>
    <x v="18"/>
    <s v="بكلاريوس الشرف"/>
    <s v="الميكنة الزراعية"/>
    <s v="C"/>
    <x v="15"/>
    <d v="2018-02-15T00:00:00"/>
    <d v="2018-12-31T00:00:00"/>
    <n v="0"/>
    <n v="10"/>
    <n v="1.6"/>
    <n v="3000"/>
    <n v="48"/>
    <n v="5"/>
    <n v="5"/>
    <n v="5"/>
    <n v="1"/>
    <n v="1"/>
    <n v="1"/>
    <n v="3"/>
    <n v="3"/>
    <n v="3"/>
    <n v="27"/>
    <n v="14"/>
    <n v="14"/>
    <n v="12"/>
    <n v="10"/>
    <n v="4"/>
    <n v="3"/>
    <n v="57"/>
    <n v="84"/>
    <m/>
    <m/>
    <m/>
    <m/>
    <m/>
    <n v="50.4"/>
    <n v="1512"/>
    <n v="4512"/>
    <n v="0"/>
    <n v="4500"/>
    <n v="4512"/>
    <n v="1512"/>
    <n v="50.4"/>
    <n v="0"/>
    <n v="8"/>
    <n v="1520"/>
    <n v="4520"/>
    <n v="50.666666666666664"/>
    <n v="3000"/>
    <m/>
    <n v="4520"/>
    <n v="4512"/>
    <n v="-12"/>
    <n v="-4512"/>
    <n v="4512"/>
    <m/>
  </r>
  <r>
    <n v="1039"/>
    <x v="247"/>
    <x v="1"/>
    <x v="9"/>
    <n v="0"/>
    <x v="31"/>
    <s v="تدريب مهني"/>
    <s v="نجاره"/>
    <s v="F"/>
    <x v="11"/>
    <d v="2018-02-19T00:00:00"/>
    <d v="2018-12-31T00:00:00"/>
    <n v="0"/>
    <n v="10"/>
    <n v="1.6"/>
    <n v="4000"/>
    <n v="64"/>
    <n v="5"/>
    <n v="5"/>
    <n v="5"/>
    <n v="2"/>
    <n v="3"/>
    <n v="3"/>
    <n v="2"/>
    <n v="3"/>
    <n v="5"/>
    <n v="33"/>
    <n v="15"/>
    <n v="14"/>
    <n v="15"/>
    <n v="12"/>
    <n v="4"/>
    <n v="3"/>
    <n v="63"/>
    <n v="96"/>
    <n v="9"/>
    <m/>
    <m/>
    <m/>
    <m/>
    <n v="57.599999999999994"/>
    <n v="2304"/>
    <n v="6304"/>
    <n v="0"/>
    <n v="6000"/>
    <n v="6304"/>
    <n v="2304"/>
    <n v="57.6"/>
    <n v="0"/>
    <n v="6"/>
    <n v="2310"/>
    <n v="6310"/>
    <n v="57.75"/>
    <n v="4000"/>
    <m/>
    <n v="6310"/>
    <n v="6304"/>
    <n v="-304"/>
    <n v="-6304"/>
    <n v="6304"/>
    <m/>
  </r>
  <r>
    <n v="1042"/>
    <x v="248"/>
    <x v="1"/>
    <x v="3"/>
    <n v="0"/>
    <x v="18"/>
    <s v="دبلوم وسيط"/>
    <s v="التسويق وإدارة المبيعات"/>
    <s v="E"/>
    <x v="15"/>
    <d v="2018-02-19T00:00:00"/>
    <d v="2018-12-31T00:00:00"/>
    <n v="0"/>
    <n v="10"/>
    <n v="1.6"/>
    <n v="3000"/>
    <n v="48"/>
    <n v="5"/>
    <n v="5"/>
    <n v="5"/>
    <n v="1"/>
    <n v="2"/>
    <n v="2"/>
    <n v="3"/>
    <n v="3"/>
    <n v="5"/>
    <n v="31"/>
    <n v="15"/>
    <n v="14"/>
    <n v="13"/>
    <n v="10"/>
    <n v="4"/>
    <n v="3"/>
    <n v="59"/>
    <n v="90"/>
    <m/>
    <m/>
    <m/>
    <m/>
    <m/>
    <n v="54"/>
    <n v="1620"/>
    <n v="4620"/>
    <n v="0"/>
    <n v="4500"/>
    <n v="4620"/>
    <n v="1620"/>
    <n v="54"/>
    <n v="0"/>
    <n v="0"/>
    <n v="1620"/>
    <n v="4620"/>
    <n v="54"/>
    <n v="3000"/>
    <m/>
    <n v="4620"/>
    <n v="4620"/>
    <n v="-120"/>
    <n v="-4620"/>
    <n v="4620"/>
    <m/>
  </r>
  <r>
    <n v="1043"/>
    <x v="249"/>
    <x v="1"/>
    <x v="3"/>
    <n v="0"/>
    <x v="18"/>
    <s v="شهاده ثانويه"/>
    <n v="0"/>
    <s v="F"/>
    <x v="15"/>
    <d v="2018-02-19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4"/>
    <n v="14"/>
    <n v="12"/>
    <n v="10"/>
    <n v="4"/>
    <n v="3"/>
    <n v="57"/>
    <n v="86"/>
    <m/>
    <m/>
    <m/>
    <m/>
    <m/>
    <n v="51.6"/>
    <n v="1548"/>
    <n v="4548"/>
    <n v="0"/>
    <n v="4500"/>
    <n v="4548"/>
    <n v="1548"/>
    <n v="51.6"/>
    <n v="0"/>
    <n v="2"/>
    <n v="1550"/>
    <n v="4550"/>
    <n v="51.666666666666664"/>
    <n v="3000"/>
    <m/>
    <n v="4550"/>
    <n v="4548"/>
    <n v="-48"/>
    <n v="-4548"/>
    <n v="4548"/>
    <m/>
  </r>
  <r>
    <n v="1044"/>
    <x v="250"/>
    <x v="1"/>
    <x v="3"/>
    <n v="0"/>
    <x v="18"/>
    <s v="بكلاريوس الشرف"/>
    <s v="محاسبة"/>
    <s v="C"/>
    <x v="15"/>
    <d v="2018-02-19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5"/>
    <n v="14"/>
    <n v="12"/>
    <n v="10"/>
    <n v="4"/>
    <n v="3"/>
    <n v="58"/>
    <n v="87"/>
    <m/>
    <m/>
    <m/>
    <m/>
    <m/>
    <n v="52.199999999999996"/>
    <n v="1565.9999999999998"/>
    <n v="4566"/>
    <n v="0"/>
    <n v="4500"/>
    <n v="4566"/>
    <n v="1566"/>
    <n v="52.2"/>
    <n v="0"/>
    <n v="4"/>
    <n v="1570"/>
    <n v="4570"/>
    <n v="52.333333333333336"/>
    <n v="3000"/>
    <m/>
    <n v="4570"/>
    <n v="4566"/>
    <n v="-66"/>
    <n v="-4566"/>
    <n v="4566"/>
    <m/>
  </r>
  <r>
    <n v="1045"/>
    <x v="251"/>
    <x v="1"/>
    <x v="3"/>
    <n v="0"/>
    <x v="18"/>
    <n v="0"/>
    <n v="0"/>
    <s v="H"/>
    <x v="15"/>
    <d v="2018-02-19T00:00:00"/>
    <d v="2018-12-31T00:00:00"/>
    <n v="0"/>
    <n v="10"/>
    <n v="1.6"/>
    <n v="3000"/>
    <n v="48"/>
    <n v="5"/>
    <n v="5"/>
    <n v="5"/>
    <n v="1"/>
    <n v="1"/>
    <n v="1"/>
    <n v="3"/>
    <n v="3"/>
    <n v="5"/>
    <n v="29"/>
    <n v="14"/>
    <n v="13"/>
    <n v="15"/>
    <n v="12"/>
    <n v="4"/>
    <n v="3"/>
    <n v="61"/>
    <n v="90"/>
    <m/>
    <m/>
    <m/>
    <m/>
    <m/>
    <n v="54"/>
    <n v="1620"/>
    <n v="4620"/>
    <n v="0"/>
    <n v="4500"/>
    <n v="4620"/>
    <n v="1620"/>
    <n v="54"/>
    <n v="0"/>
    <n v="0"/>
    <n v="1620"/>
    <n v="4620"/>
    <n v="54"/>
    <n v="3000"/>
    <m/>
    <n v="4620"/>
    <n v="4620"/>
    <n v="-120"/>
    <n v="-4620"/>
    <n v="4620"/>
    <m/>
  </r>
  <r>
    <n v="1047"/>
    <x v="252"/>
    <x v="1"/>
    <x v="5"/>
    <n v="0"/>
    <x v="66"/>
    <s v="تدريب مهني"/>
    <s v="تبريد وتكييف"/>
    <s v="F"/>
    <x v="17"/>
    <d v="2018-02-21T00:00:00"/>
    <d v="2018-12-31T00:00:00"/>
    <n v="0"/>
    <n v="10"/>
    <n v="1.6"/>
    <n v="4000"/>
    <n v="64"/>
    <n v="5"/>
    <n v="5"/>
    <n v="3"/>
    <n v="3"/>
    <n v="3"/>
    <n v="3"/>
    <n v="3"/>
    <n v="3"/>
    <n v="5"/>
    <n v="33"/>
    <n v="10"/>
    <n v="8"/>
    <n v="0"/>
    <n v="0"/>
    <n v="2"/>
    <n v="3"/>
    <n v="23"/>
    <n v="56"/>
    <n v="10"/>
    <m/>
    <m/>
    <m/>
    <n v="55"/>
    <n v="33.6"/>
    <n v="1344"/>
    <n v="5344"/>
    <n v="0"/>
    <n v="4000"/>
    <n v="5344"/>
    <n v="1344"/>
    <n v="33.6"/>
    <n v="0"/>
    <n v="6"/>
    <n v="1350"/>
    <n v="5350"/>
    <n v="33.75"/>
    <n v="4000"/>
    <m/>
    <n v="5350"/>
    <n v="5344"/>
    <n v="-1344"/>
    <n v="-5344"/>
    <n v="5344"/>
    <m/>
  </r>
  <r>
    <n v="1048"/>
    <x v="253"/>
    <x v="2"/>
    <x v="17"/>
    <n v="0"/>
    <x v="67"/>
    <s v="ماجستير"/>
    <s v="إدارة الاعمال"/>
    <s v="B"/>
    <x v="2"/>
    <d v="2018-03-01T00:00:00"/>
    <d v="2018-12-31T00:00:00"/>
    <n v="0"/>
    <n v="9"/>
    <n v="1.44"/>
    <n v="5000"/>
    <n v="72"/>
    <n v="5"/>
    <n v="5"/>
    <n v="4"/>
    <n v="3"/>
    <n v="3"/>
    <n v="2"/>
    <n v="2"/>
    <n v="2"/>
    <n v="5"/>
    <n v="31"/>
    <n v="14"/>
    <n v="14"/>
    <n v="15"/>
    <n v="12"/>
    <n v="4"/>
    <n v="3"/>
    <n v="62"/>
    <n v="93"/>
    <n v="9"/>
    <m/>
    <m/>
    <n v="6"/>
    <n v="55"/>
    <n v="55.8"/>
    <n v="2789.9999999999995"/>
    <n v="7790"/>
    <n v="0"/>
    <n v="7000"/>
    <n v="7790"/>
    <n v="2790"/>
    <n v="55.8"/>
    <n v="0"/>
    <n v="0"/>
    <n v="2790"/>
    <n v="7790"/>
    <n v="55.8"/>
    <n v="5000"/>
    <m/>
    <n v="7790"/>
    <n v="7790"/>
    <n v="-790"/>
    <n v="-7790"/>
    <n v="7790"/>
    <m/>
  </r>
  <r>
    <n v="1049"/>
    <x v="254"/>
    <x v="1"/>
    <x v="12"/>
    <n v="0"/>
    <x v="46"/>
    <s v="شهاده دورة تدريب"/>
    <s v="صيانة العربات "/>
    <s v="F"/>
    <x v="11"/>
    <d v="2018-03-01T00:00:00"/>
    <d v="2018-12-31T00:00:00"/>
    <n v="0"/>
    <n v="9"/>
    <n v="1.44"/>
    <n v="4000"/>
    <n v="57.6"/>
    <n v="5"/>
    <n v="3"/>
    <n v="5"/>
    <n v="3"/>
    <n v="3"/>
    <n v="3"/>
    <n v="3"/>
    <n v="3"/>
    <n v="5"/>
    <n v="33"/>
    <n v="14"/>
    <n v="14"/>
    <n v="15"/>
    <n v="12"/>
    <n v="4"/>
    <n v="3"/>
    <n v="62"/>
    <n v="95"/>
    <m/>
    <m/>
    <m/>
    <m/>
    <n v="55"/>
    <n v="57"/>
    <n v="2280"/>
    <n v="6280"/>
    <n v="0"/>
    <n v="6000"/>
    <n v="6280"/>
    <n v="2280"/>
    <n v="57"/>
    <n v="0"/>
    <n v="0"/>
    <n v="2280"/>
    <n v="6280"/>
    <n v="57"/>
    <n v="4000"/>
    <m/>
    <n v="6280"/>
    <n v="6280"/>
    <n v="-280"/>
    <n v="-6280"/>
    <n v="6280"/>
    <m/>
  </r>
  <r>
    <n v="1050"/>
    <x v="255"/>
    <x v="1"/>
    <x v="3"/>
    <n v="0"/>
    <x v="11"/>
    <n v="0"/>
    <n v="0"/>
    <s v="H"/>
    <x v="15"/>
    <d v="2018-03-01T00:00:00"/>
    <d v="2018-12-31T00:00:00"/>
    <n v="0"/>
    <n v="9"/>
    <n v="1.44"/>
    <n v="3000"/>
    <n v="43.2"/>
    <n v="5"/>
    <n v="5"/>
    <n v="5"/>
    <n v="1"/>
    <n v="2"/>
    <n v="2"/>
    <n v="3"/>
    <n v="3"/>
    <n v="3"/>
    <n v="29"/>
    <n v="13"/>
    <n v="13"/>
    <n v="12"/>
    <n v="8"/>
    <n v="3"/>
    <n v="3"/>
    <n v="52"/>
    <n v="81"/>
    <m/>
    <m/>
    <m/>
    <m/>
    <n v="55"/>
    <n v="48.6"/>
    <n v="1458"/>
    <n v="4458"/>
    <n v="42"/>
    <n v="4500"/>
    <n v="4500"/>
    <n v="1500"/>
    <n v="50"/>
    <n v="0"/>
    <n v="0"/>
    <n v="1500"/>
    <n v="4500"/>
    <n v="50"/>
    <n v="3000"/>
    <m/>
    <n v="4500"/>
    <n v="4500"/>
    <n v="42"/>
    <n v="-4500"/>
    <n v="4500"/>
    <m/>
  </r>
  <r>
    <n v="1051"/>
    <x v="256"/>
    <x v="2"/>
    <x v="17"/>
    <n v="0"/>
    <x v="19"/>
    <s v="بكلاريوس"/>
    <s v="المحاسبة والتمويل"/>
    <s v="C"/>
    <x v="2"/>
    <d v="2018-03-10T00:00:00"/>
    <d v="2018-12-31T00:00:00"/>
    <n v="0"/>
    <n v="9"/>
    <n v="1.44"/>
    <n v="5000"/>
    <n v="72"/>
    <n v="3"/>
    <n v="4"/>
    <n v="4"/>
    <n v="2"/>
    <n v="2"/>
    <n v="2"/>
    <n v="2"/>
    <n v="2"/>
    <n v="5"/>
    <n v="26"/>
    <n v="15"/>
    <n v="15"/>
    <n v="15"/>
    <n v="12"/>
    <n v="4"/>
    <n v="3"/>
    <n v="64"/>
    <n v="90"/>
    <n v="7"/>
    <m/>
    <m/>
    <n v="7"/>
    <n v="55"/>
    <n v="54"/>
    <n v="2700"/>
    <n v="7700"/>
    <n v="0"/>
    <n v="7000"/>
    <n v="7700"/>
    <n v="2700"/>
    <n v="54"/>
    <n v="0"/>
    <n v="0"/>
    <n v="2700"/>
    <n v="7700"/>
    <n v="54"/>
    <n v="5000"/>
    <m/>
    <n v="7700"/>
    <n v="7700"/>
    <n v="-700"/>
    <n v="-7700"/>
    <n v="7700"/>
    <m/>
  </r>
  <r>
    <n v="0"/>
    <x v="0"/>
    <x v="0"/>
    <x v="0"/>
    <e v="#N/A"/>
    <x v="0"/>
    <e v="#N/A"/>
    <e v="#N/A"/>
    <e v="#N/A"/>
    <x v="6"/>
    <e v="#N/A"/>
    <d v="2018-12-31T00:00:00"/>
    <e v="#N/A"/>
    <e v="#N/A"/>
    <e v="#N/A"/>
    <n v="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0"/>
    <n v="50000"/>
    <n v="50000"/>
    <n v="50000"/>
    <n v="50000"/>
    <e v="#DIV/0!"/>
    <n v="0"/>
    <n v="0"/>
    <n v="50000"/>
    <n v="50000"/>
    <e v="#DIV/0!"/>
    <n v="0"/>
    <m/>
    <n v="50000"/>
    <n v="50000"/>
    <n v="50000"/>
    <n v="-50000"/>
    <n v="50000"/>
    <m/>
  </r>
  <r>
    <n v="1053"/>
    <x v="257"/>
    <x v="1"/>
    <x v="3"/>
    <s v="الاكسبنده"/>
    <x v="11"/>
    <s v="بكلاريوس"/>
    <s v="اثار / دراسات إسلامية"/>
    <s v="C"/>
    <x v="15"/>
    <d v="2018-04-01T00:00:00"/>
    <d v="2018-12-31T00:00:00"/>
    <n v="0"/>
    <n v="8"/>
    <n v="1.28"/>
    <n v="3000"/>
    <n v="38.4"/>
    <n v="4"/>
    <n v="4"/>
    <n v="4"/>
    <n v="3"/>
    <n v="3"/>
    <n v="3"/>
    <n v="3"/>
    <n v="3"/>
    <n v="5"/>
    <n v="32"/>
    <n v="14"/>
    <n v="13"/>
    <n v="15"/>
    <n v="12"/>
    <n v="4"/>
    <n v="3"/>
    <n v="61"/>
    <n v="93"/>
    <m/>
    <m/>
    <m/>
    <m/>
    <m/>
    <n v="55.8"/>
    <n v="1673.9999999999998"/>
    <n v="4674"/>
    <n v="0"/>
    <n v="4500"/>
    <n v="4674"/>
    <n v="1674"/>
    <n v="55.8"/>
    <n v="326"/>
    <n v="0"/>
    <n v="2000"/>
    <n v="5000"/>
    <n v="66.666666666666671"/>
    <n v="3000"/>
    <n v="5000"/>
    <n v="5000"/>
    <n v="5000"/>
    <n v="-174"/>
    <n v="326"/>
    <n v="4674"/>
    <m/>
  </r>
  <r>
    <n v="1054"/>
    <x v="258"/>
    <x v="1"/>
    <x v="3"/>
    <s v="الاكسبنده"/>
    <x v="8"/>
    <n v="0"/>
    <n v="0"/>
    <s v="H"/>
    <x v="2"/>
    <d v="2018-04-15T00:00:00"/>
    <d v="2018-12-31T00:00:00"/>
    <n v="0"/>
    <n v="8"/>
    <n v="1.28"/>
    <n v="4500"/>
    <n v="57.6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m/>
    <m/>
    <m/>
    <m/>
    <m/>
    <n v="57.599999999999994"/>
    <n v="2592"/>
    <n v="7092"/>
    <n v="0"/>
    <n v="7000"/>
    <n v="7092"/>
    <n v="2592"/>
    <n v="57.6"/>
    <n v="0"/>
    <n v="8"/>
    <n v="2600"/>
    <n v="7100"/>
    <n v="57.777777777777779"/>
    <n v="4500"/>
    <m/>
    <n v="7100"/>
    <n v="7092"/>
    <n v="-92"/>
    <n v="-7092"/>
    <n v="7092"/>
    <m/>
  </r>
  <r>
    <n v="1058"/>
    <x v="259"/>
    <x v="1"/>
    <x v="3"/>
    <n v="0"/>
    <x v="18"/>
    <s v="دبلوم تقني"/>
    <s v="محاسبة"/>
    <s v="D"/>
    <x v="15"/>
    <d v="2018-04-19T00:00:00"/>
    <d v="2018-12-31T00:00:00"/>
    <n v="0"/>
    <n v="8"/>
    <n v="1.28"/>
    <n v="3000"/>
    <n v="38.4"/>
    <n v="5"/>
    <n v="5"/>
    <n v="5"/>
    <n v="1"/>
    <n v="1"/>
    <n v="1"/>
    <n v="3"/>
    <n v="3"/>
    <n v="5"/>
    <n v="29"/>
    <n v="13"/>
    <n v="13"/>
    <n v="15"/>
    <n v="12"/>
    <n v="3"/>
    <n v="3"/>
    <n v="59"/>
    <n v="88"/>
    <m/>
    <m/>
    <m/>
    <m/>
    <m/>
    <n v="52.8"/>
    <n v="1584"/>
    <n v="4584"/>
    <n v="0"/>
    <n v="4500"/>
    <n v="4584"/>
    <n v="1584"/>
    <n v="52.8"/>
    <n v="0"/>
    <n v="6"/>
    <n v="1590"/>
    <n v="4590"/>
    <n v="53"/>
    <n v="3000"/>
    <m/>
    <n v="4590"/>
    <n v="4584"/>
    <n v="-84"/>
    <n v="-4584"/>
    <n v="4584"/>
    <m/>
  </r>
  <r>
    <n v="1060"/>
    <x v="260"/>
    <x v="1"/>
    <x v="3"/>
    <n v="0"/>
    <x v="18"/>
    <s v="دبلوم وسيط"/>
    <s v="التامين"/>
    <s v="E"/>
    <x v="15"/>
    <d v="2018-05-01T00:00:00"/>
    <d v="2018-12-31T00:00:00"/>
    <n v="0"/>
    <n v="7"/>
    <n v="1.1200000000000001"/>
    <n v="3000"/>
    <n v="33.6"/>
    <n v="5"/>
    <n v="5"/>
    <n v="5"/>
    <n v="0"/>
    <n v="0"/>
    <n v="0"/>
    <n v="3"/>
    <n v="3"/>
    <n v="5"/>
    <n v="26"/>
    <n v="15"/>
    <n v="14"/>
    <n v="15"/>
    <n v="12"/>
    <n v="5"/>
    <n v="3"/>
    <n v="64"/>
    <n v="90"/>
    <m/>
    <m/>
    <m/>
    <m/>
    <m/>
    <n v="54"/>
    <n v="1620"/>
    <n v="4620"/>
    <n v="0"/>
    <n v="4500"/>
    <n v="4620"/>
    <n v="1620"/>
    <n v="54"/>
    <n v="0"/>
    <n v="0"/>
    <n v="1620"/>
    <n v="4620"/>
    <n v="54"/>
    <n v="3000"/>
    <m/>
    <n v="4620"/>
    <n v="4620"/>
    <n v="-120"/>
    <n v="-4620"/>
    <n v="4620"/>
    <m/>
  </r>
  <r>
    <n v="1061"/>
    <x v="261"/>
    <x v="1"/>
    <x v="6"/>
    <n v="0"/>
    <x v="18"/>
    <n v="0"/>
    <n v="0"/>
    <s v="H"/>
    <x v="17"/>
    <d v="2018-05-01T00:00:00"/>
    <d v="2018-12-31T00:00:00"/>
    <n v="0"/>
    <n v="7"/>
    <n v="1.1200000000000001"/>
    <n v="3000"/>
    <n v="33.6"/>
    <n v="3"/>
    <n v="2"/>
    <n v="4"/>
    <n v="1"/>
    <n v="1"/>
    <n v="1"/>
    <n v="3"/>
    <n v="2"/>
    <n v="3"/>
    <n v="20"/>
    <n v="10"/>
    <n v="14"/>
    <n v="15"/>
    <n v="12"/>
    <n v="2"/>
    <n v="3"/>
    <n v="56"/>
    <n v="76"/>
    <m/>
    <m/>
    <m/>
    <m/>
    <m/>
    <n v="45.6"/>
    <n v="1368"/>
    <n v="4368"/>
    <n v="0"/>
    <n v="4000"/>
    <n v="4368"/>
    <n v="1368"/>
    <n v="45.6"/>
    <n v="0"/>
    <n v="2"/>
    <n v="1370"/>
    <n v="4370"/>
    <n v="45.666666666666664"/>
    <n v="3000"/>
    <m/>
    <n v="4370"/>
    <n v="4368"/>
    <n v="-368"/>
    <n v="-4368"/>
    <n v="4368"/>
    <m/>
  </r>
  <r>
    <n v="1062"/>
    <x v="262"/>
    <x v="1"/>
    <x v="3"/>
    <n v="0"/>
    <x v="18"/>
    <s v="تدريب مهني"/>
    <s v="برادة الصيانة"/>
    <s v="F"/>
    <x v="15"/>
    <d v="2018-05-03T00:00:00"/>
    <d v="2018-12-31T00:00:00"/>
    <n v="0"/>
    <n v="7"/>
    <n v="1.1200000000000001"/>
    <n v="3000"/>
    <n v="33.6"/>
    <n v="5"/>
    <n v="5"/>
    <n v="5"/>
    <n v="1"/>
    <n v="2"/>
    <n v="2"/>
    <n v="3"/>
    <n v="3"/>
    <n v="5"/>
    <n v="31"/>
    <n v="14"/>
    <n v="14"/>
    <n v="15"/>
    <n v="10"/>
    <n v="3"/>
    <n v="3"/>
    <n v="59"/>
    <n v="90"/>
    <m/>
    <m/>
    <m/>
    <m/>
    <m/>
    <n v="54"/>
    <n v="1620"/>
    <n v="4620"/>
    <n v="0"/>
    <n v="4500"/>
    <n v="4620"/>
    <n v="1620"/>
    <n v="54"/>
    <n v="0"/>
    <n v="0"/>
    <n v="1620"/>
    <n v="4620"/>
    <n v="54"/>
    <n v="3000"/>
    <m/>
    <n v="4620"/>
    <n v="4620"/>
    <n v="-120"/>
    <n v="-4620"/>
    <n v="4620"/>
    <m/>
  </r>
  <r>
    <n v="1063"/>
    <x v="263"/>
    <x v="1"/>
    <x v="3"/>
    <n v="0"/>
    <x v="18"/>
    <n v="0"/>
    <n v="0"/>
    <s v="H"/>
    <x v="15"/>
    <d v="2018-05-07T00:00:00"/>
    <d v="2018-12-31T00:00:00"/>
    <n v="0"/>
    <n v="7"/>
    <n v="1.1200000000000001"/>
    <n v="3000"/>
    <n v="33.6"/>
    <n v="5"/>
    <n v="5"/>
    <n v="5"/>
    <n v="1"/>
    <n v="1"/>
    <n v="1"/>
    <n v="3"/>
    <n v="3"/>
    <n v="5"/>
    <n v="29"/>
    <n v="15"/>
    <n v="14"/>
    <n v="12"/>
    <n v="10"/>
    <n v="4"/>
    <n v="3"/>
    <n v="58"/>
    <n v="87"/>
    <m/>
    <m/>
    <m/>
    <m/>
    <m/>
    <n v="52.199999999999996"/>
    <n v="1565.9999999999998"/>
    <n v="4566"/>
    <n v="0"/>
    <n v="4500"/>
    <n v="4566"/>
    <n v="1566"/>
    <n v="52.2"/>
    <n v="0"/>
    <n v="4"/>
    <n v="1570"/>
    <n v="4570"/>
    <n v="52.333333333333336"/>
    <n v="3000"/>
    <m/>
    <n v="4570"/>
    <n v="4566"/>
    <n v="-66"/>
    <n v="-4566"/>
    <n v="4566"/>
    <m/>
  </r>
  <r>
    <n v="1066"/>
    <x v="264"/>
    <x v="1"/>
    <x v="17"/>
    <n v="0"/>
    <x v="30"/>
    <s v="ماجستير"/>
    <s v="إدارة الاعمال"/>
    <s v="B"/>
    <x v="18"/>
    <d v="2018-06-01T00:00:00"/>
    <d v="2018-12-31T00:00:00"/>
    <n v="0"/>
    <n v="6"/>
    <n v="0.96"/>
    <n v="6000"/>
    <n v="57.6"/>
    <n v="4"/>
    <n v="4"/>
    <n v="4"/>
    <n v="3"/>
    <n v="3"/>
    <n v="3"/>
    <n v="3"/>
    <n v="3"/>
    <n v="5"/>
    <n v="32"/>
    <n v="14"/>
    <n v="13"/>
    <n v="13"/>
    <n v="10"/>
    <n v="3"/>
    <n v="3"/>
    <n v="56"/>
    <n v="88"/>
    <m/>
    <m/>
    <m/>
    <m/>
    <m/>
    <n v="52.8"/>
    <n v="3168"/>
    <n v="9168"/>
    <n v="332"/>
    <n v="9500"/>
    <n v="9500"/>
    <n v="3500"/>
    <n v="58.333333333333336"/>
    <n v="0"/>
    <n v="0"/>
    <n v="3500"/>
    <n v="9500"/>
    <n v="58.333333333333336"/>
    <n v="6000"/>
    <m/>
    <n v="9500"/>
    <n v="9500"/>
    <n v="332"/>
    <n v="-9500"/>
    <n v="9500"/>
    <m/>
  </r>
  <r>
    <n v="1067"/>
    <x v="265"/>
    <x v="1"/>
    <x v="14"/>
    <n v="0"/>
    <x v="68"/>
    <s v="دبلوم تقني"/>
    <s v="هندسة ميكانيكا (صيانة)"/>
    <s v="D"/>
    <x v="2"/>
    <d v="2018-07-05T00:00:00"/>
    <d v="2018-12-31T00:00:00"/>
    <n v="0"/>
    <n v="5"/>
    <n v="0.8"/>
    <n v="4000"/>
    <n v="32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m/>
    <m/>
    <m/>
    <m/>
    <m/>
    <n v="58.199999999999996"/>
    <n v="2328"/>
    <n v="6328"/>
    <n v="672"/>
    <n v="7000"/>
    <n v="7000"/>
    <n v="3000"/>
    <n v="75"/>
    <n v="0"/>
    <n v="0"/>
    <n v="3000"/>
    <n v="7000"/>
    <n v="75"/>
    <n v="4000"/>
    <m/>
    <n v="7000"/>
    <n v="7000"/>
    <n v="672"/>
    <n v="-7000"/>
    <n v="7000"/>
    <m/>
  </r>
  <r>
    <n v="1068"/>
    <x v="266"/>
    <x v="1"/>
    <x v="4"/>
    <n v="0"/>
    <x v="69"/>
    <s v="بكلاريوس الشرف"/>
    <s v="هندسة ميكانيكية"/>
    <s v="C"/>
    <x v="11"/>
    <d v="2018-07-01T00:00:00"/>
    <d v="2018-12-31T00:00:00"/>
    <n v="0"/>
    <n v="5"/>
    <n v="0.8"/>
    <n v="4500"/>
    <n v="36"/>
    <n v="3"/>
    <n v="4"/>
    <n v="5"/>
    <n v="2"/>
    <n v="3"/>
    <n v="2"/>
    <n v="2"/>
    <n v="3"/>
    <n v="5"/>
    <n v="29"/>
    <n v="13"/>
    <n v="13"/>
    <n v="15"/>
    <n v="12"/>
    <n v="3"/>
    <n v="3"/>
    <n v="59"/>
    <n v="88"/>
    <m/>
    <m/>
    <m/>
    <m/>
    <m/>
    <n v="52.8"/>
    <n v="2376"/>
    <n v="6876"/>
    <n v="0"/>
    <n v="6000"/>
    <n v="6876"/>
    <n v="2376"/>
    <n v="52.8"/>
    <n v="0"/>
    <n v="4"/>
    <n v="2380"/>
    <n v="6880"/>
    <n v="52.888888888888886"/>
    <n v="4500"/>
    <m/>
    <n v="6880"/>
    <n v="6876"/>
    <n v="-876"/>
    <n v="-6876"/>
    <n v="6876"/>
    <m/>
  </r>
  <r>
    <n v="6001"/>
    <x v="267"/>
    <x v="3"/>
    <x v="12"/>
    <s v="الامن"/>
    <x v="70"/>
    <n v="0"/>
    <n v="0"/>
    <s v="H"/>
    <x v="11"/>
    <d v="2012-07-15T00:00:00"/>
    <d v="2018-12-31T00:00:00"/>
    <n v="6"/>
    <n v="5"/>
    <n v="12.8"/>
    <n v="4210"/>
    <n v="538.88"/>
    <n v="5"/>
    <n v="5"/>
    <n v="5"/>
    <n v="3"/>
    <n v="3"/>
    <n v="3"/>
    <n v="3"/>
    <n v="3"/>
    <n v="5"/>
    <n v="35"/>
    <n v="15"/>
    <n v="14"/>
    <n v="15"/>
    <n v="12"/>
    <n v="4"/>
    <n v="3"/>
    <n v="63"/>
    <n v="98"/>
    <m/>
    <m/>
    <m/>
    <m/>
    <m/>
    <n v="58.8"/>
    <n v="2475.48"/>
    <n v="6685.48"/>
    <n v="0"/>
    <n v="6000"/>
    <n v="6685.48"/>
    <n v="2475.4799999999996"/>
    <n v="58.79999999999999"/>
    <n v="0"/>
    <n v="4.5200000000004366"/>
    <n v="2480"/>
    <n v="6690"/>
    <n v="58.907363420427551"/>
    <n v="4210"/>
    <m/>
    <n v="6690"/>
    <n v="6685.48"/>
    <n v="-685.47999999999956"/>
    <n v="-6685.48"/>
    <n v="6685.48"/>
    <m/>
  </r>
  <r>
    <n v="6002"/>
    <x v="268"/>
    <x v="3"/>
    <x v="1"/>
    <n v="0"/>
    <x v="71"/>
    <s v="بكلاريوس الشرف"/>
    <s v="هندسة زراعة"/>
    <s v="C"/>
    <x v="14"/>
    <d v="2014-05-01T00:00:00"/>
    <d v="2018-12-31T00:00:00"/>
    <n v="4"/>
    <n v="7"/>
    <n v="9.120000000000001"/>
    <n v="22120"/>
    <n v="2017.3440000000001"/>
    <n v="5"/>
    <n v="5"/>
    <n v="5"/>
    <n v="3"/>
    <n v="3"/>
    <n v="3"/>
    <n v="3"/>
    <n v="3"/>
    <n v="5"/>
    <n v="35"/>
    <n v="15"/>
    <n v="14"/>
    <n v="15"/>
    <n v="12"/>
    <n v="5"/>
    <n v="3"/>
    <n v="64"/>
    <n v="99"/>
    <m/>
    <m/>
    <m/>
    <m/>
    <m/>
    <n v="59.4"/>
    <n v="13139.279999999999"/>
    <n v="35259.279999999999"/>
    <n v="0"/>
    <n v="25000"/>
    <n v="35259.279999999999"/>
    <n v="13139.279999999999"/>
    <n v="59.4"/>
    <n v="0"/>
    <n v="0.72000000000116415"/>
    <n v="13140"/>
    <n v="35260"/>
    <n v="59.403254972875231"/>
    <n v="22120"/>
    <m/>
    <n v="35260"/>
    <n v="35259.279999999999"/>
    <n v="-10259.279999999999"/>
    <n v="-35259.279999999999"/>
    <n v="35259.279999999999"/>
    <m/>
  </r>
  <r>
    <n v="6006"/>
    <x v="269"/>
    <x v="3"/>
    <x v="1"/>
    <n v="0"/>
    <x v="72"/>
    <s v="بكلاريوس"/>
    <s v="دراسات اقنصادية واجتماعية"/>
    <s v="C"/>
    <x v="2"/>
    <d v="2015-11-02T00:00:00"/>
    <d v="2018-12-31T00:00:00"/>
    <n v="3"/>
    <n v="1"/>
    <n v="6.16"/>
    <n v="5100"/>
    <n v="314.16000000000003"/>
    <n v="3"/>
    <n v="3"/>
    <n v="4"/>
    <n v="2"/>
    <n v="1"/>
    <n v="2"/>
    <n v="3"/>
    <n v="3"/>
    <n v="4"/>
    <n v="25"/>
    <n v="14"/>
    <n v="14"/>
    <n v="15"/>
    <n v="10"/>
    <n v="3"/>
    <n v="3"/>
    <n v="59"/>
    <n v="84"/>
    <n v="7"/>
    <m/>
    <m/>
    <m/>
    <m/>
    <n v="50.4"/>
    <n v="2570.4"/>
    <n v="7670.4"/>
    <n v="0"/>
    <n v="7000"/>
    <n v="7670.4"/>
    <n v="2570.3999999999996"/>
    <n v="50.399999999999991"/>
    <n v="0"/>
    <n v="9.6000000000003638"/>
    <n v="2580"/>
    <n v="7680"/>
    <n v="50.588235294117645"/>
    <n v="5100"/>
    <m/>
    <n v="7680"/>
    <n v="7670.4"/>
    <n v="-670.39999999999964"/>
    <n v="-7670.4"/>
    <n v="7670.4"/>
    <m/>
  </r>
  <r>
    <n v="6008"/>
    <x v="270"/>
    <x v="3"/>
    <x v="1"/>
    <n v="0"/>
    <x v="73"/>
    <s v="بكلاريوس الشرف"/>
    <s v="علوم زراعية "/>
    <s v="C"/>
    <x v="2"/>
    <d v="2016-11-18T00:00:00"/>
    <d v="2018-12-31T00:00:00"/>
    <n v="2"/>
    <n v="1"/>
    <n v="4.16"/>
    <n v="5050"/>
    <n v="210.08"/>
    <n v="5"/>
    <n v="3"/>
    <n v="5"/>
    <n v="2"/>
    <n v="2"/>
    <n v="2"/>
    <n v="2"/>
    <n v="2"/>
    <n v="5"/>
    <n v="28"/>
    <n v="14"/>
    <n v="13"/>
    <n v="12"/>
    <n v="2"/>
    <n v="3"/>
    <n v="3"/>
    <n v="47"/>
    <n v="75"/>
    <n v="8"/>
    <m/>
    <m/>
    <m/>
    <m/>
    <n v="45"/>
    <n v="2272.5"/>
    <n v="7322.5"/>
    <n v="0"/>
    <n v="7000"/>
    <n v="7322.5"/>
    <n v="2272.5"/>
    <n v="45"/>
    <n v="0"/>
    <n v="7.5"/>
    <n v="2280"/>
    <n v="7330"/>
    <n v="45.148514851485146"/>
    <n v="5050"/>
    <m/>
    <n v="7330"/>
    <n v="7322.5"/>
    <n v="-322.5"/>
    <n v="-7322.5"/>
    <n v="7322.5"/>
    <m/>
  </r>
  <r>
    <n v="6010"/>
    <x v="271"/>
    <x v="3"/>
    <x v="3"/>
    <n v="0"/>
    <x v="18"/>
    <n v="0"/>
    <n v="0"/>
    <s v="H"/>
    <x v="5"/>
    <d v="2016-12-15T00:00:00"/>
    <d v="2018-12-31T00:00:00"/>
    <n v="2"/>
    <n v="0"/>
    <n v="4"/>
    <n v="3040"/>
    <n v="121.6"/>
    <n v="3"/>
    <n v="3"/>
    <n v="3"/>
    <n v="1"/>
    <n v="1"/>
    <n v="1"/>
    <n v="1"/>
    <n v="2"/>
    <n v="3"/>
    <n v="18"/>
    <n v="14"/>
    <n v="14"/>
    <n v="15"/>
    <n v="12"/>
    <n v="3"/>
    <n v="3"/>
    <n v="61"/>
    <n v="79"/>
    <n v="5"/>
    <m/>
    <m/>
    <m/>
    <m/>
    <n v="47.4"/>
    <n v="1440.96"/>
    <n v="4480.96"/>
    <n v="519.04"/>
    <n v="5000"/>
    <n v="5000"/>
    <n v="1960"/>
    <n v="64.473684210526315"/>
    <n v="0"/>
    <n v="0"/>
    <n v="1960"/>
    <n v="5000"/>
    <n v="64.473684210526315"/>
    <n v="3040"/>
    <m/>
    <n v="5000"/>
    <n v="5000"/>
    <n v="519.04"/>
    <n v="-5000"/>
    <n v="5000"/>
    <m/>
  </r>
  <r>
    <n v="6011"/>
    <x v="272"/>
    <x v="3"/>
    <x v="1"/>
    <n v="0"/>
    <x v="74"/>
    <s v="بكلاريوس الشرف"/>
    <s v="هندسة زراعة"/>
    <s v="C"/>
    <x v="2"/>
    <d v="2017-03-01T00:00:00"/>
    <d v="2018-12-31T00:00:00"/>
    <n v="1"/>
    <n v="9"/>
    <n v="3.44"/>
    <n v="5040"/>
    <n v="173.376"/>
    <n v="4"/>
    <n v="3"/>
    <n v="3"/>
    <n v="1"/>
    <n v="2"/>
    <n v="2"/>
    <n v="1"/>
    <n v="2"/>
    <n v="3"/>
    <n v="21"/>
    <n v="14"/>
    <n v="14"/>
    <n v="12"/>
    <n v="10"/>
    <n v="3"/>
    <n v="3"/>
    <n v="56"/>
    <n v="77"/>
    <n v="6"/>
    <m/>
    <m/>
    <m/>
    <m/>
    <n v="46.199999999999996"/>
    <n v="2328.48"/>
    <n v="7368.48"/>
    <n v="0"/>
    <n v="7000"/>
    <n v="7368.48"/>
    <n v="2328.4799999999996"/>
    <n v="46.199999999999996"/>
    <n v="0"/>
    <n v="1.5200000000004366"/>
    <n v="2330"/>
    <n v="7370"/>
    <n v="46.230158730158735"/>
    <n v="5040"/>
    <m/>
    <n v="7370"/>
    <n v="7368.48"/>
    <n v="-368.47999999999956"/>
    <n v="-7368.48"/>
    <n v="7368.48"/>
    <m/>
  </r>
  <r>
    <n v="6013"/>
    <x v="273"/>
    <x v="3"/>
    <x v="3"/>
    <n v="0"/>
    <x v="18"/>
    <s v="بكلاريوس"/>
    <s v="الاقتصاد التطبيقى"/>
    <s v="C"/>
    <x v="15"/>
    <d v="2017-08-06T00:00:00"/>
    <d v="2018-12-31T00:00:00"/>
    <n v="1"/>
    <n v="4"/>
    <n v="2.64"/>
    <n v="3010"/>
    <n v="79.463999999999999"/>
    <n v="4"/>
    <n v="4"/>
    <n v="4"/>
    <n v="2"/>
    <n v="2"/>
    <n v="3"/>
    <n v="3"/>
    <n v="2"/>
    <n v="4"/>
    <n v="28"/>
    <n v="14"/>
    <n v="15"/>
    <n v="15"/>
    <n v="12"/>
    <n v="5"/>
    <n v="3"/>
    <n v="64"/>
    <n v="92"/>
    <n v="8"/>
    <m/>
    <m/>
    <m/>
    <m/>
    <n v="55.199999999999996"/>
    <n v="1661.5199999999998"/>
    <n v="4671.5199999999995"/>
    <n v="0"/>
    <n v="4500"/>
    <n v="4671.5199999999995"/>
    <n v="1661.5199999999995"/>
    <n v="55.199999999999982"/>
    <n v="0"/>
    <n v="8.4800000000004729"/>
    <n v="1670"/>
    <n v="4680"/>
    <n v="55.481727574750828"/>
    <n v="3010"/>
    <m/>
    <n v="4680"/>
    <n v="4671.5199999999995"/>
    <n v="-171.51999999999953"/>
    <n v="-4671.5199999999995"/>
    <n v="4671.5199999999995"/>
    <m/>
  </r>
  <r>
    <n v="6014"/>
    <x v="274"/>
    <x v="3"/>
    <x v="3"/>
    <n v="0"/>
    <x v="18"/>
    <n v="0"/>
    <n v="0"/>
    <s v="H"/>
    <x v="5"/>
    <d v="2017-10-15T00:00:00"/>
    <d v="2018-12-31T00:00:00"/>
    <n v="1"/>
    <n v="2"/>
    <n v="2.3199999999999998"/>
    <n v="3000"/>
    <n v="69.599999999999994"/>
    <n v="3"/>
    <n v="2"/>
    <n v="3"/>
    <n v="1"/>
    <n v="1"/>
    <n v="1"/>
    <n v="2"/>
    <n v="3"/>
    <n v="3"/>
    <n v="19"/>
    <n v="14"/>
    <n v="14"/>
    <n v="15"/>
    <n v="10"/>
    <n v="3"/>
    <n v="3"/>
    <n v="59"/>
    <n v="78"/>
    <n v="7"/>
    <m/>
    <m/>
    <m/>
    <m/>
    <n v="46.8"/>
    <n v="1404"/>
    <n v="4404"/>
    <n v="596"/>
    <n v="5000"/>
    <n v="5000"/>
    <n v="2000"/>
    <n v="66.666666666666671"/>
    <n v="0"/>
    <n v="0"/>
    <n v="2000"/>
    <n v="5000"/>
    <n v="66.666666666666671"/>
    <n v="3000"/>
    <m/>
    <n v="5000"/>
    <n v="5000"/>
    <n v="596"/>
    <n v="-5000"/>
    <n v="5000"/>
    <m/>
  </r>
  <r>
    <n v="6016"/>
    <x v="275"/>
    <x v="1"/>
    <x v="3"/>
    <s v="الزنك"/>
    <x v="8"/>
    <s v="دبلوم تقني"/>
    <s v="نظم المعلومات الادارية"/>
    <s v="D"/>
    <x v="16"/>
    <d v="2017-11-05T00:00:00"/>
    <d v="2018-12-31T00:00:00"/>
    <n v="1"/>
    <n v="1"/>
    <n v="2.16"/>
    <n v="3000"/>
    <n v="64.8"/>
    <n v="4"/>
    <n v="4"/>
    <n v="4"/>
    <n v="2"/>
    <n v="2"/>
    <n v="2"/>
    <n v="3"/>
    <n v="2"/>
    <n v="4"/>
    <n v="27"/>
    <n v="14"/>
    <n v="14"/>
    <n v="15"/>
    <n v="12"/>
    <n v="4"/>
    <n v="3"/>
    <n v="62"/>
    <n v="89"/>
    <n v="8"/>
    <m/>
    <m/>
    <m/>
    <m/>
    <n v="53.4"/>
    <n v="1602"/>
    <n v="4602"/>
    <n v="1398"/>
    <n v="6000"/>
    <n v="6000"/>
    <n v="3000"/>
    <n v="100"/>
    <n v="0"/>
    <n v="0"/>
    <n v="3000"/>
    <n v="6000"/>
    <n v="100"/>
    <n v="3000"/>
    <m/>
    <n v="6000"/>
    <n v="6000"/>
    <n v="1398"/>
    <n v="-6000"/>
    <n v="6000"/>
    <m/>
  </r>
  <r>
    <n v="6017"/>
    <x v="276"/>
    <x v="3"/>
    <x v="3"/>
    <n v="0"/>
    <x v="18"/>
    <n v="0"/>
    <n v="0"/>
    <s v="H"/>
    <x v="5"/>
    <d v="2017-11-08T00:00:00"/>
    <d v="2018-12-31T00:00:00"/>
    <n v="1"/>
    <n v="1"/>
    <n v="2.16"/>
    <n v="3000"/>
    <n v="64.8"/>
    <n v="4"/>
    <n v="4"/>
    <n v="4"/>
    <n v="1"/>
    <n v="2"/>
    <n v="2"/>
    <n v="2"/>
    <n v="3"/>
    <n v="4"/>
    <n v="26"/>
    <n v="15"/>
    <n v="14"/>
    <n v="15"/>
    <n v="12"/>
    <n v="4"/>
    <n v="3"/>
    <n v="63"/>
    <n v="89"/>
    <n v="8"/>
    <m/>
    <m/>
    <m/>
    <m/>
    <n v="53.4"/>
    <n v="1602"/>
    <n v="4602"/>
    <n v="398"/>
    <n v="5000"/>
    <n v="5000"/>
    <n v="2000"/>
    <n v="66.666666666666671"/>
    <n v="0"/>
    <n v="0"/>
    <n v="2000"/>
    <n v="5000"/>
    <n v="66.666666666666671"/>
    <n v="3000"/>
    <m/>
    <n v="5000"/>
    <n v="5000"/>
    <n v="398"/>
    <n v="-5000"/>
    <n v="5000"/>
    <m/>
  </r>
  <r>
    <n v="6018"/>
    <x v="277"/>
    <x v="3"/>
    <x v="3"/>
    <n v="0"/>
    <x v="18"/>
    <s v="شهاده دورة تدريب"/>
    <s v="تصنيع الادوات الزراعية"/>
    <s v="F"/>
    <x v="5"/>
    <d v="2017-11-18T00:00:00"/>
    <d v="2018-12-31T00:00:00"/>
    <n v="1"/>
    <n v="1"/>
    <n v="2.16"/>
    <n v="3000"/>
    <n v="64.8"/>
    <n v="4"/>
    <n v="2"/>
    <n v="5"/>
    <n v="3"/>
    <n v="2"/>
    <n v="2"/>
    <n v="2"/>
    <n v="3"/>
    <n v="4"/>
    <n v="27"/>
    <n v="13"/>
    <n v="13"/>
    <n v="15"/>
    <n v="12"/>
    <n v="3"/>
    <n v="3"/>
    <n v="59"/>
    <n v="86"/>
    <n v="7"/>
    <m/>
    <m/>
    <m/>
    <m/>
    <n v="51.6"/>
    <n v="1548"/>
    <n v="4548"/>
    <n v="452"/>
    <n v="5000"/>
    <n v="5000"/>
    <n v="2000"/>
    <n v="66.666666666666671"/>
    <n v="0"/>
    <n v="0"/>
    <n v="2000"/>
    <n v="5000"/>
    <n v="66.666666666666671"/>
    <n v="3000"/>
    <m/>
    <n v="5000"/>
    <n v="5000"/>
    <n v="452"/>
    <n v="-5000"/>
    <n v="5000"/>
    <m/>
  </r>
  <r>
    <n v="8501"/>
    <x v="278"/>
    <x v="4"/>
    <x v="1"/>
    <n v="0"/>
    <x v="75"/>
    <n v="0"/>
    <n v="0"/>
    <s v="H"/>
    <x v="0"/>
    <d v="2015-01-01T00:00:00"/>
    <d v="2018-12-31T00:00:00"/>
    <n v="3"/>
    <n v="11"/>
    <n v="7.76"/>
    <n v="11240"/>
    <n v="872.22400000000005"/>
    <m/>
    <m/>
    <m/>
    <m/>
    <m/>
    <m/>
    <m/>
    <m/>
    <m/>
    <n v="0"/>
    <n v="15"/>
    <n v="15"/>
    <n v="15"/>
    <n v="12"/>
    <n v="4"/>
    <n v="3"/>
    <n v="64"/>
    <n v="64"/>
    <m/>
    <m/>
    <m/>
    <m/>
    <n v="55"/>
    <n v="38.4"/>
    <n v="4316.16"/>
    <n v="15556.16"/>
    <e v="#N/A"/>
    <e v="#N/A"/>
    <e v="#N/A"/>
    <e v="#N/A"/>
    <e v="#N/A"/>
    <e v="#N/A"/>
    <e v="#N/A"/>
    <e v="#N/A"/>
    <e v="#N/A"/>
    <e v="#N/A"/>
    <n v="11240"/>
    <m/>
    <e v="#N/A"/>
    <e v="#N/A"/>
    <e v="#N/A"/>
    <e v="#N/A"/>
    <e v="#N/A"/>
    <m/>
  </r>
  <r>
    <n v="8502"/>
    <x v="279"/>
    <x v="4"/>
    <x v="18"/>
    <n v="0"/>
    <x v="76"/>
    <n v="0"/>
    <n v="0"/>
    <s v="H"/>
    <x v="0"/>
    <d v="2015-01-01T00:00:00"/>
    <d v="2018-12-31T00:00:00"/>
    <n v="3"/>
    <n v="11"/>
    <n v="7.76"/>
    <n v="5720"/>
    <n v="443.87200000000001"/>
    <m/>
    <m/>
    <m/>
    <m/>
    <m/>
    <m/>
    <m/>
    <m/>
    <m/>
    <n v="0"/>
    <n v="15"/>
    <n v="15"/>
    <n v="15"/>
    <n v="12"/>
    <n v="4"/>
    <n v="3"/>
    <n v="64"/>
    <n v="64"/>
    <m/>
    <m/>
    <m/>
    <m/>
    <n v="55"/>
    <n v="38.4"/>
    <n v="2196.48"/>
    <n v="7916.48"/>
    <e v="#N/A"/>
    <e v="#N/A"/>
    <e v="#N/A"/>
    <e v="#N/A"/>
    <e v="#N/A"/>
    <e v="#N/A"/>
    <e v="#N/A"/>
    <e v="#N/A"/>
    <e v="#N/A"/>
    <e v="#N/A"/>
    <n v="5720"/>
    <m/>
    <e v="#N/A"/>
    <e v="#N/A"/>
    <e v="#N/A"/>
    <e v="#N/A"/>
    <e v="#N/A"/>
    <m/>
  </r>
  <r>
    <n v="8503"/>
    <x v="280"/>
    <x v="4"/>
    <x v="18"/>
    <n v="0"/>
    <x v="76"/>
    <n v="0"/>
    <n v="0"/>
    <s v="H"/>
    <x v="0"/>
    <d v="2015-01-01T00:00:00"/>
    <d v="2018-12-31T00:00:00"/>
    <n v="3"/>
    <n v="11"/>
    <n v="7.76"/>
    <n v="5720"/>
    <n v="443.87200000000001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2196.48"/>
    <n v="7916.48"/>
    <e v="#N/A"/>
    <e v="#N/A"/>
    <e v="#N/A"/>
    <e v="#N/A"/>
    <e v="#N/A"/>
    <e v="#N/A"/>
    <e v="#N/A"/>
    <e v="#N/A"/>
    <e v="#N/A"/>
    <e v="#N/A"/>
    <n v="5720"/>
    <m/>
    <e v="#N/A"/>
    <e v="#N/A"/>
    <e v="#N/A"/>
    <e v="#N/A"/>
    <e v="#N/A"/>
    <m/>
  </r>
  <r>
    <n v="8504"/>
    <x v="281"/>
    <x v="4"/>
    <x v="6"/>
    <n v="0"/>
    <x v="18"/>
    <n v="0"/>
    <n v="0"/>
    <s v="H"/>
    <x v="0"/>
    <d v="2015-01-01T00:00:00"/>
    <d v="2018-12-31T00:00:00"/>
    <n v="3"/>
    <n v="11"/>
    <n v="7.76"/>
    <n v="3510"/>
    <n v="272.37599999999998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1347.84"/>
    <n v="4857.84"/>
    <e v="#N/A"/>
    <e v="#N/A"/>
    <e v="#N/A"/>
    <e v="#N/A"/>
    <e v="#N/A"/>
    <e v="#N/A"/>
    <e v="#N/A"/>
    <e v="#N/A"/>
    <e v="#N/A"/>
    <e v="#N/A"/>
    <n v="3510"/>
    <m/>
    <e v="#N/A"/>
    <e v="#N/A"/>
    <e v="#N/A"/>
    <e v="#N/A"/>
    <e v="#N/A"/>
    <m/>
  </r>
  <r>
    <n v="8505"/>
    <x v="282"/>
    <x v="4"/>
    <x v="7"/>
    <n v="0"/>
    <x v="19"/>
    <n v="0"/>
    <n v="0"/>
    <s v="H"/>
    <x v="0"/>
    <d v="2016-03-01T00:00:00"/>
    <d v="2018-12-31T00:00:00"/>
    <n v="2"/>
    <n v="9"/>
    <n v="5.4399999999999995"/>
    <n v="5090"/>
    <n v="276.89600000000002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1954.56"/>
    <n v="7044.5599999999995"/>
    <e v="#N/A"/>
    <e v="#N/A"/>
    <e v="#N/A"/>
    <e v="#N/A"/>
    <e v="#N/A"/>
    <e v="#N/A"/>
    <e v="#N/A"/>
    <e v="#N/A"/>
    <e v="#N/A"/>
    <e v="#N/A"/>
    <n v="5090"/>
    <m/>
    <e v="#N/A"/>
    <e v="#N/A"/>
    <e v="#N/A"/>
    <e v="#N/A"/>
    <e v="#N/A"/>
    <m/>
  </r>
  <r>
    <n v="8506"/>
    <x v="283"/>
    <x v="4"/>
    <x v="17"/>
    <n v="0"/>
    <x v="46"/>
    <n v="0"/>
    <n v="0"/>
    <s v="H"/>
    <x v="0"/>
    <d v="2018-04-01T00:00:00"/>
    <d v="2018-12-31T00:00:00"/>
    <n v="0"/>
    <n v="8"/>
    <n v="1.28"/>
    <n v="3000"/>
    <n v="38.4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1152"/>
    <n v="4152"/>
    <e v="#N/A"/>
    <e v="#N/A"/>
    <e v="#N/A"/>
    <e v="#N/A"/>
    <e v="#N/A"/>
    <e v="#N/A"/>
    <e v="#N/A"/>
    <e v="#N/A"/>
    <e v="#N/A"/>
    <e v="#N/A"/>
    <n v="3000"/>
    <m/>
    <e v="#N/A"/>
    <e v="#N/A"/>
    <e v="#N/A"/>
    <e v="#N/A"/>
    <e v="#N/A"/>
    <m/>
  </r>
  <r>
    <n v="8507"/>
    <x v="284"/>
    <x v="4"/>
    <x v="17"/>
    <n v="0"/>
    <x v="33"/>
    <s v="دبلوم تقني"/>
    <s v="الدراسات الاسلامية"/>
    <s v="D"/>
    <x v="0"/>
    <d v="2018-05-01T00:00:00"/>
    <d v="2018-12-31T00:00:00"/>
    <n v="0"/>
    <n v="7"/>
    <n v="1.1200000000000001"/>
    <n v="3000"/>
    <n v="33.6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1152"/>
    <n v="4152"/>
    <e v="#N/A"/>
    <e v="#N/A"/>
    <e v="#N/A"/>
    <e v="#N/A"/>
    <e v="#N/A"/>
    <e v="#N/A"/>
    <e v="#N/A"/>
    <e v="#N/A"/>
    <e v="#N/A"/>
    <e v="#N/A"/>
    <n v="3000"/>
    <m/>
    <e v="#N/A"/>
    <e v="#N/A"/>
    <e v="#N/A"/>
    <e v="#N/A"/>
    <e v="#N/A"/>
    <m/>
  </r>
  <r>
    <n v="1008"/>
    <x v="285"/>
    <x v="2"/>
    <x v="16"/>
    <n v="0"/>
    <x v="10"/>
    <n v="0"/>
    <n v="0"/>
    <s v="H"/>
    <x v="2"/>
    <d v="2007-03-01T00:00:00"/>
    <d v="2018-12-31T00:00:00"/>
    <n v="11"/>
    <n v="9"/>
    <n v="23.44"/>
    <n v="10740"/>
    <n v="2517.4560000000001"/>
    <n v="5"/>
    <n v="5"/>
    <n v="4"/>
    <n v="2"/>
    <n v="2"/>
    <n v="3"/>
    <n v="3"/>
    <n v="3"/>
    <n v="5"/>
    <n v="32"/>
    <n v="15"/>
    <n v="14"/>
    <n v="15"/>
    <n v="12"/>
    <n v="3"/>
    <n v="3"/>
    <n v="62"/>
    <n v="94"/>
    <n v="9"/>
    <m/>
    <m/>
    <n v="6"/>
    <m/>
    <n v="56.4"/>
    <n v="6057.36"/>
    <n v="16797.36"/>
    <n v="0"/>
    <n v="7000"/>
    <n v="16797.36"/>
    <n v="6057.3600000000006"/>
    <n v="56.400000000000006"/>
    <n v="0"/>
    <n v="2.6399999999994179"/>
    <n v="6060"/>
    <n v="16800"/>
    <n v="56.424581005586589"/>
    <n v="10740"/>
    <m/>
    <n v="16800"/>
    <n v="16797.36"/>
    <n v="-9797.36"/>
    <n v="-16797.36"/>
    <n v="16797.36"/>
    <m/>
  </r>
  <r>
    <n v="1009"/>
    <x v="286"/>
    <x v="2"/>
    <x v="19"/>
    <n v="0"/>
    <x v="64"/>
    <n v="0"/>
    <n v="0"/>
    <s v="H"/>
    <x v="20"/>
    <d v="2007-03-01T00:00:00"/>
    <d v="2018-12-31T00:00:00"/>
    <n v="11"/>
    <n v="9"/>
    <n v="23.44"/>
    <n v="50000"/>
    <n v="11720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19200"/>
    <n v="69200"/>
    <n v="10800"/>
    <n v="80000"/>
    <n v="80000"/>
    <n v="30000"/>
    <n v="60"/>
    <n v="0"/>
    <n v="0"/>
    <n v="30000"/>
    <n v="80000"/>
    <n v="60"/>
    <n v="50000"/>
    <m/>
    <n v="80000"/>
    <n v="80000"/>
    <n v="10800"/>
    <n v="-80000"/>
    <n v="80000"/>
    <m/>
  </r>
  <r>
    <n v="1010"/>
    <x v="287"/>
    <x v="2"/>
    <x v="6"/>
    <n v="0"/>
    <x v="18"/>
    <n v="0"/>
    <n v="0"/>
    <s v="H"/>
    <x v="15"/>
    <d v="2009-07-01T00:00:00"/>
    <d v="2018-12-31T00:00:00"/>
    <n v="9"/>
    <n v="5"/>
    <n v="18.8"/>
    <n v="3320"/>
    <n v="624.16"/>
    <n v="5"/>
    <n v="4"/>
    <n v="5"/>
    <n v="2"/>
    <n v="2"/>
    <n v="2"/>
    <n v="3"/>
    <n v="2"/>
    <n v="5"/>
    <n v="30"/>
    <n v="14"/>
    <n v="14"/>
    <n v="15"/>
    <n v="10"/>
    <n v="4"/>
    <n v="3"/>
    <n v="60"/>
    <n v="90"/>
    <n v="9"/>
    <m/>
    <m/>
    <n v="7"/>
    <m/>
    <n v="54"/>
    <n v="1792.8000000000002"/>
    <n v="5112.8"/>
    <n v="0"/>
    <n v="4500"/>
    <n v="5112.8"/>
    <n v="1792.8000000000002"/>
    <n v="54"/>
    <n v="887.19999999999982"/>
    <n v="0"/>
    <n v="2680"/>
    <n v="6000"/>
    <n v="80.722891566265048"/>
    <n v="3320"/>
    <n v="6000"/>
    <n v="5112.8"/>
    <n v="5112.8"/>
    <n v="-612.80000000000018"/>
    <n v="887.19999999999982"/>
    <n v="5112.8"/>
    <m/>
  </r>
  <r>
    <n v="1011"/>
    <x v="288"/>
    <x v="2"/>
    <x v="6"/>
    <n v="0"/>
    <x v="18"/>
    <n v="0"/>
    <n v="0"/>
    <s v="H"/>
    <x v="15"/>
    <d v="2007-07-01T00:00:00"/>
    <d v="2018-12-31T00:00:00"/>
    <n v="11"/>
    <n v="5"/>
    <n v="22.8"/>
    <n v="3570"/>
    <n v="813.96"/>
    <n v="5"/>
    <n v="5"/>
    <n v="5"/>
    <n v="2"/>
    <n v="2"/>
    <n v="2"/>
    <n v="3"/>
    <n v="2"/>
    <n v="4"/>
    <n v="30"/>
    <n v="14"/>
    <n v="15"/>
    <n v="15"/>
    <n v="12"/>
    <n v="4"/>
    <n v="3"/>
    <n v="63"/>
    <n v="93"/>
    <n v="7"/>
    <m/>
    <m/>
    <n v="6"/>
    <m/>
    <n v="55.8"/>
    <n v="1992.0599999999997"/>
    <n v="5562.0599999999995"/>
    <n v="0"/>
    <n v="4500"/>
    <n v="5562.0599999999995"/>
    <n v="1992.0599999999995"/>
    <n v="55.799999999999983"/>
    <n v="437.94000000000051"/>
    <n v="0"/>
    <n v="2430"/>
    <n v="6000"/>
    <n v="68.067226890756302"/>
    <n v="3570"/>
    <n v="6000"/>
    <n v="5562.0599999999995"/>
    <n v="5562.0599999999995"/>
    <n v="-1062.0599999999995"/>
    <n v="437.94000000000051"/>
    <n v="5562.0599999999995"/>
    <m/>
  </r>
  <r>
    <n v="1012"/>
    <x v="289"/>
    <x v="2"/>
    <x v="6"/>
    <n v="0"/>
    <x v="18"/>
    <n v="0"/>
    <n v="0"/>
    <s v="H"/>
    <x v="15"/>
    <d v="2007-03-01T00:00:00"/>
    <d v="2018-12-31T00:00:00"/>
    <n v="11"/>
    <n v="9"/>
    <n v="23.44"/>
    <n v="3420"/>
    <n v="801.64800000000002"/>
    <n v="5"/>
    <n v="5"/>
    <n v="5"/>
    <n v="2"/>
    <n v="2"/>
    <n v="3"/>
    <n v="3"/>
    <n v="3"/>
    <n v="5"/>
    <n v="33"/>
    <n v="14"/>
    <n v="14"/>
    <n v="15"/>
    <n v="10"/>
    <n v="4"/>
    <n v="3"/>
    <n v="60"/>
    <n v="93"/>
    <n v="9"/>
    <m/>
    <m/>
    <n v="7"/>
    <m/>
    <n v="55.8"/>
    <n v="1908.36"/>
    <n v="5328.36"/>
    <n v="0"/>
    <n v="4500"/>
    <n v="5328.36"/>
    <n v="1908.3599999999997"/>
    <n v="55.799999999999983"/>
    <n v="671.64000000000033"/>
    <n v="0"/>
    <n v="2580"/>
    <n v="6000"/>
    <n v="75.438596491228068"/>
    <n v="3420"/>
    <n v="6000"/>
    <n v="5328.36"/>
    <n v="5328.36"/>
    <n v="-828.35999999999967"/>
    <n v="671.64000000000033"/>
    <n v="5328.36"/>
    <m/>
  </r>
  <r>
    <n v="1013"/>
    <x v="290"/>
    <x v="2"/>
    <x v="7"/>
    <n v="0"/>
    <x v="19"/>
    <s v="بكلاريوس"/>
    <s v="محاسبة"/>
    <s v="C"/>
    <x v="2"/>
    <d v="2013-04-01T00:00:00"/>
    <d v="2018-12-31T00:00:00"/>
    <n v="5"/>
    <n v="8"/>
    <n v="11.28"/>
    <n v="5640"/>
    <n v="636.19200000000001"/>
    <n v="5"/>
    <n v="5"/>
    <n v="4"/>
    <n v="3"/>
    <n v="2"/>
    <n v="2"/>
    <n v="3"/>
    <n v="3"/>
    <n v="5"/>
    <n v="32"/>
    <n v="14"/>
    <n v="14"/>
    <n v="15"/>
    <n v="8"/>
    <n v="4"/>
    <n v="3"/>
    <n v="58"/>
    <n v="90"/>
    <n v="9"/>
    <m/>
    <m/>
    <n v="8"/>
    <m/>
    <n v="54"/>
    <n v="3045.6000000000004"/>
    <n v="8685.6"/>
    <n v="0"/>
    <n v="7000"/>
    <n v="8685.6"/>
    <n v="3045.6000000000004"/>
    <n v="54.000000000000007"/>
    <n v="2314.3999999999996"/>
    <n v="0"/>
    <n v="5360"/>
    <n v="11000"/>
    <n v="95.035460992907801"/>
    <n v="5640"/>
    <n v="11000"/>
    <n v="11000"/>
    <n v="11000"/>
    <n v="-1685.6000000000004"/>
    <n v="2314.3999999999996"/>
    <n v="8685.6"/>
    <m/>
  </r>
  <r>
    <n v="1014"/>
    <x v="291"/>
    <x v="2"/>
    <x v="1"/>
    <n v="0"/>
    <x v="19"/>
    <n v="0"/>
    <n v="0"/>
    <s v="H"/>
    <x v="2"/>
    <d v="2012-12-19T00:00:00"/>
    <d v="2018-12-31T00:00:00"/>
    <n v="6"/>
    <n v="0"/>
    <n v="12"/>
    <n v="4750"/>
    <n v="570"/>
    <n v="3"/>
    <n v="3"/>
    <n v="4"/>
    <n v="2"/>
    <n v="2"/>
    <n v="2"/>
    <n v="2"/>
    <n v="3"/>
    <n v="3"/>
    <n v="24"/>
    <n v="14"/>
    <n v="14"/>
    <n v="15"/>
    <n v="8"/>
    <n v="4"/>
    <n v="3"/>
    <n v="58"/>
    <n v="82"/>
    <n v="9"/>
    <m/>
    <m/>
    <n v="8"/>
    <m/>
    <n v="49.199999999999996"/>
    <n v="2336.9999999999995"/>
    <n v="7087"/>
    <n v="0"/>
    <n v="7000"/>
    <n v="7087"/>
    <n v="2337"/>
    <n v="49.2"/>
    <n v="1413"/>
    <n v="0"/>
    <n v="3750"/>
    <n v="8500"/>
    <n v="78.94736842105263"/>
    <n v="4750"/>
    <n v="8500"/>
    <n v="8500"/>
    <n v="8500"/>
    <n v="-87"/>
    <n v="1413"/>
    <n v="7087"/>
    <m/>
  </r>
  <r>
    <n v="407"/>
    <x v="292"/>
    <x v="2"/>
    <x v="20"/>
    <n v="0"/>
    <x v="32"/>
    <s v="دبلوم تقني"/>
    <s v="هندسة بترول"/>
    <s v="D"/>
    <x v="7"/>
    <d v="2013-01-07T00:00:00"/>
    <d v="2018-12-31T00:00:00"/>
    <n v="5"/>
    <n v="11"/>
    <n v="11.76"/>
    <n v="5400"/>
    <n v="635.04"/>
    <n v="4"/>
    <n v="5"/>
    <n v="4"/>
    <n v="2"/>
    <n v="3"/>
    <n v="3"/>
    <n v="2"/>
    <n v="3"/>
    <n v="5"/>
    <n v="31"/>
    <n v="14"/>
    <n v="14"/>
    <n v="15"/>
    <n v="12"/>
    <n v="3"/>
    <n v="3"/>
    <n v="61"/>
    <n v="92"/>
    <n v="9"/>
    <m/>
    <m/>
    <n v="6"/>
    <m/>
    <n v="55.199999999999996"/>
    <n v="2980.7999999999997"/>
    <n v="8380.7999999999993"/>
    <n v="11619.2"/>
    <n v="20000"/>
    <n v="20000"/>
    <n v="14600"/>
    <n v="270.37037037037038"/>
    <n v="10000"/>
    <n v="0"/>
    <n v="24600"/>
    <n v="30000"/>
    <n v="455.55555555555554"/>
    <n v="5400"/>
    <n v="30000"/>
    <n v="20000"/>
    <n v="20000"/>
    <n v="11619.2"/>
    <n v="10000"/>
    <n v="20000"/>
    <m/>
  </r>
  <r>
    <n v="1017"/>
    <x v="293"/>
    <x v="2"/>
    <x v="7"/>
    <n v="0"/>
    <x v="19"/>
    <s v="بكلاريوس"/>
    <s v="بنوك ومصارف"/>
    <s v="C"/>
    <x v="2"/>
    <d v="2015-06-21T00:00:00"/>
    <d v="2018-12-31T00:00:00"/>
    <n v="3"/>
    <n v="6"/>
    <n v="6.96"/>
    <n v="5120"/>
    <n v="356.35199999999998"/>
    <n v="4"/>
    <n v="4"/>
    <n v="4"/>
    <n v="2"/>
    <n v="2"/>
    <n v="2"/>
    <n v="2"/>
    <n v="2"/>
    <n v="3"/>
    <n v="25"/>
    <n v="13"/>
    <n v="13"/>
    <n v="15"/>
    <n v="4"/>
    <n v="3"/>
    <n v="3"/>
    <n v="51"/>
    <n v="76"/>
    <n v="9"/>
    <m/>
    <m/>
    <n v="6"/>
    <m/>
    <n v="45.6"/>
    <n v="2334.7200000000003"/>
    <n v="7454.72"/>
    <n v="0"/>
    <n v="7000"/>
    <n v="7454.72"/>
    <n v="2334.7200000000003"/>
    <n v="45.6"/>
    <n v="545.27999999999975"/>
    <n v="0"/>
    <n v="2880"/>
    <n v="8000"/>
    <n v="56.25"/>
    <n v="5120"/>
    <n v="8000"/>
    <n v="8000"/>
    <n v="8000"/>
    <n v="-454.72000000000025"/>
    <n v="545.27999999999975"/>
    <n v="7454.72"/>
    <m/>
  </r>
  <r>
    <n v="1018"/>
    <x v="294"/>
    <x v="2"/>
    <x v="7"/>
    <n v="0"/>
    <x v="19"/>
    <s v="ماجستير"/>
    <s v="إدارة الاعمال"/>
    <s v="B"/>
    <x v="2"/>
    <d v="2016-02-03T00:00:00"/>
    <d v="2018-12-31T00:00:00"/>
    <n v="2"/>
    <n v="10"/>
    <n v="5.6"/>
    <n v="5110"/>
    <n v="286.16000000000003"/>
    <n v="5"/>
    <n v="5"/>
    <n v="4"/>
    <n v="3"/>
    <n v="2"/>
    <n v="3"/>
    <n v="3"/>
    <n v="3"/>
    <n v="5"/>
    <n v="33"/>
    <n v="14"/>
    <n v="13"/>
    <n v="15"/>
    <n v="6"/>
    <n v="4"/>
    <n v="3"/>
    <n v="55"/>
    <n v="88"/>
    <n v="10"/>
    <m/>
    <m/>
    <n v="8"/>
    <m/>
    <n v="52.8"/>
    <n v="2698.08"/>
    <n v="7808.08"/>
    <n v="0"/>
    <n v="7000"/>
    <n v="7808.08"/>
    <n v="2698.08"/>
    <n v="52.8"/>
    <n v="2191.92"/>
    <n v="0"/>
    <n v="4890"/>
    <n v="10000"/>
    <n v="95.694716242661443"/>
    <n v="5110"/>
    <n v="10000"/>
    <n v="10000"/>
    <n v="10000"/>
    <n v="-808.07999999999993"/>
    <n v="2191.92"/>
    <n v="7808.08"/>
    <m/>
  </r>
  <r>
    <n v="1019"/>
    <x v="295"/>
    <x v="2"/>
    <x v="6"/>
    <n v="0"/>
    <x v="18"/>
    <n v="0"/>
    <n v="0"/>
    <s v="H"/>
    <x v="15"/>
    <d v="2016-08-15T00:00:00"/>
    <d v="2018-12-31T00:00:00"/>
    <n v="2"/>
    <n v="4"/>
    <n v="4.6399999999999997"/>
    <n v="3050"/>
    <n v="141.52000000000001"/>
    <n v="5"/>
    <n v="5"/>
    <n v="3"/>
    <n v="2"/>
    <n v="2"/>
    <n v="2"/>
    <n v="3"/>
    <n v="3"/>
    <n v="5"/>
    <n v="30"/>
    <n v="14"/>
    <n v="14"/>
    <n v="15"/>
    <n v="6"/>
    <n v="3"/>
    <n v="3"/>
    <n v="55"/>
    <n v="85"/>
    <n v="9"/>
    <m/>
    <m/>
    <n v="6"/>
    <m/>
    <n v="51"/>
    <n v="1555.5"/>
    <n v="4605.5"/>
    <n v="0"/>
    <n v="4500"/>
    <n v="4605.5"/>
    <n v="1555.5"/>
    <n v="51"/>
    <n v="0"/>
    <n v="4.5"/>
    <n v="1560"/>
    <n v="4610"/>
    <n v="51.147540983606561"/>
    <n v="3050"/>
    <m/>
    <n v="4610"/>
    <n v="4605.5"/>
    <n v="-105.5"/>
    <n v="-4605.5"/>
    <n v="4605.5"/>
    <m/>
  </r>
  <r>
    <n v="317"/>
    <x v="296"/>
    <x v="2"/>
    <x v="6"/>
    <n v="0"/>
    <x v="18"/>
    <n v="0"/>
    <n v="0"/>
    <s v="H"/>
    <x v="15"/>
    <d v="2012-09-01T00:00:00"/>
    <d v="2018-12-31T00:00:00"/>
    <n v="6"/>
    <n v="3"/>
    <n v="12.48"/>
    <n v="3420"/>
    <n v="426.81599999999997"/>
    <n v="4"/>
    <n v="4"/>
    <n v="4"/>
    <n v="2"/>
    <n v="3"/>
    <n v="2"/>
    <n v="3"/>
    <n v="2"/>
    <n v="4"/>
    <n v="28"/>
    <n v="13"/>
    <n v="14"/>
    <n v="15"/>
    <n v="10"/>
    <n v="4"/>
    <n v="3"/>
    <n v="59"/>
    <n v="87"/>
    <n v="9"/>
    <m/>
    <m/>
    <n v="7"/>
    <m/>
    <n v="52.199999999999996"/>
    <n v="1785.2399999999998"/>
    <n v="5205.24"/>
    <n v="0"/>
    <n v="4500"/>
    <n v="5205.24"/>
    <n v="1785.2399999999998"/>
    <n v="52.199999999999989"/>
    <n v="0"/>
    <n v="4.7600000000002183"/>
    <n v="1790"/>
    <n v="5210"/>
    <n v="52.339181286549703"/>
    <n v="3420"/>
    <m/>
    <n v="5210"/>
    <n v="5205.24"/>
    <n v="-705.23999999999978"/>
    <n v="-5205.24"/>
    <n v="5205.24"/>
    <m/>
  </r>
  <r>
    <n v="1021"/>
    <x v="297"/>
    <x v="2"/>
    <x v="7"/>
    <n v="0"/>
    <x v="19"/>
    <s v="بكلاريوس"/>
    <s v="المحاسبة والتمويل"/>
    <s v="C"/>
    <x v="2"/>
    <d v="2017-10-01T00:00:00"/>
    <d v="2018-12-31T00:00:00"/>
    <n v="1"/>
    <n v="2"/>
    <n v="2.3199999999999998"/>
    <n v="5010"/>
    <n v="116.232"/>
    <n v="5"/>
    <n v="4"/>
    <n v="4"/>
    <n v="3"/>
    <n v="3"/>
    <n v="2"/>
    <n v="2"/>
    <n v="3"/>
    <n v="5"/>
    <n v="31"/>
    <n v="14"/>
    <n v="14"/>
    <n v="15"/>
    <n v="8"/>
    <n v="3"/>
    <n v="3"/>
    <n v="57"/>
    <n v="88"/>
    <m/>
    <m/>
    <m/>
    <m/>
    <m/>
    <n v="52.8"/>
    <n v="2645.28"/>
    <n v="7655.2800000000007"/>
    <n v="0"/>
    <n v="7000"/>
    <n v="7655.2800000000007"/>
    <n v="2645.2800000000007"/>
    <n v="52.800000000000011"/>
    <n v="0"/>
    <n v="4.7199999999993452"/>
    <n v="2650"/>
    <n v="7660"/>
    <n v="52.894211576846303"/>
    <n v="5010"/>
    <m/>
    <n v="7660"/>
    <n v="7655.2800000000007"/>
    <n v="-655.28000000000065"/>
    <n v="-7655.2800000000007"/>
    <n v="7655.2800000000007"/>
    <m/>
  </r>
  <r>
    <n v="1002"/>
    <x v="298"/>
    <x v="2"/>
    <x v="7"/>
    <n v="0"/>
    <x v="77"/>
    <s v="بكلاريوس الشرف"/>
    <s v="الاقتصاد"/>
    <s v="C"/>
    <x v="4"/>
    <d v="2007-03-01T00:00:00"/>
    <d v="2018-12-31T00:00:00"/>
    <n v="11"/>
    <n v="9"/>
    <n v="23.44"/>
    <n v="17080"/>
    <n v="4003.5520000000001"/>
    <n v="4"/>
    <n v="4"/>
    <n v="4"/>
    <n v="2"/>
    <n v="3"/>
    <n v="3"/>
    <n v="2"/>
    <n v="3"/>
    <n v="4"/>
    <n v="29"/>
    <n v="15"/>
    <n v="14"/>
    <n v="15"/>
    <n v="12"/>
    <n v="4"/>
    <n v="3"/>
    <n v="63"/>
    <n v="92"/>
    <n v="9"/>
    <m/>
    <m/>
    <n v="9"/>
    <m/>
    <n v="55.199999999999996"/>
    <n v="9428.159999999998"/>
    <n v="26508.159999999996"/>
    <n v="3491.8400000000038"/>
    <n v="30000"/>
    <n v="30000"/>
    <n v="12920"/>
    <n v="75.644028103044491"/>
    <n v="0"/>
    <n v="0"/>
    <n v="12920"/>
    <n v="30000"/>
    <n v="75.644028103044491"/>
    <n v="17080"/>
    <m/>
    <n v="30000"/>
    <n v="30000"/>
    <n v="3491.8400000000038"/>
    <n v="-30000"/>
    <n v="30000"/>
    <m/>
  </r>
  <r>
    <n v="1003"/>
    <x v="299"/>
    <x v="2"/>
    <x v="7"/>
    <n v="0"/>
    <x v="19"/>
    <n v="0"/>
    <n v="0"/>
    <s v="H"/>
    <x v="7"/>
    <d v="2007-03-01T00:00:00"/>
    <d v="2018-12-31T00:00:00"/>
    <n v="11"/>
    <n v="9"/>
    <n v="23.44"/>
    <n v="9420"/>
    <n v="2208.0479999999998"/>
    <n v="5"/>
    <n v="4"/>
    <n v="4"/>
    <n v="2"/>
    <n v="2"/>
    <n v="3"/>
    <n v="2"/>
    <n v="2"/>
    <n v="5"/>
    <n v="29"/>
    <n v="15"/>
    <n v="15"/>
    <n v="15"/>
    <n v="12"/>
    <n v="4"/>
    <n v="3"/>
    <n v="64"/>
    <n v="93"/>
    <n v="8"/>
    <m/>
    <m/>
    <n v="9"/>
    <m/>
    <n v="55.8"/>
    <n v="5256.36"/>
    <n v="14676.36"/>
    <n v="5323.6399999999994"/>
    <n v="20000"/>
    <n v="20000"/>
    <n v="10580"/>
    <n v="112.31422505307856"/>
    <n v="0"/>
    <n v="0"/>
    <n v="10580"/>
    <n v="20000"/>
    <n v="112.31422505307856"/>
    <n v="9420"/>
    <m/>
    <n v="20000"/>
    <n v="20000"/>
    <n v="5323.6399999999994"/>
    <n v="-20000"/>
    <n v="20000"/>
    <m/>
  </r>
  <r>
    <n v="1006"/>
    <x v="300"/>
    <x v="2"/>
    <x v="16"/>
    <n v="0"/>
    <x v="78"/>
    <n v="0"/>
    <n v="0"/>
    <s v="H"/>
    <x v="2"/>
    <d v="2009-07-01T00:00:00"/>
    <d v="2018-12-31T00:00:00"/>
    <n v="9"/>
    <n v="5"/>
    <n v="18.8"/>
    <n v="10000"/>
    <n v="1880"/>
    <n v="4"/>
    <n v="4"/>
    <n v="4"/>
    <n v="3"/>
    <n v="3"/>
    <n v="3"/>
    <n v="3"/>
    <n v="2"/>
    <n v="4"/>
    <n v="30"/>
    <n v="14"/>
    <n v="14"/>
    <n v="15"/>
    <n v="12"/>
    <n v="3"/>
    <n v="3"/>
    <n v="61"/>
    <n v="91"/>
    <n v="10"/>
    <m/>
    <m/>
    <n v="6"/>
    <m/>
    <n v="54.6"/>
    <n v="5460"/>
    <n v="15460"/>
    <n v="0"/>
    <n v="7000"/>
    <n v="15460"/>
    <n v="5460"/>
    <n v="54.6"/>
    <n v="0"/>
    <n v="0"/>
    <n v="5460"/>
    <n v="15460"/>
    <n v="54.6"/>
    <n v="10000"/>
    <m/>
    <n v="15460"/>
    <n v="15460"/>
    <n v="-8460"/>
    <n v="-15460"/>
    <n v="15460"/>
    <m/>
  </r>
  <r>
    <n v="1007"/>
    <x v="301"/>
    <x v="2"/>
    <x v="16"/>
    <n v="0"/>
    <x v="76"/>
    <n v="0"/>
    <n v="0"/>
    <s v="H"/>
    <x v="19"/>
    <d v="2007-03-01T00:00:00"/>
    <d v="2018-12-31T00:00:00"/>
    <n v="11"/>
    <n v="9"/>
    <n v="23.44"/>
    <n v="9070"/>
    <n v="2126.0079999999998"/>
    <n v="5"/>
    <n v="4"/>
    <n v="4"/>
    <n v="3"/>
    <n v="2"/>
    <n v="3"/>
    <n v="3"/>
    <n v="3"/>
    <n v="4"/>
    <n v="31"/>
    <n v="14"/>
    <n v="13"/>
    <n v="15"/>
    <n v="8"/>
    <n v="4"/>
    <n v="3"/>
    <n v="57"/>
    <n v="88"/>
    <n v="10"/>
    <m/>
    <m/>
    <n v="8"/>
    <m/>
    <n v="52.8"/>
    <n v="4788.96"/>
    <n v="13858.96"/>
    <n v="0"/>
    <n v="8500"/>
    <n v="13858.96"/>
    <n v="4788.9599999999991"/>
    <n v="52.79999999999999"/>
    <n v="2141.0400000000009"/>
    <n v="0"/>
    <n v="6930"/>
    <n v="16000"/>
    <n v="76.405733186328547"/>
    <n v="9070"/>
    <n v="16000"/>
    <n v="16000"/>
    <n v="16000"/>
    <n v="-5358.9599999999991"/>
    <n v="2141.0400000000009"/>
    <n v="13858.96"/>
    <m/>
  </r>
  <r>
    <n v="1022"/>
    <x v="302"/>
    <x v="5"/>
    <x v="7"/>
    <n v="0"/>
    <x v="79"/>
    <n v="0"/>
    <n v="0"/>
    <s v="H"/>
    <x v="1"/>
    <d v="2007-04-01T00:00:00"/>
    <d v="2018-12-31T00:00:00"/>
    <n v="11"/>
    <n v="8"/>
    <n v="23.28"/>
    <n v="35000"/>
    <n v="8148"/>
    <n v="5"/>
    <n v="4"/>
    <n v="4"/>
    <n v="3"/>
    <n v="2"/>
    <n v="3"/>
    <n v="3"/>
    <n v="3"/>
    <n v="4"/>
    <n v="31"/>
    <n v="15"/>
    <n v="15"/>
    <n v="15"/>
    <n v="12"/>
    <n v="5"/>
    <n v="3"/>
    <n v="65"/>
    <n v="96"/>
    <m/>
    <m/>
    <m/>
    <m/>
    <m/>
    <n v="57.599999999999994"/>
    <n v="20160"/>
    <n v="55160"/>
    <n v="0"/>
    <n v="55000"/>
    <n v="55160"/>
    <n v="20160"/>
    <n v="57.6"/>
    <n v="0"/>
    <n v="0"/>
    <n v="20160"/>
    <n v="55160"/>
    <n v="57.6"/>
    <n v="35000"/>
    <m/>
    <n v="50000"/>
    <n v="50000"/>
    <n v="-160"/>
    <n v="-50000"/>
    <n v="50000"/>
    <m/>
  </r>
  <r>
    <n v="4"/>
    <x v="303"/>
    <x v="6"/>
    <x v="1"/>
    <n v="0"/>
    <x v="64"/>
    <n v="0"/>
    <n v="0"/>
    <s v="H"/>
    <x v="6"/>
    <d v="2006-12-12T00:00:00"/>
    <d v="2018-12-31T00:00:00"/>
    <n v="12"/>
    <n v="0"/>
    <n v="24"/>
    <n v="34960"/>
    <n v="8390.4"/>
    <m/>
    <m/>
    <m/>
    <m/>
    <m/>
    <m/>
    <m/>
    <m/>
    <m/>
    <n v="0"/>
    <n v="13"/>
    <n v="15"/>
    <n v="15"/>
    <n v="12"/>
    <n v="5"/>
    <n v="3"/>
    <n v="63"/>
    <n v="63"/>
    <m/>
    <m/>
    <m/>
    <m/>
    <m/>
    <n v="37.799999999999997"/>
    <n v="13214.879999999997"/>
    <n v="48174.879999999997"/>
    <n v="1825.1200000000026"/>
    <n v="50000"/>
    <n v="50000"/>
    <n v="15040"/>
    <n v="43.020594965675052"/>
    <n v="0"/>
    <n v="0"/>
    <n v="15040"/>
    <n v="50000"/>
    <n v="43.020594965675052"/>
    <n v="34960"/>
    <m/>
    <n v="50000"/>
    <n v="50000"/>
    <n v="1825.1200000000026"/>
    <n v="-50000"/>
    <n v="50000"/>
    <m/>
  </r>
  <r>
    <n v="13"/>
    <x v="304"/>
    <x v="1"/>
    <x v="12"/>
    <s v="مدير قسم "/>
    <x v="80"/>
    <s v="شهاده ثانويه"/>
    <n v="0"/>
    <s v="F"/>
    <x v="12"/>
    <d v="2007-01-09T00:00:00"/>
    <d v="2018-12-31T00:00:00"/>
    <n v="11"/>
    <n v="11"/>
    <n v="23.76"/>
    <n v="7230"/>
    <n v="1717.848"/>
    <n v="5"/>
    <n v="5"/>
    <n v="5"/>
    <n v="3"/>
    <n v="3"/>
    <n v="3"/>
    <n v="3"/>
    <n v="3"/>
    <n v="5"/>
    <n v="35"/>
    <n v="15"/>
    <n v="15"/>
    <n v="15"/>
    <n v="12"/>
    <n v="5"/>
    <n v="3"/>
    <n v="65"/>
    <n v="100"/>
    <m/>
    <m/>
    <m/>
    <m/>
    <m/>
    <n v="60"/>
    <n v="4338"/>
    <n v="11568"/>
    <n v="3432"/>
    <n v="15000"/>
    <n v="15000"/>
    <n v="7770"/>
    <n v="107.46887966804979"/>
    <n v="0"/>
    <n v="0"/>
    <n v="7770"/>
    <n v="15000"/>
    <n v="107.46887966804979"/>
    <n v="7230"/>
    <m/>
    <n v="15000"/>
    <n v="15000"/>
    <n v="3432"/>
    <n v="-15000"/>
    <n v="15000"/>
    <m/>
  </r>
  <r>
    <n v="1070"/>
    <x v="305"/>
    <x v="1"/>
    <x v="6"/>
    <n v="0"/>
    <x v="81"/>
    <s v="تدريب مهني"/>
    <s v="برادة مواسير"/>
    <s v="F"/>
    <x v="9"/>
    <d v="2018-09-13T00:00:00"/>
    <d v="2018-12-31T00:00:00"/>
    <n v="0"/>
    <n v="3"/>
    <n v="0.48"/>
    <n v="4500"/>
    <n v="21.6"/>
    <n v="5"/>
    <n v="4"/>
    <n v="4"/>
    <n v="3"/>
    <n v="3"/>
    <n v="2"/>
    <n v="3"/>
    <n v="3"/>
    <n v="5"/>
    <n v="32"/>
    <n v="14"/>
    <n v="13"/>
    <n v="13"/>
    <n v="10"/>
    <n v="3"/>
    <n v="3"/>
    <n v="56"/>
    <n v="88"/>
    <m/>
    <m/>
    <m/>
    <m/>
    <m/>
    <n v="52.8"/>
    <n v="2376"/>
    <n v="6876"/>
    <n v="0"/>
    <n v="6500"/>
    <n v="6876"/>
    <n v="2376"/>
    <n v="52.8"/>
    <n v="0"/>
    <n v="4"/>
    <n v="2380"/>
    <n v="6880"/>
    <n v="52.888888888888886"/>
    <n v="4500"/>
    <m/>
    <n v="6880"/>
    <n v="6876"/>
    <n v="-376"/>
    <n v="-6876"/>
    <n v="6876"/>
    <m/>
  </r>
  <r>
    <n v="125"/>
    <x v="306"/>
    <x v="1"/>
    <x v="3"/>
    <n v="0"/>
    <x v="18"/>
    <s v="بكلاريوس"/>
    <s v="المحاسبة"/>
    <s v="C"/>
    <x v="17"/>
    <d v="2018-09-16T00:00:00"/>
    <d v="2018-12-31T00:00:00"/>
    <n v="0"/>
    <n v="3"/>
    <n v="0.48"/>
    <n v="3000"/>
    <n v="14.4"/>
    <n v="5"/>
    <n v="5"/>
    <n v="5"/>
    <n v="0"/>
    <n v="0"/>
    <n v="0"/>
    <n v="3"/>
    <n v="3"/>
    <n v="5"/>
    <n v="26"/>
    <n v="14"/>
    <n v="15"/>
    <n v="15"/>
    <n v="12"/>
    <n v="5"/>
    <n v="3"/>
    <n v="64"/>
    <n v="90"/>
    <m/>
    <m/>
    <m/>
    <m/>
    <m/>
    <n v="54"/>
    <n v="1620"/>
    <n v="4620"/>
    <n v="0"/>
    <n v="4000"/>
    <n v="4620"/>
    <n v="1620"/>
    <n v="54"/>
    <n v="0"/>
    <n v="0"/>
    <n v="1620"/>
    <n v="4620"/>
    <n v="54"/>
    <n v="3000"/>
    <m/>
    <n v="4620"/>
    <n v="4620"/>
    <n v="-620"/>
    <n v="-4620"/>
    <n v="4620"/>
    <m/>
  </r>
  <r>
    <n v="827"/>
    <x v="307"/>
    <x v="1"/>
    <x v="3"/>
    <n v="0"/>
    <x v="12"/>
    <s v="شهاده ثانويه"/>
    <n v="0"/>
    <s v="F"/>
    <x v="10"/>
    <d v="2018-09-16T00:00:00"/>
    <d v="2018-12-31T00:00:00"/>
    <n v="0"/>
    <n v="3"/>
    <n v="0.48"/>
    <n v="3000"/>
    <n v="14.4"/>
    <n v="5"/>
    <n v="5"/>
    <n v="5"/>
    <n v="1"/>
    <n v="2"/>
    <n v="2"/>
    <n v="3"/>
    <n v="3"/>
    <n v="5"/>
    <n v="31"/>
    <n v="14"/>
    <n v="14"/>
    <n v="15"/>
    <n v="12"/>
    <n v="4"/>
    <n v="3"/>
    <n v="62"/>
    <n v="93"/>
    <m/>
    <m/>
    <m/>
    <m/>
    <m/>
    <n v="55.8"/>
    <n v="1673.9999999999998"/>
    <n v="4674"/>
    <n v="826"/>
    <n v="5500"/>
    <n v="5500"/>
    <n v="2500"/>
    <n v="83.333333333333329"/>
    <n v="0"/>
    <n v="0"/>
    <n v="2500"/>
    <n v="5500"/>
    <n v="83.333333333333329"/>
    <n v="3000"/>
    <m/>
    <n v="5500"/>
    <n v="5500"/>
    <n v="826"/>
    <n v="-5500"/>
    <n v="5500"/>
    <m/>
  </r>
  <r>
    <n v="0"/>
    <x v="0"/>
    <x v="0"/>
    <x v="0"/>
    <e v="#N/A"/>
    <x v="0"/>
    <e v="#N/A"/>
    <e v="#N/A"/>
    <e v="#N/A"/>
    <x v="0"/>
    <e v="#N/A"/>
    <d v="2018-12-31T00:00:00"/>
    <e v="#N/A"/>
    <e v="#N/A"/>
    <e v="#N/A"/>
    <n v="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0"/>
    <e v="#N/A"/>
    <e v="#N/A"/>
    <e v="#N/A"/>
    <e v="#N/A"/>
    <e v="#N/A"/>
    <e v="#N/A"/>
    <e v="#N/A"/>
    <e v="#N/A"/>
    <e v="#N/A"/>
    <e v="#N/A"/>
    <n v="0"/>
    <m/>
    <e v="#N/A"/>
    <e v="#N/A"/>
    <e v="#N/A"/>
    <e v="#N/A"/>
    <e v="#N/A"/>
    <m/>
  </r>
  <r>
    <s v="M1"/>
    <x v="0"/>
    <x v="0"/>
    <x v="0"/>
    <e v="#N/A"/>
    <x v="0"/>
    <e v="#N/A"/>
    <e v="#N/A"/>
    <e v="#N/A"/>
    <x v="0"/>
    <e v="#N/A"/>
    <d v="2018-12-31T00:00:00"/>
    <e v="#N/A"/>
    <e v="#N/A"/>
    <e v="#N/A"/>
    <n v="40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40000"/>
    <e v="#N/A"/>
    <e v="#N/A"/>
    <e v="#N/A"/>
    <e v="#N/A"/>
    <e v="#N/A"/>
    <e v="#N/A"/>
    <e v="#N/A"/>
    <e v="#N/A"/>
    <e v="#N/A"/>
    <e v="#N/A"/>
    <n v="40000"/>
    <m/>
    <e v="#N/A"/>
    <e v="#N/A"/>
    <e v="#N/A"/>
    <e v="#N/A"/>
    <e v="#N/A"/>
    <m/>
  </r>
  <r>
    <s v="M2"/>
    <x v="0"/>
    <x v="0"/>
    <x v="0"/>
    <e v="#N/A"/>
    <x v="0"/>
    <e v="#N/A"/>
    <e v="#N/A"/>
    <e v="#N/A"/>
    <x v="0"/>
    <e v="#N/A"/>
    <d v="2018-12-31T00:00:00"/>
    <e v="#N/A"/>
    <e v="#N/A"/>
    <e v="#N/A"/>
    <n v="10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10000"/>
    <e v="#N/A"/>
    <e v="#N/A"/>
    <e v="#N/A"/>
    <e v="#N/A"/>
    <e v="#N/A"/>
    <e v="#N/A"/>
    <e v="#N/A"/>
    <e v="#N/A"/>
    <e v="#N/A"/>
    <e v="#N/A"/>
    <n v="10000"/>
    <m/>
    <e v="#N/A"/>
    <e v="#N/A"/>
    <e v="#N/A"/>
    <e v="#N/A"/>
    <e v="#N/A"/>
    <m/>
  </r>
  <r>
    <s v="M3"/>
    <x v="0"/>
    <x v="0"/>
    <x v="0"/>
    <e v="#N/A"/>
    <x v="0"/>
    <e v="#N/A"/>
    <e v="#N/A"/>
    <e v="#N/A"/>
    <x v="0"/>
    <e v="#N/A"/>
    <d v="2018-12-31T00:00:00"/>
    <e v="#N/A"/>
    <e v="#N/A"/>
    <e v="#N/A"/>
    <n v="12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12000"/>
    <e v="#N/A"/>
    <e v="#N/A"/>
    <e v="#N/A"/>
    <e v="#N/A"/>
    <e v="#N/A"/>
    <e v="#N/A"/>
    <e v="#N/A"/>
    <e v="#N/A"/>
    <e v="#N/A"/>
    <e v="#N/A"/>
    <n v="12000"/>
    <m/>
    <e v="#N/A"/>
    <e v="#N/A"/>
    <e v="#N/A"/>
    <e v="#N/A"/>
    <e v="#N/A"/>
    <m/>
  </r>
  <r>
    <s v="M4"/>
    <x v="0"/>
    <x v="0"/>
    <x v="0"/>
    <e v="#N/A"/>
    <x v="0"/>
    <e v="#N/A"/>
    <e v="#N/A"/>
    <e v="#N/A"/>
    <x v="0"/>
    <e v="#N/A"/>
    <d v="2018-12-31T00:00:00"/>
    <e v="#N/A"/>
    <e v="#N/A"/>
    <e v="#N/A"/>
    <n v="10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10000"/>
    <e v="#N/A"/>
    <e v="#N/A"/>
    <e v="#N/A"/>
    <e v="#N/A"/>
    <e v="#N/A"/>
    <e v="#N/A"/>
    <e v="#N/A"/>
    <e v="#N/A"/>
    <e v="#N/A"/>
    <e v="#N/A"/>
    <n v="10000"/>
    <m/>
    <e v="#N/A"/>
    <e v="#N/A"/>
    <e v="#N/A"/>
    <e v="#N/A"/>
    <e v="#N/A"/>
    <m/>
  </r>
  <r>
    <s v="M5"/>
    <x v="0"/>
    <x v="0"/>
    <x v="0"/>
    <e v="#N/A"/>
    <x v="0"/>
    <e v="#N/A"/>
    <e v="#N/A"/>
    <e v="#N/A"/>
    <x v="0"/>
    <e v="#N/A"/>
    <d v="2018-12-31T00:00:00"/>
    <e v="#N/A"/>
    <e v="#N/A"/>
    <e v="#N/A"/>
    <n v="12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12000"/>
    <e v="#N/A"/>
    <e v="#N/A"/>
    <e v="#N/A"/>
    <e v="#N/A"/>
    <e v="#N/A"/>
    <e v="#N/A"/>
    <e v="#N/A"/>
    <e v="#N/A"/>
    <e v="#N/A"/>
    <e v="#N/A"/>
    <n v="12000"/>
    <m/>
    <e v="#N/A"/>
    <e v="#N/A"/>
    <e v="#N/A"/>
    <e v="#N/A"/>
    <e v="#N/A"/>
    <m/>
  </r>
  <r>
    <s v="M6"/>
    <x v="0"/>
    <x v="0"/>
    <x v="0"/>
    <e v="#N/A"/>
    <x v="0"/>
    <e v="#N/A"/>
    <e v="#N/A"/>
    <e v="#N/A"/>
    <x v="0"/>
    <e v="#N/A"/>
    <d v="2018-12-31T00:00:00"/>
    <e v="#N/A"/>
    <e v="#N/A"/>
    <e v="#N/A"/>
    <n v="7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7000"/>
    <e v="#N/A"/>
    <e v="#N/A"/>
    <e v="#N/A"/>
    <e v="#N/A"/>
    <e v="#N/A"/>
    <e v="#N/A"/>
    <e v="#N/A"/>
    <e v="#N/A"/>
    <e v="#N/A"/>
    <e v="#N/A"/>
    <n v="7000"/>
    <m/>
    <e v="#N/A"/>
    <e v="#N/A"/>
    <e v="#N/A"/>
    <e v="#N/A"/>
    <e v="#N/A"/>
    <m/>
  </r>
  <r>
    <s v="M7"/>
    <x v="0"/>
    <x v="0"/>
    <x v="0"/>
    <e v="#N/A"/>
    <x v="0"/>
    <e v="#N/A"/>
    <e v="#N/A"/>
    <e v="#N/A"/>
    <x v="0"/>
    <e v="#N/A"/>
    <d v="2018-12-31T00:00:00"/>
    <e v="#N/A"/>
    <e v="#N/A"/>
    <e v="#N/A"/>
    <n v="9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9000"/>
    <e v="#N/A"/>
    <e v="#N/A"/>
    <e v="#N/A"/>
    <e v="#N/A"/>
    <e v="#N/A"/>
    <e v="#N/A"/>
    <e v="#N/A"/>
    <e v="#N/A"/>
    <e v="#N/A"/>
    <e v="#N/A"/>
    <n v="9000"/>
    <m/>
    <e v="#N/A"/>
    <e v="#N/A"/>
    <e v="#N/A"/>
    <e v="#N/A"/>
    <e v="#N/A"/>
    <m/>
  </r>
  <r>
    <s v="M8"/>
    <x v="0"/>
    <x v="0"/>
    <x v="0"/>
    <e v="#N/A"/>
    <x v="0"/>
    <e v="#N/A"/>
    <e v="#N/A"/>
    <e v="#N/A"/>
    <x v="0"/>
    <e v="#N/A"/>
    <d v="2018-12-31T00:00:00"/>
    <e v="#N/A"/>
    <e v="#N/A"/>
    <e v="#N/A"/>
    <n v="55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5500"/>
    <e v="#N/A"/>
    <e v="#N/A"/>
    <e v="#N/A"/>
    <e v="#N/A"/>
    <e v="#N/A"/>
    <e v="#N/A"/>
    <e v="#N/A"/>
    <e v="#N/A"/>
    <e v="#N/A"/>
    <e v="#N/A"/>
    <n v="5500"/>
    <m/>
    <e v="#N/A"/>
    <e v="#N/A"/>
    <e v="#N/A"/>
    <e v="#N/A"/>
    <e v="#N/A"/>
    <m/>
  </r>
  <r>
    <s v="M9"/>
    <x v="0"/>
    <x v="0"/>
    <x v="0"/>
    <e v="#N/A"/>
    <x v="0"/>
    <e v="#N/A"/>
    <e v="#N/A"/>
    <e v="#N/A"/>
    <x v="0"/>
    <e v="#N/A"/>
    <d v="2018-12-31T00:00:00"/>
    <e v="#N/A"/>
    <e v="#N/A"/>
    <e v="#N/A"/>
    <n v="4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4000"/>
    <e v="#N/A"/>
    <e v="#N/A"/>
    <e v="#N/A"/>
    <e v="#N/A"/>
    <e v="#N/A"/>
    <e v="#N/A"/>
    <e v="#N/A"/>
    <e v="#N/A"/>
    <e v="#N/A"/>
    <e v="#N/A"/>
    <n v="4000"/>
    <m/>
    <e v="#N/A"/>
    <e v="#N/A"/>
    <e v="#N/A"/>
    <e v="#N/A"/>
    <e v="#N/A"/>
    <m/>
  </r>
  <r>
    <s v="M10"/>
    <x v="0"/>
    <x v="0"/>
    <x v="0"/>
    <e v="#N/A"/>
    <x v="0"/>
    <e v="#N/A"/>
    <e v="#N/A"/>
    <e v="#N/A"/>
    <x v="0"/>
    <e v="#N/A"/>
    <d v="2018-12-31T00:00:00"/>
    <e v="#N/A"/>
    <e v="#N/A"/>
    <e v="#N/A"/>
    <n v="7000"/>
    <e v="#N/A"/>
    <m/>
    <m/>
    <m/>
    <m/>
    <m/>
    <m/>
    <m/>
    <m/>
    <m/>
    <n v="0"/>
    <m/>
    <m/>
    <m/>
    <m/>
    <m/>
    <m/>
    <n v="0"/>
    <n v="0"/>
    <m/>
    <m/>
    <m/>
    <m/>
    <m/>
    <n v="0"/>
    <n v="0"/>
    <n v="7000"/>
    <e v="#N/A"/>
    <e v="#N/A"/>
    <e v="#N/A"/>
    <e v="#N/A"/>
    <e v="#N/A"/>
    <e v="#N/A"/>
    <e v="#N/A"/>
    <e v="#N/A"/>
    <e v="#N/A"/>
    <e v="#N/A"/>
    <n v="7000"/>
    <m/>
    <e v="#N/A"/>
    <e v="#N/A"/>
    <e v="#N/A"/>
    <e v="#N/A"/>
    <e v="#N/A"/>
    <m/>
  </r>
  <r>
    <n v="1074"/>
    <x v="308"/>
    <x v="1"/>
    <x v="3"/>
    <n v="0"/>
    <x v="18"/>
    <s v="بكلاريوس الشرف"/>
    <s v="محاسبة"/>
    <s v="C"/>
    <x v="15"/>
    <d v="2018-11-10T00:00:00"/>
    <d v="2018-12-31T00:00:00"/>
    <n v="0"/>
    <n v="1"/>
    <n v="0.16"/>
    <n v="2750"/>
    <n v="4.4000000000000004"/>
    <n v="5"/>
    <n v="5"/>
    <n v="5"/>
    <n v="0"/>
    <n v="0"/>
    <n v="0"/>
    <n v="3"/>
    <n v="3"/>
    <n v="5"/>
    <n v="26"/>
    <n v="15"/>
    <n v="15"/>
    <n v="15"/>
    <n v="12"/>
    <n v="4"/>
    <n v="3"/>
    <n v="64"/>
    <n v="90"/>
    <m/>
    <m/>
    <m/>
    <m/>
    <m/>
    <n v="54"/>
    <n v="1485"/>
    <n v="4235"/>
    <n v="265"/>
    <n v="4500"/>
    <n v="4500"/>
    <n v="1750"/>
    <n v="63.636363636363633"/>
    <n v="0"/>
    <n v="0"/>
    <n v="1750"/>
    <n v="4500"/>
    <n v="63.636363636363633"/>
    <n v="2750"/>
    <m/>
    <n v="4500"/>
    <n v="4500"/>
    <n v="265"/>
    <n v="-4500"/>
    <n v="4500"/>
    <m/>
  </r>
  <r>
    <n v="1075"/>
    <x v="309"/>
    <x v="1"/>
    <x v="3"/>
    <n v="0"/>
    <x v="18"/>
    <s v="دبلوم تقني"/>
    <s v="التأمين"/>
    <s v="D"/>
    <x v="15"/>
    <d v="2018-11-10T00:00:00"/>
    <d v="2018-12-31T00:00:00"/>
    <n v="0"/>
    <n v="1"/>
    <n v="0.16"/>
    <n v="2750"/>
    <n v="4.4000000000000004"/>
    <n v="5"/>
    <n v="5"/>
    <n v="5"/>
    <n v="0"/>
    <n v="0"/>
    <n v="0"/>
    <n v="3"/>
    <n v="3"/>
    <n v="5"/>
    <n v="26"/>
    <m/>
    <m/>
    <m/>
    <m/>
    <m/>
    <m/>
    <n v="0"/>
    <n v="26"/>
    <m/>
    <m/>
    <m/>
    <m/>
    <m/>
    <n v="15.6"/>
    <n v="429"/>
    <n v="3179"/>
    <n v="1321"/>
    <n v="4500"/>
    <n v="4500"/>
    <n v="1750"/>
    <n v="63.636363636363633"/>
    <n v="0"/>
    <n v="0"/>
    <n v="1750"/>
    <n v="4500"/>
    <n v="63.636363636363633"/>
    <n v="2750"/>
    <m/>
    <n v="4500"/>
    <n v="4500"/>
    <n v="1321"/>
    <n v="-4500"/>
    <n v="4500"/>
    <m/>
  </r>
  <r>
    <n v="1076"/>
    <x v="310"/>
    <x v="1"/>
    <x v="3"/>
    <n v="0"/>
    <x v="18"/>
    <n v="0"/>
    <n v="0"/>
    <s v="H"/>
    <x v="15"/>
    <d v="2018-11-12T00:00:00"/>
    <d v="2018-12-31T00:00:00"/>
    <n v="0"/>
    <n v="1"/>
    <n v="0.16"/>
    <n v="2750"/>
    <n v="4.4000000000000004"/>
    <n v="5"/>
    <n v="5"/>
    <n v="5"/>
    <n v="0"/>
    <n v="0"/>
    <n v="0"/>
    <n v="3"/>
    <n v="3"/>
    <n v="5"/>
    <n v="26"/>
    <n v="14"/>
    <n v="14"/>
    <n v="15"/>
    <n v="12"/>
    <n v="4"/>
    <n v="3"/>
    <n v="62"/>
    <n v="88"/>
    <m/>
    <m/>
    <m/>
    <m/>
    <m/>
    <n v="52.8"/>
    <n v="1452"/>
    <n v="4202"/>
    <n v="298"/>
    <n v="4500"/>
    <n v="4500"/>
    <n v="1750"/>
    <n v="63.636363636363633"/>
    <n v="0"/>
    <n v="0"/>
    <n v="1750"/>
    <n v="4500"/>
    <n v="63.636363636363633"/>
    <n v="2750"/>
    <m/>
    <n v="4500"/>
    <n v="4500"/>
    <n v="298"/>
    <n v="-4500"/>
    <n v="4500"/>
    <m/>
  </r>
  <r>
    <n v="1078"/>
    <x v="311"/>
    <x v="3"/>
    <x v="17"/>
    <n v="0"/>
    <x v="18"/>
    <n v="0"/>
    <n v="0"/>
    <s v="H"/>
    <x v="15"/>
    <d v="2018-11-04T00:00:00"/>
    <d v="2018-12-31T00:00:00"/>
    <n v="0"/>
    <n v="1"/>
    <n v="0.16"/>
    <n v="2750"/>
    <n v="4.4000000000000004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n v="9"/>
    <m/>
    <m/>
    <m/>
    <m/>
    <n v="57.599999999999994"/>
    <n v="1583.9999999999998"/>
    <n v="4334"/>
    <n v="166"/>
    <n v="4500"/>
    <n v="4500"/>
    <n v="1750"/>
    <n v="63.636363636363633"/>
    <n v="0"/>
    <n v="0"/>
    <n v="1750"/>
    <n v="4500"/>
    <n v="63.636363636363633"/>
    <n v="2750"/>
    <m/>
    <n v="4500"/>
    <n v="4500"/>
    <n v="166"/>
    <n v="-4500"/>
    <n v="4500"/>
    <m/>
  </r>
  <r>
    <n v="12"/>
    <x v="312"/>
    <x v="1"/>
    <x v="12"/>
    <s v="الامن"/>
    <x v="35"/>
    <n v="0"/>
    <n v="0"/>
    <s v="H"/>
    <x v="5"/>
    <d v="2018-11-21T00:00:00"/>
    <d v="2018-12-31T00:00:00"/>
    <n v="0"/>
    <n v="1"/>
    <n v="0.16"/>
    <n v="4490"/>
    <n v="7.1840000000000002"/>
    <n v="3"/>
    <n v="3"/>
    <n v="5"/>
    <n v="2"/>
    <n v="2"/>
    <n v="2"/>
    <n v="2"/>
    <n v="3"/>
    <n v="5"/>
    <n v="27"/>
    <n v="14"/>
    <n v="14"/>
    <n v="13"/>
    <n v="10"/>
    <n v="3"/>
    <n v="3"/>
    <n v="57"/>
    <n v="84"/>
    <m/>
    <m/>
    <m/>
    <m/>
    <m/>
    <n v="50.4"/>
    <n v="2262.96"/>
    <n v="6752.96"/>
    <n v="0"/>
    <n v="5000"/>
    <n v="6752.96"/>
    <n v="2262.96"/>
    <n v="50.400000000000006"/>
    <n v="0"/>
    <n v="7.0399999999999636"/>
    <n v="2270"/>
    <n v="6760"/>
    <n v="50.556792873051229"/>
    <n v="4490"/>
    <m/>
    <n v="6760"/>
    <n v="6752.96"/>
    <n v="-1752.96"/>
    <n v="-6752.96"/>
    <n v="6752.96"/>
    <m/>
  </r>
  <r>
    <n v="46"/>
    <x v="313"/>
    <x v="1"/>
    <x v="11"/>
    <n v="0"/>
    <x v="82"/>
    <s v="شهاده دورة تدريب"/>
    <s v="تمريض"/>
    <s v="F"/>
    <x v="2"/>
    <d v="2018-11-24T00:00:00"/>
    <d v="2018-12-31T00:00:00"/>
    <n v="0"/>
    <n v="1"/>
    <n v="0.16"/>
    <n v="4220"/>
    <n v="6.7519999999999998"/>
    <n v="5"/>
    <n v="5"/>
    <n v="5"/>
    <n v="3"/>
    <n v="3"/>
    <n v="3"/>
    <n v="3"/>
    <n v="3"/>
    <n v="5"/>
    <n v="35"/>
    <n v="15"/>
    <n v="15"/>
    <n v="15"/>
    <n v="12"/>
    <n v="5"/>
    <n v="3"/>
    <n v="65"/>
    <n v="100"/>
    <m/>
    <m/>
    <m/>
    <m/>
    <m/>
    <n v="60"/>
    <n v="2532"/>
    <n v="6752"/>
    <n v="248"/>
    <n v="7000"/>
    <n v="7000"/>
    <n v="2780"/>
    <n v="65.876777251184834"/>
    <n v="0"/>
    <n v="0"/>
    <n v="2780"/>
    <n v="7000"/>
    <n v="65.876777251184834"/>
    <n v="4220"/>
    <m/>
    <n v="7000"/>
    <n v="7000"/>
    <n v="248"/>
    <n v="-7000"/>
    <n v="7000"/>
    <m/>
  </r>
  <r>
    <n v="1079"/>
    <x v="314"/>
    <x v="1"/>
    <x v="3"/>
    <n v="0"/>
    <x v="11"/>
    <s v="تدريب مهني"/>
    <s v="لحام وتوضيب"/>
    <s v="F"/>
    <x v="15"/>
    <d v="2018-12-01T00:00:00"/>
    <d v="2018-12-31T00:00:00"/>
    <n v="0"/>
    <n v="0"/>
    <n v="0"/>
    <n v="4000"/>
    <n v="0"/>
    <n v="5"/>
    <n v="5"/>
    <n v="5"/>
    <n v="2"/>
    <n v="3"/>
    <n v="2"/>
    <n v="3"/>
    <n v="3"/>
    <n v="5"/>
    <n v="33"/>
    <n v="15"/>
    <n v="15"/>
    <n v="15"/>
    <n v="12"/>
    <n v="4"/>
    <n v="3"/>
    <n v="64"/>
    <n v="97"/>
    <m/>
    <m/>
    <m/>
    <m/>
    <m/>
    <n v="58.199999999999996"/>
    <n v="2328"/>
    <n v="6328"/>
    <n v="0"/>
    <n v="4500"/>
    <n v="6328"/>
    <n v="2328"/>
    <n v="58.2"/>
    <n v="0"/>
    <n v="2"/>
    <n v="2330"/>
    <n v="6330"/>
    <n v="58.25"/>
    <n v="4000"/>
    <m/>
    <n v="6330"/>
    <n v="6328"/>
    <n v="-1828"/>
    <n v="-6328"/>
    <n v="6328"/>
    <m/>
  </r>
  <r>
    <n v="1080"/>
    <x v="315"/>
    <x v="1"/>
    <x v="3"/>
    <n v="0"/>
    <x v="18"/>
    <n v="0"/>
    <n v="0"/>
    <s v="H"/>
    <x v="17"/>
    <d v="2018-12-10T00:00:00"/>
    <d v="2018-12-31T00:00:00"/>
    <n v="0"/>
    <n v="0"/>
    <n v="0"/>
    <n v="2750"/>
    <n v="0"/>
    <n v="5"/>
    <n v="5"/>
    <n v="5"/>
    <n v="0"/>
    <n v="0"/>
    <n v="0"/>
    <n v="3"/>
    <n v="3"/>
    <n v="5"/>
    <n v="26"/>
    <n v="15"/>
    <n v="15"/>
    <n v="15"/>
    <n v="12"/>
    <n v="4"/>
    <n v="3"/>
    <n v="64"/>
    <n v="90"/>
    <m/>
    <m/>
    <m/>
    <m/>
    <m/>
    <n v="54"/>
    <n v="1485"/>
    <n v="4235"/>
    <n v="0"/>
    <n v="4000"/>
    <n v="4235"/>
    <n v="1485"/>
    <n v="54"/>
    <n v="0"/>
    <n v="5"/>
    <n v="1490"/>
    <n v="4240"/>
    <n v="54.18181818181818"/>
    <n v="2750"/>
    <m/>
    <n v="4240"/>
    <n v="4235"/>
    <n v="-235"/>
    <n v="-4235"/>
    <n v="4235"/>
    <m/>
  </r>
  <r>
    <n v="1081"/>
    <x v="316"/>
    <x v="3"/>
    <x v="17"/>
    <n v="0"/>
    <x v="33"/>
    <s v="شهاده ثانويه"/>
    <n v="0"/>
    <s v="F"/>
    <x v="10"/>
    <d v="2018-12-01T00:00:00"/>
    <d v="2018-12-31T00:00:00"/>
    <n v="0"/>
    <n v="0"/>
    <n v="0"/>
    <n v="4000"/>
    <n v="0"/>
    <n v="5"/>
    <n v="3"/>
    <n v="5"/>
    <n v="2"/>
    <n v="2"/>
    <n v="1"/>
    <n v="2"/>
    <n v="3"/>
    <n v="4"/>
    <n v="27"/>
    <n v="15"/>
    <n v="15"/>
    <n v="15"/>
    <n v="12"/>
    <n v="4"/>
    <n v="3"/>
    <n v="64"/>
    <n v="91"/>
    <n v="7"/>
    <m/>
    <m/>
    <m/>
    <m/>
    <n v="54.6"/>
    <n v="2184"/>
    <n v="6184"/>
    <n v="0"/>
    <n v="5500"/>
    <n v="6184"/>
    <n v="2184"/>
    <n v="54.6"/>
    <n v="0"/>
    <n v="6"/>
    <n v="2190"/>
    <n v="6190"/>
    <n v="54.75"/>
    <n v="4000"/>
    <m/>
    <n v="6190"/>
    <n v="6184"/>
    <n v="-684"/>
    <n v="-6184"/>
    <n v="6184"/>
    <m/>
  </r>
  <r>
    <n v="1082"/>
    <x v="317"/>
    <x v="2"/>
    <x v="7"/>
    <n v="0"/>
    <x v="19"/>
    <s v="بكلاريوس"/>
    <s v="الدراسات المصرفية والمالية"/>
    <s v="C"/>
    <x v="2"/>
    <d v="2018-12-10T00:00:00"/>
    <d v="2018-12-31T00:00:00"/>
    <n v="0"/>
    <n v="0"/>
    <n v="0"/>
    <n v="4500"/>
    <n v="0"/>
    <n v="3"/>
    <n v="4"/>
    <n v="3"/>
    <n v="2"/>
    <n v="2"/>
    <n v="2"/>
    <n v="2"/>
    <n v="2"/>
    <n v="4"/>
    <n v="24"/>
    <m/>
    <m/>
    <m/>
    <m/>
    <m/>
    <m/>
    <n v="0"/>
    <n v="24"/>
    <n v="6"/>
    <m/>
    <m/>
    <n v="6"/>
    <m/>
    <n v="14.399999999999999"/>
    <n v="648"/>
    <n v="5148"/>
    <n v="1852"/>
    <n v="7000"/>
    <n v="7000"/>
    <n v="2500"/>
    <n v="55.555555555555557"/>
    <n v="0"/>
    <n v="0"/>
    <n v="2500"/>
    <n v="7000"/>
    <n v="55.555555555555557"/>
    <n v="4500"/>
    <m/>
    <n v="7000"/>
    <n v="7000"/>
    <n v="1852"/>
    <n v="-7000"/>
    <n v="7000"/>
    <m/>
  </r>
  <r>
    <n v="1083"/>
    <x v="318"/>
    <x v="3"/>
    <x v="7"/>
    <n v="0"/>
    <x v="83"/>
    <s v="دبلوم (معاهد)"/>
    <s v="محاسبة مالية"/>
    <s v="E"/>
    <x v="2"/>
    <d v="2018-12-01T00:00:00"/>
    <d v="2018-12-31T00:00:00"/>
    <n v="0"/>
    <n v="0"/>
    <n v="0"/>
    <n v="10000"/>
    <n v="0"/>
    <n v="5"/>
    <n v="5"/>
    <n v="5"/>
    <n v="3"/>
    <n v="2"/>
    <n v="3"/>
    <n v="3"/>
    <n v="3"/>
    <n v="5"/>
    <n v="34"/>
    <m/>
    <m/>
    <m/>
    <m/>
    <m/>
    <m/>
    <n v="0"/>
    <n v="34"/>
    <n v="9"/>
    <m/>
    <m/>
    <m/>
    <m/>
    <n v="20.399999999999999"/>
    <n v="2039.9999999999998"/>
    <n v="12040"/>
    <n v="0"/>
    <n v="7000"/>
    <n v="12040"/>
    <n v="2040"/>
    <n v="20.399999999999999"/>
    <n v="0"/>
    <n v="0"/>
    <n v="2040"/>
    <n v="12040"/>
    <n v="20.399999999999999"/>
    <n v="10000"/>
    <m/>
    <n v="12040"/>
    <n v="12040"/>
    <n v="-5040"/>
    <n v="-12040"/>
    <n v="12040"/>
    <m/>
  </r>
  <r>
    <n v="1077"/>
    <x v="319"/>
    <x v="7"/>
    <x v="17"/>
    <n v="0"/>
    <x v="19"/>
    <s v="شهاده ثانويه"/>
    <n v="0"/>
    <s v="F"/>
    <x v="2"/>
    <d v="2018-12-01T00:00:00"/>
    <d v="2018-12-31T00:00:00"/>
    <n v="0"/>
    <n v="0"/>
    <n v="0"/>
    <n v="6000"/>
    <n v="0"/>
    <m/>
    <m/>
    <m/>
    <m/>
    <m/>
    <m/>
    <m/>
    <m/>
    <m/>
    <n v="0"/>
    <n v="15"/>
    <n v="15"/>
    <n v="15"/>
    <n v="12"/>
    <n v="4"/>
    <n v="3"/>
    <n v="64"/>
    <n v="64"/>
    <m/>
    <m/>
    <m/>
    <m/>
    <m/>
    <n v="38.4"/>
    <n v="2304"/>
    <n v="8304"/>
    <n v="0"/>
    <n v="7000"/>
    <n v="8304"/>
    <n v="2304"/>
    <n v="38.4"/>
    <n v="0"/>
    <n v="6"/>
    <n v="2310"/>
    <n v="8310"/>
    <n v="38.5"/>
    <n v="6000"/>
    <m/>
    <n v="8310"/>
    <n v="8304"/>
    <n v="-1304"/>
    <n v="-8304"/>
    <n v="8304"/>
    <m/>
  </r>
  <r>
    <n v="8091"/>
    <x v="320"/>
    <x v="3"/>
    <x v="3"/>
    <n v="0"/>
    <x v="8"/>
    <n v="0"/>
    <n v="0"/>
    <s v="H"/>
    <x v="2"/>
    <d v="1899-12-30T00:00:00"/>
    <d v="2018-12-31T00:00:00"/>
    <n v="118"/>
    <n v="11"/>
    <n v="237.76"/>
    <n v="5100"/>
    <n v="12125.76"/>
    <n v="5"/>
    <n v="5"/>
    <n v="5"/>
    <n v="3"/>
    <n v="3"/>
    <n v="3"/>
    <n v="3"/>
    <n v="3"/>
    <n v="5"/>
    <n v="35"/>
    <n v="15"/>
    <n v="15"/>
    <n v="15"/>
    <n v="12"/>
    <n v="4"/>
    <n v="3"/>
    <n v="64"/>
    <n v="99"/>
    <n v="10"/>
    <m/>
    <m/>
    <m/>
    <m/>
    <n v="59.4"/>
    <n v="3029.3999999999996"/>
    <n v="8129.4"/>
    <n v="0"/>
    <n v="7000"/>
    <n v="8129.4"/>
    <n v="3029.3999999999996"/>
    <n v="59.399999999999991"/>
    <n v="0"/>
    <n v="0.6000000000003638"/>
    <n v="3030"/>
    <n v="8130"/>
    <n v="59.411764705882355"/>
    <n v="5100"/>
    <m/>
    <n v="8130"/>
    <n v="8129.4"/>
    <n v="-1129.3999999999996"/>
    <n v="-8129.4"/>
    <n v="8129.4"/>
    <m/>
  </r>
  <r>
    <n v="8092"/>
    <x v="321"/>
    <x v="3"/>
    <x v="3"/>
    <n v="0"/>
    <x v="8"/>
    <n v="0"/>
    <n v="0"/>
    <s v="H"/>
    <x v="9"/>
    <d v="2016-03-06T00:00:00"/>
    <d v="2018-12-31T00:00:00"/>
    <n v="2"/>
    <n v="9"/>
    <n v="5.4399999999999995"/>
    <n v="5100"/>
    <n v="277.44"/>
    <n v="4"/>
    <n v="3"/>
    <n v="1"/>
    <n v="1"/>
    <n v="1"/>
    <n v="2"/>
    <n v="2"/>
    <n v="3"/>
    <n v="4"/>
    <n v="21"/>
    <n v="13"/>
    <n v="13"/>
    <n v="8"/>
    <n v="4"/>
    <n v="3"/>
    <n v="3"/>
    <n v="44"/>
    <n v="65"/>
    <n v="6"/>
    <m/>
    <m/>
    <m/>
    <m/>
    <n v="39"/>
    <n v="1989"/>
    <n v="7089"/>
    <n v="0"/>
    <n v="6500"/>
    <n v="7089"/>
    <n v="1989"/>
    <n v="39"/>
    <n v="0"/>
    <n v="1"/>
    <n v="1990"/>
    <n v="7090"/>
    <n v="39.019607843137258"/>
    <n v="5100"/>
    <m/>
    <n v="7090"/>
    <n v="7089"/>
    <n v="-589"/>
    <n v="-7089"/>
    <n v="7089"/>
    <m/>
  </r>
  <r>
    <n v="8081"/>
    <x v="322"/>
    <x v="1"/>
    <x v="3"/>
    <s v="المواسير"/>
    <x v="11"/>
    <n v="0"/>
    <n v="0"/>
    <s v="H"/>
    <x v="5"/>
    <d v="1899-12-30T00:00:00"/>
    <d v="2018-12-31T00:00:00"/>
    <n v="118"/>
    <n v="11"/>
    <n v="237.76"/>
    <n v="4500"/>
    <n v="10699.2"/>
    <n v="5"/>
    <n v="5"/>
    <n v="5"/>
    <n v="1"/>
    <n v="2"/>
    <n v="2"/>
    <n v="3"/>
    <n v="3"/>
    <n v="5"/>
    <n v="31"/>
    <n v="14"/>
    <n v="14"/>
    <n v="13"/>
    <n v="8"/>
    <n v="3"/>
    <n v="3"/>
    <n v="55"/>
    <n v="86"/>
    <m/>
    <m/>
    <m/>
    <m/>
    <m/>
    <n v="51.6"/>
    <n v="2322"/>
    <n v="6822"/>
    <n v="0"/>
    <n v="5000"/>
    <n v="6822"/>
    <n v="2322"/>
    <n v="51.6"/>
    <n v="0"/>
    <n v="8"/>
    <n v="2330"/>
    <n v="6830"/>
    <n v="51.777777777777779"/>
    <n v="4500"/>
    <m/>
    <n v="6830"/>
    <n v="6822"/>
    <n v="-1822"/>
    <n v="-6822"/>
    <n v="6822"/>
    <m/>
  </r>
  <r>
    <n v="8093"/>
    <x v="323"/>
    <x v="1"/>
    <x v="14"/>
    <n v="0"/>
    <x v="84"/>
    <n v="0"/>
    <n v="0"/>
    <s v="H"/>
    <x v="2"/>
    <d v="2016-04-21T00:00:00"/>
    <d v="2018-12-31T00:00:00"/>
    <n v="2"/>
    <n v="8"/>
    <n v="5.28"/>
    <n v="5400"/>
    <n v="285.12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m/>
    <m/>
    <m/>
    <m/>
    <m/>
    <n v="57.599999999999994"/>
    <n v="3110.3999999999996"/>
    <n v="8510.4"/>
    <n v="0"/>
    <n v="7000"/>
    <n v="8510.4"/>
    <n v="3110.3999999999996"/>
    <n v="57.599999999999994"/>
    <n v="0"/>
    <n v="9.6000000000003638"/>
    <n v="3120"/>
    <n v="8520"/>
    <n v="57.777777777777779"/>
    <n v="5400"/>
    <m/>
    <n v="8520"/>
    <n v="8510.4"/>
    <n v="-1510.3999999999996"/>
    <n v="-8510.4"/>
    <n v="8510.4"/>
    <m/>
  </r>
  <r>
    <n v="8095"/>
    <x v="324"/>
    <x v="1"/>
    <x v="3"/>
    <s v="الزنك"/>
    <x v="8"/>
    <n v="0"/>
    <n v="0"/>
    <s v="H"/>
    <x v="16"/>
    <d v="2016-05-07T00:00:00"/>
    <d v="2018-12-31T00:00:00"/>
    <n v="2"/>
    <n v="7"/>
    <n v="5.12"/>
    <n v="4500"/>
    <n v="230.4"/>
    <n v="5"/>
    <n v="5"/>
    <n v="5"/>
    <n v="3"/>
    <n v="3"/>
    <n v="3"/>
    <n v="3"/>
    <n v="3"/>
    <n v="4"/>
    <n v="34"/>
    <n v="14"/>
    <n v="14"/>
    <n v="10"/>
    <n v="8"/>
    <n v="5"/>
    <n v="3"/>
    <n v="54"/>
    <n v="88"/>
    <m/>
    <m/>
    <m/>
    <m/>
    <m/>
    <n v="52.8"/>
    <n v="2376"/>
    <n v="6876"/>
    <n v="0"/>
    <n v="6000"/>
    <n v="6876"/>
    <n v="2376"/>
    <n v="52.8"/>
    <n v="0"/>
    <n v="4"/>
    <n v="2380"/>
    <n v="6880"/>
    <n v="52.888888888888886"/>
    <n v="4500"/>
    <m/>
    <n v="6880"/>
    <n v="6876"/>
    <n v="-876"/>
    <n v="-6876"/>
    <n v="6876"/>
    <m/>
  </r>
  <r>
    <n v="8094"/>
    <x v="325"/>
    <x v="1"/>
    <x v="3"/>
    <s v="المواسير"/>
    <x v="12"/>
    <n v="0"/>
    <n v="0"/>
    <s v="H"/>
    <x v="16"/>
    <d v="2016-05-03T00:00:00"/>
    <d v="2018-12-31T00:00:00"/>
    <n v="2"/>
    <n v="7"/>
    <n v="5.12"/>
    <n v="4500"/>
    <n v="230.4"/>
    <n v="5"/>
    <n v="5"/>
    <n v="5"/>
    <n v="2"/>
    <n v="3"/>
    <n v="2"/>
    <n v="3"/>
    <n v="3"/>
    <n v="5"/>
    <n v="33"/>
    <n v="15"/>
    <n v="15"/>
    <n v="15"/>
    <n v="12"/>
    <n v="3"/>
    <n v="3"/>
    <n v="63"/>
    <n v="96"/>
    <m/>
    <m/>
    <m/>
    <m/>
    <m/>
    <n v="57.599999999999994"/>
    <n v="2592"/>
    <n v="7092"/>
    <n v="0"/>
    <n v="6000"/>
    <n v="7092"/>
    <n v="2592"/>
    <n v="57.6"/>
    <n v="0"/>
    <n v="8"/>
    <n v="2600"/>
    <n v="7100"/>
    <n v="57.777777777777779"/>
    <n v="4500"/>
    <m/>
    <n v="7100"/>
    <n v="7092"/>
    <n v="-1092"/>
    <n v="-7092"/>
    <n v="7092"/>
    <m/>
  </r>
  <r>
    <n v="8100"/>
    <x v="326"/>
    <x v="1"/>
    <x v="3"/>
    <s v="الاكسبنده"/>
    <x v="18"/>
    <n v="0"/>
    <n v="0"/>
    <s v="H"/>
    <x v="15"/>
    <d v="2016-08-16T00:00:00"/>
    <d v="2018-12-31T00:00:00"/>
    <n v="2"/>
    <n v="4"/>
    <n v="4.6399999999999997"/>
    <n v="3750"/>
    <n v="174"/>
    <n v="5"/>
    <n v="5"/>
    <n v="5"/>
    <n v="2"/>
    <n v="2"/>
    <n v="2"/>
    <n v="3"/>
    <n v="3"/>
    <n v="5"/>
    <n v="32"/>
    <n v="14"/>
    <n v="14"/>
    <n v="15"/>
    <n v="12"/>
    <n v="3"/>
    <n v="3"/>
    <n v="61"/>
    <n v="93"/>
    <m/>
    <m/>
    <m/>
    <m/>
    <m/>
    <n v="55.8"/>
    <n v="2092.5"/>
    <n v="5842.5"/>
    <n v="0"/>
    <n v="4500"/>
    <n v="5842.5"/>
    <n v="2092.5"/>
    <n v="55.8"/>
    <n v="0"/>
    <n v="7.5"/>
    <n v="2100"/>
    <n v="5850"/>
    <n v="56"/>
    <n v="3750"/>
    <m/>
    <n v="5850"/>
    <n v="5842.5"/>
    <n v="-1342.5"/>
    <n v="-5842.5"/>
    <n v="5842.5"/>
    <m/>
  </r>
  <r>
    <n v="8096"/>
    <x v="327"/>
    <x v="1"/>
    <x v="2"/>
    <n v="0"/>
    <x v="43"/>
    <n v="0"/>
    <n v="0"/>
    <s v="H"/>
    <x v="11"/>
    <d v="2017-01-05T00:00:00"/>
    <d v="2018-12-31T00:00:00"/>
    <n v="1"/>
    <n v="11"/>
    <n v="3.76"/>
    <n v="4500"/>
    <n v="169.2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m/>
    <m/>
    <m/>
    <m/>
    <m/>
    <n v="57.599999999999994"/>
    <n v="2592"/>
    <n v="7092"/>
    <n v="0"/>
    <n v="6000"/>
    <n v="7092"/>
    <n v="2592"/>
    <n v="57.6"/>
    <n v="0"/>
    <n v="8"/>
    <n v="2600"/>
    <n v="7100"/>
    <n v="57.777777777777779"/>
    <n v="4500"/>
    <m/>
    <n v="7100"/>
    <n v="7092"/>
    <n v="-1092"/>
    <n v="-7092"/>
    <n v="7092"/>
    <m/>
  </r>
  <r>
    <n v="8099"/>
    <x v="328"/>
    <x v="1"/>
    <x v="8"/>
    <n v="0"/>
    <x v="25"/>
    <n v="0"/>
    <n v="0"/>
    <s v="H"/>
    <x v="21"/>
    <d v="2017-04-01T00:00:00"/>
    <d v="2018-12-31T00:00:00"/>
    <n v="1"/>
    <n v="8"/>
    <n v="3.2800000000000002"/>
    <n v="4500"/>
    <n v="147.6"/>
    <n v="5"/>
    <n v="5"/>
    <n v="5"/>
    <n v="2"/>
    <n v="3"/>
    <n v="3"/>
    <n v="3"/>
    <n v="3"/>
    <n v="5"/>
    <n v="34"/>
    <n v="15"/>
    <n v="15"/>
    <n v="15"/>
    <n v="12"/>
    <n v="4"/>
    <n v="3"/>
    <n v="64"/>
    <n v="98"/>
    <m/>
    <m/>
    <m/>
    <m/>
    <m/>
    <n v="58.8"/>
    <n v="2646"/>
    <n v="7146"/>
    <n v="854"/>
    <n v="8000"/>
    <n v="8000"/>
    <n v="3500"/>
    <n v="77.777777777777771"/>
    <n v="1000"/>
    <n v="0"/>
    <n v="4500"/>
    <n v="9000"/>
    <n v="100"/>
    <n v="4500"/>
    <n v="9000"/>
    <n v="9000"/>
    <n v="9000"/>
    <n v="854"/>
    <n v="1000"/>
    <n v="8000"/>
    <m/>
  </r>
  <r>
    <n v="8102"/>
    <x v="329"/>
    <x v="1"/>
    <x v="3"/>
    <s v="الاليات"/>
    <x v="85"/>
    <n v="0"/>
    <n v="0"/>
    <s v="H"/>
    <x v="9"/>
    <d v="2017-09-18T00:00:00"/>
    <d v="2018-12-31T00:00:00"/>
    <n v="1"/>
    <n v="3"/>
    <n v="2.48"/>
    <n v="5400"/>
    <n v="133.91999999999999"/>
    <n v="5"/>
    <n v="4"/>
    <n v="4"/>
    <n v="2"/>
    <n v="3"/>
    <n v="2"/>
    <n v="3"/>
    <n v="2"/>
    <n v="3"/>
    <n v="28"/>
    <n v="14"/>
    <n v="14"/>
    <n v="15"/>
    <n v="12"/>
    <n v="5"/>
    <n v="3"/>
    <n v="63"/>
    <n v="91"/>
    <m/>
    <m/>
    <m/>
    <m/>
    <m/>
    <n v="54.6"/>
    <n v="2948.4"/>
    <n v="8348.4"/>
    <n v="0"/>
    <n v="6500"/>
    <n v="8348.4"/>
    <n v="2948.3999999999996"/>
    <n v="54.599999999999994"/>
    <n v="0"/>
    <n v="1.6000000000003638"/>
    <n v="2950"/>
    <n v="8350"/>
    <n v="54.629629629629626"/>
    <n v="5400"/>
    <m/>
    <n v="8350"/>
    <n v="8348.4"/>
    <n v="-1848.3999999999996"/>
    <n v="-8348.4"/>
    <n v="8348.4"/>
    <m/>
  </r>
  <r>
    <n v="8103"/>
    <x v="330"/>
    <x v="1"/>
    <x v="14"/>
    <n v="0"/>
    <x v="86"/>
    <n v="0"/>
    <n v="0"/>
    <s v="H"/>
    <x v="9"/>
    <d v="2018-01-02T00:00:00"/>
    <d v="2018-12-31T00:00:00"/>
    <n v="0"/>
    <n v="11"/>
    <n v="1.76"/>
    <n v="5400"/>
    <n v="95.04"/>
    <n v="5"/>
    <n v="5"/>
    <n v="5"/>
    <n v="3"/>
    <n v="3"/>
    <n v="3"/>
    <n v="3"/>
    <n v="3"/>
    <n v="5"/>
    <n v="35"/>
    <n v="14"/>
    <n v="14"/>
    <n v="15"/>
    <n v="12"/>
    <n v="3"/>
    <n v="3"/>
    <n v="61"/>
    <n v="96"/>
    <m/>
    <m/>
    <m/>
    <m/>
    <m/>
    <n v="57.599999999999994"/>
    <n v="3110.3999999999996"/>
    <n v="8510.4"/>
    <n v="0"/>
    <n v="6500"/>
    <n v="8510.4"/>
    <n v="3110.3999999999996"/>
    <n v="57.599999999999994"/>
    <n v="0"/>
    <n v="9.6000000000003638"/>
    <n v="3120"/>
    <n v="8520"/>
    <n v="57.777777777777779"/>
    <n v="5400"/>
    <m/>
    <n v="8520"/>
    <n v="8510.4"/>
    <n v="-2010.3999999999996"/>
    <n v="-8510.4"/>
    <n v="8510.4"/>
    <m/>
  </r>
  <r>
    <n v="8104"/>
    <x v="331"/>
    <x v="3"/>
    <x v="3"/>
    <n v="0"/>
    <x v="18"/>
    <s v="بكلاريوس الشرف"/>
    <s v="هندسة زراعة"/>
    <s v="C"/>
    <x v="15"/>
    <d v="2018-01-03T00:00:00"/>
    <d v="2018-12-31T00:00:00"/>
    <n v="0"/>
    <n v="11"/>
    <n v="1.76"/>
    <n v="4200"/>
    <n v="73.92"/>
    <n v="5"/>
    <n v="4"/>
    <n v="3"/>
    <n v="2"/>
    <n v="2"/>
    <n v="2"/>
    <n v="2"/>
    <n v="3"/>
    <n v="4"/>
    <n v="27"/>
    <n v="12"/>
    <n v="11"/>
    <n v="15"/>
    <n v="10"/>
    <n v="2"/>
    <n v="3"/>
    <n v="53"/>
    <n v="80"/>
    <m/>
    <m/>
    <m/>
    <m/>
    <m/>
    <n v="48"/>
    <n v="2016"/>
    <n v="6216"/>
    <n v="0"/>
    <n v="4500"/>
    <n v="6216"/>
    <n v="2016"/>
    <n v="48"/>
    <n v="0"/>
    <n v="4"/>
    <n v="2020"/>
    <n v="6220"/>
    <n v="48.095238095238095"/>
    <n v="4200"/>
    <m/>
    <n v="6220"/>
    <n v="6216"/>
    <n v="-1716"/>
    <n v="-6216"/>
    <n v="6216"/>
    <m/>
  </r>
  <r>
    <n v="8105"/>
    <x v="332"/>
    <x v="1"/>
    <x v="3"/>
    <s v="الزنك"/>
    <x v="7"/>
    <n v="0"/>
    <n v="0"/>
    <s v="H"/>
    <x v="13"/>
    <d v="2018-02-19T00:00:00"/>
    <d v="2018-12-31T00:00:00"/>
    <n v="0"/>
    <n v="10"/>
    <n v="1.6"/>
    <n v="6000"/>
    <n v="96"/>
    <n v="5"/>
    <n v="5"/>
    <n v="5"/>
    <n v="3"/>
    <n v="3"/>
    <n v="3"/>
    <n v="3"/>
    <n v="3"/>
    <n v="4"/>
    <n v="34"/>
    <n v="14"/>
    <n v="14"/>
    <n v="10"/>
    <n v="8"/>
    <n v="3"/>
    <n v="3"/>
    <n v="52"/>
    <n v="86"/>
    <m/>
    <m/>
    <m/>
    <m/>
    <m/>
    <n v="51.6"/>
    <n v="3096"/>
    <n v="9096"/>
    <n v="904"/>
    <n v="10000"/>
    <n v="10000"/>
    <n v="4000"/>
    <n v="66.666666666666671"/>
    <n v="0"/>
    <n v="0"/>
    <n v="4000"/>
    <n v="10000"/>
    <n v="66.666666666666671"/>
    <n v="6000"/>
    <m/>
    <n v="10000"/>
    <n v="10000"/>
    <n v="904"/>
    <n v="-10000"/>
    <n v="10000"/>
    <m/>
  </r>
  <r>
    <n v="8106"/>
    <x v="333"/>
    <x v="1"/>
    <x v="3"/>
    <s v="الاكسبنده"/>
    <x v="8"/>
    <n v="0"/>
    <n v="0"/>
    <s v="H"/>
    <x v="2"/>
    <d v="2018-03-21T00:00:00"/>
    <d v="2018-12-31T00:00:00"/>
    <n v="0"/>
    <n v="9"/>
    <n v="1.44"/>
    <n v="5100"/>
    <n v="73.44"/>
    <n v="5"/>
    <n v="5"/>
    <n v="5"/>
    <n v="3"/>
    <n v="3"/>
    <n v="3"/>
    <n v="3"/>
    <n v="3"/>
    <n v="5"/>
    <n v="35"/>
    <n v="14"/>
    <n v="14"/>
    <n v="15"/>
    <n v="12"/>
    <n v="4"/>
    <n v="3"/>
    <n v="62"/>
    <n v="97"/>
    <m/>
    <m/>
    <m/>
    <m/>
    <m/>
    <n v="58.199999999999996"/>
    <n v="2968.2"/>
    <n v="8068.2"/>
    <n v="0"/>
    <n v="7000"/>
    <n v="8068.2"/>
    <n v="2968.2"/>
    <n v="58.199999999999996"/>
    <n v="0"/>
    <n v="1.8000000000001819"/>
    <n v="2970"/>
    <n v="8070"/>
    <n v="58.235294117647058"/>
    <n v="5100"/>
    <m/>
    <n v="8070"/>
    <n v="8068.2"/>
    <n v="-1068.1999999999998"/>
    <n v="-8068.2"/>
    <n v="8068.2"/>
    <m/>
  </r>
  <r>
    <n v="8107"/>
    <x v="334"/>
    <x v="1"/>
    <x v="3"/>
    <s v="المواسير"/>
    <x v="12"/>
    <n v="0"/>
    <n v="0"/>
    <s v="H"/>
    <x v="10"/>
    <d v="2018-06-01T00:00:00"/>
    <d v="2018-12-31T00:00:00"/>
    <n v="0"/>
    <n v="6"/>
    <n v="0.96"/>
    <n v="4500"/>
    <n v="43.2"/>
    <n v="5"/>
    <n v="5"/>
    <n v="5"/>
    <n v="2"/>
    <n v="2"/>
    <n v="2"/>
    <n v="3"/>
    <n v="3"/>
    <n v="5"/>
    <n v="32"/>
    <n v="15"/>
    <n v="15"/>
    <n v="15"/>
    <n v="12"/>
    <n v="4"/>
    <n v="3"/>
    <n v="64"/>
    <n v="96"/>
    <m/>
    <m/>
    <m/>
    <m/>
    <m/>
    <n v="57.599999999999994"/>
    <n v="2592"/>
    <n v="7092"/>
    <n v="0"/>
    <n v="5500"/>
    <n v="7092"/>
    <n v="2592"/>
    <n v="57.6"/>
    <n v="0"/>
    <n v="8"/>
    <n v="2600"/>
    <n v="7100"/>
    <n v="57.777777777777779"/>
    <n v="4500"/>
    <m/>
    <n v="7100"/>
    <n v="7092"/>
    <n v="-1592"/>
    <n v="-7092"/>
    <n v="7092"/>
    <m/>
  </r>
  <r>
    <n v="8108"/>
    <x v="335"/>
    <x v="2"/>
    <x v="17"/>
    <n v="0"/>
    <x v="46"/>
    <n v="0"/>
    <n v="0"/>
    <s v="H"/>
    <x v="11"/>
    <d v="2018-10-16T00:00:00"/>
    <d v="2018-12-31T00:00:00"/>
    <n v="0"/>
    <n v="2"/>
    <n v="0.32"/>
    <n v="3600"/>
    <n v="11.520000000000001"/>
    <m/>
    <m/>
    <m/>
    <m/>
    <m/>
    <m/>
    <m/>
    <m/>
    <m/>
    <n v="0"/>
    <m/>
    <m/>
    <m/>
    <m/>
    <m/>
    <m/>
    <n v="0"/>
    <n v="0"/>
    <m/>
    <m/>
    <m/>
    <m/>
    <m/>
    <n v="0"/>
    <n v="0"/>
    <n v="3600"/>
    <n v="2400"/>
    <n v="6000"/>
    <n v="6000"/>
    <n v="2400"/>
    <n v="66.666666666666671"/>
    <n v="0"/>
    <n v="0"/>
    <n v="2400"/>
    <n v="6000"/>
    <n v="66.666666666666671"/>
    <n v="3600"/>
    <m/>
    <n v="6000"/>
    <n v="6000"/>
    <n v="2400"/>
    <n v="-6000"/>
    <n v="6000"/>
    <m/>
  </r>
  <r>
    <n v="8109"/>
    <x v="336"/>
    <x v="1"/>
    <x v="3"/>
    <s v="الاليات"/>
    <x v="21"/>
    <n v="0"/>
    <n v="0"/>
    <s v="H"/>
    <x v="9"/>
    <d v="2018-11-17T00:00:00"/>
    <d v="2018-12-31T00:00:00"/>
    <n v="0"/>
    <n v="1"/>
    <n v="0.16"/>
    <n v="5400"/>
    <n v="8.64"/>
    <n v="5"/>
    <n v="5"/>
    <n v="5"/>
    <n v="2"/>
    <n v="2"/>
    <n v="2"/>
    <n v="3"/>
    <n v="3"/>
    <n v="5"/>
    <n v="32"/>
    <n v="14"/>
    <n v="14"/>
    <n v="15"/>
    <n v="10"/>
    <n v="4"/>
    <n v="3"/>
    <n v="60"/>
    <n v="92"/>
    <m/>
    <m/>
    <m/>
    <m/>
    <m/>
    <n v="55.199999999999996"/>
    <n v="2980.7999999999997"/>
    <n v="8380.7999999999993"/>
    <n v="0"/>
    <n v="6500"/>
    <n v="8380.7999999999993"/>
    <n v="2980.7999999999993"/>
    <n v="55.199999999999989"/>
    <n v="0"/>
    <n v="9.2000000000007276"/>
    <n v="2990"/>
    <n v="8390"/>
    <n v="55.370370370370374"/>
    <n v="5400"/>
    <m/>
    <n v="8390"/>
    <n v="8380.7999999999993"/>
    <n v="-1880.7999999999993"/>
    <n v="-8380.7999999999993"/>
    <n v="8380.799999999999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3:H494" firstHeaderRow="1" firstDataRow="2" firstDataCol="1" rowPageCount="1" colPageCount="1"/>
  <pivotFields count="64">
    <pivotField showAll="0"/>
    <pivotField showAll="0"/>
    <pivotField axis="axisRow" showAll="0">
      <items count="296">
        <item m="1" x="294"/>
        <item x="75"/>
        <item x="131"/>
        <item x="16"/>
        <item x="26"/>
        <item x="44"/>
        <item x="153"/>
        <item x="96"/>
        <item x="106"/>
        <item x="241"/>
        <item x="205"/>
        <item x="51"/>
        <item x="1"/>
        <item x="269"/>
        <item x="158"/>
        <item x="149"/>
        <item x="267"/>
        <item x="86"/>
        <item x="224"/>
        <item x="21"/>
        <item x="45"/>
        <item x="63"/>
        <item x="213"/>
        <item x="13"/>
        <item x="130"/>
        <item x="59"/>
        <item x="219"/>
        <item x="151"/>
        <item x="104"/>
        <item x="88"/>
        <item x="133"/>
        <item x="35"/>
        <item x="190"/>
        <item x="185"/>
        <item x="132"/>
        <item x="254"/>
        <item x="163"/>
        <item x="53"/>
        <item x="22"/>
        <item x="90"/>
        <item x="62"/>
        <item x="279"/>
        <item x="28"/>
        <item x="197"/>
        <item x="117"/>
        <item x="142"/>
        <item x="101"/>
        <item x="138"/>
        <item x="282"/>
        <item x="87"/>
        <item x="208"/>
        <item x="252"/>
        <item x="195"/>
        <item x="174"/>
        <item x="191"/>
        <item x="99"/>
        <item x="220"/>
        <item x="232"/>
        <item x="276"/>
        <item x="280"/>
        <item x="186"/>
        <item x="144"/>
        <item x="27"/>
        <item x="37"/>
        <item x="184"/>
        <item x="192"/>
        <item x="108"/>
        <item x="42"/>
        <item x="129"/>
        <item x="12"/>
        <item x="69"/>
        <item x="177"/>
        <item x="188"/>
        <item x="80"/>
        <item x="200"/>
        <item x="222"/>
        <item x="223"/>
        <item x="150"/>
        <item x="84"/>
        <item x="55"/>
        <item x="71"/>
        <item x="125"/>
        <item x="246"/>
        <item x="176"/>
        <item x="34"/>
        <item x="109"/>
        <item x="38"/>
        <item x="11"/>
        <item x="169"/>
        <item x="152"/>
        <item x="126"/>
        <item x="72"/>
        <item x="79"/>
        <item x="216"/>
        <item x="272"/>
        <item x="145"/>
        <item x="156"/>
        <item x="215"/>
        <item x="278"/>
        <item x="146"/>
        <item x="127"/>
        <item x="15"/>
        <item x="249"/>
        <item x="225"/>
        <item x="170"/>
        <item x="47"/>
        <item x="194"/>
        <item x="237"/>
        <item x="30"/>
        <item x="212"/>
        <item x="124"/>
        <item x="105"/>
        <item x="166"/>
        <item x="204"/>
        <item x="207"/>
        <item x="116"/>
        <item x="32"/>
        <item x="103"/>
        <item x="39"/>
        <item x="112"/>
        <item x="258"/>
        <item x="40"/>
        <item x="181"/>
        <item x="253"/>
        <item x="250"/>
        <item x="66"/>
        <item x="139"/>
        <item x="14"/>
        <item x="82"/>
        <item x="89"/>
        <item x="162"/>
        <item x="29"/>
        <item x="160"/>
        <item x="19"/>
        <item x="17"/>
        <item x="140"/>
        <item x="46"/>
        <item x="275"/>
        <item x="120"/>
        <item x="94"/>
        <item x="193"/>
        <item x="210"/>
        <item x="239"/>
        <item x="245"/>
        <item x="33"/>
        <item x="281"/>
        <item x="73"/>
        <item x="137"/>
        <item x="261"/>
        <item x="60"/>
        <item x="183"/>
        <item x="211"/>
        <item x="97"/>
        <item x="143"/>
        <item x="118"/>
        <item x="271"/>
        <item x="83"/>
        <item x="57"/>
        <item x="5"/>
        <item x="52"/>
        <item x="214"/>
        <item x="41"/>
        <item x="256"/>
        <item x="100"/>
        <item x="238"/>
        <item x="20"/>
        <item x="98"/>
        <item x="172"/>
        <item x="70"/>
        <item x="10"/>
        <item x="68"/>
        <item x="48"/>
        <item x="266"/>
        <item x="265"/>
        <item x="148"/>
        <item x="248"/>
        <item x="67"/>
        <item x="155"/>
        <item x="7"/>
        <item x="257"/>
        <item x="260"/>
        <item x="247"/>
        <item x="209"/>
        <item x="58"/>
        <item x="134"/>
        <item x="173"/>
        <item x="6"/>
        <item x="18"/>
        <item x="159"/>
        <item x="3"/>
        <item x="273"/>
        <item x="25"/>
        <item x="264"/>
        <item x="268"/>
        <item x="240"/>
        <item x="121"/>
        <item x="277"/>
        <item x="255"/>
        <item x="234"/>
        <item x="231"/>
        <item x="202"/>
        <item x="24"/>
        <item x="226"/>
        <item x="242"/>
        <item x="228"/>
        <item x="114"/>
        <item x="115"/>
        <item x="56"/>
        <item x="171"/>
        <item x="243"/>
        <item x="221"/>
        <item x="123"/>
        <item x="9"/>
        <item x="2"/>
        <item x="182"/>
        <item x="178"/>
        <item x="217"/>
        <item x="161"/>
        <item x="85"/>
        <item x="65"/>
        <item x="196"/>
        <item x="81"/>
        <item x="74"/>
        <item x="141"/>
        <item x="43"/>
        <item x="227"/>
        <item x="187"/>
        <item x="164"/>
        <item x="36"/>
        <item x="136"/>
        <item x="251"/>
        <item x="198"/>
        <item x="157"/>
        <item x="102"/>
        <item x="263"/>
        <item x="168"/>
        <item x="236"/>
        <item x="180"/>
        <item x="147"/>
        <item x="64"/>
        <item x="230"/>
        <item x="107"/>
        <item x="179"/>
        <item x="218"/>
        <item x="4"/>
        <item x="93"/>
        <item x="91"/>
        <item x="244"/>
        <item x="259"/>
        <item x="76"/>
        <item x="189"/>
        <item x="110"/>
        <item x="165"/>
        <item x="203"/>
        <item x="235"/>
        <item x="135"/>
        <item x="77"/>
        <item x="262"/>
        <item x="50"/>
        <item x="270"/>
        <item x="199"/>
        <item x="128"/>
        <item x="31"/>
        <item x="78"/>
        <item x="274"/>
        <item x="23"/>
        <item x="122"/>
        <item x="206"/>
        <item x="8"/>
        <item x="175"/>
        <item x="167"/>
        <item x="49"/>
        <item x="113"/>
        <item x="154"/>
        <item x="229"/>
        <item x="119"/>
        <item x="95"/>
        <item x="92"/>
        <item x="233"/>
        <item x="201"/>
        <item x="54"/>
        <item x="111"/>
        <item x="0"/>
        <item x="293"/>
        <item x="61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axis="axisPage" showAll="0">
      <items count="10">
        <item m="1" x="8"/>
        <item x="2"/>
        <item x="3"/>
        <item x="1"/>
        <item x="4"/>
        <item x="5"/>
        <item x="6"/>
        <item x="0"/>
        <item x="7"/>
        <item t="default"/>
      </items>
    </pivotField>
    <pivotField axis="axisRow" showAll="0">
      <items count="24">
        <item m="1" x="22"/>
        <item x="1"/>
        <item x="15"/>
        <item x="14"/>
        <item x="3"/>
        <item x="4"/>
        <item x="18"/>
        <item x="16"/>
        <item x="10"/>
        <item x="7"/>
        <item x="11"/>
        <item x="17"/>
        <item x="13"/>
        <item x="6"/>
        <item x="8"/>
        <item x="20"/>
        <item x="2"/>
        <item x="19"/>
        <item x="9"/>
        <item x="5"/>
        <item x="12"/>
        <item x="0"/>
        <item x="21"/>
        <item t="default"/>
      </items>
    </pivotField>
    <pivotField showAll="0"/>
    <pivotField axis="axisRow" showAll="0">
      <items count="83">
        <item x="74"/>
        <item x="7"/>
        <item x="29"/>
        <item x="1"/>
        <item x="79"/>
        <item x="48"/>
        <item x="42"/>
        <item x="39"/>
        <item x="2"/>
        <item x="27"/>
        <item x="30"/>
        <item x="49"/>
        <item x="63"/>
        <item x="61"/>
        <item x="32"/>
        <item x="17"/>
        <item x="58"/>
        <item x="44"/>
        <item x="46"/>
        <item x="16"/>
        <item x="66"/>
        <item x="76"/>
        <item x="31"/>
        <item x="51"/>
        <item x="24"/>
        <item x="65"/>
        <item x="75"/>
        <item x="37"/>
        <item x="21"/>
        <item x="12"/>
        <item x="5"/>
        <item x="57"/>
        <item x="20"/>
        <item x="47"/>
        <item x="60"/>
        <item x="11"/>
        <item x="54"/>
        <item x="55"/>
        <item x="10"/>
        <item x="77"/>
        <item x="22"/>
        <item x="72"/>
        <item x="43"/>
        <item x="6"/>
        <item x="67"/>
        <item x="19"/>
        <item x="18"/>
        <item x="4"/>
        <item x="71"/>
        <item x="73"/>
        <item x="34"/>
        <item x="35"/>
        <item x="56"/>
        <item x="33"/>
        <item x="23"/>
        <item x="3"/>
        <item x="26"/>
        <item x="50"/>
        <item x="14"/>
        <item x="78"/>
        <item x="45"/>
        <item x="8"/>
        <item x="9"/>
        <item x="15"/>
        <item x="13"/>
        <item x="38"/>
        <item x="69"/>
        <item x="62"/>
        <item x="59"/>
        <item x="40"/>
        <item x="64"/>
        <item x="70"/>
        <item x="68"/>
        <item x="36"/>
        <item x="28"/>
        <item x="25"/>
        <item x="0"/>
        <item x="81"/>
        <item x="41"/>
        <item x="52"/>
        <item x="53"/>
        <item x="80"/>
        <item t="default"/>
      </items>
    </pivotField>
    <pivotField axis="axisRow" showAll="0">
      <items count="9">
        <item x="1"/>
        <item x="3"/>
        <item x="4"/>
        <item x="2"/>
        <item x="0"/>
        <item m="1" x="7"/>
        <item x="6"/>
        <item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 defaultSubtotal="0"/>
    <pivotField showAll="0"/>
    <pivotField showAll="0" defaultSubtotal="0"/>
    <pivotField showAll="0" defaultSubtotal="0"/>
  </pivotFields>
  <rowFields count="4">
    <field x="4"/>
    <field x="7"/>
    <field x="6"/>
    <field x="2"/>
  </rowFields>
  <rowItems count="490">
    <i>
      <x v="1"/>
    </i>
    <i r="1">
      <x/>
    </i>
    <i r="2">
      <x v="3"/>
    </i>
    <i r="3">
      <x v="12"/>
    </i>
    <i r="2">
      <x v="44"/>
    </i>
    <i r="3">
      <x v="247"/>
    </i>
    <i r="2">
      <x v="48"/>
    </i>
    <i r="3">
      <x v="35"/>
    </i>
    <i r="1">
      <x v="1"/>
    </i>
    <i r="2">
      <x v="26"/>
    </i>
    <i r="3">
      <x v="190"/>
    </i>
    <i r="2">
      <x v="66"/>
    </i>
    <i r="3">
      <x v="82"/>
    </i>
    <i r="2">
      <x v="71"/>
    </i>
    <i r="3">
      <x v="175"/>
    </i>
    <i r="2">
      <x v="72"/>
    </i>
    <i r="3">
      <x v="143"/>
    </i>
    <i r="1">
      <x v="2"/>
    </i>
    <i r="2">
      <x v="27"/>
    </i>
    <i r="3">
      <x v="92"/>
    </i>
    <i r="2">
      <x v="40"/>
    </i>
    <i r="3">
      <x v="172"/>
    </i>
    <i r="1">
      <x v="3"/>
    </i>
    <i r="2">
      <x v="29"/>
    </i>
    <i r="3">
      <x v="101"/>
    </i>
    <i r="2">
      <x v="73"/>
    </i>
    <i r="3">
      <x v="146"/>
    </i>
    <i r="1">
      <x v="4"/>
    </i>
    <i r="2">
      <x/>
    </i>
    <i r="3">
      <x v="145"/>
    </i>
    <i>
      <x v="2"/>
    </i>
    <i r="1">
      <x v="1"/>
    </i>
    <i r="2">
      <x v="67"/>
    </i>
    <i r="3">
      <x v="210"/>
    </i>
    <i r="1">
      <x v="2"/>
    </i>
    <i r="2">
      <x v="12"/>
    </i>
    <i r="3">
      <x v="278"/>
    </i>
    <i r="1">
      <x v="3"/>
    </i>
    <i r="2">
      <x v="36"/>
    </i>
    <i r="3">
      <x v="36"/>
    </i>
    <i>
      <x v="3"/>
    </i>
    <i r="1">
      <x/>
    </i>
    <i r="2">
      <x v="52"/>
    </i>
    <i r="3">
      <x v="64"/>
    </i>
    <i r="1">
      <x v="2"/>
    </i>
    <i r="2">
      <x v="79"/>
    </i>
    <i r="3">
      <x v="6"/>
    </i>
    <i r="3">
      <x v="50"/>
    </i>
    <i>
      <x v="4"/>
    </i>
    <i r="1">
      <x/>
    </i>
    <i r="2">
      <x v="43"/>
    </i>
    <i r="3">
      <x v="178"/>
    </i>
    <i r="1">
      <x v="3"/>
    </i>
    <i r="2">
      <x v="20"/>
    </i>
    <i r="3">
      <x v="209"/>
    </i>
    <i r="2">
      <x v="23"/>
    </i>
    <i r="3">
      <x v="88"/>
    </i>
    <i r="3">
      <x v="104"/>
    </i>
    <i r="3">
      <x v="153"/>
    </i>
    <i r="2">
      <x v="30"/>
    </i>
    <i r="3">
      <x v="29"/>
    </i>
    <i r="3">
      <x v="34"/>
    </i>
    <i r="3">
      <x v="65"/>
    </i>
    <i r="3">
      <x v="106"/>
    </i>
    <i r="3">
      <x v="156"/>
    </i>
    <i r="3">
      <x v="186"/>
    </i>
    <i r="3">
      <x v="220"/>
    </i>
    <i r="3">
      <x v="250"/>
    </i>
    <i r="3">
      <x v="260"/>
    </i>
    <i r="3">
      <x v="267"/>
    </i>
    <i>
      <x v="5"/>
    </i>
    <i r="1">
      <x/>
    </i>
    <i r="2">
      <x v="1"/>
    </i>
    <i r="3">
      <x v="268"/>
    </i>
    <i r="1">
      <x v="1"/>
    </i>
    <i r="2">
      <x v="38"/>
    </i>
    <i r="3">
      <x v="20"/>
    </i>
    <i r="3">
      <x v="87"/>
    </i>
    <i r="3">
      <x v="133"/>
    </i>
    <i r="2">
      <x v="61"/>
    </i>
    <i r="3">
      <x v="27"/>
    </i>
    <i r="3">
      <x v="121"/>
    </i>
    <i r="3">
      <x v="212"/>
    </i>
    <i r="3">
      <x v="262"/>
    </i>
    <i r="2">
      <x v="62"/>
    </i>
    <i r="3">
      <x v="291"/>
    </i>
    <i r="3">
      <x v="292"/>
    </i>
    <i r="2">
      <x v="81"/>
    </i>
    <i r="3">
      <x v="293"/>
    </i>
    <i r="1">
      <x v="2"/>
    </i>
    <i r="2">
      <x v="24"/>
    </i>
    <i r="3">
      <x v="17"/>
    </i>
    <i r="3">
      <x v="31"/>
    </i>
    <i r="3">
      <x v="261"/>
    </i>
    <i r="3">
      <x v="289"/>
    </i>
    <i r="2">
      <x v="50"/>
    </i>
    <i r="3">
      <x v="245"/>
    </i>
    <i r="2">
      <x v="58"/>
    </i>
    <i r="3">
      <x v="287"/>
    </i>
    <i r="2">
      <x v="62"/>
    </i>
    <i r="3">
      <x v="7"/>
    </i>
    <i r="3">
      <x v="25"/>
    </i>
    <i r="3">
      <x v="55"/>
    </i>
    <i r="3">
      <x v="69"/>
    </i>
    <i r="3">
      <x v="72"/>
    </i>
    <i r="3">
      <x v="127"/>
    </i>
    <i r="3">
      <x v="168"/>
    </i>
    <i r="3">
      <x v="169"/>
    </i>
    <i r="3">
      <x v="235"/>
    </i>
    <i r="3">
      <x v="258"/>
    </i>
    <i r="2">
      <x v="64"/>
    </i>
    <i r="3">
      <x v="3"/>
    </i>
    <i r="3">
      <x v="163"/>
    </i>
    <i r="1">
      <x v="3"/>
    </i>
    <i r="2">
      <x v="17"/>
    </i>
    <i r="3">
      <x v="89"/>
    </i>
    <i r="2">
      <x v="24"/>
    </i>
    <i r="3">
      <x v="254"/>
    </i>
    <i r="2">
      <x v="42"/>
    </i>
    <i r="3">
      <x v="238"/>
    </i>
    <i r="2">
      <x v="58"/>
    </i>
    <i r="3">
      <x v="1"/>
    </i>
    <i r="3">
      <x v="2"/>
    </i>
    <i r="3">
      <x v="21"/>
    </i>
    <i r="3">
      <x v="38"/>
    </i>
    <i r="3">
      <x v="45"/>
    </i>
    <i r="3">
      <x v="63"/>
    </i>
    <i r="3">
      <x v="66"/>
    </i>
    <i r="3">
      <x v="79"/>
    </i>
    <i r="3">
      <x v="80"/>
    </i>
    <i r="3">
      <x v="90"/>
    </i>
    <i r="3">
      <x v="91"/>
    </i>
    <i r="3">
      <x v="99"/>
    </i>
    <i r="3">
      <x v="113"/>
    </i>
    <i r="3">
      <x v="128"/>
    </i>
    <i r="3">
      <x v="130"/>
    </i>
    <i r="3">
      <x v="134"/>
    </i>
    <i r="3">
      <x v="144"/>
    </i>
    <i r="3">
      <x v="149"/>
    </i>
    <i r="3">
      <x v="159"/>
    </i>
    <i r="3">
      <x v="161"/>
    </i>
    <i r="3">
      <x v="183"/>
    </i>
    <i r="3">
      <x v="200"/>
    </i>
    <i r="3">
      <x v="207"/>
    </i>
    <i r="3">
      <x v="221"/>
    </i>
    <i r="3">
      <x v="222"/>
    </i>
    <i r="3">
      <x v="241"/>
    </i>
    <i r="3">
      <x v="242"/>
    </i>
    <i r="3">
      <x v="246"/>
    </i>
    <i r="3">
      <x v="249"/>
    </i>
    <i r="3">
      <x v="256"/>
    </i>
    <i r="3">
      <x v="263"/>
    </i>
    <i r="3">
      <x v="277"/>
    </i>
    <i r="2">
      <x v="63"/>
    </i>
    <i r="3">
      <x v="32"/>
    </i>
    <i r="3">
      <x v="54"/>
    </i>
    <i r="3">
      <x v="81"/>
    </i>
    <i r="3">
      <x v="85"/>
    </i>
    <i r="3">
      <x v="167"/>
    </i>
    <i r="3">
      <x v="177"/>
    </i>
    <i r="3">
      <x v="223"/>
    </i>
    <i r="3">
      <x v="237"/>
    </i>
    <i r="3">
      <x v="279"/>
    </i>
    <i r="3">
      <x v="288"/>
    </i>
    <i r="1">
      <x v="6"/>
    </i>
    <i r="2">
      <x/>
    </i>
    <i r="3">
      <x v="285"/>
    </i>
    <i r="1">
      <x v="7"/>
    </i>
    <i r="2">
      <x v="28"/>
    </i>
    <i r="3">
      <x v="8"/>
    </i>
    <i r="3">
      <x v="9"/>
    </i>
    <i r="3">
      <x v="10"/>
    </i>
    <i r="3">
      <x v="14"/>
    </i>
    <i r="3">
      <x v="18"/>
    </i>
    <i r="3">
      <x v="22"/>
    </i>
    <i r="3">
      <x v="26"/>
    </i>
    <i r="3">
      <x v="33"/>
    </i>
    <i r="3">
      <x v="46"/>
    </i>
    <i r="3">
      <x v="51"/>
    </i>
    <i r="3">
      <x v="53"/>
    </i>
    <i r="3">
      <x v="56"/>
    </i>
    <i r="3">
      <x v="57"/>
    </i>
    <i r="3">
      <x v="74"/>
    </i>
    <i r="3">
      <x v="76"/>
    </i>
    <i r="3">
      <x v="77"/>
    </i>
    <i r="3">
      <x v="78"/>
    </i>
    <i r="3">
      <x v="102"/>
    </i>
    <i r="3">
      <x v="107"/>
    </i>
    <i r="3">
      <x v="110"/>
    </i>
    <i r="3">
      <x v="111"/>
    </i>
    <i r="3">
      <x v="114"/>
    </i>
    <i r="3">
      <x v="115"/>
    </i>
    <i r="3">
      <x v="117"/>
    </i>
    <i r="3">
      <x v="119"/>
    </i>
    <i r="3">
      <x v="123"/>
    </i>
    <i r="3">
      <x v="124"/>
    </i>
    <i r="3">
      <x v="138"/>
    </i>
    <i r="3">
      <x v="142"/>
    </i>
    <i r="3">
      <x v="160"/>
    </i>
    <i r="3">
      <x v="181"/>
    </i>
    <i r="3">
      <x v="194"/>
    </i>
    <i r="3">
      <x v="195"/>
    </i>
    <i r="3">
      <x v="202"/>
    </i>
    <i r="3">
      <x v="204"/>
    </i>
    <i r="3">
      <x v="205"/>
    </i>
    <i r="3">
      <x v="208"/>
    </i>
    <i r="3">
      <x v="211"/>
    </i>
    <i r="3">
      <x v="214"/>
    </i>
    <i r="3">
      <x v="215"/>
    </i>
    <i r="3">
      <x v="216"/>
    </i>
    <i r="3">
      <x v="227"/>
    </i>
    <i r="3">
      <x v="230"/>
    </i>
    <i r="3">
      <x v="236"/>
    </i>
    <i r="3">
      <x v="255"/>
    </i>
    <i r="3">
      <x v="274"/>
    </i>
    <i r="3">
      <x v="276"/>
    </i>
    <i r="3">
      <x v="286"/>
    </i>
    <i>
      <x v="6"/>
    </i>
    <i r="1">
      <x v="2"/>
    </i>
    <i r="2">
      <x/>
    </i>
    <i r="3">
      <x v="148"/>
    </i>
    <i>
      <x v="7"/>
    </i>
    <i r="1">
      <x v="1"/>
    </i>
    <i r="2">
      <x v="41"/>
    </i>
    <i r="3">
      <x v="162"/>
    </i>
    <i r="3">
      <x v="197"/>
    </i>
    <i>
      <x v="8"/>
    </i>
    <i r="1">
      <x/>
    </i>
    <i r="2">
      <x v="53"/>
    </i>
    <i r="3">
      <x v="40"/>
    </i>
    <i r="1">
      <x v="2"/>
    </i>
    <i r="2">
      <x v="13"/>
    </i>
    <i r="3">
      <x v="109"/>
    </i>
    <i r="1">
      <x v="3"/>
    </i>
    <i r="2">
      <x v="51"/>
    </i>
    <i r="3">
      <x v="70"/>
    </i>
    <i r="3">
      <x v="176"/>
    </i>
    <i r="3">
      <x v="184"/>
    </i>
    <i r="1">
      <x v="7"/>
    </i>
    <i r="2">
      <x v="51"/>
    </i>
    <i r="3">
      <x v="61"/>
    </i>
    <i r="3">
      <x v="83"/>
    </i>
    <i r="3">
      <x v="206"/>
    </i>
    <i r="3">
      <x v="219"/>
    </i>
    <i r="3">
      <x v="240"/>
    </i>
    <i r="3">
      <x v="243"/>
    </i>
    <i>
      <x v="9"/>
    </i>
    <i r="1">
      <x/>
    </i>
    <i r="2">
      <x v="60"/>
    </i>
    <i r="3">
      <x v="126"/>
    </i>
    <i r="1">
      <x v="2"/>
    </i>
    <i r="2">
      <x v="60"/>
    </i>
    <i r="3">
      <x v="154"/>
    </i>
    <i r="1">
      <x v="3"/>
    </i>
    <i r="2">
      <x v="17"/>
    </i>
    <i r="3">
      <x v="44"/>
    </i>
    <i r="2">
      <x v="25"/>
    </i>
    <i r="3">
      <x v="164"/>
    </i>
    <i r="3">
      <x v="203"/>
    </i>
    <i r="2">
      <x v="28"/>
    </i>
    <i r="3">
      <x v="108"/>
    </i>
    <i r="3">
      <x v="131"/>
    </i>
    <i r="1">
      <x v="7"/>
    </i>
    <i r="2">
      <x v="16"/>
    </i>
    <i r="3">
      <x v="140"/>
    </i>
    <i r="2">
      <x v="28"/>
    </i>
    <i r="3">
      <x v="42"/>
    </i>
    <i r="3">
      <x v="94"/>
    </i>
    <i r="3">
      <x v="97"/>
    </i>
    <i r="3">
      <x v="100"/>
    </i>
    <i r="3">
      <x v="103"/>
    </i>
    <i r="3">
      <x v="112"/>
    </i>
    <i r="3">
      <x v="147"/>
    </i>
    <i r="3">
      <x v="179"/>
    </i>
    <i r="3">
      <x v="188"/>
    </i>
    <i r="3">
      <x v="192"/>
    </i>
    <i r="3">
      <x v="234"/>
    </i>
    <i r="3">
      <x v="257"/>
    </i>
    <i r="3">
      <x v="275"/>
    </i>
    <i>
      <x v="10"/>
    </i>
    <i r="1">
      <x/>
    </i>
    <i r="2">
      <x v="50"/>
    </i>
    <i r="3">
      <x v="239"/>
    </i>
    <i>
      <x v="11"/>
    </i>
    <i r="1">
      <x v="1"/>
    </i>
    <i r="2">
      <x v="41"/>
    </i>
    <i r="3">
      <x v="59"/>
    </i>
    <i r="2">
      <x v="59"/>
    </i>
    <i r="3">
      <x v="41"/>
    </i>
    <i r="1">
      <x v="2"/>
    </i>
    <i r="2">
      <x v="29"/>
    </i>
    <i r="3">
      <x v="180"/>
    </i>
    <i r="3">
      <x v="193"/>
    </i>
    <i r="1">
      <x v="6"/>
    </i>
    <i r="2">
      <x/>
    </i>
    <i r="3">
      <x v="13"/>
    </i>
    <i>
      <x v="12"/>
    </i>
    <i r="1">
      <x/>
    </i>
    <i r="2">
      <x v="49"/>
    </i>
    <i r="3">
      <x v="248"/>
    </i>
    <i r="1">
      <x v="2"/>
    </i>
    <i r="2">
      <x v="69"/>
    </i>
    <i r="3">
      <x v="49"/>
    </i>
    <i>
      <x v="13"/>
    </i>
    <i r="1">
      <x/>
    </i>
    <i r="2">
      <x v="45"/>
    </i>
    <i r="3">
      <x v="191"/>
    </i>
    <i r="1">
      <x v="1"/>
    </i>
    <i r="2">
      <x v="70"/>
    </i>
    <i r="3">
      <x v="198"/>
    </i>
    <i r="1">
      <x v="2"/>
    </i>
    <i r="2">
      <x v="14"/>
    </i>
    <i r="3">
      <x v="15"/>
    </i>
    <i r="3">
      <x v="95"/>
    </i>
    <i r="3">
      <x v="280"/>
    </i>
    <i r="2">
      <x v="33"/>
    </i>
    <i r="3">
      <x v="141"/>
    </i>
    <i r="1">
      <x v="3"/>
    </i>
    <i r="2">
      <x v="32"/>
    </i>
    <i r="3">
      <x v="4"/>
    </i>
    <i r="3">
      <x v="62"/>
    </i>
    <i r="3">
      <x v="125"/>
    </i>
    <i r="3">
      <x v="157"/>
    </i>
    <i r="3">
      <x v="233"/>
    </i>
    <i r="3">
      <x v="281"/>
    </i>
    <i r="2">
      <x v="33"/>
    </i>
    <i r="3">
      <x v="68"/>
    </i>
    <i r="2">
      <x v="37"/>
    </i>
    <i r="3">
      <x v="269"/>
    </i>
    <i>
      <x v="14"/>
    </i>
    <i r="1">
      <x/>
    </i>
    <i r="2">
      <x v="21"/>
    </i>
    <i r="3">
      <x v="137"/>
    </i>
    <i r="2">
      <x v="22"/>
    </i>
    <i r="3">
      <x v="37"/>
    </i>
    <i r="1">
      <x v="1"/>
    </i>
    <i r="2">
      <x v="40"/>
    </i>
    <i r="3">
      <x v="5"/>
    </i>
    <i r="3">
      <x v="58"/>
    </i>
    <i r="3">
      <x v="120"/>
    </i>
    <i r="3">
      <x v="155"/>
    </i>
    <i r="3">
      <x v="173"/>
    </i>
    <i r="3">
      <x v="259"/>
    </i>
    <i r="3">
      <x v="264"/>
    </i>
    <i r="3">
      <x v="270"/>
    </i>
    <i r="1">
      <x v="2"/>
    </i>
    <i r="2">
      <x v="40"/>
    </i>
    <i r="3">
      <x v="116"/>
    </i>
    <i r="3">
      <x v="150"/>
    </i>
    <i r="1">
      <x v="4"/>
    </i>
    <i r="2">
      <x v="4"/>
    </i>
    <i r="3">
      <x v="48"/>
    </i>
    <i>
      <x v="15"/>
    </i>
    <i r="1">
      <x v="1"/>
    </i>
    <i r="2">
      <x v="39"/>
    </i>
    <i r="3">
      <x v="196"/>
    </i>
    <i>
      <x v="16"/>
    </i>
    <i r="1">
      <x/>
    </i>
    <i r="2">
      <x v="47"/>
    </i>
    <i r="3">
      <x v="158"/>
    </i>
    <i r="1">
      <x v="1"/>
    </i>
    <i r="2">
      <x v="7"/>
    </i>
    <i r="3">
      <x v="218"/>
    </i>
    <i r="2">
      <x v="9"/>
    </i>
    <i r="3">
      <x v="67"/>
    </i>
    <i r="3">
      <x v="252"/>
    </i>
    <i r="2">
      <x v="55"/>
    </i>
    <i r="3">
      <x v="244"/>
    </i>
    <i r="2">
      <x v="56"/>
    </i>
    <i r="3">
      <x v="86"/>
    </i>
    <i r="2">
      <x v="57"/>
    </i>
    <i r="3">
      <x v="229"/>
    </i>
    <i r="1">
      <x v="2"/>
    </i>
    <i r="2">
      <x v="5"/>
    </i>
    <i r="3">
      <x v="231"/>
    </i>
    <i r="2">
      <x v="9"/>
    </i>
    <i r="3">
      <x v="118"/>
    </i>
    <i r="1">
      <x v="3"/>
    </i>
    <i r="2">
      <x v="2"/>
    </i>
    <i r="3">
      <x v="105"/>
    </i>
    <i r="3">
      <x v="171"/>
    </i>
    <i r="2">
      <x v="5"/>
    </i>
    <i r="3">
      <x v="24"/>
    </i>
    <i r="3">
      <x v="290"/>
    </i>
    <i r="2">
      <x v="8"/>
    </i>
    <i r="3">
      <x v="189"/>
    </i>
    <i r="3">
      <x v="213"/>
    </i>
    <i r="3">
      <x v="284"/>
    </i>
    <i r="2">
      <x v="9"/>
    </i>
    <i r="3">
      <x v="28"/>
    </i>
    <i r="2">
      <x v="10"/>
    </i>
    <i r="3">
      <x v="11"/>
    </i>
    <i r="2">
      <x v="11"/>
    </i>
    <i r="3">
      <x v="30"/>
    </i>
    <i r="3">
      <x v="182"/>
    </i>
    <i r="2">
      <x v="42"/>
    </i>
    <i r="3">
      <x v="96"/>
    </i>
    <i r="3">
      <x v="251"/>
    </i>
    <i r="2">
      <x v="54"/>
    </i>
    <i r="3">
      <x v="84"/>
    </i>
    <i r="2">
      <x v="63"/>
    </i>
    <i r="3">
      <x v="136"/>
    </i>
    <i r="3">
      <x v="170"/>
    </i>
    <i r="3">
      <x v="187"/>
    </i>
    <i r="3">
      <x v="271"/>
    </i>
    <i r="1">
      <x v="6"/>
    </i>
    <i r="2">
      <x v="5"/>
    </i>
    <i r="3">
      <x v="75"/>
    </i>
    <i r="3">
      <x v="199"/>
    </i>
    <i r="3">
      <x v="253"/>
    </i>
    <i r="2">
      <x v="6"/>
    </i>
    <i r="3">
      <x v="47"/>
    </i>
    <i r="3">
      <x v="71"/>
    </i>
    <i r="3">
      <x v="139"/>
    </i>
    <i r="1">
      <x v="7"/>
    </i>
    <i r="2">
      <x v="28"/>
    </i>
    <i r="3">
      <x v="43"/>
    </i>
    <i r="3">
      <x v="272"/>
    </i>
    <i>
      <x v="17"/>
    </i>
    <i r="1">
      <x v="2"/>
    </i>
    <i r="2">
      <x v="73"/>
    </i>
    <i r="3">
      <x v="16"/>
    </i>
    <i>
      <x v="18"/>
    </i>
    <i r="1">
      <x/>
    </i>
    <i r="2">
      <x v="75"/>
    </i>
    <i r="3">
      <x v="228"/>
    </i>
    <i r="1">
      <x v="1"/>
    </i>
    <i r="2">
      <x v="74"/>
    </i>
    <i r="3">
      <x v="185"/>
    </i>
    <i r="1">
      <x v="2"/>
    </i>
    <i r="2">
      <x v="74"/>
    </i>
    <i r="3">
      <x v="98"/>
    </i>
    <i r="1">
      <x v="3"/>
    </i>
    <i r="2">
      <x v="74"/>
    </i>
    <i r="3">
      <x v="224"/>
    </i>
    <i r="3">
      <x v="294"/>
    </i>
    <i>
      <x v="19"/>
    </i>
    <i r="1">
      <x/>
    </i>
    <i r="2">
      <x v="46"/>
    </i>
    <i r="3">
      <x v="201"/>
    </i>
    <i r="1">
      <x v="1"/>
    </i>
    <i r="2">
      <x v="68"/>
    </i>
    <i r="3">
      <x v="52"/>
    </i>
    <i r="2">
      <x v="80"/>
    </i>
    <i r="3">
      <x v="232"/>
    </i>
    <i r="1">
      <x v="2"/>
    </i>
    <i r="2">
      <x v="15"/>
    </i>
    <i r="3">
      <x v="19"/>
    </i>
    <i r="3">
      <x v="129"/>
    </i>
    <i r="3">
      <x v="132"/>
    </i>
    <i r="3">
      <x v="217"/>
    </i>
    <i r="2">
      <x v="18"/>
    </i>
    <i r="3">
      <x v="266"/>
    </i>
    <i r="3">
      <x v="273"/>
    </i>
    <i r="2">
      <x v="19"/>
    </i>
    <i r="3">
      <x v="93"/>
    </i>
    <i r="3">
      <x v="165"/>
    </i>
    <i r="3">
      <x v="166"/>
    </i>
    <i r="1">
      <x v="3"/>
    </i>
    <i r="2">
      <x v="18"/>
    </i>
    <i r="3">
      <x v="122"/>
    </i>
    <i r="3">
      <x v="135"/>
    </i>
    <i r="2">
      <x v="19"/>
    </i>
    <i r="3">
      <x v="60"/>
    </i>
    <i r="2">
      <x v="31"/>
    </i>
    <i r="3">
      <x v="226"/>
    </i>
    <i r="2">
      <x v="35"/>
    </i>
    <i r="3">
      <x v="23"/>
    </i>
    <i r="3">
      <x v="225"/>
    </i>
    <i r="3">
      <x v="265"/>
    </i>
    <i r="2">
      <x v="78"/>
    </i>
    <i r="3">
      <x v="39"/>
    </i>
    <i>
      <x v="20"/>
    </i>
    <i r="1">
      <x v="2"/>
    </i>
    <i r="2">
      <x v="34"/>
    </i>
    <i r="3">
      <x v="151"/>
    </i>
    <i r="1">
      <x v="3"/>
    </i>
    <i r="2">
      <x v="65"/>
    </i>
    <i r="3">
      <x v="73"/>
    </i>
    <i r="3">
      <x v="152"/>
    </i>
    <i r="3">
      <x v="174"/>
    </i>
    <i>
      <x v="21"/>
    </i>
    <i r="1">
      <x v="4"/>
    </i>
    <i r="2">
      <x v="76"/>
    </i>
    <i r="3">
      <x v="282"/>
    </i>
    <i>
      <x v="22"/>
    </i>
    <i r="1">
      <x v="4"/>
    </i>
    <i r="2">
      <x v="77"/>
    </i>
    <i r="3">
      <x v="28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3" hier="-1"/>
  </pageFields>
  <dataFields count="7">
    <dataField name="Sum of الراتب ديسمبر 2017" fld="13" baseField="0" baseItem="0"/>
    <dataField name="Sum of مبلغ التقييم النسبي 2017" fld="48" baseField="0" baseItem="0"/>
    <dataField name="Sum of فروقات الحد الادني" fld="50" baseField="0" baseItem="0" numFmtId="4"/>
    <dataField name="Sum of السنوات على راتب ديسمبر" fld="17" baseField="0" baseItem="0"/>
    <dataField name="Sum of الزياده2" fld="57" baseField="0" baseItem="0" numFmtId="4"/>
    <dataField name="Sum of الراتب القترح 2" fld="56" baseField="0" baseItem="0" numFmtId="4"/>
    <dataField name="Average of النسبه" fld="58" subtotal="average" baseField="0" baseItem="0" numFmtId="4"/>
  </dataFields>
  <formats count="29">
    <format dxfId="63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3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31">
      <pivotArea outline="0" collapsedLevelsAreSubtotals="1" fieldPosition="0">
        <references count="1">
          <reference field="4294967294" count="3" selected="0">
            <x v="2"/>
            <x v="4"/>
            <x v="5"/>
          </reference>
        </references>
      </pivotArea>
    </format>
    <format dxfId="630">
      <pivotArea type="topRight" dataOnly="0" labelOnly="1" outline="0" fieldPosition="0"/>
    </format>
    <format dxfId="629">
      <pivotArea dataOnly="0" labelOnly="1" outline="0" fieldPosition="0">
        <references count="1">
          <reference field="4294967294" count="3">
            <x v="2"/>
            <x v="4"/>
            <x v="5"/>
          </reference>
        </references>
      </pivotArea>
    </format>
    <format dxfId="628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627">
      <pivotArea type="all" dataOnly="0" outline="0" fieldPosition="0"/>
    </format>
    <format dxfId="62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625">
      <pivotArea outline="0" collapsedLevelsAreSubtotals="1" fieldPosition="0"/>
    </format>
    <format dxfId="624">
      <pivotArea dataOnly="0" labelOnly="1" outline="0" fieldPosition="0">
        <references count="1">
          <reference field="3" count="1">
            <x v="3"/>
          </reference>
        </references>
      </pivotArea>
    </format>
    <format dxfId="623">
      <pivotArea field="-2" type="button" dataOnly="0" labelOnly="1" outline="0" axis="axisCol" fieldPosition="0"/>
    </format>
    <format dxfId="622">
      <pivotArea type="topRight" dataOnly="0" labelOnly="1" outline="0" fieldPosition="0"/>
    </format>
    <format dxfId="621">
      <pivotArea dataOnly="0" labelOnly="1" outline="0" fieldPosition="0">
        <references count="1">
          <reference field="4294967294" count="5">
            <x v="0"/>
            <x v="2"/>
            <x v="4"/>
            <x v="5"/>
            <x v="6"/>
          </reference>
        </references>
      </pivotArea>
    </format>
    <format dxfId="620">
      <pivotArea outline="0" collapsedLevelsAreSubtotals="1" fieldPosition="0"/>
    </format>
    <format dxfId="619">
      <pivotArea dataOnly="0" labelOnly="1" outline="0" fieldPosition="0">
        <references count="1">
          <reference field="3" count="1">
            <x v="3"/>
          </reference>
        </references>
      </pivotArea>
    </format>
    <format dxfId="618">
      <pivotArea field="-2" type="button" dataOnly="0" labelOnly="1" outline="0" axis="axisCol" fieldPosition="0"/>
    </format>
    <format dxfId="617">
      <pivotArea type="topRight" dataOnly="0" labelOnly="1" outline="0" fieldPosition="0"/>
    </format>
    <format dxfId="616">
      <pivotArea dataOnly="0" labelOnly="1" outline="0" fieldPosition="0">
        <references count="1">
          <reference field="4294967294" count="5">
            <x v="0"/>
            <x v="2"/>
            <x v="4"/>
            <x v="5"/>
            <x v="6"/>
          </reference>
        </references>
      </pivotArea>
    </format>
    <format dxfId="615">
      <pivotArea type="topRight" dataOnly="0" labelOnly="1" outline="0" fieldPosition="0"/>
    </format>
    <format dxfId="6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13">
      <pivotArea field="3" type="button" dataOnly="0" labelOnly="1" outline="0" axis="axisPage" fieldPosition="0"/>
    </format>
    <format dxfId="612">
      <pivotArea dataOnly="0" labelOnly="1" outline="0" fieldPosition="0">
        <references count="1">
          <reference field="3" count="1">
            <x v="3"/>
          </reference>
        </references>
      </pivotArea>
    </format>
    <format dxfId="611">
      <pivotArea field="3" type="button" dataOnly="0" labelOnly="1" outline="0" axis="axisPage" fieldPosition="0"/>
    </format>
    <format dxfId="610">
      <pivotArea dataOnly="0" labelOnly="1" outline="0" fieldPosition="0">
        <references count="1">
          <reference field="3" count="1">
            <x v="3"/>
          </reference>
        </references>
      </pivotArea>
    </format>
    <format dxfId="609">
      <pivotArea field="3" type="button" dataOnly="0" labelOnly="1" outline="0" axis="axisPage" fieldPosition="0"/>
    </format>
    <format dxfId="608">
      <pivotArea dataOnly="0" labelOnly="1" outline="0" fieldPosition="0">
        <references count="1">
          <reference field="3" count="1">
            <x v="3"/>
          </reference>
        </references>
      </pivotArea>
    </format>
    <format dxfId="60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6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chartFormat="1">
  <location ref="A3:K476" firstHeaderRow="0" firstDataRow="1" firstDataCol="1" rowPageCount="1" colPageCount="1"/>
  <pivotFields count="61">
    <pivotField showAll="0"/>
    <pivotField axis="axisRow" showAll="0">
      <items count="340">
        <item x="262"/>
        <item x="71"/>
        <item x="128"/>
        <item x="22"/>
        <item x="40"/>
        <item x="151"/>
        <item x="94"/>
        <item x="104"/>
        <item x="225"/>
        <item x="47"/>
        <item x="324"/>
        <item x="1"/>
        <item x="234"/>
        <item x="238"/>
        <item x="155"/>
        <item x="317"/>
        <item x="147"/>
        <item x="117"/>
        <item x="292"/>
        <item x="83"/>
        <item x="212"/>
        <item x="17"/>
        <item x="41"/>
        <item x="59"/>
        <item x="203"/>
        <item x="10"/>
        <item x="144"/>
        <item x="127"/>
        <item x="57"/>
        <item x="55"/>
        <item x="207"/>
        <item x="149"/>
        <item x="102"/>
        <item x="85"/>
        <item x="130"/>
        <item x="245"/>
        <item x="31"/>
        <item x="313"/>
        <item x="186"/>
        <item x="182"/>
        <item x="227"/>
        <item x="330"/>
        <item x="129"/>
        <item x="278"/>
        <item x="160"/>
        <item x="49"/>
        <item x="326"/>
        <item x="18"/>
        <item x="88"/>
        <item x="58"/>
        <item x="231"/>
        <item x="300"/>
        <item x="328"/>
        <item x="24"/>
        <item x="190"/>
        <item x="211"/>
        <item x="139"/>
        <item x="99"/>
        <item x="135"/>
        <item x="302"/>
        <item x="84"/>
        <item x="307"/>
        <item x="198"/>
        <item x="255"/>
        <item x="331"/>
        <item x="276"/>
        <item x="189"/>
        <item x="170"/>
        <item x="187"/>
        <item x="97"/>
        <item x="208"/>
        <item x="219"/>
        <item x="299"/>
        <item x="301"/>
        <item x="183"/>
        <item x="141"/>
        <item x="23"/>
        <item x="296"/>
        <item x="311"/>
        <item x="308"/>
        <item x="33"/>
        <item x="181"/>
        <item x="228"/>
        <item x="106"/>
        <item x="38"/>
        <item x="126"/>
        <item x="309"/>
        <item x="9"/>
        <item x="261"/>
        <item x="65"/>
        <item x="323"/>
        <item x="174"/>
        <item x="185"/>
        <item x="76"/>
        <item x="229"/>
        <item x="325"/>
        <item x="192"/>
        <item x="210"/>
        <item x="148"/>
        <item x="250"/>
        <item x="81"/>
        <item x="51"/>
        <item x="322"/>
        <item x="67"/>
        <item x="122"/>
        <item x="270"/>
        <item x="173"/>
        <item x="284"/>
        <item x="30"/>
        <item x="107"/>
        <item x="34"/>
        <item x="8"/>
        <item x="314"/>
        <item x="165"/>
        <item x="150"/>
        <item x="123"/>
        <item x="68"/>
        <item x="75"/>
        <item x="295"/>
        <item x="142"/>
        <item x="153"/>
        <item x="204"/>
        <item x="233"/>
        <item x="143"/>
        <item x="124"/>
        <item x="12"/>
        <item x="273"/>
        <item x="236"/>
        <item x="213"/>
        <item x="251"/>
        <item x="166"/>
        <item x="43"/>
        <item x="223"/>
        <item x="172"/>
        <item x="26"/>
        <item x="242"/>
        <item x="202"/>
        <item x="121"/>
        <item x="103"/>
        <item x="334"/>
        <item x="162"/>
        <item x="196"/>
        <item x="197"/>
        <item x="113"/>
        <item x="28"/>
        <item x="101"/>
        <item x="35"/>
        <item x="109"/>
        <item x="282"/>
        <item x="36"/>
        <item x="329"/>
        <item x="178"/>
        <item x="277"/>
        <item x="274"/>
        <item x="62"/>
        <item x="256"/>
        <item x="136"/>
        <item x="11"/>
        <item x="79"/>
        <item x="86"/>
        <item x="318"/>
        <item x="159"/>
        <item x="336"/>
        <item x="25"/>
        <item x="157"/>
        <item x="305"/>
        <item x="15"/>
        <item x="13"/>
        <item x="137"/>
        <item x="42"/>
        <item x="327"/>
        <item x="298"/>
        <item x="116"/>
        <item x="92"/>
        <item x="188"/>
        <item x="200"/>
        <item x="269"/>
        <item x="29"/>
        <item x="303"/>
        <item x="69"/>
        <item x="134"/>
        <item x="286"/>
        <item x="56"/>
        <item x="180"/>
        <item x="201"/>
        <item x="95"/>
        <item x="252"/>
        <item x="140"/>
        <item x="114"/>
        <item x="294"/>
        <item x="80"/>
        <item x="53"/>
        <item x="4"/>
        <item x="48"/>
        <item x="37"/>
        <item x="280"/>
        <item x="98"/>
        <item x="16"/>
        <item x="96"/>
        <item x="168"/>
        <item x="66"/>
        <item x="7"/>
        <item x="64"/>
        <item x="44"/>
        <item x="321"/>
        <item x="319"/>
        <item x="291"/>
        <item x="290"/>
        <item x="146"/>
        <item x="283"/>
        <item x="272"/>
        <item x="63"/>
        <item x="304"/>
        <item x="281"/>
        <item x="285"/>
        <item x="271"/>
        <item x="199"/>
        <item x="54"/>
        <item x="131"/>
        <item x="264"/>
        <item x="169"/>
        <item x="312"/>
        <item x="14"/>
        <item x="156"/>
        <item x="2"/>
        <item x="235"/>
        <item x="21"/>
        <item x="289"/>
        <item x="224"/>
        <item x="118"/>
        <item m="1" x="338"/>
        <item x="279"/>
        <item x="254"/>
        <item x="218"/>
        <item x="194"/>
        <item x="248"/>
        <item x="20"/>
        <item x="214"/>
        <item x="333"/>
        <item x="226"/>
        <item x="111"/>
        <item x="112"/>
        <item x="52"/>
        <item x="167"/>
        <item x="267"/>
        <item x="209"/>
        <item x="265"/>
        <item x="120"/>
        <item x="6"/>
        <item x="179"/>
        <item x="175"/>
        <item x="205"/>
        <item x="243"/>
        <item x="310"/>
        <item x="158"/>
        <item x="320"/>
        <item x="82"/>
        <item x="259"/>
        <item x="241"/>
        <item x="61"/>
        <item x="77"/>
        <item x="70"/>
        <item x="237"/>
        <item x="138"/>
        <item x="39"/>
        <item x="215"/>
        <item x="184"/>
        <item x="161"/>
        <item x="32"/>
        <item x="133"/>
        <item x="275"/>
        <item x="191"/>
        <item x="263"/>
        <item x="230"/>
        <item x="154"/>
        <item x="332"/>
        <item x="100"/>
        <item x="246"/>
        <item x="288"/>
        <item x="240"/>
        <item x="258"/>
        <item x="164"/>
        <item x="222"/>
        <item x="177"/>
        <item x="145"/>
        <item x="60"/>
        <item x="217"/>
        <item x="105"/>
        <item x="266"/>
        <item x="176"/>
        <item x="206"/>
        <item x="3"/>
        <item x="91"/>
        <item x="89"/>
        <item x="268"/>
        <item x="232"/>
        <item x="78"/>
        <item x="87"/>
        <item x="260"/>
        <item x="72"/>
        <item x="239"/>
        <item x="244"/>
        <item x="195"/>
        <item x="221"/>
        <item x="132"/>
        <item x="73"/>
        <item x="253"/>
        <item x="287"/>
        <item x="46"/>
        <item x="293"/>
        <item x="315"/>
        <item x="257"/>
        <item x="125"/>
        <item x="27"/>
        <item x="74"/>
        <item x="297"/>
        <item x="19"/>
        <item x="316"/>
        <item x="247"/>
        <item x="119"/>
        <item x="306"/>
        <item x="5"/>
        <item x="171"/>
        <item x="249"/>
        <item x="163"/>
        <item x="45"/>
        <item x="110"/>
        <item x="152"/>
        <item x="216"/>
        <item m="1" x="337"/>
        <item x="115"/>
        <item x="93"/>
        <item x="90"/>
        <item x="220"/>
        <item x="193"/>
        <item x="50"/>
        <item x="108"/>
        <item x="0"/>
        <item x="335"/>
        <item t="default"/>
      </items>
    </pivotField>
    <pivotField axis="axisRow" showAll="0" sortType="ascending">
      <items count="10">
        <item m="1" x="8"/>
        <item h="1" x="7"/>
        <item x="2"/>
        <item x="3"/>
        <item x="1"/>
        <item h="1" x="4"/>
        <item x="6"/>
        <item x="5"/>
        <item h="1" x="0"/>
        <item t="default"/>
      </items>
    </pivotField>
    <pivotField axis="axisRow" showAll="0">
      <items count="22">
        <item x="17"/>
        <item x="1"/>
        <item x="15"/>
        <item x="14"/>
        <item x="12"/>
        <item x="3"/>
        <item x="19"/>
        <item x="18"/>
        <item x="9"/>
        <item x="6"/>
        <item x="10"/>
        <item x="16"/>
        <item x="13"/>
        <item x="5"/>
        <item x="7"/>
        <item x="2"/>
        <item x="20"/>
        <item x="8"/>
        <item x="4"/>
        <item x="11"/>
        <item x="0"/>
        <item t="default"/>
      </items>
    </pivotField>
    <pivotField showAll="0"/>
    <pivotField axis="axisRow" showAll="0">
      <items count="88">
        <item x="64"/>
        <item x="5"/>
        <item x="1"/>
        <item x="79"/>
        <item x="43"/>
        <item x="39"/>
        <item x="36"/>
        <item x="2"/>
        <item x="24"/>
        <item x="26"/>
        <item x="44"/>
        <item x="61"/>
        <item x="59"/>
        <item x="47"/>
        <item x="28"/>
        <item x="14"/>
        <item x="49"/>
        <item x="56"/>
        <item x="41"/>
        <item x="13"/>
        <item x="70"/>
        <item x="77"/>
        <item x="27"/>
        <item x="46"/>
        <item x="21"/>
        <item x="85"/>
        <item x="62"/>
        <item x="65"/>
        <item x="33"/>
        <item x="18"/>
        <item x="53"/>
        <item x="10"/>
        <item x="35"/>
        <item x="66"/>
        <item x="81"/>
        <item x="86"/>
        <item x="55"/>
        <item x="17"/>
        <item x="68"/>
        <item x="42"/>
        <item x="58"/>
        <item x="9"/>
        <item x="51"/>
        <item x="84"/>
        <item x="52"/>
        <item x="7"/>
        <item x="50"/>
        <item x="19"/>
        <item x="76"/>
        <item x="48"/>
        <item x="80"/>
        <item x="71"/>
        <item x="16"/>
        <item x="15"/>
        <item x="4"/>
        <item x="75"/>
        <item x="63"/>
        <item x="83"/>
        <item x="30"/>
        <item x="31"/>
        <item x="11"/>
        <item x="78"/>
        <item x="82"/>
        <item x="54"/>
        <item x="29"/>
        <item x="20"/>
        <item x="3"/>
        <item x="23"/>
        <item x="45"/>
        <item x="40"/>
        <item x="38"/>
        <item x="6"/>
        <item x="8"/>
        <item x="12"/>
        <item x="34"/>
        <item x="73"/>
        <item x="60"/>
        <item x="57"/>
        <item x="37"/>
        <item x="74"/>
        <item x="69"/>
        <item x="67"/>
        <item x="72"/>
        <item x="32"/>
        <item x="25"/>
        <item x="22"/>
        <item x="0"/>
        <item t="default"/>
      </items>
    </pivotField>
    <pivotField showAll="0"/>
    <pivotField showAll="0"/>
    <pivotField showAll="0"/>
    <pivotField axis="axisPage" showAll="0">
      <items count="23">
        <item x="1"/>
        <item x="6"/>
        <item x="4"/>
        <item x="14"/>
        <item x="7"/>
        <item x="12"/>
        <item x="3"/>
        <item x="13"/>
        <item x="18"/>
        <item x="8"/>
        <item x="19"/>
        <item x="2"/>
        <item x="9"/>
        <item x="11"/>
        <item x="16"/>
        <item x="10"/>
        <item x="5"/>
        <item x="15"/>
        <item x="17"/>
        <item x="0"/>
        <item x="21"/>
        <item x="20"/>
        <item t="default"/>
      </items>
    </pivotField>
    <pivotField showAll="0"/>
    <pivotField numFmtId="14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3" showAll="0"/>
    <pivotField numFmtId="3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</pivotFields>
  <rowFields count="4">
    <field x="2"/>
    <field x="3"/>
    <field x="5"/>
    <field x="1"/>
  </rowFields>
  <rowItems count="473">
    <i>
      <x v="2"/>
    </i>
    <i r="1">
      <x/>
    </i>
    <i r="2">
      <x v="23"/>
    </i>
    <i r="3">
      <x v="338"/>
    </i>
    <i r="2">
      <x v="47"/>
    </i>
    <i r="3">
      <x v="155"/>
    </i>
    <i r="2">
      <x v="81"/>
    </i>
    <i r="3">
      <x v="306"/>
    </i>
    <i r="1">
      <x v="1"/>
    </i>
    <i r="2">
      <x v="27"/>
    </i>
    <i r="3">
      <x v="225"/>
    </i>
    <i r="2">
      <x v="28"/>
    </i>
    <i r="3">
      <x v="117"/>
    </i>
    <i r="2">
      <x v="47"/>
    </i>
    <i r="3">
      <x v="206"/>
    </i>
    <i r="1">
      <x v="6"/>
    </i>
    <i r="2">
      <x/>
    </i>
    <i r="3">
      <x v="181"/>
    </i>
    <i r="1">
      <x v="9"/>
    </i>
    <i r="2">
      <x v="29"/>
    </i>
    <i r="3">
      <x v="77"/>
    </i>
    <i r="3">
      <x v="118"/>
    </i>
    <i r="3">
      <x v="227"/>
    </i>
    <i r="3">
      <x v="278"/>
    </i>
    <i r="3">
      <x v="307"/>
    </i>
    <i r="1">
      <x v="10"/>
    </i>
    <i r="2">
      <x v="58"/>
    </i>
    <i r="3">
      <x v="133"/>
    </i>
    <i r="1">
      <x v="11"/>
    </i>
    <i r="2">
      <x/>
    </i>
    <i r="3">
      <x v="12"/>
    </i>
    <i r="2">
      <x v="31"/>
    </i>
    <i r="3">
      <x v="214"/>
    </i>
    <i r="2">
      <x v="48"/>
    </i>
    <i r="3">
      <x v="73"/>
    </i>
    <i r="2">
      <x v="61"/>
    </i>
    <i r="3">
      <x v="51"/>
    </i>
    <i r="1">
      <x v="12"/>
    </i>
    <i r="2">
      <x v="56"/>
    </i>
    <i r="3">
      <x v="295"/>
    </i>
    <i r="1">
      <x v="14"/>
    </i>
    <i r="2">
      <x v="21"/>
    </i>
    <i r="3">
      <x v="171"/>
    </i>
    <i r="2">
      <x v="22"/>
    </i>
    <i r="3">
      <x v="45"/>
    </i>
    <i r="2">
      <x v="47"/>
    </i>
    <i r="3">
      <x v="15"/>
    </i>
    <i r="3">
      <x v="72"/>
    </i>
    <i r="3">
      <x v="189"/>
    </i>
    <i r="3">
      <x v="207"/>
    </i>
    <i r="3">
      <x v="309"/>
    </i>
    <i r="3">
      <x v="315"/>
    </i>
    <i r="1">
      <x v="16"/>
    </i>
    <i r="2">
      <x v="83"/>
    </i>
    <i r="3">
      <x v="18"/>
    </i>
    <i r="1">
      <x v="17"/>
    </i>
    <i r="2">
      <x v="84"/>
    </i>
    <i r="3">
      <x v="122"/>
    </i>
    <i>
      <x v="3"/>
    </i>
    <i r="1">
      <x/>
    </i>
    <i r="2">
      <x v="28"/>
    </i>
    <i r="3">
      <x v="317"/>
    </i>
    <i r="2">
      <x v="29"/>
    </i>
    <i r="3">
      <x v="78"/>
    </i>
    <i r="1">
      <x v="1"/>
    </i>
    <i r="2">
      <x v="51"/>
    </i>
    <i r="3">
      <x v="294"/>
    </i>
    <i r="2">
      <x v="75"/>
    </i>
    <i r="3">
      <x v="105"/>
    </i>
    <i r="2">
      <x v="79"/>
    </i>
    <i r="3">
      <x v="210"/>
    </i>
    <i r="2">
      <x v="82"/>
    </i>
    <i r="3">
      <x v="176"/>
    </i>
    <i r="1">
      <x v="4"/>
    </i>
    <i r="2">
      <x v="20"/>
    </i>
    <i r="3">
      <x v="244"/>
    </i>
    <i r="1">
      <x v="5"/>
    </i>
    <i r="2">
      <x v="29"/>
    </i>
    <i r="3">
      <x v="64"/>
    </i>
    <i r="3">
      <x v="65"/>
    </i>
    <i r="3">
      <x v="126"/>
    </i>
    <i r="3">
      <x v="152"/>
    </i>
    <i r="3">
      <x v="153"/>
    </i>
    <i r="3">
      <x v="215"/>
    </i>
    <i r="2">
      <x v="72"/>
    </i>
    <i r="3">
      <x v="204"/>
    </i>
    <i r="3">
      <x v="255"/>
    </i>
    <i r="1">
      <x v="14"/>
    </i>
    <i r="2">
      <x v="57"/>
    </i>
    <i r="3">
      <x v="160"/>
    </i>
    <i>
      <x v="4"/>
    </i>
    <i r="1">
      <x/>
    </i>
    <i r="2">
      <x v="58"/>
    </i>
    <i r="3">
      <x v="219"/>
    </i>
    <i r="1">
      <x v="1"/>
    </i>
    <i r="2">
      <x v="2"/>
    </i>
    <i r="3">
      <x v="11"/>
    </i>
    <i r="2">
      <x v="31"/>
    </i>
    <i r="3">
      <x v="125"/>
    </i>
    <i r="2">
      <x v="83"/>
    </i>
    <i r="3">
      <x v="179"/>
    </i>
    <i r="1">
      <x v="2"/>
    </i>
    <i r="2">
      <x v="11"/>
    </i>
    <i r="3">
      <x v="333"/>
    </i>
    <i r="2">
      <x v="42"/>
    </i>
    <i r="3">
      <x v="44"/>
    </i>
    <i r="2">
      <x v="76"/>
    </i>
    <i r="3">
      <x v="245"/>
    </i>
    <i r="1">
      <x v="3"/>
    </i>
    <i r="2">
      <x v="16"/>
    </i>
    <i r="3">
      <x v="5"/>
    </i>
    <i r="3">
      <x v="62"/>
    </i>
    <i r="2">
      <x v="35"/>
    </i>
    <i r="3">
      <x v="41"/>
    </i>
    <i r="2">
      <x v="38"/>
    </i>
    <i r="3">
      <x v="246"/>
    </i>
    <i r="2">
      <x v="43"/>
    </i>
    <i r="3">
      <x v="90"/>
    </i>
    <i r="2">
      <x v="63"/>
    </i>
    <i r="3">
      <x v="81"/>
    </i>
    <i r="1">
      <x v="4"/>
    </i>
    <i r="2">
      <x v="23"/>
    </i>
    <i r="3">
      <x v="113"/>
    </i>
    <i r="3">
      <x v="130"/>
    </i>
    <i r="3">
      <x v="187"/>
    </i>
    <i r="3">
      <x v="232"/>
    </i>
    <i r="2">
      <x v="32"/>
    </i>
    <i r="3">
      <x v="42"/>
    </i>
    <i r="3">
      <x v="190"/>
    </i>
    <i r="3">
      <x v="221"/>
    </i>
    <i r="2">
      <x v="50"/>
    </i>
    <i r="3">
      <x v="212"/>
    </i>
    <i r="1">
      <x v="5"/>
    </i>
    <i r="2">
      <x v="1"/>
    </i>
    <i r="3">
      <x v="321"/>
    </i>
    <i r="2">
      <x v="24"/>
    </i>
    <i r="3">
      <x v="19"/>
    </i>
    <i r="3">
      <x v="36"/>
    </i>
    <i r="3">
      <x v="162"/>
    </i>
    <i r="3">
      <x v="303"/>
    </i>
    <i r="3">
      <x v="312"/>
    </i>
    <i r="2">
      <x v="25"/>
    </i>
    <i r="3">
      <x v="150"/>
    </i>
    <i r="2">
      <x v="29"/>
    </i>
    <i r="3">
      <x/>
    </i>
    <i r="3">
      <x v="8"/>
    </i>
    <i r="3">
      <x v="14"/>
    </i>
    <i r="3">
      <x v="20"/>
    </i>
    <i r="3">
      <x v="24"/>
    </i>
    <i r="3">
      <x v="30"/>
    </i>
    <i r="3">
      <x v="35"/>
    </i>
    <i r="3">
      <x v="46"/>
    </i>
    <i r="3">
      <x v="50"/>
    </i>
    <i r="3">
      <x v="55"/>
    </i>
    <i r="3">
      <x v="57"/>
    </i>
    <i r="3">
      <x v="70"/>
    </i>
    <i r="3">
      <x v="71"/>
    </i>
    <i r="3">
      <x v="79"/>
    </i>
    <i r="3">
      <x v="86"/>
    </i>
    <i r="3">
      <x v="94"/>
    </i>
    <i r="3">
      <x v="96"/>
    </i>
    <i r="3">
      <x v="98"/>
    </i>
    <i r="3">
      <x v="99"/>
    </i>
    <i r="3">
      <x v="100"/>
    </i>
    <i r="3">
      <x v="129"/>
    </i>
    <i r="3">
      <x v="135"/>
    </i>
    <i r="3">
      <x v="137"/>
    </i>
    <i r="3">
      <x v="138"/>
    </i>
    <i r="3">
      <x v="142"/>
    </i>
    <i r="3">
      <x v="143"/>
    </i>
    <i r="3">
      <x v="145"/>
    </i>
    <i r="3">
      <x v="147"/>
    </i>
    <i r="3">
      <x v="172"/>
    </i>
    <i r="3">
      <x v="228"/>
    </i>
    <i r="3">
      <x v="235"/>
    </i>
    <i r="3">
      <x v="240"/>
    </i>
    <i r="3">
      <x v="243"/>
    </i>
    <i r="3">
      <x v="247"/>
    </i>
    <i r="3">
      <x v="250"/>
    </i>
    <i r="3">
      <x v="252"/>
    </i>
    <i r="3">
      <x v="253"/>
    </i>
    <i r="3">
      <x v="257"/>
    </i>
    <i r="3">
      <x v="267"/>
    </i>
    <i r="3">
      <x v="272"/>
    </i>
    <i r="3">
      <x v="273"/>
    </i>
    <i r="3">
      <x v="277"/>
    </i>
    <i r="3">
      <x v="282"/>
    </i>
    <i r="3">
      <x v="298"/>
    </i>
    <i r="3">
      <x v="301"/>
    </i>
    <i r="3">
      <x v="304"/>
    </i>
    <i r="3">
      <x v="310"/>
    </i>
    <i r="3">
      <x v="320"/>
    </i>
    <i r="3">
      <x v="323"/>
    </i>
    <i r="3">
      <x v="328"/>
    </i>
    <i r="3">
      <x v="331"/>
    </i>
    <i r="2">
      <x v="30"/>
    </i>
    <i r="3">
      <x v="249"/>
    </i>
    <i r="2">
      <x v="45"/>
    </i>
    <i r="3">
      <x v="17"/>
    </i>
    <i r="3">
      <x v="22"/>
    </i>
    <i r="3">
      <x v="111"/>
    </i>
    <i r="3">
      <x v="166"/>
    </i>
    <i r="3">
      <x v="196"/>
    </i>
    <i r="3">
      <x v="200"/>
    </i>
    <i r="3">
      <x v="201"/>
    </i>
    <i r="3">
      <x v="275"/>
    </i>
    <i r="2">
      <x v="49"/>
    </i>
    <i r="3">
      <x v="284"/>
    </i>
    <i r="2">
      <x v="58"/>
    </i>
    <i r="3">
      <x v="292"/>
    </i>
    <i r="2">
      <x v="60"/>
    </i>
    <i r="3">
      <x v="1"/>
    </i>
    <i r="3">
      <x v="2"/>
    </i>
    <i r="3">
      <x v="7"/>
    </i>
    <i r="3">
      <x v="47"/>
    </i>
    <i r="3">
      <x v="56"/>
    </i>
    <i r="3">
      <x v="63"/>
    </i>
    <i r="3">
      <x v="67"/>
    </i>
    <i r="3">
      <x v="68"/>
    </i>
    <i r="3">
      <x v="101"/>
    </i>
    <i r="3">
      <x v="102"/>
    </i>
    <i r="3">
      <x v="104"/>
    </i>
    <i r="3">
      <x v="112"/>
    </i>
    <i r="3">
      <x v="114"/>
    </i>
    <i r="3">
      <x v="116"/>
    </i>
    <i r="3">
      <x v="167"/>
    </i>
    <i r="3">
      <x v="177"/>
    </i>
    <i r="3">
      <x v="194"/>
    </i>
    <i r="3">
      <x v="217"/>
    </i>
    <i r="3">
      <x v="234"/>
    </i>
    <i r="3">
      <x v="242"/>
    </i>
    <i r="3">
      <x v="260"/>
    </i>
    <i r="3">
      <x v="262"/>
    </i>
    <i r="3">
      <x v="279"/>
    </i>
    <i r="3">
      <x v="287"/>
    </i>
    <i r="3">
      <x v="293"/>
    </i>
    <i r="3">
      <x v="305"/>
    </i>
    <i r="3">
      <x v="311"/>
    </i>
    <i r="3">
      <x v="314"/>
    </i>
    <i r="3">
      <x v="334"/>
    </i>
    <i r="2">
      <x v="71"/>
    </i>
    <i r="3">
      <x v="31"/>
    </i>
    <i r="3">
      <x v="149"/>
    </i>
    <i r="3">
      <x v="248"/>
    </i>
    <i r="3">
      <x v="313"/>
    </i>
    <i r="2">
      <x v="72"/>
    </i>
    <i r="3">
      <x v="6"/>
    </i>
    <i r="3">
      <x v="10"/>
    </i>
    <i r="3">
      <x v="23"/>
    </i>
    <i r="3">
      <x v="29"/>
    </i>
    <i r="3">
      <x v="69"/>
    </i>
    <i r="3">
      <x v="80"/>
    </i>
    <i r="3">
      <x v="83"/>
    </i>
    <i r="3">
      <x v="87"/>
    </i>
    <i r="3">
      <x v="92"/>
    </i>
    <i r="3">
      <x v="103"/>
    </i>
    <i r="3">
      <x v="115"/>
    </i>
    <i r="3">
      <x v="123"/>
    </i>
    <i r="3">
      <x v="141"/>
    </i>
    <i r="3">
      <x v="157"/>
    </i>
    <i r="3">
      <x v="158"/>
    </i>
    <i r="3">
      <x v="161"/>
    </i>
    <i r="3">
      <x v="182"/>
    </i>
    <i r="3">
      <x v="193"/>
    </i>
    <i r="3">
      <x v="238"/>
    </i>
    <i r="3">
      <x v="261"/>
    </i>
    <i r="3">
      <x v="270"/>
    </i>
    <i r="3">
      <x v="280"/>
    </i>
    <i r="3">
      <x v="281"/>
    </i>
    <i r="3">
      <x v="289"/>
    </i>
    <i r="3">
      <x v="299"/>
    </i>
    <i r="3">
      <x v="308"/>
    </i>
    <i r="3">
      <x v="332"/>
    </i>
    <i r="2">
      <x v="73"/>
    </i>
    <i r="3">
      <x v="33"/>
    </i>
    <i r="3">
      <x v="38"/>
    </i>
    <i r="3">
      <x v="39"/>
    </i>
    <i r="3">
      <x v="40"/>
    </i>
    <i r="3">
      <x v="61"/>
    </i>
    <i r="3">
      <x v="95"/>
    </i>
    <i r="3">
      <x v="109"/>
    </i>
    <i r="3">
      <x v="139"/>
    </i>
    <i r="3">
      <x v="199"/>
    </i>
    <i r="3">
      <x v="229"/>
    </i>
    <i r="3">
      <x v="237"/>
    </i>
    <i r="3">
      <x v="251"/>
    </i>
    <i r="3">
      <x v="263"/>
    </i>
    <i r="3">
      <x v="283"/>
    </i>
    <i r="1">
      <x v="8"/>
    </i>
    <i r="2">
      <x v="59"/>
    </i>
    <i r="3">
      <x v="75"/>
    </i>
    <i r="3">
      <x v="89"/>
    </i>
    <i r="3">
      <x v="106"/>
    </i>
    <i r="3">
      <x v="211"/>
    </i>
    <i r="3">
      <x v="218"/>
    </i>
    <i r="3">
      <x v="241"/>
    </i>
    <i r="3">
      <x v="259"/>
    </i>
    <i r="3">
      <x v="286"/>
    </i>
    <i r="3">
      <x v="290"/>
    </i>
    <i r="3">
      <x v="296"/>
    </i>
    <i r="3">
      <x v="297"/>
    </i>
    <i r="3">
      <x v="318"/>
    </i>
    <i r="2">
      <x v="64"/>
    </i>
    <i r="3">
      <x v="49"/>
    </i>
    <i r="1">
      <x v="9"/>
    </i>
    <i r="2">
      <x v="17"/>
    </i>
    <i r="3">
      <x v="174"/>
    </i>
    <i r="2">
      <x v="26"/>
    </i>
    <i r="3">
      <x v="239"/>
    </i>
    <i r="2">
      <x v="29"/>
    </i>
    <i r="3">
      <x v="53"/>
    </i>
    <i r="3">
      <x v="88"/>
    </i>
    <i r="3">
      <x v="121"/>
    </i>
    <i r="3">
      <x v="124"/>
    </i>
    <i r="3">
      <x v="128"/>
    </i>
    <i r="3">
      <x v="132"/>
    </i>
    <i r="3">
      <x v="134"/>
    </i>
    <i r="3">
      <x v="140"/>
    </i>
    <i r="3">
      <x v="163"/>
    </i>
    <i r="3">
      <x v="180"/>
    </i>
    <i r="3">
      <x v="223"/>
    </i>
    <i r="3">
      <x v="330"/>
    </i>
    <i r="2">
      <x v="34"/>
    </i>
    <i r="3">
      <x v="165"/>
    </i>
    <i r="2">
      <x v="69"/>
    </i>
    <i r="3">
      <x v="156"/>
    </i>
    <i r="3">
      <x v="188"/>
    </i>
    <i r="1">
      <x v="10"/>
    </i>
    <i r="2">
      <x v="58"/>
    </i>
    <i r="3">
      <x v="285"/>
    </i>
    <i r="1">
      <x v="12"/>
    </i>
    <i r="2">
      <x v="78"/>
    </i>
    <i r="3">
      <x v="60"/>
    </i>
    <i r="1">
      <x v="13"/>
    </i>
    <i r="2">
      <x v="14"/>
    </i>
    <i r="3">
      <x v="16"/>
    </i>
    <i r="3">
      <x v="119"/>
    </i>
    <i r="3">
      <x v="335"/>
    </i>
    <i r="2">
      <x v="33"/>
    </i>
    <i r="3">
      <x v="186"/>
    </i>
    <i r="2">
      <x v="37"/>
    </i>
    <i r="3">
      <x v="3"/>
    </i>
    <i r="3">
      <x v="76"/>
    </i>
    <i r="3">
      <x v="154"/>
    </i>
    <i r="3">
      <x v="191"/>
    </i>
    <i r="3">
      <x v="276"/>
    </i>
    <i r="3">
      <x v="336"/>
    </i>
    <i r="2">
      <x v="39"/>
    </i>
    <i r="3">
      <x v="85"/>
    </i>
    <i r="3">
      <x v="175"/>
    </i>
    <i r="2">
      <x v="44"/>
    </i>
    <i r="3">
      <x v="322"/>
    </i>
    <i r="2">
      <x v="52"/>
    </i>
    <i r="3">
      <x v="226"/>
    </i>
    <i r="1">
      <x v="14"/>
    </i>
    <i r="2">
      <x v="47"/>
    </i>
    <i r="3">
      <x v="4"/>
    </i>
    <i r="3">
      <x v="144"/>
    </i>
    <i r="3">
      <x v="183"/>
    </i>
    <i r="3">
      <x v="324"/>
    </i>
    <i r="1">
      <x v="15"/>
    </i>
    <i r="2">
      <x v="4"/>
    </i>
    <i r="3">
      <x v="13"/>
    </i>
    <i r="3">
      <x v="27"/>
    </i>
    <i r="3">
      <x v="97"/>
    </i>
    <i r="3">
      <x v="170"/>
    </i>
    <i r="3">
      <x v="233"/>
    </i>
    <i r="3">
      <x v="271"/>
    </i>
    <i r="3">
      <x v="300"/>
    </i>
    <i r="3">
      <x v="302"/>
    </i>
    <i r="2">
      <x v="5"/>
    </i>
    <i r="3">
      <x v="58"/>
    </i>
    <i r="3">
      <x v="91"/>
    </i>
    <i r="3">
      <x v="173"/>
    </i>
    <i r="2">
      <x v="6"/>
    </i>
    <i r="3">
      <x v="256"/>
    </i>
    <i r="2">
      <x v="7"/>
    </i>
    <i r="3">
      <x v="28"/>
    </i>
    <i r="3">
      <x v="224"/>
    </i>
    <i r="2">
      <x v="8"/>
    </i>
    <i r="3">
      <x v="32"/>
    </i>
    <i r="3">
      <x v="84"/>
    </i>
    <i r="3">
      <x v="146"/>
    </i>
    <i r="2">
      <x v="9"/>
    </i>
    <i r="3">
      <x v="9"/>
    </i>
    <i r="2">
      <x v="10"/>
    </i>
    <i r="3">
      <x v="34"/>
    </i>
    <i r="3">
      <x v="216"/>
    </i>
    <i r="2">
      <x v="29"/>
    </i>
    <i r="3">
      <x v="54"/>
    </i>
    <i r="3">
      <x v="82"/>
    </i>
    <i r="3">
      <x v="127"/>
    </i>
    <i r="3">
      <x v="258"/>
    </i>
    <i r="3">
      <x v="326"/>
    </i>
    <i r="2">
      <x v="49"/>
    </i>
    <i r="3">
      <x v="120"/>
    </i>
    <i r="2">
      <x v="54"/>
    </i>
    <i r="3">
      <x v="192"/>
    </i>
    <i r="2">
      <x v="65"/>
    </i>
    <i r="3">
      <x v="108"/>
    </i>
    <i r="2">
      <x v="66"/>
    </i>
    <i r="3">
      <x v="291"/>
    </i>
    <i r="2">
      <x v="67"/>
    </i>
    <i r="3">
      <x v="110"/>
    </i>
    <i r="2">
      <x v="68"/>
    </i>
    <i r="3">
      <x v="269"/>
    </i>
    <i r="2">
      <x v="73"/>
    </i>
    <i r="3">
      <x v="131"/>
    </i>
    <i r="3">
      <x v="169"/>
    </i>
    <i r="3">
      <x v="202"/>
    </i>
    <i r="3">
      <x v="203"/>
    </i>
    <i r="3">
      <x v="222"/>
    </i>
    <i r="3">
      <x v="325"/>
    </i>
    <i r="1">
      <x v="17"/>
    </i>
    <i r="2">
      <x v="84"/>
    </i>
    <i r="3">
      <x v="52"/>
    </i>
    <i r="3">
      <x v="220"/>
    </i>
    <i r="3">
      <x v="264"/>
    </i>
    <i r="2">
      <x v="85"/>
    </i>
    <i r="3">
      <x v="268"/>
    </i>
    <i r="1">
      <x v="18"/>
    </i>
    <i r="2">
      <x v="12"/>
    </i>
    <i r="3">
      <x v="136"/>
    </i>
    <i r="2">
      <x v="13"/>
    </i>
    <i r="3">
      <x v="26"/>
    </i>
    <i r="2">
      <x v="15"/>
    </i>
    <i r="3">
      <x v="21"/>
    </i>
    <i r="3">
      <x v="159"/>
    </i>
    <i r="3">
      <x v="164"/>
    </i>
    <i r="3">
      <x v="254"/>
    </i>
    <i r="2">
      <x v="18"/>
    </i>
    <i r="3">
      <x v="151"/>
    </i>
    <i r="3">
      <x v="168"/>
    </i>
    <i r="3">
      <x v="319"/>
    </i>
    <i r="3">
      <x v="327"/>
    </i>
    <i r="2">
      <x v="19"/>
    </i>
    <i r="3">
      <x v="74"/>
    </i>
    <i r="3">
      <x v="197"/>
    </i>
    <i r="3">
      <x v="198"/>
    </i>
    <i r="2">
      <x v="36"/>
    </i>
    <i r="3">
      <x v="266"/>
    </i>
    <i r="2">
      <x v="41"/>
    </i>
    <i r="3">
      <x v="25"/>
    </i>
    <i r="3">
      <x v="265"/>
    </i>
    <i r="3">
      <x v="316"/>
    </i>
    <i r="2">
      <x v="46"/>
    </i>
    <i r="3">
      <x v="274"/>
    </i>
    <i r="2">
      <x v="53"/>
    </i>
    <i r="3">
      <x v="236"/>
    </i>
    <i r="2">
      <x v="70"/>
    </i>
    <i r="3">
      <x v="48"/>
    </i>
    <i r="2">
      <x v="77"/>
    </i>
    <i r="3">
      <x v="66"/>
    </i>
    <i r="2">
      <x v="80"/>
    </i>
    <i r="3">
      <x v="288"/>
    </i>
    <i r="1">
      <x v="19"/>
    </i>
    <i r="2">
      <x v="40"/>
    </i>
    <i r="3">
      <x v="184"/>
    </i>
    <i r="2">
      <x v="62"/>
    </i>
    <i r="3">
      <x v="37"/>
    </i>
    <i r="2">
      <x v="74"/>
    </i>
    <i r="3">
      <x v="93"/>
    </i>
    <i r="3">
      <x v="185"/>
    </i>
    <i r="3">
      <x v="208"/>
    </i>
    <i>
      <x v="6"/>
    </i>
    <i r="1">
      <x v="1"/>
    </i>
    <i r="2">
      <x/>
    </i>
    <i r="3">
      <x v="178"/>
    </i>
    <i>
      <x v="7"/>
    </i>
    <i r="1">
      <x v="14"/>
    </i>
    <i r="2">
      <x v="3"/>
    </i>
    <i r="3">
      <x v="59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9" hier="-1"/>
  </pageFields>
  <dataFields count="10">
    <dataField name="Sum of راتب ديسمبر 2018" fld="15" baseField="1" baseItem="107"/>
    <dataField name="Average of نسبه التقييم الرئيسي 2018" fld="40" subtotal="average" baseField="0" baseItem="0"/>
    <dataField name="Sum of السنوات على راتب ديسمبر" fld="16" baseField="2" baseItem="0"/>
    <dataField name="Sum of مبلغ التقييم النسبي 2018" fld="41" baseField="0" baseItem="0"/>
    <dataField name="Sum of فروقات الحد الادني" fld="43" baseField="1" baseItem="155"/>
    <dataField name="Sum of التعديل" fld="48" baseField="2" baseItem="2"/>
    <dataField name="Sum of جبر الرقم" fld="49" baseField="2" baseItem="2"/>
    <dataField name="Sum of الزياده النهائيه" fld="50" baseField="1" baseItem="155"/>
    <dataField name="Sum of الراتب النهائي" fld="51" baseField="1" baseItem="155"/>
    <dataField name="Average of نسبه الزياده النهائيه" fld="52" subtotal="average" baseField="3" baseItem="0"/>
  </dataFields>
  <formats count="213">
    <format dxfId="60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0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9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97">
      <pivotArea outline="0" collapsedLevelsAreSubtotals="1" fieldPosition="0"/>
    </format>
    <format dxfId="596">
      <pivotArea dataOnly="0" labelOnly="1" outline="0" fieldPosition="0">
        <references count="1">
          <reference field="9" count="1">
            <x v="14"/>
          </reference>
        </references>
      </pivotArea>
    </format>
    <format dxfId="59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7"/>
            <x v="8"/>
          </reference>
        </references>
      </pivotArea>
    </format>
    <format dxfId="594">
      <pivotArea outline="0" collapsedLevelsAreSubtotals="1" fieldPosition="0"/>
    </format>
    <format dxfId="593">
      <pivotArea dataOnly="0" labelOnly="1" outline="0" fieldPosition="0">
        <references count="1">
          <reference field="9" count="1">
            <x v="14"/>
          </reference>
        </references>
      </pivotArea>
    </format>
    <format dxfId="59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7"/>
            <x v="8"/>
          </reference>
        </references>
      </pivotArea>
    </format>
    <format dxfId="5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0">
      <pivotArea collapsedLevelsAreSubtotals="1" fieldPosition="0">
        <references count="1">
          <reference field="2" count="0"/>
        </references>
      </pivotArea>
    </format>
    <format dxfId="589">
      <pivotArea collapsedLevelsAreSubtotals="1" fieldPosition="0">
        <references count="2">
          <reference field="2" count="0" selected="0"/>
          <reference field="3" count="1">
            <x v="0"/>
          </reference>
        </references>
      </pivotArea>
    </format>
    <format dxfId="588">
      <pivotArea collapsedLevelsAreSubtotals="1" fieldPosition="0">
        <references count="3">
          <reference field="2" count="0" selected="0"/>
          <reference field="3" count="1" selected="0">
            <x v="0"/>
          </reference>
          <reference field="5" count="1">
            <x v="29"/>
          </reference>
        </references>
      </pivotArea>
    </format>
    <format dxfId="587">
      <pivotArea collapsedLevelsAreSubtotals="1" fieldPosition="0">
        <references count="4">
          <reference field="1" count="1">
            <x v="64"/>
          </reference>
          <reference field="2" count="0" selected="0"/>
          <reference field="3" count="1" selected="0">
            <x v="0"/>
          </reference>
          <reference field="5" count="1" selected="0">
            <x v="29"/>
          </reference>
        </references>
      </pivotArea>
    </format>
    <format dxfId="586">
      <pivotArea collapsedLevelsAreSubtotals="1" fieldPosition="0">
        <references count="3">
          <reference field="2" count="0" selected="0"/>
          <reference field="3" count="1" selected="0">
            <x v="0"/>
          </reference>
          <reference field="5" count="1">
            <x v="58"/>
          </reference>
        </references>
      </pivotArea>
    </format>
    <format dxfId="585">
      <pivotArea collapsedLevelsAreSubtotals="1" fieldPosition="0">
        <references count="4">
          <reference field="1" count="1">
            <x v="219"/>
          </reference>
          <reference field="2" count="0" selected="0"/>
          <reference field="3" count="1" selected="0">
            <x v="0"/>
          </reference>
          <reference field="5" count="1" selected="0">
            <x v="58"/>
          </reference>
        </references>
      </pivotArea>
    </format>
    <format dxfId="584">
      <pivotArea collapsedLevelsAreSubtotals="1" fieldPosition="0">
        <references count="2">
          <reference field="2" count="0" selected="0"/>
          <reference field="3" count="1">
            <x v="1"/>
          </reference>
        </references>
      </pivotArea>
    </format>
    <format dxfId="583">
      <pivotArea collapsedLevelsAreSubtotals="1" fieldPosition="0">
        <references count="3">
          <reference field="2" count="0" selected="0"/>
          <reference field="3" count="1" selected="0">
            <x v="1"/>
          </reference>
          <reference field="5" count="1">
            <x v="2"/>
          </reference>
        </references>
      </pivotArea>
    </format>
    <format dxfId="582">
      <pivotArea collapsedLevelsAreSubtotals="1" fieldPosition="0">
        <references count="4">
          <reference field="1" count="1">
            <x v="11"/>
          </reference>
          <reference field="2" count="0" selected="0"/>
          <reference field="3" count="1" selected="0">
            <x v="1"/>
          </reference>
          <reference field="5" count="1" selected="0">
            <x v="2"/>
          </reference>
        </references>
      </pivotArea>
    </format>
    <format dxfId="581">
      <pivotArea collapsedLevelsAreSubtotals="1" fieldPosition="0">
        <references count="3">
          <reference field="2" count="0" selected="0"/>
          <reference field="3" count="1" selected="0">
            <x v="1"/>
          </reference>
          <reference field="5" count="1">
            <x v="31"/>
          </reference>
        </references>
      </pivotArea>
    </format>
    <format dxfId="580">
      <pivotArea collapsedLevelsAreSubtotals="1" fieldPosition="0">
        <references count="4">
          <reference field="1" count="1">
            <x v="125"/>
          </reference>
          <reference field="2" count="0" selected="0"/>
          <reference field="3" count="1" selected="0">
            <x v="1"/>
          </reference>
          <reference field="5" count="1" selected="0">
            <x v="31"/>
          </reference>
        </references>
      </pivotArea>
    </format>
    <format dxfId="579">
      <pivotArea collapsedLevelsAreSubtotals="1" fieldPosition="0">
        <references count="3">
          <reference field="2" count="0" selected="0"/>
          <reference field="3" count="1" selected="0">
            <x v="1"/>
          </reference>
          <reference field="5" count="1">
            <x v="83"/>
          </reference>
        </references>
      </pivotArea>
    </format>
    <format dxfId="578">
      <pivotArea collapsedLevelsAreSubtotals="1" fieldPosition="0">
        <references count="4">
          <reference field="1" count="1">
            <x v="179"/>
          </reference>
          <reference field="2" count="0" selected="0"/>
          <reference field="3" count="1" selected="0">
            <x v="1"/>
          </reference>
          <reference field="5" count="1" selected="0">
            <x v="83"/>
          </reference>
        </references>
      </pivotArea>
    </format>
    <format dxfId="577">
      <pivotArea collapsedLevelsAreSubtotals="1" fieldPosition="0">
        <references count="2">
          <reference field="2" count="0" selected="0"/>
          <reference field="3" count="1">
            <x v="2"/>
          </reference>
        </references>
      </pivotArea>
    </format>
    <format dxfId="576">
      <pivotArea collapsedLevelsAreSubtotals="1" fieldPosition="0">
        <references count="3">
          <reference field="2" count="0" selected="0"/>
          <reference field="3" count="1" selected="0">
            <x v="2"/>
          </reference>
          <reference field="5" count="1">
            <x v="11"/>
          </reference>
        </references>
      </pivotArea>
    </format>
    <format dxfId="575">
      <pivotArea collapsedLevelsAreSubtotals="1" fieldPosition="0">
        <references count="4">
          <reference field="1" count="1">
            <x v="333"/>
          </reference>
          <reference field="2" count="0" selected="0"/>
          <reference field="3" count="1" selected="0">
            <x v="2"/>
          </reference>
          <reference field="5" count="1" selected="0">
            <x v="11"/>
          </reference>
        </references>
      </pivotArea>
    </format>
    <format dxfId="574">
      <pivotArea collapsedLevelsAreSubtotals="1" fieldPosition="0">
        <references count="3">
          <reference field="2" count="0" selected="0"/>
          <reference field="3" count="1" selected="0">
            <x v="2"/>
          </reference>
          <reference field="5" count="1">
            <x v="42"/>
          </reference>
        </references>
      </pivotArea>
    </format>
    <format dxfId="573">
      <pivotArea collapsedLevelsAreSubtotals="1" fieldPosition="0">
        <references count="4">
          <reference field="1" count="1">
            <x v="44"/>
          </reference>
          <reference field="2" count="0" selected="0"/>
          <reference field="3" count="1" selected="0">
            <x v="2"/>
          </reference>
          <reference field="5" count="1" selected="0">
            <x v="42"/>
          </reference>
        </references>
      </pivotArea>
    </format>
    <format dxfId="572">
      <pivotArea collapsedLevelsAreSubtotals="1" fieldPosition="0">
        <references count="3">
          <reference field="2" count="0" selected="0"/>
          <reference field="3" count="1" selected="0">
            <x v="2"/>
          </reference>
          <reference field="5" count="1">
            <x v="76"/>
          </reference>
        </references>
      </pivotArea>
    </format>
    <format dxfId="571">
      <pivotArea collapsedLevelsAreSubtotals="1" fieldPosition="0">
        <references count="4">
          <reference field="1" count="1">
            <x v="245"/>
          </reference>
          <reference field="2" count="0" selected="0"/>
          <reference field="3" count="1" selected="0">
            <x v="2"/>
          </reference>
          <reference field="5" count="1" selected="0">
            <x v="76"/>
          </reference>
        </references>
      </pivotArea>
    </format>
    <format dxfId="570">
      <pivotArea collapsedLevelsAreSubtotals="1" fieldPosition="0">
        <references count="2">
          <reference field="2" count="0" selected="0"/>
          <reference field="3" count="1">
            <x v="3"/>
          </reference>
        </references>
      </pivotArea>
    </format>
    <format dxfId="569">
      <pivotArea collapsedLevelsAreSubtotals="1" fieldPosition="0">
        <references count="3">
          <reference field="2" count="0" selected="0"/>
          <reference field="3" count="1" selected="0">
            <x v="3"/>
          </reference>
          <reference field="5" count="1">
            <x v="16"/>
          </reference>
        </references>
      </pivotArea>
    </format>
    <format dxfId="568">
      <pivotArea collapsedLevelsAreSubtotals="1" fieldPosition="0">
        <references count="4">
          <reference field="1" count="2">
            <x v="5"/>
            <x v="62"/>
          </reference>
          <reference field="2" count="0" selected="0"/>
          <reference field="3" count="1" selected="0">
            <x v="3"/>
          </reference>
          <reference field="5" count="1" selected="0">
            <x v="16"/>
          </reference>
        </references>
      </pivotArea>
    </format>
    <format dxfId="567">
      <pivotArea collapsedLevelsAreSubtotals="1" fieldPosition="0">
        <references count="3">
          <reference field="2" count="0" selected="0"/>
          <reference field="3" count="1" selected="0">
            <x v="3"/>
          </reference>
          <reference field="5" count="1">
            <x v="35"/>
          </reference>
        </references>
      </pivotArea>
    </format>
    <format dxfId="566">
      <pivotArea collapsedLevelsAreSubtotals="1" fieldPosition="0">
        <references count="4">
          <reference field="1" count="1">
            <x v="41"/>
          </reference>
          <reference field="2" count="0" selected="0"/>
          <reference field="3" count="1" selected="0">
            <x v="3"/>
          </reference>
          <reference field="5" count="1" selected="0">
            <x v="35"/>
          </reference>
        </references>
      </pivotArea>
    </format>
    <format dxfId="565">
      <pivotArea collapsedLevelsAreSubtotals="1" fieldPosition="0">
        <references count="3">
          <reference field="2" count="0" selected="0"/>
          <reference field="3" count="1" selected="0">
            <x v="3"/>
          </reference>
          <reference field="5" count="1">
            <x v="38"/>
          </reference>
        </references>
      </pivotArea>
    </format>
    <format dxfId="564">
      <pivotArea collapsedLevelsAreSubtotals="1" fieldPosition="0">
        <references count="4">
          <reference field="1" count="1">
            <x v="246"/>
          </reference>
          <reference field="2" count="0" selected="0"/>
          <reference field="3" count="1" selected="0">
            <x v="3"/>
          </reference>
          <reference field="5" count="1" selected="0">
            <x v="38"/>
          </reference>
        </references>
      </pivotArea>
    </format>
    <format dxfId="563">
      <pivotArea collapsedLevelsAreSubtotals="1" fieldPosition="0">
        <references count="3">
          <reference field="2" count="0" selected="0"/>
          <reference field="3" count="1" selected="0">
            <x v="3"/>
          </reference>
          <reference field="5" count="1">
            <x v="43"/>
          </reference>
        </references>
      </pivotArea>
    </format>
    <format dxfId="562">
      <pivotArea collapsedLevelsAreSubtotals="1" fieldPosition="0">
        <references count="4">
          <reference field="1" count="1">
            <x v="90"/>
          </reference>
          <reference field="2" count="0" selected="0"/>
          <reference field="3" count="1" selected="0">
            <x v="3"/>
          </reference>
          <reference field="5" count="1" selected="0">
            <x v="43"/>
          </reference>
        </references>
      </pivotArea>
    </format>
    <format dxfId="561">
      <pivotArea collapsedLevelsAreSubtotals="1" fieldPosition="0">
        <references count="3">
          <reference field="2" count="0" selected="0"/>
          <reference field="3" count="1" selected="0">
            <x v="3"/>
          </reference>
          <reference field="5" count="1">
            <x v="63"/>
          </reference>
        </references>
      </pivotArea>
    </format>
    <format dxfId="560">
      <pivotArea collapsedLevelsAreSubtotals="1" fieldPosition="0">
        <references count="4">
          <reference field="1" count="1">
            <x v="81"/>
          </reference>
          <reference field="2" count="0" selected="0"/>
          <reference field="3" count="1" selected="0">
            <x v="3"/>
          </reference>
          <reference field="5" count="1" selected="0">
            <x v="63"/>
          </reference>
        </references>
      </pivotArea>
    </format>
    <format dxfId="559">
      <pivotArea collapsedLevelsAreSubtotals="1" fieldPosition="0">
        <references count="2">
          <reference field="2" count="0" selected="0"/>
          <reference field="3" count="1">
            <x v="4"/>
          </reference>
        </references>
      </pivotArea>
    </format>
    <format dxfId="558">
      <pivotArea collapsedLevelsAreSubtotals="1" fieldPosition="0">
        <references count="3">
          <reference field="2" count="0" selected="0"/>
          <reference field="3" count="1" selected="0">
            <x v="4"/>
          </reference>
          <reference field="5" count="1">
            <x v="23"/>
          </reference>
        </references>
      </pivotArea>
    </format>
    <format dxfId="557">
      <pivotArea collapsedLevelsAreSubtotals="1" fieldPosition="0">
        <references count="4">
          <reference field="1" count="4">
            <x v="113"/>
            <x v="130"/>
            <x v="187"/>
            <x v="232"/>
          </reference>
          <reference field="2" count="0" selected="0"/>
          <reference field="3" count="1" selected="0">
            <x v="4"/>
          </reference>
          <reference field="5" count="1" selected="0">
            <x v="23"/>
          </reference>
        </references>
      </pivotArea>
    </format>
    <format dxfId="556">
      <pivotArea collapsedLevelsAreSubtotals="1" fieldPosition="0">
        <references count="3">
          <reference field="2" count="0" selected="0"/>
          <reference field="3" count="1" selected="0">
            <x v="4"/>
          </reference>
          <reference field="5" count="1">
            <x v="32"/>
          </reference>
        </references>
      </pivotArea>
    </format>
    <format dxfId="555">
      <pivotArea collapsedLevelsAreSubtotals="1" fieldPosition="0">
        <references count="4">
          <reference field="1" count="3">
            <x v="42"/>
            <x v="190"/>
            <x v="221"/>
          </reference>
          <reference field="2" count="0" selected="0"/>
          <reference field="3" count="1" selected="0">
            <x v="4"/>
          </reference>
          <reference field="5" count="1" selected="0">
            <x v="32"/>
          </reference>
        </references>
      </pivotArea>
    </format>
    <format dxfId="554">
      <pivotArea collapsedLevelsAreSubtotals="1" fieldPosition="0">
        <references count="3">
          <reference field="2" count="0" selected="0"/>
          <reference field="3" count="1" selected="0">
            <x v="4"/>
          </reference>
          <reference field="5" count="1">
            <x v="50"/>
          </reference>
        </references>
      </pivotArea>
    </format>
    <format dxfId="553">
      <pivotArea collapsedLevelsAreSubtotals="1" fieldPosition="0">
        <references count="4">
          <reference field="1" count="1">
            <x v="212"/>
          </reference>
          <reference field="2" count="0" selected="0"/>
          <reference field="3" count="1" selected="0">
            <x v="4"/>
          </reference>
          <reference field="5" count="1" selected="0">
            <x v="50"/>
          </reference>
        </references>
      </pivotArea>
    </format>
    <format dxfId="552">
      <pivotArea collapsedLevelsAreSubtotals="1" fieldPosition="0">
        <references count="2">
          <reference field="2" count="0" selected="0"/>
          <reference field="3" count="1">
            <x v="5"/>
          </reference>
        </references>
      </pivotArea>
    </format>
    <format dxfId="551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1"/>
          </reference>
        </references>
      </pivotArea>
    </format>
    <format dxfId="550">
      <pivotArea collapsedLevelsAreSubtotals="1" fieldPosition="0">
        <references count="4">
          <reference field="1" count="1">
            <x v="321"/>
          </reference>
          <reference field="2" count="0" selected="0"/>
          <reference field="3" count="1" selected="0">
            <x v="5"/>
          </reference>
          <reference field="5" count="1" selected="0">
            <x v="1"/>
          </reference>
        </references>
      </pivotArea>
    </format>
    <format dxfId="549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24"/>
          </reference>
        </references>
      </pivotArea>
    </format>
    <format dxfId="548">
      <pivotArea collapsedLevelsAreSubtotals="1" fieldPosition="0">
        <references count="4">
          <reference field="1" count="5">
            <x v="19"/>
            <x v="36"/>
            <x v="162"/>
            <x v="303"/>
            <x v="312"/>
          </reference>
          <reference field="2" count="0" selected="0"/>
          <reference field="3" count="1" selected="0">
            <x v="5"/>
          </reference>
          <reference field="5" count="1" selected="0">
            <x v="24"/>
          </reference>
        </references>
      </pivotArea>
    </format>
    <format dxfId="547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25"/>
          </reference>
        </references>
      </pivotArea>
    </format>
    <format dxfId="546">
      <pivotArea collapsedLevelsAreSubtotals="1" fieldPosition="0">
        <references count="4">
          <reference field="1" count="1">
            <x v="150"/>
          </reference>
          <reference field="2" count="0" selected="0"/>
          <reference field="3" count="1" selected="0">
            <x v="5"/>
          </reference>
          <reference field="5" count="1" selected="0">
            <x v="25"/>
          </reference>
        </references>
      </pivotArea>
    </format>
    <format dxfId="545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29"/>
          </reference>
        </references>
      </pivotArea>
    </format>
    <format dxfId="544">
      <pivotArea collapsedLevelsAreSubtotals="1" fieldPosition="0">
        <references count="4">
          <reference field="1" count="62">
            <x v="0"/>
            <x v="7"/>
            <x v="8"/>
            <x v="14"/>
            <x v="20"/>
            <x v="24"/>
            <x v="30"/>
            <x v="35"/>
            <x v="39"/>
            <x v="40"/>
            <x v="46"/>
            <x v="50"/>
            <x v="55"/>
            <x v="57"/>
            <x v="61"/>
            <x v="63"/>
            <x v="70"/>
            <x v="71"/>
            <x v="77"/>
            <x v="79"/>
            <x v="86"/>
            <x v="94"/>
            <x v="96"/>
            <x v="98"/>
            <x v="99"/>
            <x v="100"/>
            <x v="129"/>
            <x v="135"/>
            <x v="137"/>
            <x v="138"/>
            <x v="142"/>
            <x v="143"/>
            <x v="145"/>
            <x v="147"/>
            <x v="172"/>
            <x v="228"/>
            <x v="229"/>
            <x v="235"/>
            <x v="237"/>
            <x v="240"/>
            <x v="243"/>
            <x v="247"/>
            <x v="250"/>
            <x v="251"/>
            <x v="252"/>
            <x v="253"/>
            <x v="257"/>
            <x v="262"/>
            <x v="267"/>
            <x v="272"/>
            <x v="273"/>
            <x v="277"/>
            <x v="279"/>
            <x v="282"/>
            <x v="298"/>
            <x v="301"/>
            <x v="304"/>
            <x v="310"/>
            <x v="320"/>
            <x v="323"/>
            <x v="328"/>
            <x v="331"/>
          </reference>
          <reference field="2" count="0" selected="0"/>
          <reference field="3" count="1" selected="0">
            <x v="5"/>
          </reference>
          <reference field="5" count="1" selected="0">
            <x v="29"/>
          </reference>
        </references>
      </pivotArea>
    </format>
    <format dxfId="543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30"/>
          </reference>
        </references>
      </pivotArea>
    </format>
    <format dxfId="542">
      <pivotArea collapsedLevelsAreSubtotals="1" fieldPosition="0">
        <references count="4">
          <reference field="1" count="1">
            <x v="249"/>
          </reference>
          <reference field="2" count="0" selected="0"/>
          <reference field="3" count="1" selected="0">
            <x v="5"/>
          </reference>
          <reference field="5" count="1" selected="0">
            <x v="30"/>
          </reference>
        </references>
      </pivotArea>
    </format>
    <format dxfId="541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45"/>
          </reference>
        </references>
      </pivotArea>
    </format>
    <format dxfId="540">
      <pivotArea collapsedLevelsAreSubtotals="1" fieldPosition="0">
        <references count="4">
          <reference field="1" count="7">
            <x v="17"/>
            <x v="22"/>
            <x v="111"/>
            <x v="166"/>
            <x v="196"/>
            <x v="200"/>
            <x v="275"/>
          </reference>
          <reference field="2" count="0" selected="0"/>
          <reference field="3" count="1" selected="0">
            <x v="5"/>
          </reference>
          <reference field="5" count="1" selected="0">
            <x v="45"/>
          </reference>
        </references>
      </pivotArea>
    </format>
    <format dxfId="539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49"/>
          </reference>
        </references>
      </pivotArea>
    </format>
    <format dxfId="538">
      <pivotArea collapsedLevelsAreSubtotals="1" fieldPosition="0">
        <references count="4">
          <reference field="1" count="1">
            <x v="284"/>
          </reference>
          <reference field="2" count="0" selected="0"/>
          <reference field="3" count="1" selected="0">
            <x v="5"/>
          </reference>
          <reference field="5" count="1" selected="0">
            <x v="49"/>
          </reference>
        </references>
      </pivotArea>
    </format>
    <format dxfId="537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58"/>
          </reference>
        </references>
      </pivotArea>
    </format>
    <format dxfId="536">
      <pivotArea collapsedLevelsAreSubtotals="1" fieldPosition="0">
        <references count="4">
          <reference field="1" count="1">
            <x v="292"/>
          </reference>
          <reference field="2" count="0" selected="0"/>
          <reference field="3" count="1" selected="0">
            <x v="5"/>
          </reference>
          <reference field="5" count="1" selected="0">
            <x v="58"/>
          </reference>
        </references>
      </pivotArea>
    </format>
    <format dxfId="535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60"/>
          </reference>
        </references>
      </pivotArea>
    </format>
    <format dxfId="534">
      <pivotArea collapsedLevelsAreSubtotals="1" fieldPosition="0">
        <references count="4">
          <reference field="1" count="20">
            <x v="2"/>
            <x v="47"/>
            <x v="56"/>
            <x v="67"/>
            <x v="101"/>
            <x v="114"/>
            <x v="116"/>
            <x v="167"/>
            <x v="177"/>
            <x v="194"/>
            <x v="217"/>
            <x v="234"/>
            <x v="242"/>
            <x v="260"/>
            <x v="287"/>
            <x v="293"/>
            <x v="305"/>
            <x v="311"/>
            <x v="314"/>
            <x v="332"/>
          </reference>
          <reference field="2" count="0" selected="0"/>
          <reference field="3" count="1" selected="0">
            <x v="5"/>
          </reference>
          <reference field="5" count="1" selected="0">
            <x v="60"/>
          </reference>
        </references>
      </pivotArea>
    </format>
    <format dxfId="533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71"/>
          </reference>
        </references>
      </pivotArea>
    </format>
    <format dxfId="532">
      <pivotArea collapsedLevelsAreSubtotals="1" fieldPosition="0">
        <references count="4">
          <reference field="1" count="4">
            <x v="31"/>
            <x v="149"/>
            <x v="248"/>
            <x v="313"/>
          </reference>
          <reference field="2" count="0" selected="0"/>
          <reference field="3" count="1" selected="0">
            <x v="5"/>
          </reference>
          <reference field="5" count="1" selected="0">
            <x v="71"/>
          </reference>
        </references>
      </pivotArea>
    </format>
    <format dxfId="531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72"/>
          </reference>
        </references>
      </pivotArea>
    </format>
    <format dxfId="530">
      <pivotArea collapsedLevelsAreSubtotals="1" fieldPosition="0">
        <references count="4">
          <reference field="1" count="27">
            <x v="1"/>
            <x v="6"/>
            <x v="10"/>
            <x v="23"/>
            <x v="29"/>
            <x v="69"/>
            <x v="80"/>
            <x v="83"/>
            <x v="87"/>
            <x v="92"/>
            <x v="103"/>
            <x v="115"/>
            <x v="123"/>
            <x v="141"/>
            <x v="157"/>
            <x v="158"/>
            <x v="161"/>
            <x v="182"/>
            <x v="193"/>
            <x v="201"/>
            <x v="238"/>
            <x v="261"/>
            <x v="280"/>
            <x v="281"/>
            <x v="289"/>
            <x v="299"/>
            <x v="308"/>
          </reference>
          <reference field="2" count="0" selected="0"/>
          <reference field="3" count="1" selected="0">
            <x v="5"/>
          </reference>
          <reference field="5" count="1" selected="0">
            <x v="72"/>
          </reference>
        </references>
      </pivotArea>
    </format>
    <format dxfId="529">
      <pivotArea collapsedLevelsAreSubtotals="1" fieldPosition="0">
        <references count="3">
          <reference field="2" count="0" selected="0"/>
          <reference field="3" count="1" selected="0">
            <x v="5"/>
          </reference>
          <reference field="5" count="1">
            <x v="73"/>
          </reference>
        </references>
      </pivotArea>
    </format>
    <format dxfId="528">
      <pivotArea collapsedLevelsAreSubtotals="1" fieldPosition="0">
        <references count="4">
          <reference field="1" count="11">
            <x v="33"/>
            <x v="38"/>
            <x v="68"/>
            <x v="95"/>
            <x v="102"/>
            <x v="104"/>
            <x v="109"/>
            <x v="199"/>
            <x v="263"/>
            <x v="283"/>
            <x v="334"/>
          </reference>
          <reference field="2" count="0" selected="0"/>
          <reference field="3" count="1" selected="0">
            <x v="5"/>
          </reference>
          <reference field="5" count="1" selected="0">
            <x v="73"/>
          </reference>
        </references>
      </pivotArea>
    </format>
    <format dxfId="527">
      <pivotArea collapsedLevelsAreSubtotals="1" fieldPosition="0">
        <references count="2">
          <reference field="2" count="0" selected="0"/>
          <reference field="3" count="1">
            <x v="8"/>
          </reference>
        </references>
      </pivotArea>
    </format>
    <format dxfId="526">
      <pivotArea collapsedLevelsAreSubtotals="1" fieldPosition="0">
        <references count="3">
          <reference field="2" count="0" selected="0"/>
          <reference field="3" count="1" selected="0">
            <x v="8"/>
          </reference>
          <reference field="5" count="1">
            <x v="12"/>
          </reference>
        </references>
      </pivotArea>
    </format>
    <format dxfId="525">
      <pivotArea collapsedLevelsAreSubtotals="1" fieldPosition="0">
        <references count="4">
          <reference field="1" count="1">
            <x v="136"/>
          </reference>
          <reference field="2" count="0" selected="0"/>
          <reference field="3" count="1" selected="0">
            <x v="8"/>
          </reference>
          <reference field="5" count="1" selected="0">
            <x v="12"/>
          </reference>
        </references>
      </pivotArea>
    </format>
    <format dxfId="524">
      <pivotArea collapsedLevelsAreSubtotals="1" fieldPosition="0">
        <references count="3">
          <reference field="2" count="0" selected="0"/>
          <reference field="3" count="1" selected="0">
            <x v="8"/>
          </reference>
          <reference field="5" count="1">
            <x v="29"/>
          </reference>
        </references>
      </pivotArea>
    </format>
    <format dxfId="523">
      <pivotArea collapsedLevelsAreSubtotals="1" fieldPosition="0">
        <references count="4">
          <reference field="1" count="1">
            <x v="318"/>
          </reference>
          <reference field="2" count="0" selected="0"/>
          <reference field="3" count="1" selected="0">
            <x v="8"/>
          </reference>
          <reference field="5" count="1" selected="0">
            <x v="29"/>
          </reference>
        </references>
      </pivotArea>
    </format>
    <format dxfId="522">
      <pivotArea collapsedLevelsAreSubtotals="1" fieldPosition="0">
        <references count="3">
          <reference field="2" count="0" selected="0"/>
          <reference field="3" count="1" selected="0">
            <x v="8"/>
          </reference>
          <reference field="5" count="1">
            <x v="59"/>
          </reference>
        </references>
      </pivotArea>
    </format>
    <format dxfId="521">
      <pivotArea collapsedLevelsAreSubtotals="1" fieldPosition="0">
        <references count="4">
          <reference field="1" count="11">
            <x v="75"/>
            <x v="89"/>
            <x v="106"/>
            <x v="211"/>
            <x v="218"/>
            <x v="241"/>
            <x v="259"/>
            <x v="286"/>
            <x v="290"/>
            <x v="296"/>
            <x v="297"/>
          </reference>
          <reference field="2" count="0" selected="0"/>
          <reference field="3" count="1" selected="0">
            <x v="8"/>
          </reference>
          <reference field="5" count="1" selected="0">
            <x v="59"/>
          </reference>
        </references>
      </pivotArea>
    </format>
    <format dxfId="520">
      <pivotArea collapsedLevelsAreSubtotals="1" fieldPosition="0">
        <references count="3">
          <reference field="2" count="0" selected="0"/>
          <reference field="3" count="1" selected="0">
            <x v="8"/>
          </reference>
          <reference field="5" count="1">
            <x v="64"/>
          </reference>
        </references>
      </pivotArea>
    </format>
    <format dxfId="519">
      <pivotArea collapsedLevelsAreSubtotals="1" fieldPosition="0">
        <references count="4">
          <reference field="1" count="1">
            <x v="49"/>
          </reference>
          <reference field="2" count="0" selected="0"/>
          <reference field="3" count="1" selected="0">
            <x v="8"/>
          </reference>
          <reference field="5" count="1" selected="0">
            <x v="64"/>
          </reference>
        </references>
      </pivotArea>
    </format>
    <format dxfId="518">
      <pivotArea collapsedLevelsAreSubtotals="1" fieldPosition="0">
        <references count="2">
          <reference field="2" count="0" selected="0"/>
          <reference field="3" count="1">
            <x v="9"/>
          </reference>
        </references>
      </pivotArea>
    </format>
    <format dxfId="517">
      <pivotArea collapsedLevelsAreSubtotals="1" fieldPosition="0">
        <references count="3">
          <reference field="2" count="0" selected="0"/>
          <reference field="3" count="1" selected="0">
            <x v="9"/>
          </reference>
          <reference field="5" count="1">
            <x v="17"/>
          </reference>
        </references>
      </pivotArea>
    </format>
    <format dxfId="516">
      <pivotArea collapsedLevelsAreSubtotals="1" fieldPosition="0">
        <references count="4">
          <reference field="1" count="1">
            <x v="174"/>
          </reference>
          <reference field="2" count="0" selected="0"/>
          <reference field="3" count="1" selected="0">
            <x v="9"/>
          </reference>
          <reference field="5" count="1" selected="0">
            <x v="17"/>
          </reference>
        </references>
      </pivotArea>
    </format>
    <format dxfId="515">
      <pivotArea collapsedLevelsAreSubtotals="1" fieldPosition="0">
        <references count="3">
          <reference field="2" count="0" selected="0"/>
          <reference field="3" count="1" selected="0">
            <x v="9"/>
          </reference>
          <reference field="5" count="1">
            <x v="26"/>
          </reference>
        </references>
      </pivotArea>
    </format>
    <format dxfId="514">
      <pivotArea collapsedLevelsAreSubtotals="1" fieldPosition="0">
        <references count="4">
          <reference field="1" count="1">
            <x v="239"/>
          </reference>
          <reference field="2" count="0" selected="0"/>
          <reference field="3" count="1" selected="0">
            <x v="9"/>
          </reference>
          <reference field="5" count="1" selected="0">
            <x v="26"/>
          </reference>
        </references>
      </pivotArea>
    </format>
    <format dxfId="513">
      <pivotArea collapsedLevelsAreSubtotals="1" fieldPosition="0">
        <references count="3">
          <reference field="2" count="0" selected="0"/>
          <reference field="3" count="1" selected="0">
            <x v="9"/>
          </reference>
          <reference field="5" count="1">
            <x v="29"/>
          </reference>
        </references>
      </pivotArea>
    </format>
    <format dxfId="512">
      <pivotArea collapsedLevelsAreSubtotals="1" fieldPosition="0">
        <references count="4">
          <reference field="1" count="12">
            <x v="53"/>
            <x v="88"/>
            <x v="121"/>
            <x v="124"/>
            <x v="128"/>
            <x v="132"/>
            <x v="134"/>
            <x v="140"/>
            <x v="163"/>
            <x v="180"/>
            <x v="223"/>
            <x v="330"/>
          </reference>
          <reference field="2" count="0" selected="0"/>
          <reference field="3" count="1" selected="0">
            <x v="9"/>
          </reference>
          <reference field="5" count="1" selected="0">
            <x v="29"/>
          </reference>
        </references>
      </pivotArea>
    </format>
    <format dxfId="511">
      <pivotArea collapsedLevelsAreSubtotals="1" fieldPosition="0">
        <references count="3">
          <reference field="2" count="0" selected="0"/>
          <reference field="3" count="1" selected="0">
            <x v="9"/>
          </reference>
          <reference field="5" count="1">
            <x v="34"/>
          </reference>
        </references>
      </pivotArea>
    </format>
    <format dxfId="510">
      <pivotArea collapsedLevelsAreSubtotals="1" fieldPosition="0">
        <references count="4">
          <reference field="1" count="1">
            <x v="165"/>
          </reference>
          <reference field="2" count="0" selected="0"/>
          <reference field="3" count="1" selected="0">
            <x v="9"/>
          </reference>
          <reference field="5" count="1" selected="0">
            <x v="34"/>
          </reference>
        </references>
      </pivotArea>
    </format>
    <format dxfId="509">
      <pivotArea collapsedLevelsAreSubtotals="1" fieldPosition="0">
        <references count="3">
          <reference field="2" count="0" selected="0"/>
          <reference field="3" count="1" selected="0">
            <x v="9"/>
          </reference>
          <reference field="5" count="1">
            <x v="69"/>
          </reference>
        </references>
      </pivotArea>
    </format>
    <format dxfId="508">
      <pivotArea collapsedLevelsAreSubtotals="1" fieldPosition="0">
        <references count="4">
          <reference field="1" count="2">
            <x v="156"/>
            <x v="188"/>
          </reference>
          <reference field="2" count="0" selected="0"/>
          <reference field="3" count="1" selected="0">
            <x v="9"/>
          </reference>
          <reference field="5" count="1" selected="0">
            <x v="69"/>
          </reference>
        </references>
      </pivotArea>
    </format>
    <format dxfId="507">
      <pivotArea collapsedLevelsAreSubtotals="1" fieldPosition="0">
        <references count="2">
          <reference field="2" count="0" selected="0"/>
          <reference field="3" count="1">
            <x v="10"/>
          </reference>
        </references>
      </pivotArea>
    </format>
    <format dxfId="506">
      <pivotArea collapsedLevelsAreSubtotals="1" fieldPosition="0">
        <references count="3">
          <reference field="2" count="0" selected="0"/>
          <reference field="3" count="1" selected="0">
            <x v="10"/>
          </reference>
          <reference field="5" count="1">
            <x v="58"/>
          </reference>
        </references>
      </pivotArea>
    </format>
    <format dxfId="505">
      <pivotArea collapsedLevelsAreSubtotals="1" fieldPosition="0">
        <references count="4">
          <reference field="1" count="1">
            <x v="285"/>
          </reference>
          <reference field="2" count="0" selected="0"/>
          <reference field="3" count="1" selected="0">
            <x v="10"/>
          </reference>
          <reference field="5" count="1" selected="0">
            <x v="58"/>
          </reference>
        </references>
      </pivotArea>
    </format>
    <format dxfId="504">
      <pivotArea collapsedLevelsAreSubtotals="1" fieldPosition="0">
        <references count="2">
          <reference field="2" count="0" selected="0"/>
          <reference field="3" count="1">
            <x v="12"/>
          </reference>
        </references>
      </pivotArea>
    </format>
    <format dxfId="503">
      <pivotArea collapsedLevelsAreSubtotals="1" fieldPosition="0">
        <references count="3">
          <reference field="2" count="0" selected="0"/>
          <reference field="3" count="1" selected="0">
            <x v="12"/>
          </reference>
          <reference field="5" count="1">
            <x v="78"/>
          </reference>
        </references>
      </pivotArea>
    </format>
    <format dxfId="502">
      <pivotArea collapsedLevelsAreSubtotals="1" fieldPosition="0">
        <references count="4">
          <reference field="1" count="1">
            <x v="60"/>
          </reference>
          <reference field="2" count="0" selected="0"/>
          <reference field="3" count="1" selected="0">
            <x v="12"/>
          </reference>
          <reference field="5" count="1" selected="0">
            <x v="78"/>
          </reference>
        </references>
      </pivotArea>
    </format>
    <format dxfId="501">
      <pivotArea collapsedLevelsAreSubtotals="1" fieldPosition="0">
        <references count="2">
          <reference field="2" count="0" selected="0"/>
          <reference field="3" count="1">
            <x v="13"/>
          </reference>
        </references>
      </pivotArea>
    </format>
    <format dxfId="500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14"/>
          </reference>
        </references>
      </pivotArea>
    </format>
    <format dxfId="499">
      <pivotArea collapsedLevelsAreSubtotals="1" fieldPosition="0">
        <references count="4">
          <reference field="1" count="3">
            <x v="16"/>
            <x v="119"/>
            <x v="335"/>
          </reference>
          <reference field="2" count="0" selected="0"/>
          <reference field="3" count="1" selected="0">
            <x v="13"/>
          </reference>
          <reference field="5" count="1" selected="0">
            <x v="14"/>
          </reference>
        </references>
      </pivotArea>
    </format>
    <format dxfId="498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33"/>
          </reference>
        </references>
      </pivotArea>
    </format>
    <format dxfId="497">
      <pivotArea collapsedLevelsAreSubtotals="1" fieldPosition="0">
        <references count="4">
          <reference field="1" count="1">
            <x v="186"/>
          </reference>
          <reference field="2" count="0" selected="0"/>
          <reference field="3" count="1" selected="0">
            <x v="13"/>
          </reference>
          <reference field="5" count="1" selected="0">
            <x v="33"/>
          </reference>
        </references>
      </pivotArea>
    </format>
    <format dxfId="496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37"/>
          </reference>
        </references>
      </pivotArea>
    </format>
    <format dxfId="495">
      <pivotArea collapsedLevelsAreSubtotals="1" fieldPosition="0">
        <references count="4">
          <reference field="1" count="6">
            <x v="3"/>
            <x v="76"/>
            <x v="154"/>
            <x v="191"/>
            <x v="276"/>
            <x v="336"/>
          </reference>
          <reference field="2" count="0" selected="0"/>
          <reference field="3" count="1" selected="0">
            <x v="13"/>
          </reference>
          <reference field="5" count="1" selected="0">
            <x v="37"/>
          </reference>
        </references>
      </pivotArea>
    </format>
    <format dxfId="494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39"/>
          </reference>
        </references>
      </pivotArea>
    </format>
    <format dxfId="493">
      <pivotArea collapsedLevelsAreSubtotals="1" fieldPosition="0">
        <references count="4">
          <reference field="1" count="2">
            <x v="85"/>
            <x v="175"/>
          </reference>
          <reference field="2" count="0" selected="0"/>
          <reference field="3" count="1" selected="0">
            <x v="13"/>
          </reference>
          <reference field="5" count="1" selected="0">
            <x v="39"/>
          </reference>
        </references>
      </pivotArea>
    </format>
    <format dxfId="492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44"/>
          </reference>
        </references>
      </pivotArea>
    </format>
    <format dxfId="491">
      <pivotArea collapsedLevelsAreSubtotals="1" fieldPosition="0">
        <references count="4">
          <reference field="1" count="1">
            <x v="322"/>
          </reference>
          <reference field="2" count="0" selected="0"/>
          <reference field="3" count="1" selected="0">
            <x v="13"/>
          </reference>
          <reference field="5" count="1" selected="0">
            <x v="44"/>
          </reference>
        </references>
      </pivotArea>
    </format>
    <format dxfId="490">
      <pivotArea collapsedLevelsAreSubtotals="1" fieldPosition="0">
        <references count="3">
          <reference field="2" count="0" selected="0"/>
          <reference field="3" count="1" selected="0">
            <x v="13"/>
          </reference>
          <reference field="5" count="1">
            <x v="52"/>
          </reference>
        </references>
      </pivotArea>
    </format>
    <format dxfId="489">
      <pivotArea collapsedLevelsAreSubtotals="1" fieldPosition="0">
        <references count="4">
          <reference field="1" count="1">
            <x v="226"/>
          </reference>
          <reference field="2" count="0" selected="0"/>
          <reference field="3" count="1" selected="0">
            <x v="13"/>
          </reference>
          <reference field="5" count="1" selected="0">
            <x v="52"/>
          </reference>
        </references>
      </pivotArea>
    </format>
    <format dxfId="488">
      <pivotArea collapsedLevelsAreSubtotals="1" fieldPosition="0">
        <references count="2">
          <reference field="2" count="0" selected="0"/>
          <reference field="3" count="1">
            <x v="15"/>
          </reference>
        </references>
      </pivotArea>
    </format>
    <format dxfId="487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4"/>
          </reference>
        </references>
      </pivotArea>
    </format>
    <format dxfId="486">
      <pivotArea collapsedLevelsAreSubtotals="1" fieldPosition="0">
        <references count="4">
          <reference field="1" count="8">
            <x v="13"/>
            <x v="27"/>
            <x v="97"/>
            <x v="170"/>
            <x v="233"/>
            <x v="271"/>
            <x v="300"/>
            <x v="302"/>
          </reference>
          <reference field="2" count="0" selected="0"/>
          <reference field="3" count="1" selected="0">
            <x v="15"/>
          </reference>
          <reference field="5" count="1" selected="0">
            <x v="4"/>
          </reference>
        </references>
      </pivotArea>
    </format>
    <format dxfId="485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5"/>
          </reference>
        </references>
      </pivotArea>
    </format>
    <format dxfId="484">
      <pivotArea collapsedLevelsAreSubtotals="1" fieldPosition="0">
        <references count="4">
          <reference field="1" count="3">
            <x v="58"/>
            <x v="91"/>
            <x v="173"/>
          </reference>
          <reference field="2" count="0" selected="0"/>
          <reference field="3" count="1" selected="0">
            <x v="15"/>
          </reference>
          <reference field="5" count="1" selected="0">
            <x v="5"/>
          </reference>
        </references>
      </pivotArea>
    </format>
    <format dxfId="483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6"/>
          </reference>
        </references>
      </pivotArea>
    </format>
    <format dxfId="482">
      <pivotArea collapsedLevelsAreSubtotals="1" fieldPosition="0">
        <references count="4">
          <reference field="1" count="1">
            <x v="256"/>
          </reference>
          <reference field="2" count="0" selected="0"/>
          <reference field="3" count="1" selected="0">
            <x v="15"/>
          </reference>
          <reference field="5" count="1" selected="0">
            <x v="6"/>
          </reference>
        </references>
      </pivotArea>
    </format>
    <format dxfId="481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7"/>
          </reference>
        </references>
      </pivotArea>
    </format>
    <format dxfId="480">
      <pivotArea collapsedLevelsAreSubtotals="1" fieldPosition="0">
        <references count="4">
          <reference field="1" count="2">
            <x v="28"/>
            <x v="224"/>
          </reference>
          <reference field="2" count="0" selected="0"/>
          <reference field="3" count="1" selected="0">
            <x v="15"/>
          </reference>
          <reference field="5" count="1" selected="0">
            <x v="7"/>
          </reference>
        </references>
      </pivotArea>
    </format>
    <format dxfId="479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8"/>
          </reference>
        </references>
      </pivotArea>
    </format>
    <format dxfId="478">
      <pivotArea collapsedLevelsAreSubtotals="1" fieldPosition="0">
        <references count="4">
          <reference field="1" count="3">
            <x v="32"/>
            <x v="84"/>
            <x v="146"/>
          </reference>
          <reference field="2" count="0" selected="0"/>
          <reference field="3" count="1" selected="0">
            <x v="15"/>
          </reference>
          <reference field="5" count="1" selected="0">
            <x v="8"/>
          </reference>
        </references>
      </pivotArea>
    </format>
    <format dxfId="477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9"/>
          </reference>
        </references>
      </pivotArea>
    </format>
    <format dxfId="476">
      <pivotArea collapsedLevelsAreSubtotals="1" fieldPosition="0">
        <references count="4">
          <reference field="1" count="1">
            <x v="9"/>
          </reference>
          <reference field="2" count="0" selected="0"/>
          <reference field="3" count="1" selected="0">
            <x v="15"/>
          </reference>
          <reference field="5" count="1" selected="0">
            <x v="9"/>
          </reference>
        </references>
      </pivotArea>
    </format>
    <format dxfId="475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10"/>
          </reference>
        </references>
      </pivotArea>
    </format>
    <format dxfId="474">
      <pivotArea collapsedLevelsAreSubtotals="1" fieldPosition="0">
        <references count="4">
          <reference field="1" count="2">
            <x v="34"/>
            <x v="216"/>
          </reference>
          <reference field="2" count="0" selected="0"/>
          <reference field="3" count="1" selected="0">
            <x v="15"/>
          </reference>
          <reference field="5" count="1" selected="0">
            <x v="10"/>
          </reference>
        </references>
      </pivotArea>
    </format>
    <format dxfId="473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29"/>
          </reference>
        </references>
      </pivotArea>
    </format>
    <format dxfId="472">
      <pivotArea collapsedLevelsAreSubtotals="1" fieldPosition="0">
        <references count="4">
          <reference field="1" count="5">
            <x v="54"/>
            <x v="82"/>
            <x v="127"/>
            <x v="258"/>
            <x v="326"/>
          </reference>
          <reference field="2" count="0" selected="0"/>
          <reference field="3" count="1" selected="0">
            <x v="15"/>
          </reference>
          <reference field="5" count="1" selected="0">
            <x v="29"/>
          </reference>
        </references>
      </pivotArea>
    </format>
    <format dxfId="471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49"/>
          </reference>
        </references>
      </pivotArea>
    </format>
    <format dxfId="470">
      <pivotArea collapsedLevelsAreSubtotals="1" fieldPosition="0">
        <references count="4">
          <reference field="1" count="1">
            <x v="120"/>
          </reference>
          <reference field="2" count="0" selected="0"/>
          <reference field="3" count="1" selected="0">
            <x v="15"/>
          </reference>
          <reference field="5" count="1" selected="0">
            <x v="49"/>
          </reference>
        </references>
      </pivotArea>
    </format>
    <format dxfId="469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54"/>
          </reference>
        </references>
      </pivotArea>
    </format>
    <format dxfId="468">
      <pivotArea collapsedLevelsAreSubtotals="1" fieldPosition="0">
        <references count="4">
          <reference field="1" count="1">
            <x v="192"/>
          </reference>
          <reference field="2" count="0" selected="0"/>
          <reference field="3" count="1" selected="0">
            <x v="15"/>
          </reference>
          <reference field="5" count="1" selected="0">
            <x v="54"/>
          </reference>
        </references>
      </pivotArea>
    </format>
    <format dxfId="467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65"/>
          </reference>
        </references>
      </pivotArea>
    </format>
    <format dxfId="466">
      <pivotArea collapsedLevelsAreSubtotals="1" fieldPosition="0">
        <references count="4">
          <reference field="1" count="1">
            <x v="108"/>
          </reference>
          <reference field="2" count="0" selected="0"/>
          <reference field="3" count="1" selected="0">
            <x v="15"/>
          </reference>
          <reference field="5" count="1" selected="0">
            <x v="65"/>
          </reference>
        </references>
      </pivotArea>
    </format>
    <format dxfId="465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66"/>
          </reference>
        </references>
      </pivotArea>
    </format>
    <format dxfId="464">
      <pivotArea collapsedLevelsAreSubtotals="1" fieldPosition="0">
        <references count="4">
          <reference field="1" count="1">
            <x v="291"/>
          </reference>
          <reference field="2" count="0" selected="0"/>
          <reference field="3" count="1" selected="0">
            <x v="15"/>
          </reference>
          <reference field="5" count="1" selected="0">
            <x v="66"/>
          </reference>
        </references>
      </pivotArea>
    </format>
    <format dxfId="463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67"/>
          </reference>
        </references>
      </pivotArea>
    </format>
    <format dxfId="462">
      <pivotArea collapsedLevelsAreSubtotals="1" fieldPosition="0">
        <references count="4">
          <reference field="1" count="1">
            <x v="110"/>
          </reference>
          <reference field="2" count="0" selected="0"/>
          <reference field="3" count="1" selected="0">
            <x v="15"/>
          </reference>
          <reference field="5" count="1" selected="0">
            <x v="67"/>
          </reference>
        </references>
      </pivotArea>
    </format>
    <format dxfId="461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68"/>
          </reference>
        </references>
      </pivotArea>
    </format>
    <format dxfId="460">
      <pivotArea collapsedLevelsAreSubtotals="1" fieldPosition="0">
        <references count="4">
          <reference field="1" count="1">
            <x v="269"/>
          </reference>
          <reference field="2" count="0" selected="0"/>
          <reference field="3" count="1" selected="0">
            <x v="15"/>
          </reference>
          <reference field="5" count="1" selected="0">
            <x v="68"/>
          </reference>
        </references>
      </pivotArea>
    </format>
    <format dxfId="459">
      <pivotArea collapsedLevelsAreSubtotals="1" fieldPosition="0">
        <references count="3">
          <reference field="2" count="0" selected="0"/>
          <reference field="3" count="1" selected="0">
            <x v="15"/>
          </reference>
          <reference field="5" count="1">
            <x v="73"/>
          </reference>
        </references>
      </pivotArea>
    </format>
    <format dxfId="458">
      <pivotArea collapsedLevelsAreSubtotals="1" fieldPosition="0">
        <references count="4">
          <reference field="1" count="4">
            <x v="169"/>
            <x v="202"/>
            <x v="222"/>
            <x v="325"/>
          </reference>
          <reference field="2" count="0" selected="0"/>
          <reference field="3" count="1" selected="0">
            <x v="15"/>
          </reference>
          <reference field="5" count="1" selected="0">
            <x v="73"/>
          </reference>
        </references>
      </pivotArea>
    </format>
    <format dxfId="457">
      <pivotArea collapsedLevelsAreSubtotals="1" fieldPosition="0">
        <references count="2">
          <reference field="2" count="0" selected="0"/>
          <reference field="3" count="1">
            <x v="17"/>
          </reference>
        </references>
      </pivotArea>
    </format>
    <format dxfId="456">
      <pivotArea collapsedLevelsAreSubtotals="1" fieldPosition="0">
        <references count="3">
          <reference field="2" count="0" selected="0"/>
          <reference field="3" count="1" selected="0">
            <x v="17"/>
          </reference>
          <reference field="5" count="1">
            <x v="84"/>
          </reference>
        </references>
      </pivotArea>
    </format>
    <format dxfId="455">
      <pivotArea collapsedLevelsAreSubtotals="1" fieldPosition="0">
        <references count="4">
          <reference field="1" count="3">
            <x v="52"/>
            <x v="220"/>
            <x v="264"/>
          </reference>
          <reference field="2" count="0" selected="0"/>
          <reference field="3" count="1" selected="0">
            <x v="17"/>
          </reference>
          <reference field="5" count="1" selected="0">
            <x v="84"/>
          </reference>
        </references>
      </pivotArea>
    </format>
    <format dxfId="454">
      <pivotArea collapsedLevelsAreSubtotals="1" fieldPosition="0">
        <references count="3">
          <reference field="2" count="0" selected="0"/>
          <reference field="3" count="1" selected="0">
            <x v="17"/>
          </reference>
          <reference field="5" count="1">
            <x v="85"/>
          </reference>
        </references>
      </pivotArea>
    </format>
    <format dxfId="453">
      <pivotArea collapsedLevelsAreSubtotals="1" fieldPosition="0">
        <references count="4">
          <reference field="1" count="1">
            <x v="268"/>
          </reference>
          <reference field="2" count="0" selected="0"/>
          <reference field="3" count="1" selected="0">
            <x v="17"/>
          </reference>
          <reference field="5" count="1" selected="0">
            <x v="85"/>
          </reference>
        </references>
      </pivotArea>
    </format>
    <format dxfId="452">
      <pivotArea collapsedLevelsAreSubtotals="1" fieldPosition="0">
        <references count="2">
          <reference field="2" count="0" selected="0"/>
          <reference field="3" count="1">
            <x v="18"/>
          </reference>
        </references>
      </pivotArea>
    </format>
    <format dxfId="451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13"/>
          </reference>
        </references>
      </pivotArea>
    </format>
    <format dxfId="450">
      <pivotArea collapsedLevelsAreSubtotals="1" fieldPosition="0">
        <references count="4">
          <reference field="1" count="1">
            <x v="26"/>
          </reference>
          <reference field="2" count="0" selected="0"/>
          <reference field="3" count="1" selected="0">
            <x v="18"/>
          </reference>
          <reference field="5" count="1" selected="0">
            <x v="13"/>
          </reference>
        </references>
      </pivotArea>
    </format>
    <format dxfId="449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15"/>
          </reference>
        </references>
      </pivotArea>
    </format>
    <format dxfId="448">
      <pivotArea collapsedLevelsAreSubtotals="1" fieldPosition="0">
        <references count="4">
          <reference field="1" count="4">
            <x v="21"/>
            <x v="159"/>
            <x v="164"/>
            <x v="254"/>
          </reference>
          <reference field="2" count="0" selected="0"/>
          <reference field="3" count="1" selected="0">
            <x v="18"/>
          </reference>
          <reference field="5" count="1" selected="0">
            <x v="15"/>
          </reference>
        </references>
      </pivotArea>
    </format>
    <format dxfId="447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18"/>
          </reference>
        </references>
      </pivotArea>
    </format>
    <format dxfId="446">
      <pivotArea collapsedLevelsAreSubtotals="1" fieldPosition="0">
        <references count="4">
          <reference field="1" count="4">
            <x v="151"/>
            <x v="168"/>
            <x v="319"/>
            <x v="327"/>
          </reference>
          <reference field="2" count="0" selected="0"/>
          <reference field="3" count="1" selected="0">
            <x v="18"/>
          </reference>
          <reference field="5" count="1" selected="0">
            <x v="18"/>
          </reference>
        </references>
      </pivotArea>
    </format>
    <format dxfId="445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19"/>
          </reference>
        </references>
      </pivotArea>
    </format>
    <format dxfId="444">
      <pivotArea collapsedLevelsAreSubtotals="1" fieldPosition="0">
        <references count="4">
          <reference field="1" count="3">
            <x v="74"/>
            <x v="197"/>
            <x v="198"/>
          </reference>
          <reference field="2" count="0" selected="0"/>
          <reference field="3" count="1" selected="0">
            <x v="18"/>
          </reference>
          <reference field="5" count="1" selected="0">
            <x v="19"/>
          </reference>
        </references>
      </pivotArea>
    </format>
    <format dxfId="443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36"/>
          </reference>
        </references>
      </pivotArea>
    </format>
    <format dxfId="442">
      <pivotArea collapsedLevelsAreSubtotals="1" fieldPosition="0">
        <references count="4">
          <reference field="1" count="1">
            <x v="266"/>
          </reference>
          <reference field="2" count="0" selected="0"/>
          <reference field="3" count="1" selected="0">
            <x v="18"/>
          </reference>
          <reference field="5" count="1" selected="0">
            <x v="36"/>
          </reference>
        </references>
      </pivotArea>
    </format>
    <format dxfId="441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41"/>
          </reference>
        </references>
      </pivotArea>
    </format>
    <format dxfId="440">
      <pivotArea collapsedLevelsAreSubtotals="1" fieldPosition="0">
        <references count="4">
          <reference field="1" count="3">
            <x v="25"/>
            <x v="265"/>
            <x v="316"/>
          </reference>
          <reference field="2" count="0" selected="0"/>
          <reference field="3" count="1" selected="0">
            <x v="18"/>
          </reference>
          <reference field="5" count="1" selected="0">
            <x v="41"/>
          </reference>
        </references>
      </pivotArea>
    </format>
    <format dxfId="439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46"/>
          </reference>
        </references>
      </pivotArea>
    </format>
    <format dxfId="438">
      <pivotArea collapsedLevelsAreSubtotals="1" fieldPosition="0">
        <references count="4">
          <reference field="1" count="1">
            <x v="274"/>
          </reference>
          <reference field="2" count="0" selected="0"/>
          <reference field="3" count="1" selected="0">
            <x v="18"/>
          </reference>
          <reference field="5" count="1" selected="0">
            <x v="46"/>
          </reference>
        </references>
      </pivotArea>
    </format>
    <format dxfId="437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53"/>
          </reference>
        </references>
      </pivotArea>
    </format>
    <format dxfId="436">
      <pivotArea collapsedLevelsAreSubtotals="1" fieldPosition="0">
        <references count="4">
          <reference field="1" count="1">
            <x v="236"/>
          </reference>
          <reference field="2" count="0" selected="0"/>
          <reference field="3" count="1" selected="0">
            <x v="18"/>
          </reference>
          <reference field="5" count="1" selected="0">
            <x v="53"/>
          </reference>
        </references>
      </pivotArea>
    </format>
    <format dxfId="435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70"/>
          </reference>
        </references>
      </pivotArea>
    </format>
    <format dxfId="434">
      <pivotArea collapsedLevelsAreSubtotals="1" fieldPosition="0">
        <references count="4">
          <reference field="1" count="1">
            <x v="48"/>
          </reference>
          <reference field="2" count="0" selected="0"/>
          <reference field="3" count="1" selected="0">
            <x v="18"/>
          </reference>
          <reference field="5" count="1" selected="0">
            <x v="70"/>
          </reference>
        </references>
      </pivotArea>
    </format>
    <format dxfId="433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77"/>
          </reference>
        </references>
      </pivotArea>
    </format>
    <format dxfId="432">
      <pivotArea collapsedLevelsAreSubtotals="1" fieldPosition="0">
        <references count="4">
          <reference field="1" count="1">
            <x v="66"/>
          </reference>
          <reference field="2" count="0" selected="0"/>
          <reference field="3" count="1" selected="0">
            <x v="18"/>
          </reference>
          <reference field="5" count="1" selected="0">
            <x v="77"/>
          </reference>
        </references>
      </pivotArea>
    </format>
    <format dxfId="431">
      <pivotArea collapsedLevelsAreSubtotals="1" fieldPosition="0">
        <references count="3">
          <reference field="2" count="0" selected="0"/>
          <reference field="3" count="1" selected="0">
            <x v="18"/>
          </reference>
          <reference field="5" count="1">
            <x v="80"/>
          </reference>
        </references>
      </pivotArea>
    </format>
    <format dxfId="430">
      <pivotArea collapsedLevelsAreSubtotals="1" fieldPosition="0">
        <references count="4">
          <reference field="1" count="1">
            <x v="288"/>
          </reference>
          <reference field="2" count="0" selected="0"/>
          <reference field="3" count="1" selected="0">
            <x v="18"/>
          </reference>
          <reference field="5" count="1" selected="0">
            <x v="80"/>
          </reference>
        </references>
      </pivotArea>
    </format>
    <format dxfId="429">
      <pivotArea collapsedLevelsAreSubtotals="1" fieldPosition="0">
        <references count="2">
          <reference field="2" count="0" selected="0"/>
          <reference field="3" count="1">
            <x v="19"/>
          </reference>
        </references>
      </pivotArea>
    </format>
    <format dxfId="428">
      <pivotArea collapsedLevelsAreSubtotals="1" fieldPosition="0">
        <references count="3">
          <reference field="2" count="0" selected="0"/>
          <reference field="3" count="1" selected="0">
            <x v="19"/>
          </reference>
          <reference field="5" count="1">
            <x v="40"/>
          </reference>
        </references>
      </pivotArea>
    </format>
    <format dxfId="427">
      <pivotArea collapsedLevelsAreSubtotals="1" fieldPosition="0">
        <references count="4">
          <reference field="1" count="1">
            <x v="184"/>
          </reference>
          <reference field="2" count="0" selected="0"/>
          <reference field="3" count="1" selected="0">
            <x v="19"/>
          </reference>
          <reference field="5" count="1" selected="0">
            <x v="40"/>
          </reference>
        </references>
      </pivotArea>
    </format>
    <format dxfId="426">
      <pivotArea collapsedLevelsAreSubtotals="1" fieldPosition="0">
        <references count="3">
          <reference field="2" count="0" selected="0"/>
          <reference field="3" count="1" selected="0">
            <x v="19"/>
          </reference>
          <reference field="5" count="1">
            <x v="62"/>
          </reference>
        </references>
      </pivotArea>
    </format>
    <format dxfId="425">
      <pivotArea collapsedLevelsAreSubtotals="1" fieldPosition="0">
        <references count="4">
          <reference field="1" count="1">
            <x v="37"/>
          </reference>
          <reference field="2" count="0" selected="0"/>
          <reference field="3" count="1" selected="0">
            <x v="19"/>
          </reference>
          <reference field="5" count="1" selected="0">
            <x v="62"/>
          </reference>
        </references>
      </pivotArea>
    </format>
    <format dxfId="424">
      <pivotArea collapsedLevelsAreSubtotals="1" fieldPosition="0">
        <references count="3">
          <reference field="2" count="0" selected="0"/>
          <reference field="3" count="1" selected="0">
            <x v="19"/>
          </reference>
          <reference field="5" count="1">
            <x v="74"/>
          </reference>
        </references>
      </pivotArea>
    </format>
    <format dxfId="423">
      <pivotArea collapsedLevelsAreSubtotals="1" fieldPosition="0">
        <references count="4">
          <reference field="1" count="3">
            <x v="93"/>
            <x v="185"/>
            <x v="208"/>
          </reference>
          <reference field="2" count="0" selected="0"/>
          <reference field="3" count="1" selected="0">
            <x v="19"/>
          </reference>
          <reference field="5" count="1" selected="0">
            <x v="74"/>
          </reference>
        </references>
      </pivotArea>
    </format>
    <format dxfId="422">
      <pivotArea grandRow="1" outline="0" collapsedLevelsAreSubtotals="1" fieldPosition="0"/>
    </format>
    <format dxfId="421">
      <pivotArea dataOnly="0" labelOnly="1" fieldPosition="0">
        <references count="3">
          <reference field="2" count="0" selected="0"/>
          <reference field="3" count="1" selected="0">
            <x v="0"/>
          </reference>
          <reference field="5" count="43">
            <x v="1"/>
            <x v="2"/>
            <x v="4"/>
            <x v="5"/>
            <x v="6"/>
            <x v="11"/>
            <x v="12"/>
            <x v="14"/>
            <x v="16"/>
            <x v="17"/>
            <x v="23"/>
            <x v="24"/>
            <x v="25"/>
            <x v="26"/>
            <x v="29"/>
            <x v="30"/>
            <x v="31"/>
            <x v="32"/>
            <x v="33"/>
            <x v="34"/>
            <x v="35"/>
            <x v="37"/>
            <x v="38"/>
            <x v="39"/>
            <x v="42"/>
            <x v="43"/>
            <x v="44"/>
            <x v="45"/>
            <x v="49"/>
            <x v="50"/>
            <x v="52"/>
            <x v="58"/>
            <x v="59"/>
            <x v="60"/>
            <x v="63"/>
            <x v="64"/>
            <x v="69"/>
            <x v="71"/>
            <x v="72"/>
            <x v="73"/>
            <x v="76"/>
            <x v="78"/>
            <x v="83"/>
          </reference>
        </references>
      </pivotArea>
    </format>
    <format dxfId="420">
      <pivotArea dataOnly="0" labelOnly="1" fieldPosition="0">
        <references count="3">
          <reference field="2" count="0" selected="0"/>
          <reference field="3" count="1" selected="0">
            <x v="15"/>
          </reference>
          <reference field="5" count="28">
            <x v="7"/>
            <x v="8"/>
            <x v="9"/>
            <x v="10"/>
            <x v="13"/>
            <x v="15"/>
            <x v="18"/>
            <x v="19"/>
            <x v="29"/>
            <x v="36"/>
            <x v="40"/>
            <x v="41"/>
            <x v="46"/>
            <x v="49"/>
            <x v="53"/>
            <x v="54"/>
            <x v="62"/>
            <x v="65"/>
            <x v="66"/>
            <x v="67"/>
            <x v="68"/>
            <x v="70"/>
            <x v="73"/>
            <x v="74"/>
            <x v="77"/>
            <x v="80"/>
            <x v="84"/>
            <x v="85"/>
          </reference>
        </references>
      </pivotArea>
    </format>
    <format dxfId="419">
      <pivotArea dataOnly="0" labelOnly="1" fieldPosition="0">
        <references count="4">
          <reference field="1" count="50">
            <x v="0"/>
            <x v="5"/>
            <x v="7"/>
            <x v="8"/>
            <x v="11"/>
            <x v="14"/>
            <x v="19"/>
            <x v="20"/>
            <x v="24"/>
            <x v="30"/>
            <x v="35"/>
            <x v="36"/>
            <x v="39"/>
            <x v="40"/>
            <x v="41"/>
            <x v="42"/>
            <x v="44"/>
            <x v="46"/>
            <x v="50"/>
            <x v="55"/>
            <x v="57"/>
            <x v="61"/>
            <x v="62"/>
            <x v="63"/>
            <x v="64"/>
            <x v="70"/>
            <x v="71"/>
            <x v="77"/>
            <x v="79"/>
            <x v="81"/>
            <x v="90"/>
            <x v="112"/>
            <x v="113"/>
            <x v="125"/>
            <x v="130"/>
            <x v="150"/>
            <x v="162"/>
            <x v="179"/>
            <x v="187"/>
            <x v="190"/>
            <x v="212"/>
            <x v="219"/>
            <x v="221"/>
            <x v="232"/>
            <x v="245"/>
            <x v="246"/>
            <x v="303"/>
            <x v="312"/>
            <x v="321"/>
            <x v="333"/>
          </reference>
          <reference field="2" count="0" selected="0"/>
          <reference field="3" count="1" selected="0">
            <x v="0"/>
          </reference>
          <reference field="5" count="1" selected="0">
            <x v="29"/>
          </reference>
        </references>
      </pivotArea>
    </format>
    <format dxfId="418">
      <pivotArea dataOnly="0" labelOnly="1" fieldPosition="0">
        <references count="4">
          <reference field="1" count="50">
            <x v="17"/>
            <x v="22"/>
            <x v="86"/>
            <x v="94"/>
            <x v="96"/>
            <x v="98"/>
            <x v="99"/>
            <x v="100"/>
            <x v="111"/>
            <x v="129"/>
            <x v="135"/>
            <x v="137"/>
            <x v="138"/>
            <x v="142"/>
            <x v="143"/>
            <x v="145"/>
            <x v="147"/>
            <x v="166"/>
            <x v="172"/>
            <x v="196"/>
            <x v="200"/>
            <x v="228"/>
            <x v="229"/>
            <x v="235"/>
            <x v="237"/>
            <x v="240"/>
            <x v="243"/>
            <x v="247"/>
            <x v="249"/>
            <x v="250"/>
            <x v="251"/>
            <x v="252"/>
            <x v="253"/>
            <x v="257"/>
            <x v="262"/>
            <x v="267"/>
            <x v="272"/>
            <x v="273"/>
            <x v="275"/>
            <x v="277"/>
            <x v="279"/>
            <x v="282"/>
            <x v="298"/>
            <x v="301"/>
            <x v="304"/>
            <x v="310"/>
            <x v="320"/>
            <x v="323"/>
            <x v="328"/>
            <x v="331"/>
          </reference>
          <reference field="2" count="0" selected="0"/>
          <reference field="3" count="1" selected="0">
            <x v="5"/>
          </reference>
          <reference field="5" count="1" selected="0">
            <x v="29"/>
          </reference>
        </references>
      </pivotArea>
    </format>
    <format dxfId="417">
      <pivotArea dataOnly="0" labelOnly="1" fieldPosition="0">
        <references count="4">
          <reference field="1" count="50">
            <x v="1"/>
            <x v="2"/>
            <x v="6"/>
            <x v="10"/>
            <x v="23"/>
            <x v="29"/>
            <x v="31"/>
            <x v="47"/>
            <x v="56"/>
            <x v="67"/>
            <x v="69"/>
            <x v="80"/>
            <x v="83"/>
            <x v="87"/>
            <x v="92"/>
            <x v="101"/>
            <x v="103"/>
            <x v="114"/>
            <x v="115"/>
            <x v="116"/>
            <x v="123"/>
            <x v="141"/>
            <x v="149"/>
            <x v="157"/>
            <x v="158"/>
            <x v="161"/>
            <x v="167"/>
            <x v="177"/>
            <x v="182"/>
            <x v="193"/>
            <x v="194"/>
            <x v="201"/>
            <x v="217"/>
            <x v="234"/>
            <x v="238"/>
            <x v="242"/>
            <x v="248"/>
            <x v="260"/>
            <x v="261"/>
            <x v="280"/>
            <x v="281"/>
            <x v="284"/>
            <x v="287"/>
            <x v="292"/>
            <x v="293"/>
            <x v="305"/>
            <x v="311"/>
            <x v="313"/>
            <x v="314"/>
            <x v="332"/>
          </reference>
          <reference field="2" count="0" selected="0"/>
          <reference field="3" count="1" selected="0">
            <x v="5"/>
          </reference>
          <reference field="5" count="1" selected="0">
            <x v="49"/>
          </reference>
        </references>
      </pivotArea>
    </format>
    <format dxfId="416">
      <pivotArea dataOnly="0" labelOnly="1" fieldPosition="0">
        <references count="4">
          <reference field="1" count="50">
            <x v="16"/>
            <x v="33"/>
            <x v="38"/>
            <x v="49"/>
            <x v="53"/>
            <x v="60"/>
            <x v="68"/>
            <x v="75"/>
            <x v="88"/>
            <x v="89"/>
            <x v="95"/>
            <x v="102"/>
            <x v="104"/>
            <x v="106"/>
            <x v="109"/>
            <x v="119"/>
            <x v="121"/>
            <x v="124"/>
            <x v="128"/>
            <x v="132"/>
            <x v="134"/>
            <x v="136"/>
            <x v="140"/>
            <x v="156"/>
            <x v="163"/>
            <x v="165"/>
            <x v="174"/>
            <x v="180"/>
            <x v="188"/>
            <x v="199"/>
            <x v="211"/>
            <x v="218"/>
            <x v="223"/>
            <x v="239"/>
            <x v="241"/>
            <x v="259"/>
            <x v="263"/>
            <x v="283"/>
            <x v="285"/>
            <x v="286"/>
            <x v="289"/>
            <x v="290"/>
            <x v="296"/>
            <x v="297"/>
            <x v="299"/>
            <x v="308"/>
            <x v="318"/>
            <x v="330"/>
            <x v="334"/>
            <x v="335"/>
          </reference>
          <reference field="2" count="0" selected="0"/>
          <reference field="3" count="1" selected="0">
            <x v="5"/>
          </reference>
          <reference field="5" count="1" selected="0">
            <x v="72"/>
          </reference>
        </references>
      </pivotArea>
    </format>
    <format dxfId="415">
      <pivotArea dataOnly="0" labelOnly="1" fieldPosition="0">
        <references count="4">
          <reference field="1" count="50">
            <x v="3"/>
            <x v="9"/>
            <x v="13"/>
            <x v="27"/>
            <x v="28"/>
            <x v="32"/>
            <x v="34"/>
            <x v="52"/>
            <x v="54"/>
            <x v="58"/>
            <x v="76"/>
            <x v="82"/>
            <x v="84"/>
            <x v="85"/>
            <x v="91"/>
            <x v="97"/>
            <x v="108"/>
            <x v="110"/>
            <x v="120"/>
            <x v="127"/>
            <x v="131"/>
            <x v="146"/>
            <x v="154"/>
            <x v="169"/>
            <x v="170"/>
            <x v="173"/>
            <x v="175"/>
            <x v="186"/>
            <x v="191"/>
            <x v="192"/>
            <x v="202"/>
            <x v="203"/>
            <x v="216"/>
            <x v="220"/>
            <x v="222"/>
            <x v="224"/>
            <x v="226"/>
            <x v="233"/>
            <x v="256"/>
            <x v="258"/>
            <x v="269"/>
            <x v="271"/>
            <x v="276"/>
            <x v="291"/>
            <x v="300"/>
            <x v="302"/>
            <x v="322"/>
            <x v="325"/>
            <x v="326"/>
            <x v="336"/>
          </reference>
          <reference field="2" count="0" selected="0"/>
          <reference field="3" count="1" selected="0">
            <x v="13"/>
          </reference>
          <reference field="5" count="1" selected="0">
            <x v="33"/>
          </reference>
        </references>
      </pivotArea>
    </format>
    <format dxfId="414">
      <pivotArea dataOnly="0" labelOnly="1" fieldPosition="0">
        <references count="4">
          <reference field="1" count="28">
            <x v="21"/>
            <x v="25"/>
            <x v="26"/>
            <x v="37"/>
            <x v="48"/>
            <x v="66"/>
            <x v="74"/>
            <x v="93"/>
            <x v="151"/>
            <x v="159"/>
            <x v="164"/>
            <x v="168"/>
            <x v="184"/>
            <x v="185"/>
            <x v="197"/>
            <x v="198"/>
            <x v="208"/>
            <x v="236"/>
            <x v="254"/>
            <x v="264"/>
            <x v="265"/>
            <x v="266"/>
            <x v="268"/>
            <x v="274"/>
            <x v="288"/>
            <x v="316"/>
            <x v="319"/>
            <x v="327"/>
          </reference>
          <reference field="2" count="0" selected="0"/>
          <reference field="3" count="1" selected="0">
            <x v="17"/>
          </reference>
          <reference field="5" count="1" selected="0">
            <x v="84"/>
          </reference>
        </references>
      </pivotArea>
    </format>
    <format dxfId="413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412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41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410">
      <pivotArea field="2" type="button" dataOnly="0" labelOnly="1" outline="0" axis="axisRow" fieldPosition="0"/>
    </format>
    <format dxfId="409">
      <pivotArea field="2" type="button" dataOnly="0" labelOnly="1" outline="0" axis="axisRow" fieldPosition="0"/>
    </format>
    <format dxfId="408">
      <pivotArea outline="0" collapsedLevelsAreSubtotals="1" fieldPosition="0"/>
    </format>
    <format dxfId="407">
      <pivotArea dataOnly="0" labelOnly="1" fieldPosition="0">
        <references count="1">
          <reference field="2" count="0"/>
        </references>
      </pivotArea>
    </format>
    <format dxfId="406">
      <pivotArea dataOnly="0" labelOnly="1" grandRow="1" outline="0" fieldPosition="0"/>
    </format>
    <format dxfId="405">
      <pivotArea dataOnly="0" labelOnly="1" fieldPosition="0">
        <references count="2">
          <reference field="2" count="0" selected="0"/>
          <reference field="3" count="15">
            <x v="0"/>
            <x v="1"/>
            <x v="2"/>
            <x v="3"/>
            <x v="4"/>
            <x v="5"/>
            <x v="8"/>
            <x v="9"/>
            <x v="10"/>
            <x v="12"/>
            <x v="13"/>
            <x v="15"/>
            <x v="17"/>
            <x v="18"/>
            <x v="19"/>
          </reference>
        </references>
      </pivotArea>
    </format>
    <format dxfId="404">
      <pivotArea dataOnly="0" labelOnly="1" fieldPosition="0">
        <references count="3">
          <reference field="2" count="0" selected="0"/>
          <reference field="3" count="1" selected="0">
            <x v="0"/>
          </reference>
          <reference field="5" count="46">
            <x v="1"/>
            <x v="2"/>
            <x v="4"/>
            <x v="5"/>
            <x v="6"/>
            <x v="7"/>
            <x v="8"/>
            <x v="9"/>
            <x v="10"/>
            <x v="11"/>
            <x v="14"/>
            <x v="16"/>
            <x v="17"/>
            <x v="23"/>
            <x v="24"/>
            <x v="25"/>
            <x v="26"/>
            <x v="29"/>
            <x v="30"/>
            <x v="31"/>
            <x v="32"/>
            <x v="33"/>
            <x v="34"/>
            <x v="35"/>
            <x v="37"/>
            <x v="38"/>
            <x v="39"/>
            <x v="42"/>
            <x v="43"/>
            <x v="44"/>
            <x v="45"/>
            <x v="49"/>
            <x v="50"/>
            <x v="52"/>
            <x v="58"/>
            <x v="59"/>
            <x v="60"/>
            <x v="63"/>
            <x v="64"/>
            <x v="69"/>
            <x v="71"/>
            <x v="72"/>
            <x v="73"/>
            <x v="76"/>
            <x v="78"/>
            <x v="83"/>
          </reference>
        </references>
      </pivotArea>
    </format>
    <format dxfId="403">
      <pivotArea dataOnly="0" labelOnly="1" fieldPosition="0">
        <references count="3">
          <reference field="2" count="0" selected="0"/>
          <reference field="3" count="1" selected="0">
            <x v="15"/>
          </reference>
          <reference field="5" count="24">
            <x v="12"/>
            <x v="13"/>
            <x v="15"/>
            <x v="18"/>
            <x v="19"/>
            <x v="36"/>
            <x v="40"/>
            <x v="41"/>
            <x v="46"/>
            <x v="49"/>
            <x v="53"/>
            <x v="54"/>
            <x v="62"/>
            <x v="65"/>
            <x v="66"/>
            <x v="67"/>
            <x v="68"/>
            <x v="70"/>
            <x v="73"/>
            <x v="74"/>
            <x v="77"/>
            <x v="80"/>
            <x v="84"/>
            <x v="85"/>
          </reference>
        </references>
      </pivotArea>
    </format>
    <format dxfId="402">
      <pivotArea dataOnly="0" labelOnly="1" fieldPosition="0">
        <references count="4">
          <reference field="1" count="50">
            <x v="0"/>
            <x v="5"/>
            <x v="8"/>
            <x v="11"/>
            <x v="14"/>
            <x v="19"/>
            <x v="20"/>
            <x v="24"/>
            <x v="30"/>
            <x v="35"/>
            <x v="36"/>
            <x v="41"/>
            <x v="42"/>
            <x v="44"/>
            <x v="46"/>
            <x v="50"/>
            <x v="55"/>
            <x v="57"/>
            <x v="62"/>
            <x v="70"/>
            <x v="71"/>
            <x v="79"/>
            <x v="81"/>
            <x v="86"/>
            <x v="90"/>
            <x v="94"/>
            <x v="96"/>
            <x v="98"/>
            <x v="99"/>
            <x v="100"/>
            <x v="113"/>
            <x v="125"/>
            <x v="129"/>
            <x v="130"/>
            <x v="135"/>
            <x v="150"/>
            <x v="162"/>
            <x v="179"/>
            <x v="187"/>
            <x v="190"/>
            <x v="212"/>
            <x v="219"/>
            <x v="221"/>
            <x v="232"/>
            <x v="245"/>
            <x v="246"/>
            <x v="303"/>
            <x v="312"/>
            <x v="321"/>
            <x v="333"/>
          </reference>
          <reference field="2" count="0" selected="0"/>
          <reference field="3" count="1" selected="0">
            <x v="0"/>
          </reference>
          <reference field="5" count="1" selected="0">
            <x v="58"/>
          </reference>
        </references>
      </pivotArea>
    </format>
    <format dxfId="401">
      <pivotArea dataOnly="0" labelOnly="1" fieldPosition="0">
        <references count="4">
          <reference field="1" count="50">
            <x v="1"/>
            <x v="2"/>
            <x v="7"/>
            <x v="17"/>
            <x v="22"/>
            <x v="47"/>
            <x v="56"/>
            <x v="63"/>
            <x v="67"/>
            <x v="68"/>
            <x v="101"/>
            <x v="102"/>
            <x v="111"/>
            <x v="137"/>
            <x v="138"/>
            <x v="142"/>
            <x v="143"/>
            <x v="145"/>
            <x v="147"/>
            <x v="166"/>
            <x v="172"/>
            <x v="196"/>
            <x v="200"/>
            <x v="201"/>
            <x v="228"/>
            <x v="235"/>
            <x v="240"/>
            <x v="243"/>
            <x v="247"/>
            <x v="249"/>
            <x v="250"/>
            <x v="252"/>
            <x v="253"/>
            <x v="257"/>
            <x v="267"/>
            <x v="272"/>
            <x v="273"/>
            <x v="275"/>
            <x v="277"/>
            <x v="282"/>
            <x v="284"/>
            <x v="292"/>
            <x v="298"/>
            <x v="301"/>
            <x v="304"/>
            <x v="310"/>
            <x v="320"/>
            <x v="323"/>
            <x v="328"/>
            <x v="331"/>
          </reference>
          <reference field="2" count="0" selected="0"/>
          <reference field="3" count="1" selected="0">
            <x v="5"/>
          </reference>
          <reference field="5" count="1" selected="0">
            <x v="29"/>
          </reference>
        </references>
      </pivotArea>
    </format>
    <format dxfId="400">
      <pivotArea dataOnly="0" labelOnly="1" fieldPosition="0">
        <references count="4">
          <reference field="1" count="50">
            <x v="6"/>
            <x v="10"/>
            <x v="23"/>
            <x v="29"/>
            <x v="31"/>
            <x v="69"/>
            <x v="80"/>
            <x v="83"/>
            <x v="87"/>
            <x v="92"/>
            <x v="103"/>
            <x v="104"/>
            <x v="112"/>
            <x v="114"/>
            <x v="115"/>
            <x v="116"/>
            <x v="123"/>
            <x v="141"/>
            <x v="149"/>
            <x v="157"/>
            <x v="158"/>
            <x v="161"/>
            <x v="167"/>
            <x v="177"/>
            <x v="182"/>
            <x v="193"/>
            <x v="194"/>
            <x v="217"/>
            <x v="234"/>
            <x v="238"/>
            <x v="242"/>
            <x v="248"/>
            <x v="260"/>
            <x v="261"/>
            <x v="262"/>
            <x v="270"/>
            <x v="279"/>
            <x v="280"/>
            <x v="281"/>
            <x v="287"/>
            <x v="289"/>
            <x v="293"/>
            <x v="299"/>
            <x v="305"/>
            <x v="308"/>
            <x v="311"/>
            <x v="313"/>
            <x v="314"/>
            <x v="332"/>
            <x v="334"/>
          </reference>
          <reference field="2" count="0" selected="0"/>
          <reference field="3" count="1" selected="0">
            <x v="5"/>
          </reference>
          <reference field="5" count="1" selected="0">
            <x v="60"/>
          </reference>
        </references>
      </pivotArea>
    </format>
    <format dxfId="399">
      <pivotArea dataOnly="0" labelOnly="1" fieldPosition="0">
        <references count="4">
          <reference field="1" count="50">
            <x v="16"/>
            <x v="33"/>
            <x v="38"/>
            <x v="39"/>
            <x v="40"/>
            <x v="49"/>
            <x v="53"/>
            <x v="60"/>
            <x v="61"/>
            <x v="75"/>
            <x v="88"/>
            <x v="89"/>
            <x v="95"/>
            <x v="106"/>
            <x v="109"/>
            <x v="119"/>
            <x v="121"/>
            <x v="124"/>
            <x v="128"/>
            <x v="132"/>
            <x v="134"/>
            <x v="139"/>
            <x v="140"/>
            <x v="156"/>
            <x v="163"/>
            <x v="165"/>
            <x v="174"/>
            <x v="180"/>
            <x v="186"/>
            <x v="188"/>
            <x v="199"/>
            <x v="211"/>
            <x v="218"/>
            <x v="223"/>
            <x v="229"/>
            <x v="237"/>
            <x v="239"/>
            <x v="241"/>
            <x v="251"/>
            <x v="259"/>
            <x v="263"/>
            <x v="283"/>
            <x v="285"/>
            <x v="286"/>
            <x v="290"/>
            <x v="296"/>
            <x v="297"/>
            <x v="318"/>
            <x v="330"/>
            <x v="335"/>
          </reference>
          <reference field="2" count="0" selected="0"/>
          <reference field="3" count="1" selected="0">
            <x v="5"/>
          </reference>
          <reference field="5" count="1" selected="0">
            <x v="73"/>
          </reference>
        </references>
      </pivotArea>
    </format>
    <format dxfId="398">
      <pivotArea dataOnly="0" labelOnly="1" fieldPosition="0">
        <references count="4">
          <reference field="1" count="50">
            <x v="3"/>
            <x v="9"/>
            <x v="13"/>
            <x v="27"/>
            <x v="28"/>
            <x v="32"/>
            <x v="34"/>
            <x v="52"/>
            <x v="54"/>
            <x v="58"/>
            <x v="76"/>
            <x v="82"/>
            <x v="84"/>
            <x v="85"/>
            <x v="91"/>
            <x v="97"/>
            <x v="108"/>
            <x v="110"/>
            <x v="120"/>
            <x v="127"/>
            <x v="131"/>
            <x v="146"/>
            <x v="154"/>
            <x v="169"/>
            <x v="170"/>
            <x v="173"/>
            <x v="175"/>
            <x v="191"/>
            <x v="192"/>
            <x v="202"/>
            <x v="203"/>
            <x v="216"/>
            <x v="220"/>
            <x v="222"/>
            <x v="224"/>
            <x v="226"/>
            <x v="233"/>
            <x v="256"/>
            <x v="258"/>
            <x v="264"/>
            <x v="269"/>
            <x v="271"/>
            <x v="276"/>
            <x v="291"/>
            <x v="300"/>
            <x v="302"/>
            <x v="322"/>
            <x v="325"/>
            <x v="326"/>
            <x v="336"/>
          </reference>
          <reference field="2" count="0" selected="0"/>
          <reference field="3" count="1" selected="0">
            <x v="13"/>
          </reference>
          <reference field="5" count="1" selected="0">
            <x v="37"/>
          </reference>
        </references>
      </pivotArea>
    </format>
    <format dxfId="397">
      <pivotArea dataOnly="0" labelOnly="1" fieldPosition="0">
        <references count="4">
          <reference field="1" count="28">
            <x v="21"/>
            <x v="25"/>
            <x v="26"/>
            <x v="37"/>
            <x v="48"/>
            <x v="66"/>
            <x v="74"/>
            <x v="93"/>
            <x v="136"/>
            <x v="151"/>
            <x v="159"/>
            <x v="164"/>
            <x v="168"/>
            <x v="184"/>
            <x v="185"/>
            <x v="197"/>
            <x v="198"/>
            <x v="208"/>
            <x v="236"/>
            <x v="254"/>
            <x v="265"/>
            <x v="266"/>
            <x v="268"/>
            <x v="274"/>
            <x v="288"/>
            <x v="316"/>
            <x v="319"/>
            <x v="327"/>
          </reference>
          <reference field="2" count="0" selected="0"/>
          <reference field="3" count="1" selected="0">
            <x v="17"/>
          </reference>
          <reference field="5" count="1" selected="0">
            <x v="85"/>
          </reference>
        </references>
      </pivotArea>
    </format>
    <format dxfId="39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9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9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93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9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91">
      <pivotArea dataOnly="0" labelOnly="1" outline="0" fieldPosition="0">
        <references count="1">
          <reference field="4294967294" count="1">
            <x v="5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9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1" name="Table11" displayName="Table11" ref="A1:BI2" totalsRowShown="0">
  <autoFilter ref="A1:BI2"/>
  <tableColumns count="61">
    <tableColumn id="1" name="الرقم الوظيفي"/>
    <tableColumn id="2" name="الاسم"/>
    <tableColumn id="3" name="المنشأه"/>
    <tableColumn id="4" name="القسم"/>
    <tableColumn id="5" name="الوحده"/>
    <tableColumn id="6" name="الوظيفه"/>
    <tableColumn id="7" name="المؤهل الرئيسي"/>
    <tableColumn id="8" name="التخصص"/>
    <tableColumn id="9" name="الدرجه الاكاديميه "/>
    <tableColumn id="10" name="درجه التوسيط"/>
    <tableColumn id="11" name="تاريخ التعيين" dataDxfId="605"/>
    <tableColumn id="12" name="اخر العام" dataDxfId="604"/>
    <tableColumn id="13" name="سنوات الخدمه"/>
    <tableColumn id="14" name="الشهور اقل من سنه"/>
    <tableColumn id="15" name="نسبه سنين الخدمه"/>
    <tableColumn id="16" name="راتب ديسمبر 2018"/>
    <tableColumn id="17" name="السنوات على راتب ديسمبر"/>
    <tableColumn id="18" name="إتقان العمل الموكل اليه"/>
    <tableColumn id="19" name="القيام بواجبه دون توجيه"/>
    <tableColumn id="20" name="المحافظه علي اوقات العمل"/>
    <tableColumn id="21" name="القدره علي تدريب غيره"/>
    <tableColumn id="22" name="قابل للتعلم و التطور"/>
    <tableColumn id="23" name="امكانيه تحمل مسؤليات اكبر"/>
    <tableColumn id="24" name="انجاز العمل في الوقت المحدد"/>
    <tableColumn id="25" name="العمل  بروح الفريق الواحد"/>
    <tableColumn id="26" name="تنفيذ التوجيه المباشر"/>
    <tableColumn id="27" name="المجموع"/>
    <tableColumn id="28" name="التقييد  باللوائح و تنفيذالتوجيه"/>
    <tableColumn id="29" name="الحضور العام"/>
    <tableColumn id="30" name="الانذارات"/>
    <tableColumn id="31" name="الاستيضاحات"/>
    <tableColumn id="32" name="المحافظه علي اوقات العمل2"/>
    <tableColumn id="33" name="اتباع اجراءات السلامه"/>
    <tableColumn id="34" name="المجموع2"/>
    <tableColumn id="35" name="المجموع 1+2"/>
    <tableColumn id="36" name="مدير القسم المباشر"/>
    <tableColumn id="37" name="مدير الموارد البشريه"/>
    <tableColumn id="38" name="مدير المصنع"/>
    <tableColumn id="39" name="المدير العام"/>
    <tableColumn id="40" name="المجموع3"/>
    <tableColumn id="41" name="نسبه التقييم الرئيسي 2018"/>
    <tableColumn id="42" name="مبلغ التقييم النسبي 2018"/>
    <tableColumn id="43" name="الراتب 2018+النسبه"/>
    <tableColumn id="44" name="فروقات الحد الادني"/>
    <tableColumn id="45" name="الحد الادني"/>
    <tableColumn id="46" name="الراتب 2018 + النسبه + الفرق"/>
    <tableColumn id="47" name="الزياده"/>
    <tableColumn id="48" name="نسبه"/>
    <tableColumn id="49" name="التعديل"/>
    <tableColumn id="50" name="جبر الرقم"/>
    <tableColumn id="51" name="الزياده النهائيه"/>
    <tableColumn id="52" name="الراتب النهائي"/>
    <tableColumn id="53" name="نسبه الزياده النهائيه"/>
    <tableColumn id="54" name="راتب ديسمبر"/>
    <tableColumn id="55" name="التعديل حتي"/>
    <tableColumn id="56" name="الجبر حتي"/>
    <tableColumn id="57" name="رن"/>
    <tableColumn id="58" name="Column3"/>
    <tableColumn id="59" name="Column4"/>
    <tableColumn id="60" name="kkk"/>
    <tableColumn id="61" name="Column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BI351" totalsRowCount="1" headerRowDxfId="385" dataDxfId="384" totalsRowDxfId="383">
  <autoFilter ref="A1:BI350"/>
  <sortState ref="A2:BC303">
    <sortCondition ref="A1:A301"/>
  </sortState>
  <tableColumns count="61">
    <tableColumn id="2" name="الرقم الوظيفي" totalsRowFunction="countNums" dataDxfId="382" totalsRowDxfId="381">
      <calculatedColumnFormula>' الشركه 2018'!A2:A355</calculatedColumnFormula>
    </tableColumn>
    <tableColumn id="3" name="الاسم" dataDxfId="380" totalsRowDxfId="379">
      <calculatedColumnFormula>VLOOKUP(Table1[[#This Row],[الرقم الوظيفي]],[1]!Table3[#Data],2,)</calculatedColumnFormula>
    </tableColumn>
    <tableColumn id="4" name="المنشأه" dataDxfId="378" totalsRowDxfId="377">
      <calculatedColumnFormula>VLOOKUP(Table1[[#This Row],[الرقم الوظيفي]],[1]!Table3[#Data],7,)</calculatedColumnFormula>
    </tableColumn>
    <tableColumn id="5" name="القسم" dataDxfId="376" totalsRowDxfId="375">
      <calculatedColumnFormula>VLOOKUP(Table1[[#This Row],[الرقم الوظيفي]],[1]!Table3[#Data],8,)</calculatedColumnFormula>
    </tableColumn>
    <tableColumn id="6" name="الوحده" dataDxfId="374" totalsRowDxfId="373">
      <calculatedColumnFormula>VLOOKUP(Table1[[#This Row],[الرقم الوظيفي]],[1]!Table3[#Data],9,)</calculatedColumnFormula>
    </tableColumn>
    <tableColumn id="7" name="الوظيفه" dataDxfId="372" totalsRowDxfId="371">
      <calculatedColumnFormula>VLOOKUP(Table1[[#This Row],[الرقم الوظيفي]],[1]!Table3[#Data],12,)</calculatedColumnFormula>
    </tableColumn>
    <tableColumn id="1" name="المؤهل الرئيسي" dataDxfId="370" totalsRowDxfId="369">
      <calculatedColumnFormula>VLOOKUP(Table1[[#This Row],[الرقم الوظيفي]],[1]Sheet2!$1:$1048576,72,)</calculatedColumnFormula>
    </tableColumn>
    <tableColumn id="47" name="التخصص" dataDxfId="368" totalsRowDxfId="367">
      <calculatedColumnFormula>VLOOKUP(Table1[[#This Row],[الرقم الوظيفي]],[1]Sheet2!$1:$1048576,71,)</calculatedColumnFormula>
    </tableColumn>
    <tableColumn id="41" name="الدرجه الاكاديميه " dataDxfId="366" totalsRowDxfId="365">
      <calculatedColumnFormula>VLOOKUP(Table1[[#This Row],[المؤهل الرئيسي]],Table4[],3,)</calculatedColumnFormula>
    </tableColumn>
    <tableColumn id="65" name="درجه التوسيط" dataDxfId="364" totalsRowDxfId="363"/>
    <tableColumn id="8" name="تاريخ التعيين" dataDxfId="362" totalsRowDxfId="361">
      <calculatedColumnFormula>VLOOKUP(Table1[[#This Row],[الرقم الوظيفي]],[1]!Table3[#Data],13,)</calculatedColumnFormula>
    </tableColumn>
    <tableColumn id="9" name="اخر العام" dataDxfId="360" totalsRowDxfId="359"/>
    <tableColumn id="10" name="سنوات الخدمه" dataDxfId="358" totalsRowDxfId="357">
      <calculatedColumnFormula>DATEDIF(Table1[[#This Row],[تاريخ التعيين]],Table1[[#This Row],[اخر العام]],"y")</calculatedColumnFormula>
    </tableColumn>
    <tableColumn id="11" name="الشهور اقل من سنه" dataDxfId="356" totalsRowDxfId="355">
      <calculatedColumnFormula>DATEDIF(Table1[[#This Row],[تاريخ التعيين]],Table1[[#This Row],[اخر العام]],"ym")</calculatedColumnFormula>
    </tableColumn>
    <tableColumn id="23" name="نسبه سنين الخدمه" dataDxfId="354" totalsRowDxfId="353">
      <calculatedColumnFormula>Table1[[#This Row],[سنوات الخدمه]]*1+Table1[[#This Row],[الشهور اقل من سنه]]*0.08</calculatedColumnFormula>
    </tableColumn>
    <tableColumn id="46" name="راتب ديسمبر 2019" totalsRowFunction="sum" dataDxfId="352" totalsRowDxfId="351">
      <calculatedColumnFormula>VLOOKUP(Table1[[#This Row],[الرقم الوظيفي]],Table6[],8,)</calculatedColumnFormula>
    </tableColumn>
    <tableColumn id="13" name="السنوات على راتب ديسمبر" totalsRowFunction="sum" dataDxfId="350" totalsRowDxfId="349">
      <calculatedColumnFormula>Table1[[#This Row],[راتب ديسمبر 2019]]*Table1[[#This Row],[نسبه سنين الخدمه]]%</calculatedColumnFormula>
    </tableColumn>
    <tableColumn id="12" name="إتقان العمل الموكل اليه" totalsRowFunction="average" dataDxfId="348" totalsRowDxfId="347"/>
    <tableColumn id="39" name="القيام بواجبه دون توجيه" totalsRowFunction="average" dataDxfId="346" totalsRowDxfId="345"/>
    <tableColumn id="14" name="المحافظه علي اوقات العمل" totalsRowFunction="average" dataDxfId="344" totalsRowDxfId="343"/>
    <tableColumn id="15" name="القدره علي تدريب غيره" totalsRowFunction="average" dataDxfId="342" totalsRowDxfId="341"/>
    <tableColumn id="16" name="قابل للتعلم و التطور" totalsRowFunction="average" dataDxfId="340" totalsRowDxfId="339"/>
    <tableColumn id="17" name="امكانيه تحمل مسؤليات اكبر" totalsRowFunction="average" dataDxfId="338" totalsRowDxfId="337"/>
    <tableColumn id="18" name="انجاز العمل في الوقت المحدد" totalsRowFunction="average" dataDxfId="336" totalsRowDxfId="335"/>
    <tableColumn id="19" name="العمل  بروح الفريق الواحد" totalsRowFunction="average" dataDxfId="334" totalsRowDxfId="333"/>
    <tableColumn id="20" name="تنفيذ التوجيه المباشر" totalsRowFunction="average" dataDxfId="332" totalsRowDxfId="331"/>
    <tableColumn id="21" name="المجموع" totalsRowFunction="average" dataDxfId="330" totalsRowDxfId="329"/>
    <tableColumn id="22" name="التقييد  باللوائح و تنفيذالتوجيه" totalsRowFunction="average" dataDxfId="328" totalsRowDxfId="327"/>
    <tableColumn id="38" name="الحضور العام" totalsRowFunction="average" dataDxfId="326" totalsRowDxfId="325"/>
    <tableColumn id="24" name="الانذارات" totalsRowFunction="average" dataDxfId="324" totalsRowDxfId="323"/>
    <tableColumn id="25" name="الاستيضاحات" totalsRowFunction="average" dataDxfId="322" totalsRowDxfId="321"/>
    <tableColumn id="26" name="المحافظه علي اوقات العمل2" totalsRowFunction="average" dataDxfId="320" totalsRowDxfId="319"/>
    <tableColumn id="27" name="اتباع اجراءات السلامه" totalsRowFunction="average" dataDxfId="318" totalsRowDxfId="317"/>
    <tableColumn id="28" name="المجموع2" totalsRowFunction="average" dataDxfId="316" totalsRowDxfId="315"/>
    <tableColumn id="29" name="المجموع 1+2" totalsRowFunction="average" dataDxfId="314" totalsRowDxfId="313"/>
    <tableColumn id="33" name="مدير القسم المباشر" totalsRowFunction="average" dataDxfId="312" totalsRowDxfId="311"/>
    <tableColumn id="34" name="مدير الموارد البشريه" dataDxfId="310" totalsRowDxfId="309"/>
    <tableColumn id="35" name="مدير المصنع" dataDxfId="308" totalsRowDxfId="307"/>
    <tableColumn id="36" name="المدير العام" dataDxfId="306" totalsRowDxfId="305"/>
    <tableColumn id="37" name="المجموع3" dataDxfId="304" totalsRowDxfId="303"/>
    <tableColumn id="42" name="نسبه التقييم الرئيسي 2018" totalsRowFunction="average" dataDxfId="302" totalsRowDxfId="301">
      <calculatedColumnFormula>Table1[[#This Row],[المجموع 1+2]]*AO1</calculatedColumnFormula>
    </tableColumn>
    <tableColumn id="50" name="مبلغ التقييم النسبي 2018" totalsRowFunction="sum" dataDxfId="300" totalsRowDxfId="299">
      <calculatedColumnFormula>#REF!*Table1[[#This Row],[نسبه التقييم الرئيسي 2018]]%</calculatedColumnFormula>
    </tableColumn>
    <tableColumn id="52" name="الراتب 2018+النسبه" totalsRowFunction="sum" dataDxfId="298" totalsRowDxfId="297">
      <calculatedColumnFormula>Table1[[#This Row],[مبلغ التقييم النسبي 2018]]+#REF!</calculatedColumnFormula>
    </tableColumn>
    <tableColumn id="43" name="فروقات الحد الادني" totalsRowFunction="sum" dataDxfId="296" totalsRowDxfId="295">
      <calculatedColumnFormula>IF(Table1[[#This Row],[Column3]]&lt;0,0,Table1[[#This Row],[Column3]])</calculatedColumnFormula>
    </tableColumn>
    <tableColumn id="55" name="الحد الادني" totalsRowFunction="average" dataDxfId="294" totalsRowDxfId="293">
      <calculatedColumnFormula>VLOOKUP(Table1[[#This Row],[درجه التوسيط]],Table10[],3,)</calculatedColumnFormula>
    </tableColumn>
    <tableColumn id="54" name="الراتب 2018 + النسبه + الفرق" totalsRowFunction="sum" dataDxfId="292" totalsRowDxfId="291">
      <calculatedColumnFormula>Table1[[#This Row],[الراتب 2018+النسبه]]+Table1[[#This Row],[فروقات الحد الادني]]</calculatedColumnFormula>
    </tableColumn>
    <tableColumn id="60" name="الزياده" totalsRowFunction="sum" dataDxfId="290" totalsRowDxfId="289">
      <calculatedColumnFormula>Table1[[#This Row],[الراتب 2018 + النسبه + الفرق]]-Table1[[#This Row],[راتب ديسمبر 2019]]</calculatedColumnFormula>
    </tableColumn>
    <tableColumn id="61" name="نسبه" totalsRowFunction="max" dataDxfId="288" totalsRowDxfId="287">
      <calculatedColumnFormula>Table1[[#This Row],[الزياده]]/Table1[[#This Row],[راتب ديسمبر 2019]]%</calculatedColumnFormula>
    </tableColumn>
    <tableColumn id="59" name="التعديل" totalsRowFunction="sum" dataDxfId="286" totalsRowDxfId="285">
      <calculatedColumnFormula>IF(Table1[[#This Row],[Column4]]&lt;0,0,Table1[[#This Row],[Column4]])</calculatedColumnFormula>
    </tableColumn>
    <tableColumn id="53" name="جبر الرقم" totalsRowFunction="sum" dataDxfId="284" totalsRowDxfId="283">
      <calculatedColumnFormula>Table1[[#This Row],[الجبر حتي]]-Table1[[#This Row],[رن]]</calculatedColumnFormula>
    </tableColumn>
    <tableColumn id="30" name="الزياده النهائيه" totalsRowFunction="sum" dataDxfId="282" totalsRowDxfId="281">
      <calculatedColumnFormula>Table1[[#This Row],[الزياده]]+Table1[[#This Row],[التعديل]]+Table1[[#This Row],[جبر الرقم]]</calculatedColumnFormula>
    </tableColumn>
    <tableColumn id="45" name="الراتب النهائي" totalsRowFunction="sum" dataDxfId="280" totalsRowDxfId="279">
      <calculatedColumnFormula>Table1[[#This Row],[الراتب 2018 + النسبه + الفرق]]+Table1[[#This Row],[جبر الرقم]]+Table1[[#This Row],[التعديل]]</calculatedColumnFormula>
    </tableColumn>
    <tableColumn id="62" name="نسبه الزياده النهائيه" totalsRowFunction="custom" dataDxfId="278" totalsRowDxfId="277">
      <calculatedColumnFormula>Table1[[#This Row],[الزياده النهائيه]]/Table1[[#This Row],[راتب ديسمبر 2019]]%</calculatedColumnFormula>
      <totalsRowFormula>Table1[[#Totals],[الزياده النهائيه]]/Table1[[#Totals],[راتب ديسمبر 2019]]%</totalsRowFormula>
    </tableColumn>
    <tableColumn id="64" name="راتب ديسمبر" totalsRowFunction="sum" dataDxfId="276" totalsRowDxfId="275">
      <calculatedColumnFormula>VLOOKUP(Table1[[#This Row],[الرقم الوظيفي]],Table6[],8,)</calculatedColumnFormula>
    </tableColumn>
    <tableColumn id="48" name="التعديل حتي" dataDxfId="274" totalsRowDxfId="273"/>
    <tableColumn id="44" name="الجبر حتي" dataDxfId="272" totalsRowDxfId="271"/>
    <tableColumn id="51" name="رن" dataDxfId="270" totalsRowDxfId="269"/>
    <tableColumn id="31" name="Column3" dataDxfId="268" totalsRowDxfId="267">
      <calculatedColumnFormula>Table1[[#This Row],[الحد الادني]]-Table1[[#This Row],[الراتب 2018+النسبه]]</calculatedColumnFormula>
    </tableColumn>
    <tableColumn id="32" name="Column4" dataDxfId="266" totalsRowDxfId="265">
      <calculatedColumnFormula>Table1[[#This Row],[التعديل حتي]]-Table1[[#This Row],[kkk]]</calculatedColumnFormula>
    </tableColumn>
    <tableColumn id="49" name="kkk" dataDxfId="264" totalsRowDxfId="263"/>
    <tableColumn id="40" name="Column5" dataDxfId="262" totalsRowDxfId="261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8" name="Table39" displayName="Table39" ref="A1:D11" totalsRowCount="1" headerRowDxfId="260" totalsRowDxfId="259">
  <autoFilter ref="A1:D10"/>
  <tableColumns count="4">
    <tableColumn id="1" name="الدرجه" totalsRowLabel="Total" totalsRowDxfId="258"/>
    <tableColumn id="2" name="الحد الادني" totalsRowFunction="average" totalsRowDxfId="257"/>
    <tableColumn id="3" name="Column3" totalsRowDxfId="256"/>
    <tableColumn id="4" name="Column4" totalsRowFunction="count" totalsRowDxfId="25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" name="Table8" displayName="Table8" ref="G1:P28" totalsRowCount="1" headerRowDxfId="254" dataDxfId="252" totalsRowDxfId="250" headerRowBorderDxfId="253" tableBorderDxfId="251" totalsRowBorderDxfId="249">
  <autoFilter ref="G1:P27"/>
  <tableColumns count="10">
    <tableColumn id="1" name="الدرجه" totalsRowLabel="Total" dataDxfId="248" totalsRowDxfId="247"/>
    <tableColumn id="2" name="الحد الادني" totalsRowFunction="average" dataDxfId="246" totalsRowDxfId="245"/>
    <tableColumn id="3" name="1" dataDxfId="244" totalsRowDxfId="243"/>
    <tableColumn id="4" name="2" totalsRowFunction="count" dataDxfId="242" totalsRowDxfId="241"/>
    <tableColumn id="5" name="3" dataDxfId="240" totalsRowDxfId="239"/>
    <tableColumn id="6" name="4" dataDxfId="238" totalsRowDxfId="237"/>
    <tableColumn id="7" name="5" dataDxfId="236" totalsRowDxfId="235"/>
    <tableColumn id="8" name="6" dataDxfId="234" totalsRowDxfId="233"/>
    <tableColumn id="9" name="7" dataDxfId="232" totalsRowDxfId="231"/>
    <tableColumn id="10" name="8" dataDxfId="230" totalsRowDxfId="22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0" name="Table10" displayName="Table10" ref="A1:L27" totalsRowShown="0" headerRowDxfId="228" dataDxfId="227">
  <autoFilter ref="A1:L27"/>
  <tableColumns count="12">
    <tableColumn id="1" name="ID" dataDxfId="226"/>
    <tableColumn id="2" name="الحد الادني 19" dataDxfId="225"/>
    <tableColumn id="6" name="الحد الادني 20" dataDxfId="224"/>
    <tableColumn id="11" name="(+)" dataDxfId="223">
      <calculatedColumnFormula>Table10[[#This Row],[الحد الادني 20]]-Table10[[#This Row],[الحد الادني 19]]</calculatedColumnFormula>
    </tableColumn>
    <tableColumn id="13" name="(%)" dataDxfId="222">
      <calculatedColumnFormula>Table10[[#This Row],[(+)]]/Table10[[#This Row],[الحد الادني 19]]%</calculatedColumnFormula>
    </tableColumn>
    <tableColumn id="3" name="الوظيفه" dataDxfId="221"/>
    <tableColumn id="4" name="الوظيفه2" dataDxfId="220"/>
    <tableColumn id="5" name="الوظيفه3" dataDxfId="219"/>
    <tableColumn id="7" name="الوظيفه4" dataDxfId="218"/>
    <tableColumn id="8" name="الوظيفه5" dataDxfId="217"/>
    <tableColumn id="9" name="الوظيفه6" dataDxfId="216"/>
    <tableColumn id="10" name="الوظيفه7" dataDxfId="215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2:E17" totalsRowShown="0">
  <autoFilter ref="A2:E17"/>
  <tableColumns count="5">
    <tableColumn id="1" name="الدرجه الاكاديميه" dataDxfId="214"/>
    <tableColumn id="2" name="الرمز 1" dataDxfId="213"/>
    <tableColumn id="3" name="الرمز 2" dataDxfId="212"/>
    <tableColumn id="4" name="Column4"/>
    <tableColumn id="5" name="القيمه" dataDxfId="2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Table5" displayName="Table5" ref="J2:N35" totalsRowShown="0">
  <autoFilter ref="J2:N35"/>
  <tableColumns count="5">
    <tableColumn id="1" name="Column1"/>
    <tableColumn id="2" name="Column2"/>
    <tableColumn id="3" name="Column3"/>
    <tableColumn id="4" name="Column4"/>
    <tableColumn id="5" name="Column5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6" name="Table6" displayName="Table6" ref="A1:CQ355" headerRowDxfId="200" dataDxfId="198" totalsRowDxfId="196" headerRowBorderDxfId="199" tableBorderDxfId="197">
  <autoFilter ref="A1:CQ355"/>
  <sortState ref="A2:CT331">
    <sortCondition ref="A1:A331"/>
  </sortState>
  <tableColumns count="95">
    <tableColumn id="1" name="الرقم الوظيفى" totalsRowLabel="Total" dataDxfId="195" totalsRowDxfId="194"/>
    <tableColumn id="2" name="الاسم" totalsRowFunction="count" dataDxfId="193" totalsRowDxfId="192"/>
    <tableColumn id="3" name="المنشأه" dataDxfId="191" totalsRowDxfId="190"/>
    <tableColumn id="4" name="القسم" dataDxfId="189" totalsRowDxfId="188"/>
    <tableColumn id="5" name="الوحده" dataDxfId="187" totalsRowDxfId="186"/>
    <tableColumn id="8" name="الوظيفه" dataDxfId="185" totalsRowDxfId="184"/>
    <tableColumn id="9" name="تاريخ التعيين" dataDxfId="183" totalsRowDxfId="182"/>
    <tableColumn id="10" name="مرتب" totalsRowFunction="sum" dataDxfId="181" totalsRowDxfId="180"/>
    <tableColumn id="101" name="ح راتب اليوم" dataDxfId="179" totalsRowDxfId="178">
      <calculatedColumnFormula>Table6[[#This Row],[مرتب]]/30</calculatedColumnFormula>
    </tableColumn>
    <tableColumn id="12" name="الايام للضمان" dataDxfId="177" totalsRowDxfId="176"/>
    <tableColumn id="13" name="راتب الضمان" totalsRowFunction="sum" dataDxfId="175" totalsRowDxfId="174"/>
    <tableColumn id="14" name="مرتب الضمان" totalsRowFunction="sum" dataDxfId="173" totalsRowDxfId="172"/>
    <tableColumn id="15" name="ضمان اجتماعي 17 %" totalsRowFunction="sum" dataDxfId="171" totalsRowDxfId="170">
      <calculatedColumnFormula>Table6[[#This Row],[مرتب الضمان]]*17%</calculatedColumnFormula>
    </tableColumn>
    <tableColumn id="16" name="الابتدائى" dataDxfId="169" totalsRowDxfId="168">
      <calculatedColumnFormula>' الشركه 2018'!$H2*35%</calculatedColumnFormula>
    </tableColumn>
    <tableColumn id="17" name="غلاء معيشه" dataDxfId="167" totalsRowDxfId="166">
      <calculatedColumnFormula>' الشركه 2018'!$H2*32%</calculatedColumnFormula>
    </tableColumn>
    <tableColumn id="18" name="بدل ترحيل" dataDxfId="165" totalsRowDxfId="164">
      <calculatedColumnFormula>' الشركه 2018'!$H2*12%</calculatedColumnFormula>
    </tableColumn>
    <tableColumn id="19" name="بدل سكن" dataDxfId="163" totalsRowDxfId="162">
      <calculatedColumnFormula>' الشركه 2018'!$H2*13%</calculatedColumnFormula>
    </tableColumn>
    <tableColumn id="20" name="بدل علاج " dataDxfId="161" totalsRowDxfId="160"/>
    <tableColumn id="21" name="علاوات وبدل مسئوليه" dataDxfId="159" totalsRowDxfId="158"/>
    <tableColumn id="22" name="مجموع العلاوات" totalsRowFunction="sum" dataDxfId="157" totalsRowDxfId="156"/>
    <tableColumn id="98" name="Column1" totalsRowFunction="sum" dataDxfId="155" totalsRowDxfId="154">
      <calculatedColumnFormula>VLOOKUP(Table6[[#This Row],[الرقم الوظيفى]],[2]بالخصم!$B$1:$AK$1200,35,)</calculatedColumnFormula>
    </tableColumn>
    <tableColumn id="23" name="عدد ايام الاجازه" totalsRowFunction="sum" dataDxfId="153" totalsRowDxfId="152"/>
    <tableColumn id="24" name="اجازه بالخصم" totalsRowFunction="sum" dataDxfId="151" totalsRowDxfId="150"/>
    <tableColumn id="96" name="ايام جز" dataDxfId="149" totalsRowDxfId="148"/>
    <tableColumn id="25" name="عدد ايام الجزاء" totalsRowFunction="countNums" dataDxfId="147" totalsRowDxfId="146"/>
    <tableColumn id="26" name="جزاءات" totalsRowFunction="sum" dataDxfId="145" totalsRowDxfId="144"/>
    <tableColumn id="27" name="سلفيه نصف شهريه" totalsRowFunction="sum" dataDxfId="143" totalsRowDxfId="142"/>
    <tableColumn id="93" name="سلفيه ط" totalsRowFunction="sum" dataDxfId="141" totalsRowDxfId="140">
      <calculatedColumnFormula>VLOOKUP(Table6[[#This Row],[الرقم الوظيفى]],[3]!Table25289[#Data],23,)</calculatedColumnFormula>
    </tableColumn>
    <tableColumn id="28" name="سلفيه طويله" totalsRowFunction="sum" dataDxfId="139" totalsRowDxfId="138"/>
    <tableColumn id="29" name="اقساط اخري" totalsRowFunction="sum" dataDxfId="137" totalsRowDxfId="136"/>
    <tableColumn id="97" name="مشتروات" dataDxfId="135" totalsRowDxfId="134">
      <calculatedColumnFormula>VLOOKUP(Table6[[#This Row],[الرقم الوظيفى]],[3]!Table252894[#Data],22,)</calculatedColumnFormula>
    </tableColumn>
    <tableColumn id="30" name="مشتروات بالاقساط" totalsRowFunction="sum" dataDxfId="133" totalsRowDxfId="132"/>
    <tableColumn id="31" name="مجموع خصومات" totalsRowFunction="sum" dataDxfId="131" totalsRowDxfId="130">
      <calculatedColumnFormula>' الشركه 2018'!$W2+' الشركه 2018'!$Z2+' الشركه 2018'!$AA2+' الشركه 2018'!$AC2+' الشركه 2018'!$AD2+' الشركه 2018'!$AF2</calculatedColumnFormula>
    </tableColumn>
    <tableColumn id="32" name="ضمان اجتماعى 8%" totalsRowFunction="sum" dataDxfId="129" totalsRowDxfId="128">
      <calculatedColumnFormula>Table6[[#This Row],[راتب الضمان]]*8%</calculatedColumnFormula>
    </tableColumn>
    <tableColumn id="33" name="الراتب المستحق" totalsRowFunction="sum" dataDxfId="127" totalsRowDxfId="126">
      <calculatedColumnFormula>' الشركه 2018'!$H2-' الشركه 2018'!$AG2-' الشركه 2018'!$AH2</calculatedColumnFormula>
    </tableColumn>
    <tableColumn id="34" name="الاجر الاضافى" totalsRowFunction="sum" dataDxfId="125" totalsRowDxfId="124">
      <calculatedColumnFormula>' الشركه 2018'!$CF2</calculatedColumnFormula>
    </tableColumn>
    <tableColumn id="36" name="اجمالى الاستحقاق" totalsRowFunction="sum" dataDxfId="123" totalsRowDxfId="122">
      <calculatedColumnFormula>' الشركه 2018'!$AI2+' الشركه 2018'!$AJ2</calculatedColumnFormula>
    </tableColumn>
    <tableColumn id="95" name="حوافز غير مستقره" dataDxfId="121" totalsRowDxfId="120"/>
    <tableColumn id="35" name="Column2" totalsRowFunction="sum" dataDxfId="119" totalsRowDxfId="118"/>
    <tableColumn id="11" name="المبلغ النهائي" totalsRowFunction="sum" dataDxfId="117" totalsRowDxfId="116">
      <calculatedColumnFormula>Table6[[#This Row],[اجمالى الاستحقاق]]-Table6[[#This Row],[Column2]]+Table6[[#This Row],[حوافز غير مستقره]]</calculatedColumnFormula>
    </tableColumn>
    <tableColumn id="37" name="note" totalsRowFunction="sum" dataDxfId="115" totalsRowDxfId="114"/>
    <tableColumn id="38" name="التوقيع" dataDxfId="113" totalsRowDxfId="112"/>
    <tableColumn id="39" name="Column39" dataDxfId="111" totalsRowDxfId="110"/>
    <tableColumn id="40" name="Column40" dataDxfId="109" totalsRowDxfId="108"/>
    <tableColumn id="41" name="Column41" dataDxfId="107" totalsRowDxfId="106"/>
    <tableColumn id="42" name="Wednesday, November 21, 2018" dataDxfId="105" totalsRowDxfId="104"/>
    <tableColumn id="43" name="Thursday, November 22, 2018" dataDxfId="103" totalsRowDxfId="102"/>
    <tableColumn id="44" name="Friday, November 23, 2018" dataDxfId="101" totalsRowDxfId="100"/>
    <tableColumn id="45" name="Saturday, November 24, 2018" dataDxfId="99" totalsRowDxfId="98"/>
    <tableColumn id="46" name="Sunday, November 25, 2018" dataDxfId="97" totalsRowDxfId="96"/>
    <tableColumn id="47" name="Monday, November 26, 2018" dataDxfId="95" totalsRowDxfId="94"/>
    <tableColumn id="48" name="Tuesday, November 27, 2018" dataDxfId="93" totalsRowDxfId="92"/>
    <tableColumn id="49" name="Wednesday, November 28, 2018" dataDxfId="91" totalsRowDxfId="90"/>
    <tableColumn id="50" name="Thursday, November 29, 2018" dataDxfId="89" totalsRowDxfId="88"/>
    <tableColumn id="51" name="Friday, November 30, 2018" dataDxfId="87" totalsRowDxfId="86"/>
    <tableColumn id="52" name="Saturday, December 01, 2018" dataDxfId="85" totalsRowDxfId="84"/>
    <tableColumn id="53" name="Sunday, December 02, 2018" dataDxfId="83" totalsRowDxfId="82"/>
    <tableColumn id="54" name="Monday, December 03, 2018" dataDxfId="81" totalsRowDxfId="80"/>
    <tableColumn id="55" name="Tuesday, December 04, 2018" dataDxfId="79" totalsRowDxfId="78"/>
    <tableColumn id="56" name="Wednesday, December 05, 2018" dataDxfId="77" totalsRowDxfId="76"/>
    <tableColumn id="57" name="Thursday, December 06, 2018" dataDxfId="75" totalsRowDxfId="74"/>
    <tableColumn id="58" name="Friday, December 07, 2018" dataDxfId="73" totalsRowDxfId="72"/>
    <tableColumn id="59" name="Saturday, December 08, 2018" dataDxfId="71" totalsRowDxfId="70"/>
    <tableColumn id="60" name="Sunday, December 09, 2018" dataDxfId="69" totalsRowDxfId="68"/>
    <tableColumn id="61" name="Monday, December 10, 2018" dataDxfId="67" totalsRowDxfId="66"/>
    <tableColumn id="62" name="Tuesday, December 11, 2018" dataDxfId="65" totalsRowDxfId="64"/>
    <tableColumn id="63" name="Wednesday, December 12, 2018" dataDxfId="63" totalsRowDxfId="62"/>
    <tableColumn id="64" name="Thursday, December 13, 2018" dataDxfId="61" totalsRowDxfId="60"/>
    <tableColumn id="65" name="Friday, December 14, 2018" dataDxfId="59" totalsRowDxfId="58"/>
    <tableColumn id="66" name="Saturday, December 15, 2018" dataDxfId="57" totalsRowDxfId="56"/>
    <tableColumn id="67" name="Sunday, December 16, 2018" dataDxfId="55" totalsRowDxfId="54"/>
    <tableColumn id="68" name="Monday, December 17, 2018" dataDxfId="53" totalsRowDxfId="52"/>
    <tableColumn id="69" name="Tuesday, December 18, 2018" dataDxfId="51" totalsRowDxfId="50"/>
    <tableColumn id="70" name="Wednesday, December 19, 2018" dataDxfId="49" totalsRowDxfId="48"/>
    <tableColumn id="71" name="Thursday, December 20, 2018" dataDxfId="47" totalsRowDxfId="46"/>
    <tableColumn id="72" name="Saturday, January 00, 1900" dataDxfId="45" totalsRowDxfId="44"/>
    <tableColumn id="73" name="0" dataDxfId="43" totalsRowDxfId="42"/>
    <tableColumn id="74" name="فروقات عادي" dataDxfId="41" totalsRowDxfId="40"/>
    <tableColumn id="75" name="فروقات عطله" dataDxfId="39" totalsRowDxfId="38"/>
    <tableColumn id="76" name="ساعات عادي" totalsRowFunction="count" dataDxfId="37" totalsRowDxfId="36">
      <calculatedColumnFormula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calculatedColumnFormula>
    </tableColumn>
    <tableColumn id="77" name="ساعات عطل" totalsRowFunction="count" dataDxfId="35" totalsRowDxfId="34">
      <calculatedColumnFormula>Table6[[#This Row],[Friday, November 23, 2018]]+Table6[[#This Row],[Friday, November 30, 2018]]+Table6[[#This Row],[Friday, December 07, 2018]]+Table6[[#This Row],[Friday, December 14, 2018]]+Table6[[#This Row],[فروقات عطله]]</calculatedColumnFormula>
    </tableColumn>
    <tableColumn id="78" name="مبلغ عادي" totalsRowFunction="sum" totalsRowDxfId="33">
      <calculatedColumnFormula>' الشركه 2018'!$H2*67%*1.5*' الشركه 2018'!$CB2/208</calculatedColumnFormula>
    </tableColumn>
    <tableColumn id="79" name="مبلغ عطل" totalsRowFunction="sum" dataDxfId="32" totalsRowDxfId="31">
      <calculatedColumnFormula>' الشركه 2018'!$H2*67%*2*' الشركه 2018'!$CC2/208</calculatedColumnFormula>
    </tableColumn>
    <tableColumn id="80" name="المجموع" totalsRowFunction="sum" dataDxfId="30" totalsRowDxfId="29">
      <calculatedColumnFormula>' الشركه 2018'!$CD2+' الشركه 2018'!$CE2</calculatedColumnFormula>
    </tableColumn>
    <tableColumn id="81" name="Column81" dataDxfId="28" totalsRowDxfId="27"/>
    <tableColumn id="82" name="Column82" dataDxfId="26" totalsRowDxfId="25"/>
    <tableColumn id="83" name="Column83" dataDxfId="24" totalsRowDxfId="23"/>
    <tableColumn id="84" name="Column84" totalsRowFunction="sum" dataDxfId="22" totalsRowDxfId="21"/>
    <tableColumn id="85" name="Column85" totalsRowFunction="sum" dataDxfId="20" totalsRowDxfId="19"/>
    <tableColumn id="86" name="Column86" totalsRowFunction="sum" dataDxfId="18" totalsRowDxfId="17"/>
    <tableColumn id="87" name="Column87" totalsRowFunction="sum" dataDxfId="16" totalsRowDxfId="15"/>
    <tableColumn id="88" name="Column88" dataDxfId="14" totalsRowDxfId="13"/>
    <tableColumn id="89" name="Column89" dataDxfId="12" totalsRowDxfId="11"/>
    <tableColumn id="90" name="Column90" totalsRowFunction="count" dataDxfId="10" totalsRowDxfId="9"/>
    <tableColumn id="91" name="تاريخ الميلاد2" totalsRowFunction="count" dataDxfId="8" totalsRowDxfId="7">
      <calculatedColumnFormula>VLOOKUP(Table6[[#This Row],[الرقم الوظيفى]],[4]!Table3[#Data],26,FALSE)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7" name="Table38" displayName="Table38" ref="A1:D12" totalsRowCount="1" totalsRowDxfId="6">
  <autoFilter ref="A1:D11"/>
  <tableColumns count="4">
    <tableColumn id="1" name="الدرجه" totalsRowLabel="Total" dataDxfId="5" totalsRowDxfId="4"/>
    <tableColumn id="2" name="الحد الادني" totalsRowFunction="average" dataDxfId="3" totalsRowDxfId="2"/>
    <tableColumn id="3" name="Column3" totalsRowDxfId="1"/>
    <tableColumn id="4" name="Column4" totalsRowFunction="count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94"/>
  <sheetViews>
    <sheetView workbookViewId="0">
      <selection activeCell="B4" sqref="B4"/>
    </sheetView>
  </sheetViews>
  <sheetFormatPr defaultRowHeight="14.5"/>
  <cols>
    <col min="1" max="1" width="33.90625" bestFit="1" customWidth="1"/>
    <col min="2" max="2" width="10.6328125" style="1" bestFit="1" customWidth="1"/>
    <col min="3" max="3" width="14.81640625" style="47" bestFit="1" customWidth="1"/>
    <col min="4" max="4" width="9.36328125" style="47" bestFit="1" customWidth="1"/>
    <col min="5" max="5" width="10.81640625" style="47" bestFit="1" customWidth="1"/>
    <col min="6" max="6" width="9.90625" style="47" bestFit="1" customWidth="1"/>
    <col min="7" max="7" width="11.1796875" style="1" bestFit="1" customWidth="1"/>
    <col min="8" max="8" width="8" bestFit="1" customWidth="1"/>
  </cols>
  <sheetData>
    <row r="1" spans="1:8" ht="40.5">
      <c r="A1" s="52" t="s">
        <v>2</v>
      </c>
      <c r="B1" s="40" t="s">
        <v>477</v>
      </c>
      <c r="D1" s="686" t="s">
        <v>119</v>
      </c>
      <c r="E1" s="686"/>
      <c r="F1" s="686"/>
      <c r="G1" s="686"/>
    </row>
    <row r="3" spans="1:8">
      <c r="A3" s="40"/>
      <c r="B3" s="48" t="s">
        <v>86</v>
      </c>
      <c r="C3" s="49"/>
      <c r="D3" s="49"/>
      <c r="E3" s="49"/>
      <c r="F3" s="49"/>
      <c r="G3" s="49"/>
      <c r="H3" s="49"/>
    </row>
    <row r="4" spans="1:8" ht="43.5">
      <c r="A4" s="41" t="s">
        <v>68</v>
      </c>
      <c r="B4" s="50" t="s">
        <v>85</v>
      </c>
      <c r="C4" s="50" t="s">
        <v>120</v>
      </c>
      <c r="D4" s="50" t="s">
        <v>87</v>
      </c>
      <c r="E4" s="50" t="s">
        <v>121</v>
      </c>
      <c r="F4" s="50" t="s">
        <v>88</v>
      </c>
      <c r="G4" s="50" t="s">
        <v>89</v>
      </c>
      <c r="H4" s="50" t="s">
        <v>102</v>
      </c>
    </row>
    <row r="5" spans="1:8">
      <c r="A5" s="42" t="s">
        <v>70</v>
      </c>
      <c r="B5" s="51">
        <v>72270</v>
      </c>
      <c r="C5" s="51">
        <v>33211.495999999999</v>
      </c>
      <c r="D5" s="49" t="e">
        <v>#N/A</v>
      </c>
      <c r="E5" s="51">
        <v>9288.5360000000001</v>
      </c>
      <c r="F5" s="49" t="e">
        <v>#N/A</v>
      </c>
      <c r="G5" s="49" t="e">
        <v>#N/A</v>
      </c>
      <c r="H5" s="49" t="e">
        <v>#N/A</v>
      </c>
    </row>
    <row r="6" spans="1:8">
      <c r="A6" s="43" t="s">
        <v>49</v>
      </c>
      <c r="B6" s="51">
        <v>41080</v>
      </c>
      <c r="C6" s="51">
        <v>21475.600000000002</v>
      </c>
      <c r="D6" s="49"/>
      <c r="E6" s="51">
        <v>5756.6080000000002</v>
      </c>
      <c r="F6" s="49">
        <v>27232.207999999999</v>
      </c>
      <c r="G6" s="49">
        <v>68312.207999999999</v>
      </c>
      <c r="H6" s="49">
        <v>63.839999999999996</v>
      </c>
    </row>
    <row r="7" spans="1:8">
      <c r="A7" s="44" t="s">
        <v>103</v>
      </c>
      <c r="B7" s="51">
        <v>20000</v>
      </c>
      <c r="C7" s="51">
        <v>10600</v>
      </c>
      <c r="D7" s="49"/>
      <c r="E7" s="51">
        <v>4352</v>
      </c>
      <c r="F7" s="49">
        <v>14952</v>
      </c>
      <c r="G7" s="49">
        <v>34952</v>
      </c>
      <c r="H7" s="49">
        <v>74.760000000000005</v>
      </c>
    </row>
    <row r="8" spans="1:8">
      <c r="A8" s="45" t="s">
        <v>91</v>
      </c>
      <c r="B8" s="51">
        <v>20000</v>
      </c>
      <c r="C8" s="51">
        <v>10600</v>
      </c>
      <c r="D8" s="49"/>
      <c r="E8" s="51">
        <v>4352</v>
      </c>
      <c r="F8" s="49">
        <v>14952</v>
      </c>
      <c r="G8" s="49">
        <v>34952</v>
      </c>
      <c r="H8" s="49">
        <v>74.760000000000005</v>
      </c>
    </row>
    <row r="9" spans="1:8">
      <c r="A9" s="44" t="s">
        <v>447</v>
      </c>
      <c r="B9" s="51">
        <v>14000</v>
      </c>
      <c r="C9" s="51">
        <v>7123.2000000000007</v>
      </c>
      <c r="D9" s="49"/>
      <c r="E9" s="51">
        <v>996.8</v>
      </c>
      <c r="F9" s="49">
        <v>8120</v>
      </c>
      <c r="G9" s="49">
        <v>22120</v>
      </c>
      <c r="H9" s="49">
        <v>58</v>
      </c>
    </row>
    <row r="10" spans="1:8">
      <c r="A10" s="45" t="s">
        <v>448</v>
      </c>
      <c r="B10" s="51">
        <v>14000</v>
      </c>
      <c r="C10" s="51">
        <v>7123.2000000000007</v>
      </c>
      <c r="D10" s="49"/>
      <c r="E10" s="51">
        <v>996.8</v>
      </c>
      <c r="F10" s="49">
        <v>8120</v>
      </c>
      <c r="G10" s="49">
        <v>22120</v>
      </c>
      <c r="H10" s="49">
        <v>58</v>
      </c>
    </row>
    <row r="11" spans="1:8">
      <c r="A11" s="44" t="s">
        <v>449</v>
      </c>
      <c r="B11" s="51">
        <v>7080</v>
      </c>
      <c r="C11" s="51">
        <v>3752.4</v>
      </c>
      <c r="D11" s="49"/>
      <c r="E11" s="51">
        <v>407.80799999999999</v>
      </c>
      <c r="F11" s="49">
        <v>4160.2079999999987</v>
      </c>
      <c r="G11" s="49">
        <v>11240.207999999999</v>
      </c>
      <c r="H11" s="49">
        <v>58.759999999999984</v>
      </c>
    </row>
    <row r="12" spans="1:8">
      <c r="A12" s="45" t="s">
        <v>450</v>
      </c>
      <c r="B12" s="51">
        <v>7080</v>
      </c>
      <c r="C12" s="51">
        <v>3752.4</v>
      </c>
      <c r="D12" s="49"/>
      <c r="E12" s="51">
        <v>407.80799999999999</v>
      </c>
      <c r="F12" s="49">
        <v>4160.2079999999987</v>
      </c>
      <c r="G12" s="49">
        <v>11240.207999999999</v>
      </c>
      <c r="H12" s="49">
        <v>58.759999999999984</v>
      </c>
    </row>
    <row r="13" spans="1:8">
      <c r="A13" s="43" t="s">
        <v>50</v>
      </c>
      <c r="B13" s="51">
        <v>12800</v>
      </c>
      <c r="C13" s="51">
        <v>6050.4800000000005</v>
      </c>
      <c r="D13" s="49">
        <v>5106.92</v>
      </c>
      <c r="E13" s="51">
        <v>254.39999999999998</v>
      </c>
      <c r="F13" s="49">
        <v>11411.8</v>
      </c>
      <c r="G13" s="49">
        <v>24211.8</v>
      </c>
      <c r="H13" s="49">
        <v>106.24916666666667</v>
      </c>
    </row>
    <row r="14" spans="1:8">
      <c r="A14" s="44" t="s">
        <v>126</v>
      </c>
      <c r="B14" s="51">
        <v>6000</v>
      </c>
      <c r="C14" s="51">
        <v>2957.4</v>
      </c>
      <c r="D14" s="49"/>
      <c r="E14" s="51">
        <v>76.8</v>
      </c>
      <c r="F14" s="49">
        <v>3034.1999999999989</v>
      </c>
      <c r="G14" s="49">
        <v>9034.1999999999989</v>
      </c>
      <c r="H14" s="49">
        <v>50.569999999999979</v>
      </c>
    </row>
    <row r="15" spans="1:8">
      <c r="A15" s="45" t="s">
        <v>138</v>
      </c>
      <c r="B15" s="51">
        <v>6000</v>
      </c>
      <c r="C15" s="51">
        <v>2957.4</v>
      </c>
      <c r="D15" s="49"/>
      <c r="E15" s="51">
        <v>76.8</v>
      </c>
      <c r="F15" s="49">
        <v>3034.1999999999989</v>
      </c>
      <c r="G15" s="49">
        <v>9034.1999999999989</v>
      </c>
      <c r="H15" s="49">
        <v>50.569999999999979</v>
      </c>
    </row>
    <row r="16" spans="1:8">
      <c r="A16" s="44" t="s">
        <v>451</v>
      </c>
      <c r="B16" s="51">
        <v>2000</v>
      </c>
      <c r="C16" s="51">
        <v>879.80000000000007</v>
      </c>
      <c r="D16" s="49">
        <v>2120.1999999999998</v>
      </c>
      <c r="E16" s="51">
        <v>43.2</v>
      </c>
      <c r="F16" s="49">
        <v>3043.2</v>
      </c>
      <c r="G16" s="49">
        <v>5043.2</v>
      </c>
      <c r="H16" s="49">
        <v>152.16</v>
      </c>
    </row>
    <row r="17" spans="1:8">
      <c r="A17" s="45" t="s">
        <v>452</v>
      </c>
      <c r="B17" s="51">
        <v>2000</v>
      </c>
      <c r="C17" s="51">
        <v>879.80000000000007</v>
      </c>
      <c r="D17" s="49">
        <v>2120.1999999999998</v>
      </c>
      <c r="E17" s="51">
        <v>43.2</v>
      </c>
      <c r="F17" s="49">
        <v>3043.2</v>
      </c>
      <c r="G17" s="49">
        <v>5043.2</v>
      </c>
      <c r="H17" s="49">
        <v>152.16</v>
      </c>
    </row>
    <row r="18" spans="1:8">
      <c r="A18" s="44" t="s">
        <v>453</v>
      </c>
      <c r="B18" s="51">
        <v>2400</v>
      </c>
      <c r="C18" s="51">
        <v>1081.2000000000003</v>
      </c>
      <c r="D18" s="49">
        <v>1518.7999999999997</v>
      </c>
      <c r="E18" s="51">
        <v>34.56</v>
      </c>
      <c r="F18" s="49">
        <v>2634.5600000000004</v>
      </c>
      <c r="G18" s="49">
        <v>5034.5600000000004</v>
      </c>
      <c r="H18" s="49">
        <v>109.77333333333335</v>
      </c>
    </row>
    <row r="19" spans="1:8">
      <c r="A19" s="45" t="s">
        <v>454</v>
      </c>
      <c r="B19" s="51">
        <v>2400</v>
      </c>
      <c r="C19" s="51">
        <v>1081.2000000000003</v>
      </c>
      <c r="D19" s="49">
        <v>1518.7999999999997</v>
      </c>
      <c r="E19" s="51">
        <v>34.56</v>
      </c>
      <c r="F19" s="49">
        <v>2634.5600000000004</v>
      </c>
      <c r="G19" s="49">
        <v>5034.5600000000004</v>
      </c>
      <c r="H19" s="49">
        <v>109.77333333333335</v>
      </c>
    </row>
    <row r="20" spans="1:8">
      <c r="A20" s="44" t="s">
        <v>455</v>
      </c>
      <c r="B20" s="51">
        <v>2400</v>
      </c>
      <c r="C20" s="51">
        <v>1132.08</v>
      </c>
      <c r="D20" s="49">
        <v>1467.92</v>
      </c>
      <c r="E20" s="51">
        <v>99.839999999999989</v>
      </c>
      <c r="F20" s="49">
        <v>2699.84</v>
      </c>
      <c r="G20" s="49">
        <v>5099.84</v>
      </c>
      <c r="H20" s="49">
        <v>112.49333333333334</v>
      </c>
    </row>
    <row r="21" spans="1:8">
      <c r="A21" s="45" t="s">
        <v>456</v>
      </c>
      <c r="B21" s="51">
        <v>2400</v>
      </c>
      <c r="C21" s="51">
        <v>1132.08</v>
      </c>
      <c r="D21" s="49">
        <v>1467.92</v>
      </c>
      <c r="E21" s="51">
        <v>99.839999999999989</v>
      </c>
      <c r="F21" s="49">
        <v>2699.84</v>
      </c>
      <c r="G21" s="49">
        <v>5099.84</v>
      </c>
      <c r="H21" s="49">
        <v>112.49333333333334</v>
      </c>
    </row>
    <row r="22" spans="1:8">
      <c r="A22" s="43" t="s">
        <v>53</v>
      </c>
      <c r="B22" s="51">
        <v>4620</v>
      </c>
      <c r="C22" s="51">
        <v>2288.9639999999999</v>
      </c>
      <c r="D22" s="49">
        <v>2091.0360000000001</v>
      </c>
      <c r="E22" s="51">
        <v>472.65600000000001</v>
      </c>
      <c r="F22" s="49">
        <v>4852.6559999999999</v>
      </c>
      <c r="G22" s="49">
        <v>9472.655999999999</v>
      </c>
      <c r="H22" s="49">
        <v>105.34135135135135</v>
      </c>
    </row>
    <row r="23" spans="1:8">
      <c r="A23" s="44" t="s">
        <v>127</v>
      </c>
      <c r="B23" s="51">
        <v>2220</v>
      </c>
      <c r="C23" s="51">
        <v>1106.0039999999999</v>
      </c>
      <c r="D23" s="49">
        <v>1173.9960000000001</v>
      </c>
      <c r="E23" s="51">
        <v>232.65600000000001</v>
      </c>
      <c r="F23" s="49">
        <v>2512.6559999999999</v>
      </c>
      <c r="G23" s="49">
        <v>4732.6559999999999</v>
      </c>
      <c r="H23" s="49">
        <v>113.1827027027027</v>
      </c>
    </row>
    <row r="24" spans="1:8">
      <c r="A24" s="45" t="s">
        <v>139</v>
      </c>
      <c r="B24" s="51">
        <v>2220</v>
      </c>
      <c r="C24" s="51">
        <v>1106.0039999999999</v>
      </c>
      <c r="D24" s="49">
        <v>1173.9960000000001</v>
      </c>
      <c r="E24" s="51">
        <v>232.65600000000001</v>
      </c>
      <c r="F24" s="49">
        <v>2512.6559999999999</v>
      </c>
      <c r="G24" s="49">
        <v>4732.6559999999999</v>
      </c>
      <c r="H24" s="49">
        <v>113.1827027027027</v>
      </c>
    </row>
    <row r="25" spans="1:8">
      <c r="A25" s="44" t="s">
        <v>111</v>
      </c>
      <c r="B25" s="51">
        <v>2400</v>
      </c>
      <c r="C25" s="51">
        <v>1182.96</v>
      </c>
      <c r="D25" s="49">
        <v>917.04</v>
      </c>
      <c r="E25" s="51">
        <v>240</v>
      </c>
      <c r="F25" s="49">
        <v>2340</v>
      </c>
      <c r="G25" s="49">
        <v>4740</v>
      </c>
      <c r="H25" s="49">
        <v>97.5</v>
      </c>
    </row>
    <row r="26" spans="1:8">
      <c r="A26" s="45" t="s">
        <v>140</v>
      </c>
      <c r="B26" s="51">
        <v>2400</v>
      </c>
      <c r="C26" s="51">
        <v>1182.96</v>
      </c>
      <c r="D26" s="49">
        <v>917.04</v>
      </c>
      <c r="E26" s="51">
        <v>240</v>
      </c>
      <c r="F26" s="49">
        <v>2340</v>
      </c>
      <c r="G26" s="49">
        <v>4740</v>
      </c>
      <c r="H26" s="49">
        <v>97.5</v>
      </c>
    </row>
    <row r="27" spans="1:8">
      <c r="A27" s="43" t="s">
        <v>59</v>
      </c>
      <c r="B27" s="51">
        <v>4970</v>
      </c>
      <c r="C27" s="51">
        <v>2370.3720000000003</v>
      </c>
      <c r="D27" s="49">
        <v>659.6279999999997</v>
      </c>
      <c r="E27" s="51">
        <v>868.87199999999996</v>
      </c>
      <c r="F27" s="49">
        <v>3898.8720000000003</v>
      </c>
      <c r="G27" s="49">
        <v>8868.8719999999994</v>
      </c>
      <c r="H27" s="49">
        <v>78.491659919028351</v>
      </c>
    </row>
    <row r="28" spans="1:8">
      <c r="A28" s="44" t="s">
        <v>117</v>
      </c>
      <c r="B28" s="51">
        <v>2470</v>
      </c>
      <c r="C28" s="51">
        <v>1204.3720000000001</v>
      </c>
      <c r="D28" s="49">
        <v>325.6279999999997</v>
      </c>
      <c r="E28" s="51">
        <v>586.87199999999996</v>
      </c>
      <c r="F28" s="49">
        <v>2116.8720000000003</v>
      </c>
      <c r="G28" s="49">
        <v>4586.8720000000003</v>
      </c>
      <c r="H28" s="49">
        <v>85.7033198380567</v>
      </c>
    </row>
    <row r="29" spans="1:8">
      <c r="A29" s="45" t="s">
        <v>162</v>
      </c>
      <c r="B29" s="51">
        <v>2470</v>
      </c>
      <c r="C29" s="51">
        <v>1204.3720000000001</v>
      </c>
      <c r="D29" s="49">
        <v>325.6279999999997</v>
      </c>
      <c r="E29" s="51">
        <v>586.87199999999996</v>
      </c>
      <c r="F29" s="49">
        <v>2116.8720000000003</v>
      </c>
      <c r="G29" s="49">
        <v>4586.8720000000003</v>
      </c>
      <c r="H29" s="49">
        <v>85.7033198380567</v>
      </c>
    </row>
    <row r="30" spans="1:8">
      <c r="A30" s="44" t="s">
        <v>116</v>
      </c>
      <c r="B30" s="51">
        <v>2500</v>
      </c>
      <c r="C30" s="51">
        <v>1166</v>
      </c>
      <c r="D30" s="49">
        <v>334</v>
      </c>
      <c r="E30" s="51">
        <v>282</v>
      </c>
      <c r="F30" s="49">
        <v>1782</v>
      </c>
      <c r="G30" s="49">
        <v>4282</v>
      </c>
      <c r="H30" s="49">
        <v>71.28</v>
      </c>
    </row>
    <row r="31" spans="1:8">
      <c r="A31" s="45" t="s">
        <v>163</v>
      </c>
      <c r="B31" s="51">
        <v>2500</v>
      </c>
      <c r="C31" s="51">
        <v>1166</v>
      </c>
      <c r="D31" s="49">
        <v>334</v>
      </c>
      <c r="E31" s="51">
        <v>282</v>
      </c>
      <c r="F31" s="49">
        <v>1782</v>
      </c>
      <c r="G31" s="49">
        <v>4282</v>
      </c>
      <c r="H31" s="49">
        <v>71.28</v>
      </c>
    </row>
    <row r="32" spans="1:8">
      <c r="A32" s="43" t="s">
        <v>457</v>
      </c>
      <c r="B32" s="51">
        <v>8800</v>
      </c>
      <c r="C32" s="51">
        <v>1026.08</v>
      </c>
      <c r="D32" s="49" t="e">
        <v>#N/A</v>
      </c>
      <c r="E32" s="51">
        <v>1936</v>
      </c>
      <c r="F32" s="49" t="e">
        <v>#N/A</v>
      </c>
      <c r="G32" s="49" t="e">
        <v>#N/A</v>
      </c>
      <c r="H32" s="49" t="e">
        <v>#N/A</v>
      </c>
    </row>
    <row r="33" spans="1:8">
      <c r="A33" s="44">
        <v>0</v>
      </c>
      <c r="B33" s="51">
        <v>8800</v>
      </c>
      <c r="C33" s="51">
        <v>1026.08</v>
      </c>
      <c r="D33" s="49" t="e">
        <v>#N/A</v>
      </c>
      <c r="E33" s="51">
        <v>1936</v>
      </c>
      <c r="F33" s="49" t="e">
        <v>#N/A</v>
      </c>
      <c r="G33" s="49" t="e">
        <v>#N/A</v>
      </c>
      <c r="H33" s="49" t="e">
        <v>#N/A</v>
      </c>
    </row>
    <row r="34" spans="1:8">
      <c r="A34" s="45" t="s">
        <v>458</v>
      </c>
      <c r="B34" s="51">
        <v>8800</v>
      </c>
      <c r="C34" s="51">
        <v>1026.08</v>
      </c>
      <c r="D34" s="49" t="e">
        <v>#N/A</v>
      </c>
      <c r="E34" s="51">
        <v>1936</v>
      </c>
      <c r="F34" s="49" t="e">
        <v>#N/A</v>
      </c>
      <c r="G34" s="49" t="e">
        <v>#N/A</v>
      </c>
      <c r="H34" s="49" t="e">
        <v>#N/A</v>
      </c>
    </row>
    <row r="35" spans="1:8">
      <c r="A35" s="42" t="s">
        <v>71</v>
      </c>
      <c r="B35" s="51">
        <v>6240</v>
      </c>
      <c r="C35" s="51">
        <v>3014.5870000000004</v>
      </c>
      <c r="D35" s="49">
        <v>4245.4130000000005</v>
      </c>
      <c r="E35" s="51">
        <v>125.98399999999999</v>
      </c>
      <c r="F35" s="49">
        <v>7385.9840000000004</v>
      </c>
      <c r="G35" s="49">
        <v>13625.983999999999</v>
      </c>
      <c r="H35" s="49">
        <v>119.38921068753359</v>
      </c>
    </row>
    <row r="36" spans="1:8">
      <c r="A36" s="43" t="s">
        <v>50</v>
      </c>
      <c r="B36" s="51">
        <v>2350</v>
      </c>
      <c r="C36" s="51">
        <v>1145.8600000000001</v>
      </c>
      <c r="D36" s="49">
        <v>1504.1399999999999</v>
      </c>
      <c r="E36" s="51">
        <v>26.320000000000004</v>
      </c>
      <c r="F36" s="49">
        <v>2676.3199999999997</v>
      </c>
      <c r="G36" s="49">
        <v>5026.32</v>
      </c>
      <c r="H36" s="49">
        <v>113.8859574468085</v>
      </c>
    </row>
    <row r="37" spans="1:8">
      <c r="A37" s="44" t="s">
        <v>164</v>
      </c>
      <c r="B37" s="51">
        <v>2350</v>
      </c>
      <c r="C37" s="51">
        <v>1145.8600000000001</v>
      </c>
      <c r="D37" s="49">
        <v>1504.1399999999999</v>
      </c>
      <c r="E37" s="51">
        <v>26.320000000000004</v>
      </c>
      <c r="F37" s="49">
        <v>2676.3199999999997</v>
      </c>
      <c r="G37" s="49">
        <v>5026.32</v>
      </c>
      <c r="H37" s="49">
        <v>113.8859574468085</v>
      </c>
    </row>
    <row r="38" spans="1:8">
      <c r="A38" s="45" t="s">
        <v>165</v>
      </c>
      <c r="B38" s="51">
        <v>2350</v>
      </c>
      <c r="C38" s="51">
        <v>1145.8600000000001</v>
      </c>
      <c r="D38" s="49">
        <v>1504.1399999999999</v>
      </c>
      <c r="E38" s="51">
        <v>26.320000000000004</v>
      </c>
      <c r="F38" s="49">
        <v>2676.3199999999997</v>
      </c>
      <c r="G38" s="49">
        <v>5026.32</v>
      </c>
      <c r="H38" s="49">
        <v>113.8859574468085</v>
      </c>
    </row>
    <row r="39" spans="1:8">
      <c r="A39" s="43" t="s">
        <v>53</v>
      </c>
      <c r="B39" s="51">
        <v>1850</v>
      </c>
      <c r="C39" s="51">
        <v>911.86500000000001</v>
      </c>
      <c r="D39" s="49">
        <v>1738.1350000000002</v>
      </c>
      <c r="E39" s="51">
        <v>14.8</v>
      </c>
      <c r="F39" s="49">
        <v>2664.8</v>
      </c>
      <c r="G39" s="49">
        <v>4514.8</v>
      </c>
      <c r="H39" s="49">
        <v>144.04324324324324</v>
      </c>
    </row>
    <row r="40" spans="1:8">
      <c r="A40" s="44" t="s">
        <v>166</v>
      </c>
      <c r="B40" s="51">
        <v>1850</v>
      </c>
      <c r="C40" s="51">
        <v>911.86500000000001</v>
      </c>
      <c r="D40" s="49">
        <v>1738.1350000000002</v>
      </c>
      <c r="E40" s="51">
        <v>14.8</v>
      </c>
      <c r="F40" s="49">
        <v>2664.8</v>
      </c>
      <c r="G40" s="49">
        <v>4514.8</v>
      </c>
      <c r="H40" s="49">
        <v>144.04324324324324</v>
      </c>
    </row>
    <row r="41" spans="1:8">
      <c r="A41" s="45" t="s">
        <v>167</v>
      </c>
      <c r="B41" s="51">
        <v>1850</v>
      </c>
      <c r="C41" s="51">
        <v>911.86500000000001</v>
      </c>
      <c r="D41" s="49">
        <v>1738.1350000000002</v>
      </c>
      <c r="E41" s="51">
        <v>14.8</v>
      </c>
      <c r="F41" s="49">
        <v>2664.8</v>
      </c>
      <c r="G41" s="49">
        <v>4514.8</v>
      </c>
      <c r="H41" s="49">
        <v>144.04324324324324</v>
      </c>
    </row>
    <row r="42" spans="1:8">
      <c r="A42" s="43" t="s">
        <v>59</v>
      </c>
      <c r="B42" s="51">
        <v>2040</v>
      </c>
      <c r="C42" s="51">
        <v>956.86200000000008</v>
      </c>
      <c r="D42" s="49">
        <v>1003.1379999999999</v>
      </c>
      <c r="E42" s="51">
        <v>84.86399999999999</v>
      </c>
      <c r="F42" s="49">
        <v>2044.864</v>
      </c>
      <c r="G42" s="49">
        <v>4084.864</v>
      </c>
      <c r="H42" s="49">
        <v>100.23843137254903</v>
      </c>
    </row>
    <row r="43" spans="1:8">
      <c r="A43" s="44" t="s">
        <v>168</v>
      </c>
      <c r="B43" s="51">
        <v>2040</v>
      </c>
      <c r="C43" s="51">
        <v>956.86200000000008</v>
      </c>
      <c r="D43" s="49">
        <v>1003.1379999999999</v>
      </c>
      <c r="E43" s="51">
        <v>84.86399999999999</v>
      </c>
      <c r="F43" s="49">
        <v>2044.864</v>
      </c>
      <c r="G43" s="49">
        <v>4084.864</v>
      </c>
      <c r="H43" s="49">
        <v>100.23843137254903</v>
      </c>
    </row>
    <row r="44" spans="1:8">
      <c r="A44" s="45" t="s">
        <v>169</v>
      </c>
      <c r="B44" s="51">
        <v>2040</v>
      </c>
      <c r="C44" s="51">
        <v>956.86200000000008</v>
      </c>
      <c r="D44" s="49">
        <v>1003.1379999999999</v>
      </c>
      <c r="E44" s="51">
        <v>84.86399999999999</v>
      </c>
      <c r="F44" s="49">
        <v>2044.864</v>
      </c>
      <c r="G44" s="49">
        <v>4084.864</v>
      </c>
      <c r="H44" s="49">
        <v>100.23843137254903</v>
      </c>
    </row>
    <row r="45" spans="1:8">
      <c r="A45" s="42" t="s">
        <v>72</v>
      </c>
      <c r="B45" s="51">
        <v>7585</v>
      </c>
      <c r="C45" s="51">
        <v>3615.3155000000006</v>
      </c>
      <c r="D45" s="49">
        <v>3006.2845000000002</v>
      </c>
      <c r="E45" s="51">
        <v>237.57600000000002</v>
      </c>
      <c r="F45" s="49">
        <v>6859.1760000000004</v>
      </c>
      <c r="G45" s="49">
        <v>14444.176000000001</v>
      </c>
      <c r="H45" s="49">
        <v>99.887354830961385</v>
      </c>
    </row>
    <row r="46" spans="1:8">
      <c r="A46" s="43" t="s">
        <v>49</v>
      </c>
      <c r="B46" s="51">
        <v>3500</v>
      </c>
      <c r="C46" s="51">
        <v>1706.6000000000001</v>
      </c>
      <c r="D46" s="49"/>
      <c r="E46" s="51">
        <v>103.60000000000001</v>
      </c>
      <c r="F46" s="49">
        <v>1810.2000000000007</v>
      </c>
      <c r="G46" s="49">
        <v>5310.2000000000007</v>
      </c>
      <c r="H46" s="49">
        <v>51.72000000000002</v>
      </c>
    </row>
    <row r="47" spans="1:8">
      <c r="A47" s="44" t="s">
        <v>104</v>
      </c>
      <c r="B47" s="51">
        <v>3500</v>
      </c>
      <c r="C47" s="51">
        <v>1706.6000000000001</v>
      </c>
      <c r="D47" s="49"/>
      <c r="E47" s="51">
        <v>103.60000000000001</v>
      </c>
      <c r="F47" s="49">
        <v>1810.2000000000007</v>
      </c>
      <c r="G47" s="49">
        <v>5310.2000000000007</v>
      </c>
      <c r="H47" s="49">
        <v>51.72000000000002</v>
      </c>
    </row>
    <row r="48" spans="1:8">
      <c r="A48" s="45" t="s">
        <v>92</v>
      </c>
      <c r="B48" s="51">
        <v>3500</v>
      </c>
      <c r="C48" s="51">
        <v>1706.6000000000001</v>
      </c>
      <c r="D48" s="49"/>
      <c r="E48" s="51">
        <v>103.60000000000001</v>
      </c>
      <c r="F48" s="49">
        <v>1810.2000000000007</v>
      </c>
      <c r="G48" s="49">
        <v>5310.2000000000007</v>
      </c>
      <c r="H48" s="49">
        <v>51.72000000000002</v>
      </c>
    </row>
    <row r="49" spans="1:8">
      <c r="A49" s="43" t="s">
        <v>53</v>
      </c>
      <c r="B49" s="51">
        <v>4085</v>
      </c>
      <c r="C49" s="51">
        <v>1908.7155000000002</v>
      </c>
      <c r="D49" s="49">
        <v>3006.2845000000002</v>
      </c>
      <c r="E49" s="51">
        <v>133.976</v>
      </c>
      <c r="F49" s="49">
        <v>5048.9759999999997</v>
      </c>
      <c r="G49" s="49">
        <v>9133.9759999999987</v>
      </c>
      <c r="H49" s="49">
        <v>123.97103224644206</v>
      </c>
    </row>
    <row r="50" spans="1:8">
      <c r="A50" s="44" t="s">
        <v>170</v>
      </c>
      <c r="B50" s="51">
        <v>4085</v>
      </c>
      <c r="C50" s="51">
        <v>1908.7155000000002</v>
      </c>
      <c r="D50" s="49">
        <v>3006.2845000000002</v>
      </c>
      <c r="E50" s="51">
        <v>133.976</v>
      </c>
      <c r="F50" s="49">
        <v>5048.9759999999997</v>
      </c>
      <c r="G50" s="49">
        <v>9133.9759999999987</v>
      </c>
      <c r="H50" s="49">
        <v>123.97103224644206</v>
      </c>
    </row>
    <row r="51" spans="1:8">
      <c r="A51" s="45" t="s">
        <v>171</v>
      </c>
      <c r="B51" s="51">
        <v>2135</v>
      </c>
      <c r="C51" s="51">
        <v>916.55550000000005</v>
      </c>
      <c r="D51" s="49">
        <v>1448.4445000000001</v>
      </c>
      <c r="E51" s="51">
        <v>105.896</v>
      </c>
      <c r="F51" s="49">
        <v>2470.8959999999997</v>
      </c>
      <c r="G51" s="49">
        <v>4605.8959999999997</v>
      </c>
      <c r="H51" s="49">
        <v>115.73283372365337</v>
      </c>
    </row>
    <row r="52" spans="1:8">
      <c r="A52" s="45" t="s">
        <v>172</v>
      </c>
      <c r="B52" s="51">
        <v>1950</v>
      </c>
      <c r="C52" s="51">
        <v>992.16000000000008</v>
      </c>
      <c r="D52" s="49">
        <v>1557.8400000000001</v>
      </c>
      <c r="E52" s="51">
        <v>28.08</v>
      </c>
      <c r="F52" s="49">
        <v>2578.08</v>
      </c>
      <c r="G52" s="49">
        <v>4528.08</v>
      </c>
      <c r="H52" s="49">
        <v>132.20923076923077</v>
      </c>
    </row>
    <row r="53" spans="1:8">
      <c r="A53" s="42" t="s">
        <v>73</v>
      </c>
      <c r="B53" s="51">
        <v>31796</v>
      </c>
      <c r="C53" s="51">
        <v>13801.343100000002</v>
      </c>
      <c r="D53" s="49">
        <v>16705.680700000001</v>
      </c>
      <c r="E53" s="51">
        <v>2720.8928000000001</v>
      </c>
      <c r="F53" s="49">
        <v>33227.916599999997</v>
      </c>
      <c r="G53" s="49">
        <v>65023.91659999999</v>
      </c>
      <c r="H53" s="49">
        <v>108.12184461466815</v>
      </c>
    </row>
    <row r="54" spans="1:8">
      <c r="A54" s="43" t="s">
        <v>49</v>
      </c>
      <c r="B54" s="51">
        <v>4222</v>
      </c>
      <c r="C54" s="51">
        <v>2081.0237999999999</v>
      </c>
      <c r="D54" s="49"/>
      <c r="E54" s="51">
        <v>918.70720000000006</v>
      </c>
      <c r="F54" s="49">
        <v>2999.7309999999998</v>
      </c>
      <c r="G54" s="49">
        <v>7221.7309999999998</v>
      </c>
      <c r="H54" s="49">
        <v>71.05</v>
      </c>
    </row>
    <row r="55" spans="1:8">
      <c r="A55" s="44" t="s">
        <v>105</v>
      </c>
      <c r="B55" s="51">
        <v>4222</v>
      </c>
      <c r="C55" s="51">
        <v>2081.0237999999999</v>
      </c>
      <c r="D55" s="49"/>
      <c r="E55" s="51">
        <v>918.70720000000006</v>
      </c>
      <c r="F55" s="49">
        <v>2999.7309999999998</v>
      </c>
      <c r="G55" s="49">
        <v>7221.7309999999998</v>
      </c>
      <c r="H55" s="49">
        <v>71.05</v>
      </c>
    </row>
    <row r="56" spans="1:8">
      <c r="A56" s="45" t="s">
        <v>93</v>
      </c>
      <c r="B56" s="51">
        <v>4222</v>
      </c>
      <c r="C56" s="51">
        <v>2081.0237999999999</v>
      </c>
      <c r="D56" s="49"/>
      <c r="E56" s="51">
        <v>918.70720000000006</v>
      </c>
      <c r="F56" s="49">
        <v>2999.7309999999998</v>
      </c>
      <c r="G56" s="49">
        <v>7221.7309999999998</v>
      </c>
      <c r="H56" s="49">
        <v>71.05</v>
      </c>
    </row>
    <row r="57" spans="1:8">
      <c r="A57" s="43" t="s">
        <v>59</v>
      </c>
      <c r="B57" s="51">
        <v>27574</v>
      </c>
      <c r="C57" s="51">
        <v>11720.319299999999</v>
      </c>
      <c r="D57" s="49">
        <v>16705.680700000001</v>
      </c>
      <c r="E57" s="51">
        <v>1802.1855999999998</v>
      </c>
      <c r="F57" s="49">
        <v>30228.185599999997</v>
      </c>
      <c r="G57" s="49">
        <v>57802.185600000004</v>
      </c>
      <c r="H57" s="49">
        <v>110.76983351571585</v>
      </c>
    </row>
    <row r="58" spans="1:8">
      <c r="A58" s="44" t="s">
        <v>459</v>
      </c>
      <c r="B58" s="51">
        <v>1870</v>
      </c>
      <c r="C58" s="51">
        <v>218.042</v>
      </c>
      <c r="D58" s="49">
        <v>1911.9580000000001</v>
      </c>
      <c r="E58" s="51">
        <v>201.96000000000004</v>
      </c>
      <c r="F58" s="49">
        <v>2331.96</v>
      </c>
      <c r="G58" s="49">
        <v>4201.96</v>
      </c>
      <c r="H58" s="49">
        <v>124.70374331550804</v>
      </c>
    </row>
    <row r="59" spans="1:8">
      <c r="A59" s="45" t="s">
        <v>460</v>
      </c>
      <c r="B59" s="51">
        <v>1870</v>
      </c>
      <c r="C59" s="51">
        <v>218.042</v>
      </c>
      <c r="D59" s="49">
        <v>1911.9580000000001</v>
      </c>
      <c r="E59" s="51">
        <v>201.96000000000004</v>
      </c>
      <c r="F59" s="49">
        <v>2331.96</v>
      </c>
      <c r="G59" s="49">
        <v>4201.96</v>
      </c>
      <c r="H59" s="49">
        <v>124.70374331550804</v>
      </c>
    </row>
    <row r="60" spans="1:8">
      <c r="A60" s="44" t="s">
        <v>173</v>
      </c>
      <c r="B60" s="51">
        <v>6110</v>
      </c>
      <c r="C60" s="51">
        <v>2860.1715000000004</v>
      </c>
      <c r="D60" s="49">
        <v>3029.8284999999996</v>
      </c>
      <c r="E60" s="51">
        <v>301.55200000000002</v>
      </c>
      <c r="F60" s="49">
        <v>6191.5519999999997</v>
      </c>
      <c r="G60" s="49">
        <v>12301.552</v>
      </c>
      <c r="H60" s="49">
        <v>101.33294149764738</v>
      </c>
    </row>
    <row r="61" spans="1:8">
      <c r="A61" s="45" t="s">
        <v>174</v>
      </c>
      <c r="B61" s="51">
        <v>2035</v>
      </c>
      <c r="C61" s="51">
        <v>992.26600000000008</v>
      </c>
      <c r="D61" s="49">
        <v>972.73399999999992</v>
      </c>
      <c r="E61" s="51">
        <v>76.515999999999991</v>
      </c>
      <c r="F61" s="49">
        <v>2041.5160000000001</v>
      </c>
      <c r="G61" s="49">
        <v>4076.5160000000001</v>
      </c>
      <c r="H61" s="49">
        <v>100.32019656019656</v>
      </c>
    </row>
    <row r="62" spans="1:8">
      <c r="A62" s="45" t="s">
        <v>175</v>
      </c>
      <c r="B62" s="51">
        <v>2035</v>
      </c>
      <c r="C62" s="51">
        <v>1046.1935000000001</v>
      </c>
      <c r="D62" s="49">
        <v>918.80649999999969</v>
      </c>
      <c r="E62" s="51">
        <v>73.260000000000005</v>
      </c>
      <c r="F62" s="49">
        <v>2038.2600000000002</v>
      </c>
      <c r="G62" s="49">
        <v>4073.26</v>
      </c>
      <c r="H62" s="49">
        <v>100.16019656019657</v>
      </c>
    </row>
    <row r="63" spans="1:8">
      <c r="A63" s="45" t="s">
        <v>176</v>
      </c>
      <c r="B63" s="51">
        <v>2040</v>
      </c>
      <c r="C63" s="51">
        <v>821.71199999999999</v>
      </c>
      <c r="D63" s="49">
        <v>1138.288</v>
      </c>
      <c r="E63" s="51">
        <v>151.77599999999998</v>
      </c>
      <c r="F63" s="49">
        <v>2111.7759999999998</v>
      </c>
      <c r="G63" s="49">
        <v>4151.7759999999998</v>
      </c>
      <c r="H63" s="49">
        <v>103.51843137254902</v>
      </c>
    </row>
    <row r="64" spans="1:8">
      <c r="A64" s="44" t="s">
        <v>177</v>
      </c>
      <c r="B64" s="51">
        <v>19594</v>
      </c>
      <c r="C64" s="51">
        <v>8642.1057999999994</v>
      </c>
      <c r="D64" s="49">
        <v>11763.894199999999</v>
      </c>
      <c r="E64" s="51">
        <v>1298.6736000000001</v>
      </c>
      <c r="F64" s="49">
        <v>21704.673599999998</v>
      </c>
      <c r="G64" s="49">
        <v>41298.673600000002</v>
      </c>
      <c r="H64" s="49">
        <v>112.2075101411572</v>
      </c>
    </row>
    <row r="65" spans="1:8">
      <c r="A65" s="45" t="s">
        <v>178</v>
      </c>
      <c r="B65" s="51">
        <v>2000</v>
      </c>
      <c r="C65" s="51">
        <v>943.4</v>
      </c>
      <c r="D65" s="49">
        <v>1056.5999999999999</v>
      </c>
      <c r="E65" s="51">
        <v>195.2</v>
      </c>
      <c r="F65" s="49">
        <v>2195.1999999999998</v>
      </c>
      <c r="G65" s="49">
        <v>4195.2</v>
      </c>
      <c r="H65" s="49">
        <v>109.75999999999999</v>
      </c>
    </row>
    <row r="66" spans="1:8">
      <c r="A66" s="45" t="s">
        <v>179</v>
      </c>
      <c r="B66" s="51">
        <v>2400</v>
      </c>
      <c r="C66" s="51">
        <v>1195.6799999999998</v>
      </c>
      <c r="D66" s="49">
        <v>404.32000000000016</v>
      </c>
      <c r="E66" s="51">
        <v>192</v>
      </c>
      <c r="F66" s="49">
        <v>1792</v>
      </c>
      <c r="G66" s="49">
        <v>4192</v>
      </c>
      <c r="H66" s="49">
        <v>74.666666666666671</v>
      </c>
    </row>
    <row r="67" spans="1:8">
      <c r="A67" s="45" t="s">
        <v>180</v>
      </c>
      <c r="B67" s="51">
        <v>1800</v>
      </c>
      <c r="C67" s="51">
        <v>753.66000000000008</v>
      </c>
      <c r="D67" s="49">
        <v>1446.3400000000001</v>
      </c>
      <c r="E67" s="51">
        <v>47.52</v>
      </c>
      <c r="F67" s="49">
        <v>2247.52</v>
      </c>
      <c r="G67" s="49">
        <v>4047.52</v>
      </c>
      <c r="H67" s="49">
        <v>124.86222222222221</v>
      </c>
    </row>
    <row r="68" spans="1:8">
      <c r="A68" s="45" t="s">
        <v>181</v>
      </c>
      <c r="B68" s="51">
        <v>1800</v>
      </c>
      <c r="C68" s="51">
        <v>810.90000000000009</v>
      </c>
      <c r="D68" s="49">
        <v>1389.1</v>
      </c>
      <c r="E68" s="51">
        <v>41.76</v>
      </c>
      <c r="F68" s="49">
        <v>2241.7600000000002</v>
      </c>
      <c r="G68" s="49">
        <v>4041.76</v>
      </c>
      <c r="H68" s="49">
        <v>124.54222222222224</v>
      </c>
    </row>
    <row r="69" spans="1:8">
      <c r="A69" s="45" t="s">
        <v>182</v>
      </c>
      <c r="B69" s="51">
        <v>2000</v>
      </c>
      <c r="C69" s="51">
        <v>1028.2</v>
      </c>
      <c r="D69" s="49">
        <v>971.80000000000018</v>
      </c>
      <c r="E69" s="51">
        <v>200</v>
      </c>
      <c r="F69" s="49">
        <v>2200</v>
      </c>
      <c r="G69" s="49">
        <v>4200</v>
      </c>
      <c r="H69" s="49">
        <v>110</v>
      </c>
    </row>
    <row r="70" spans="1:8">
      <c r="A70" s="45" t="s">
        <v>183</v>
      </c>
      <c r="B70" s="51">
        <v>2244</v>
      </c>
      <c r="C70" s="51">
        <v>1117.9607999999998</v>
      </c>
      <c r="D70" s="49">
        <v>638.03920000000016</v>
      </c>
      <c r="E70" s="51">
        <v>481.11360000000002</v>
      </c>
      <c r="F70" s="49">
        <v>2237.1135999999997</v>
      </c>
      <c r="G70" s="49">
        <v>4481.1135999999997</v>
      </c>
      <c r="H70" s="49">
        <v>99.693119429589999</v>
      </c>
    </row>
    <row r="71" spans="1:8">
      <c r="A71" s="45" t="s">
        <v>184</v>
      </c>
      <c r="B71" s="51">
        <v>1800</v>
      </c>
      <c r="C71" s="51">
        <v>782.28</v>
      </c>
      <c r="D71" s="49">
        <v>1417.7200000000003</v>
      </c>
      <c r="E71" s="51">
        <v>36</v>
      </c>
      <c r="F71" s="49">
        <v>2236</v>
      </c>
      <c r="G71" s="49">
        <v>4036</v>
      </c>
      <c r="H71" s="49">
        <v>124.22222222222223</v>
      </c>
    </row>
    <row r="72" spans="1:8">
      <c r="A72" s="45" t="s">
        <v>185</v>
      </c>
      <c r="B72" s="51">
        <v>1850</v>
      </c>
      <c r="C72" s="51">
        <v>862.83999999999992</v>
      </c>
      <c r="D72" s="49">
        <v>1287.1599999999999</v>
      </c>
      <c r="E72" s="51">
        <v>48.839999999999996</v>
      </c>
      <c r="F72" s="49">
        <v>2198.84</v>
      </c>
      <c r="G72" s="49">
        <v>4048.84</v>
      </c>
      <c r="H72" s="49">
        <v>118.85621621621623</v>
      </c>
    </row>
    <row r="73" spans="1:8">
      <c r="A73" s="45" t="s">
        <v>186</v>
      </c>
      <c r="B73" s="51">
        <v>1850</v>
      </c>
      <c r="C73" s="51">
        <v>931.47500000000014</v>
      </c>
      <c r="D73" s="49">
        <v>1218.5249999999996</v>
      </c>
      <c r="E73" s="51">
        <v>29.6</v>
      </c>
      <c r="F73" s="49">
        <v>2179.6</v>
      </c>
      <c r="G73" s="49">
        <v>4029.6</v>
      </c>
      <c r="H73" s="49">
        <v>117.8162162162162</v>
      </c>
    </row>
    <row r="74" spans="1:8">
      <c r="A74" s="45" t="s">
        <v>187</v>
      </c>
      <c r="B74" s="51">
        <v>1850</v>
      </c>
      <c r="C74" s="51">
        <v>215.70999999999998</v>
      </c>
      <c r="D74" s="49">
        <v>1934.29</v>
      </c>
      <c r="E74" s="51">
        <v>26.64</v>
      </c>
      <c r="F74" s="49">
        <v>2176.64</v>
      </c>
      <c r="G74" s="49">
        <v>4026.64</v>
      </c>
      <c r="H74" s="49">
        <v>117.65621621621621</v>
      </c>
    </row>
    <row r="75" spans="1:8">
      <c r="A75" s="42" t="s">
        <v>74</v>
      </c>
      <c r="B75" s="51">
        <v>278111.5</v>
      </c>
      <c r="C75" s="51">
        <v>123565.24144999996</v>
      </c>
      <c r="D75" s="49">
        <v>99101.166549999965</v>
      </c>
      <c r="E75" s="51">
        <v>26327.743200000008</v>
      </c>
      <c r="F75" s="49">
        <v>248994.15120000002</v>
      </c>
      <c r="G75" s="49">
        <v>527105.65119999985</v>
      </c>
      <c r="H75" s="49">
        <v>94.413748007743081</v>
      </c>
    </row>
    <row r="76" spans="1:8">
      <c r="A76" s="43" t="s">
        <v>49</v>
      </c>
      <c r="B76" s="51">
        <v>15000</v>
      </c>
      <c r="C76" s="51">
        <v>7552.5000000000009</v>
      </c>
      <c r="D76" s="49"/>
      <c r="E76" s="51">
        <v>3300</v>
      </c>
      <c r="F76" s="49">
        <v>10852.5</v>
      </c>
      <c r="G76" s="49">
        <v>25852.5</v>
      </c>
      <c r="H76" s="49">
        <v>72.349999999999994</v>
      </c>
    </row>
    <row r="77" spans="1:8">
      <c r="A77" s="44" t="s">
        <v>106</v>
      </c>
      <c r="B77" s="51">
        <v>15000</v>
      </c>
      <c r="C77" s="51">
        <v>7552.5000000000009</v>
      </c>
      <c r="D77" s="49"/>
      <c r="E77" s="51">
        <v>3300</v>
      </c>
      <c r="F77" s="49">
        <v>10852.5</v>
      </c>
      <c r="G77" s="49">
        <v>25852.5</v>
      </c>
      <c r="H77" s="49">
        <v>72.349999999999994</v>
      </c>
    </row>
    <row r="78" spans="1:8">
      <c r="A78" s="45" t="s">
        <v>94</v>
      </c>
      <c r="B78" s="51">
        <v>15000</v>
      </c>
      <c r="C78" s="51">
        <v>7552.5000000000009</v>
      </c>
      <c r="D78" s="49"/>
      <c r="E78" s="51">
        <v>3300</v>
      </c>
      <c r="F78" s="49">
        <v>10852.5</v>
      </c>
      <c r="G78" s="49">
        <v>25852.5</v>
      </c>
      <c r="H78" s="49">
        <v>72.349999999999994</v>
      </c>
    </row>
    <row r="79" spans="1:8">
      <c r="A79" s="43" t="s">
        <v>50</v>
      </c>
      <c r="B79" s="51">
        <v>40336</v>
      </c>
      <c r="C79" s="51">
        <v>20073.060999999998</v>
      </c>
      <c r="D79" s="49">
        <v>5711.3309999999983</v>
      </c>
      <c r="E79" s="51">
        <v>6129.2248</v>
      </c>
      <c r="F79" s="49">
        <v>31913.6168</v>
      </c>
      <c r="G79" s="49">
        <v>72249.616800000003</v>
      </c>
      <c r="H79" s="49">
        <v>85.789291420997316</v>
      </c>
    </row>
    <row r="80" spans="1:8">
      <c r="A80" s="44" t="s">
        <v>188</v>
      </c>
      <c r="B80" s="51">
        <v>13390</v>
      </c>
      <c r="C80" s="51">
        <v>6607.192</v>
      </c>
      <c r="D80" s="49"/>
      <c r="E80" s="51">
        <v>2550.1999999999998</v>
      </c>
      <c r="F80" s="49">
        <v>9157.3919999999998</v>
      </c>
      <c r="G80" s="49">
        <v>22547.392</v>
      </c>
      <c r="H80" s="49">
        <v>68.543333333333337</v>
      </c>
    </row>
    <row r="81" spans="1:8">
      <c r="A81" s="45" t="s">
        <v>189</v>
      </c>
      <c r="B81" s="51">
        <v>4810</v>
      </c>
      <c r="C81" s="51">
        <v>2345.3560000000002</v>
      </c>
      <c r="D81" s="49"/>
      <c r="E81" s="51">
        <v>673.40000000000009</v>
      </c>
      <c r="F81" s="49">
        <v>3018.7559999999994</v>
      </c>
      <c r="G81" s="49">
        <v>7828.7559999999994</v>
      </c>
      <c r="H81" s="49">
        <v>62.759999999999984</v>
      </c>
    </row>
    <row r="82" spans="1:8">
      <c r="A82" s="45" t="s">
        <v>190</v>
      </c>
      <c r="B82" s="51">
        <v>4080</v>
      </c>
      <c r="C82" s="51">
        <v>1924.5360000000001</v>
      </c>
      <c r="D82" s="49"/>
      <c r="E82" s="51">
        <v>897.6</v>
      </c>
      <c r="F82" s="49">
        <v>2822.1360000000004</v>
      </c>
      <c r="G82" s="49">
        <v>6902.1360000000004</v>
      </c>
      <c r="H82" s="49">
        <v>69.170000000000016</v>
      </c>
    </row>
    <row r="83" spans="1:8">
      <c r="A83" s="45" t="s">
        <v>191</v>
      </c>
      <c r="B83" s="51">
        <v>4500</v>
      </c>
      <c r="C83" s="51">
        <v>2337.3000000000002</v>
      </c>
      <c r="D83" s="49"/>
      <c r="E83" s="51">
        <v>979.2</v>
      </c>
      <c r="F83" s="49">
        <v>3316.5</v>
      </c>
      <c r="G83" s="49">
        <v>7816.5</v>
      </c>
      <c r="H83" s="49">
        <v>73.7</v>
      </c>
    </row>
    <row r="84" spans="1:8">
      <c r="A84" s="44" t="s">
        <v>192</v>
      </c>
      <c r="B84" s="51">
        <v>19796</v>
      </c>
      <c r="C84" s="51">
        <v>9821.7480000000014</v>
      </c>
      <c r="D84" s="49">
        <v>1505.4519999999993</v>
      </c>
      <c r="E84" s="51">
        <v>3454.3807999999999</v>
      </c>
      <c r="F84" s="49">
        <v>14781.5808</v>
      </c>
      <c r="G84" s="49">
        <v>34577.580799999996</v>
      </c>
      <c r="H84" s="49">
        <v>78.698916083916089</v>
      </c>
    </row>
    <row r="85" spans="1:8">
      <c r="A85" s="45" t="s">
        <v>193</v>
      </c>
      <c r="B85" s="51">
        <v>3300</v>
      </c>
      <c r="C85" s="51">
        <v>1574.1000000000001</v>
      </c>
      <c r="D85" s="49">
        <v>125.89999999999964</v>
      </c>
      <c r="E85" s="51">
        <v>168.96</v>
      </c>
      <c r="F85" s="49">
        <v>1868.96</v>
      </c>
      <c r="G85" s="49">
        <v>5168.96</v>
      </c>
      <c r="H85" s="49">
        <v>56.635151515151513</v>
      </c>
    </row>
    <row r="86" spans="1:8">
      <c r="A86" s="45" t="s">
        <v>194</v>
      </c>
      <c r="B86" s="51">
        <v>2496</v>
      </c>
      <c r="C86" s="51">
        <v>1124.4480000000001</v>
      </c>
      <c r="D86" s="49">
        <v>1379.5519999999997</v>
      </c>
      <c r="E86" s="51">
        <v>361.42080000000004</v>
      </c>
      <c r="F86" s="49">
        <v>2865.4207999999999</v>
      </c>
      <c r="G86" s="49">
        <v>5361.4207999999999</v>
      </c>
      <c r="H86" s="49">
        <v>114.80051282051281</v>
      </c>
    </row>
    <row r="87" spans="1:8">
      <c r="A87" s="45" t="s">
        <v>195</v>
      </c>
      <c r="B87" s="51">
        <v>7500</v>
      </c>
      <c r="C87" s="51">
        <v>3816</v>
      </c>
      <c r="D87" s="49"/>
      <c r="E87" s="51">
        <v>1650</v>
      </c>
      <c r="F87" s="49">
        <v>5466</v>
      </c>
      <c r="G87" s="49">
        <v>12966</v>
      </c>
      <c r="H87" s="49">
        <v>72.88</v>
      </c>
    </row>
    <row r="88" spans="1:8">
      <c r="A88" s="45" t="s">
        <v>196</v>
      </c>
      <c r="B88" s="51">
        <v>6500</v>
      </c>
      <c r="C88" s="51">
        <v>3307.2000000000003</v>
      </c>
      <c r="D88" s="49"/>
      <c r="E88" s="51">
        <v>1274</v>
      </c>
      <c r="F88" s="49">
        <v>4581.2000000000007</v>
      </c>
      <c r="G88" s="49">
        <v>11081.2</v>
      </c>
      <c r="H88" s="49">
        <v>70.480000000000018</v>
      </c>
    </row>
    <row r="89" spans="1:8">
      <c r="A89" s="44" t="s">
        <v>207</v>
      </c>
      <c r="B89" s="51">
        <v>4550</v>
      </c>
      <c r="C89" s="51">
        <v>2293.6810000000005</v>
      </c>
      <c r="D89" s="49">
        <v>3156.319</v>
      </c>
      <c r="E89" s="51">
        <v>82.003999999999991</v>
      </c>
      <c r="F89" s="49">
        <v>5532.0039999999999</v>
      </c>
      <c r="G89" s="49">
        <v>10082.004000000001</v>
      </c>
      <c r="H89" s="49">
        <v>121.75977878330819</v>
      </c>
    </row>
    <row r="90" spans="1:8">
      <c r="A90" s="45" t="s">
        <v>461</v>
      </c>
      <c r="B90" s="51">
        <v>2340</v>
      </c>
      <c r="C90" s="51">
        <v>1227.7980000000002</v>
      </c>
      <c r="D90" s="49">
        <v>1432.2019999999998</v>
      </c>
      <c r="E90" s="51">
        <v>43.99199999999999</v>
      </c>
      <c r="F90" s="49">
        <v>2703.9920000000002</v>
      </c>
      <c r="G90" s="49">
        <v>5043.9920000000002</v>
      </c>
      <c r="H90" s="49">
        <v>115.55521367521369</v>
      </c>
    </row>
    <row r="91" spans="1:8">
      <c r="A91" s="45" t="s">
        <v>462</v>
      </c>
      <c r="B91" s="51">
        <v>2210</v>
      </c>
      <c r="C91" s="51">
        <v>1065.883</v>
      </c>
      <c r="D91" s="49">
        <v>1724.1170000000002</v>
      </c>
      <c r="E91" s="51">
        <v>38.012</v>
      </c>
      <c r="F91" s="49">
        <v>2828.0119999999997</v>
      </c>
      <c r="G91" s="49">
        <v>5038.0119999999997</v>
      </c>
      <c r="H91" s="49">
        <v>127.96434389140269</v>
      </c>
    </row>
    <row r="92" spans="1:8">
      <c r="A92" s="44" t="s">
        <v>197</v>
      </c>
      <c r="B92" s="51">
        <v>2600</v>
      </c>
      <c r="C92" s="51">
        <v>1350.4400000000003</v>
      </c>
      <c r="D92" s="49">
        <v>1049.5599999999995</v>
      </c>
      <c r="E92" s="51">
        <v>42.64</v>
      </c>
      <c r="F92" s="49">
        <v>2442.6400000000003</v>
      </c>
      <c r="G92" s="49">
        <v>5042.6400000000003</v>
      </c>
      <c r="H92" s="49">
        <v>93.947692307692321</v>
      </c>
    </row>
    <row r="93" spans="1:8">
      <c r="A93" s="45" t="s">
        <v>198</v>
      </c>
      <c r="B93" s="51">
        <v>2600</v>
      </c>
      <c r="C93" s="51">
        <v>1350.4400000000003</v>
      </c>
      <c r="D93" s="49">
        <v>1049.5599999999995</v>
      </c>
      <c r="E93" s="51">
        <v>42.64</v>
      </c>
      <c r="F93" s="49">
        <v>2442.6400000000003</v>
      </c>
      <c r="G93" s="49">
        <v>5042.6400000000003</v>
      </c>
      <c r="H93" s="49">
        <v>93.947692307692321</v>
      </c>
    </row>
    <row r="94" spans="1:8">
      <c r="A94" s="43" t="s">
        <v>53</v>
      </c>
      <c r="B94" s="51">
        <v>49575</v>
      </c>
      <c r="C94" s="51">
        <v>23835.520400000001</v>
      </c>
      <c r="D94" s="49">
        <v>11194.495599999998</v>
      </c>
      <c r="E94" s="51">
        <v>5923.3184000000001</v>
      </c>
      <c r="F94" s="49">
        <v>40953.3344</v>
      </c>
      <c r="G94" s="49">
        <v>90528.334400000007</v>
      </c>
      <c r="H94" s="49">
        <v>86.175109426410472</v>
      </c>
    </row>
    <row r="95" spans="1:8">
      <c r="A95" s="44" t="s">
        <v>199</v>
      </c>
      <c r="B95" s="51">
        <v>12510</v>
      </c>
      <c r="C95" s="51">
        <v>5615.1909999999998</v>
      </c>
      <c r="D95" s="49">
        <v>913.33700000000044</v>
      </c>
      <c r="E95" s="51">
        <v>1148.6480000000001</v>
      </c>
      <c r="F95" s="49">
        <v>7677.1760000000004</v>
      </c>
      <c r="G95" s="49">
        <v>20187.175999999999</v>
      </c>
      <c r="H95" s="49">
        <v>63.384058704453444</v>
      </c>
    </row>
    <row r="96" spans="1:8">
      <c r="A96" s="45" t="s">
        <v>200</v>
      </c>
      <c r="B96" s="51">
        <v>3000</v>
      </c>
      <c r="C96" s="51">
        <v>1399.2</v>
      </c>
      <c r="D96" s="49">
        <v>100.80000000000018</v>
      </c>
      <c r="E96" s="51">
        <v>292.79999999999995</v>
      </c>
      <c r="F96" s="49">
        <v>1792.8000000000002</v>
      </c>
      <c r="G96" s="49">
        <v>4792.8</v>
      </c>
      <c r="H96" s="49">
        <v>59.760000000000005</v>
      </c>
    </row>
    <row r="97" spans="1:8">
      <c r="A97" s="45" t="s">
        <v>201</v>
      </c>
      <c r="B97" s="51">
        <v>3200</v>
      </c>
      <c r="C97" s="51">
        <v>1594.24</v>
      </c>
      <c r="D97" s="49"/>
      <c r="E97" s="51">
        <v>542.72</v>
      </c>
      <c r="F97" s="49">
        <v>2136.96</v>
      </c>
      <c r="G97" s="49">
        <v>5336.96</v>
      </c>
      <c r="H97" s="49">
        <v>66.78</v>
      </c>
    </row>
    <row r="98" spans="1:8">
      <c r="A98" s="45" t="s">
        <v>202</v>
      </c>
      <c r="B98" s="51">
        <v>3840</v>
      </c>
      <c r="C98" s="51">
        <v>1404.288</v>
      </c>
      <c r="D98" s="49"/>
      <c r="E98" s="51">
        <v>307.2</v>
      </c>
      <c r="F98" s="49">
        <v>1711.4880000000003</v>
      </c>
      <c r="G98" s="49">
        <v>5551.4880000000003</v>
      </c>
      <c r="H98" s="49">
        <v>44.570000000000007</v>
      </c>
    </row>
    <row r="99" spans="1:8">
      <c r="A99" s="45" t="s">
        <v>203</v>
      </c>
      <c r="B99" s="51">
        <v>2470</v>
      </c>
      <c r="C99" s="51">
        <v>1217.463</v>
      </c>
      <c r="D99" s="49">
        <v>812.53700000000026</v>
      </c>
      <c r="E99" s="51">
        <v>5.927999999999999</v>
      </c>
      <c r="F99" s="49">
        <v>2035.9279999999999</v>
      </c>
      <c r="G99" s="49">
        <v>4505.9279999999999</v>
      </c>
      <c r="H99" s="49">
        <v>82.426234817813764</v>
      </c>
    </row>
    <row r="100" spans="1:8">
      <c r="A100" s="44" t="s">
        <v>109</v>
      </c>
      <c r="B100" s="51">
        <v>2220</v>
      </c>
      <c r="C100" s="51">
        <v>1153.0680000000002</v>
      </c>
      <c r="D100" s="49">
        <v>1126.9319999999998</v>
      </c>
      <c r="E100" s="51">
        <v>209.56799999999998</v>
      </c>
      <c r="F100" s="49">
        <v>2489.5680000000002</v>
      </c>
      <c r="G100" s="49">
        <v>4709.5680000000002</v>
      </c>
      <c r="H100" s="49">
        <v>112.14270270270272</v>
      </c>
    </row>
    <row r="101" spans="1:8">
      <c r="A101" s="45" t="s">
        <v>204</v>
      </c>
      <c r="B101" s="51">
        <v>2220</v>
      </c>
      <c r="C101" s="51">
        <v>1153.0680000000002</v>
      </c>
      <c r="D101" s="49">
        <v>1126.9319999999998</v>
      </c>
      <c r="E101" s="51">
        <v>209.56799999999998</v>
      </c>
      <c r="F101" s="49">
        <v>2489.5680000000002</v>
      </c>
      <c r="G101" s="49">
        <v>4709.5680000000002</v>
      </c>
      <c r="H101" s="49">
        <v>112.14270270270272</v>
      </c>
    </row>
    <row r="102" spans="1:8">
      <c r="A102" s="44" t="s">
        <v>205</v>
      </c>
      <c r="B102" s="51">
        <v>1950</v>
      </c>
      <c r="C102" s="51">
        <v>992.16000000000008</v>
      </c>
      <c r="D102" s="49">
        <v>1557.8400000000001</v>
      </c>
      <c r="E102" s="51">
        <v>30.42</v>
      </c>
      <c r="F102" s="49">
        <v>2580.42</v>
      </c>
      <c r="G102" s="49">
        <v>4530.42</v>
      </c>
      <c r="H102" s="49">
        <v>132.32923076923078</v>
      </c>
    </row>
    <row r="103" spans="1:8">
      <c r="A103" s="45" t="s">
        <v>206</v>
      </c>
      <c r="B103" s="51">
        <v>1950</v>
      </c>
      <c r="C103" s="51">
        <v>992.16000000000008</v>
      </c>
      <c r="D103" s="49">
        <v>1557.8400000000001</v>
      </c>
      <c r="E103" s="51">
        <v>30.42</v>
      </c>
      <c r="F103" s="49">
        <v>2580.42</v>
      </c>
      <c r="G103" s="49">
        <v>4530.42</v>
      </c>
      <c r="H103" s="49">
        <v>132.32923076923078</v>
      </c>
    </row>
    <row r="104" spans="1:8">
      <c r="A104" s="44" t="s">
        <v>207</v>
      </c>
      <c r="B104" s="51">
        <v>25335</v>
      </c>
      <c r="C104" s="51">
        <v>12126.813400000003</v>
      </c>
      <c r="D104" s="49">
        <v>7596.3865999999998</v>
      </c>
      <c r="E104" s="51">
        <v>3314.1383999999998</v>
      </c>
      <c r="F104" s="49">
        <v>23037.338400000001</v>
      </c>
      <c r="G104" s="49">
        <v>48372.338400000001</v>
      </c>
      <c r="H104" s="49">
        <v>91.745380138564144</v>
      </c>
    </row>
    <row r="105" spans="1:8">
      <c r="A105" s="45" t="s">
        <v>208</v>
      </c>
      <c r="B105" s="51">
        <v>2664</v>
      </c>
      <c r="C105" s="51">
        <v>1327.2048</v>
      </c>
      <c r="D105" s="49">
        <v>508.79520000000002</v>
      </c>
      <c r="E105" s="51">
        <v>247.21919999999997</v>
      </c>
      <c r="F105" s="49">
        <v>2083.2191999999995</v>
      </c>
      <c r="G105" s="49">
        <v>4747.2191999999995</v>
      </c>
      <c r="H105" s="49">
        <v>78.198918918918906</v>
      </c>
    </row>
    <row r="106" spans="1:8">
      <c r="A106" s="45" t="s">
        <v>209</v>
      </c>
      <c r="B106" s="51">
        <v>2470</v>
      </c>
      <c r="C106" s="51">
        <v>1152.008</v>
      </c>
      <c r="D106" s="49">
        <v>877.99200000000019</v>
      </c>
      <c r="E106" s="51">
        <v>290.47199999999998</v>
      </c>
      <c r="F106" s="49">
        <v>2320.4719999999998</v>
      </c>
      <c r="G106" s="49">
        <v>4790.4719999999998</v>
      </c>
      <c r="H106" s="49">
        <v>93.94623481781376</v>
      </c>
    </row>
    <row r="107" spans="1:8">
      <c r="A107" s="45" t="s">
        <v>210</v>
      </c>
      <c r="B107" s="51">
        <v>2244</v>
      </c>
      <c r="C107" s="51">
        <v>1022.8152000000001</v>
      </c>
      <c r="D107" s="49">
        <v>1233.1848</v>
      </c>
      <c r="E107" s="51">
        <v>208.24319999999997</v>
      </c>
      <c r="F107" s="49">
        <v>2464.2431999999999</v>
      </c>
      <c r="G107" s="49">
        <v>4708.2431999999999</v>
      </c>
      <c r="H107" s="49">
        <v>109.81475935828875</v>
      </c>
    </row>
    <row r="108" spans="1:8">
      <c r="A108" s="45" t="s">
        <v>211</v>
      </c>
      <c r="B108" s="51">
        <v>2457</v>
      </c>
      <c r="C108" s="51">
        <v>1224.0773999999999</v>
      </c>
      <c r="D108" s="49">
        <v>818.92259999999987</v>
      </c>
      <c r="E108" s="51">
        <v>540.54</v>
      </c>
      <c r="F108" s="49">
        <v>2583.54</v>
      </c>
      <c r="G108" s="49">
        <v>5040.54</v>
      </c>
      <c r="H108" s="49">
        <v>105.15018315018315</v>
      </c>
    </row>
    <row r="109" spans="1:8">
      <c r="A109" s="45" t="s">
        <v>212</v>
      </c>
      <c r="B109" s="51">
        <v>2300</v>
      </c>
      <c r="C109" s="51">
        <v>1023.96</v>
      </c>
      <c r="D109" s="49">
        <v>1176.04</v>
      </c>
      <c r="E109" s="51">
        <v>60.72</v>
      </c>
      <c r="F109" s="49">
        <v>2260.7200000000003</v>
      </c>
      <c r="G109" s="49">
        <v>4560.72</v>
      </c>
      <c r="H109" s="49">
        <v>98.292173913043484</v>
      </c>
    </row>
    <row r="110" spans="1:8">
      <c r="A110" s="45" t="s">
        <v>213</v>
      </c>
      <c r="B110" s="51">
        <v>2640</v>
      </c>
      <c r="C110" s="51">
        <v>1301.2560000000001</v>
      </c>
      <c r="D110" s="49">
        <v>558.74399999999969</v>
      </c>
      <c r="E110" s="51">
        <v>580.79999999999995</v>
      </c>
      <c r="F110" s="49">
        <v>2440.8000000000002</v>
      </c>
      <c r="G110" s="49">
        <v>5080.8</v>
      </c>
      <c r="H110" s="49">
        <v>92.454545454545467</v>
      </c>
    </row>
    <row r="111" spans="1:8">
      <c r="A111" s="45" t="s">
        <v>214</v>
      </c>
      <c r="B111" s="51">
        <v>2640</v>
      </c>
      <c r="C111" s="51">
        <v>1273.2720000000002</v>
      </c>
      <c r="D111" s="49">
        <v>586.72800000000007</v>
      </c>
      <c r="E111" s="51">
        <v>297.79199999999997</v>
      </c>
      <c r="F111" s="49">
        <v>2157.7920000000004</v>
      </c>
      <c r="G111" s="49">
        <v>4797.7920000000004</v>
      </c>
      <c r="H111" s="49">
        <v>81.734545454545469</v>
      </c>
    </row>
    <row r="112" spans="1:8">
      <c r="A112" s="45" t="s">
        <v>215</v>
      </c>
      <c r="B112" s="51">
        <v>3000</v>
      </c>
      <c r="C112" s="51">
        <v>1558.2000000000003</v>
      </c>
      <c r="D112" s="49"/>
      <c r="E112" s="51">
        <v>660</v>
      </c>
      <c r="F112" s="49">
        <v>2218.2000000000007</v>
      </c>
      <c r="G112" s="49">
        <v>5218.2000000000007</v>
      </c>
      <c r="H112" s="49">
        <v>73.940000000000026</v>
      </c>
    </row>
    <row r="113" spans="1:8">
      <c r="A113" s="45" t="s">
        <v>216</v>
      </c>
      <c r="B113" s="51">
        <v>2320</v>
      </c>
      <c r="C113" s="51">
        <v>1045.1600000000001</v>
      </c>
      <c r="D113" s="49">
        <v>1134.8400000000001</v>
      </c>
      <c r="E113" s="51">
        <v>87.231999999999985</v>
      </c>
      <c r="F113" s="49">
        <v>2267.232</v>
      </c>
      <c r="G113" s="49">
        <v>4587.232</v>
      </c>
      <c r="H113" s="49">
        <v>97.725517241379308</v>
      </c>
    </row>
    <row r="114" spans="1:8">
      <c r="A114" s="45" t="s">
        <v>217</v>
      </c>
      <c r="B114" s="51">
        <v>2600</v>
      </c>
      <c r="C114" s="51">
        <v>1198.8600000000001</v>
      </c>
      <c r="D114" s="49">
        <v>701.13999999999987</v>
      </c>
      <c r="E114" s="51">
        <v>341.12</v>
      </c>
      <c r="F114" s="49">
        <v>2241.12</v>
      </c>
      <c r="G114" s="49">
        <v>4841.12</v>
      </c>
      <c r="H114" s="49">
        <v>86.196923076923071</v>
      </c>
    </row>
    <row r="115" spans="1:8">
      <c r="A115" s="44" t="s">
        <v>218</v>
      </c>
      <c r="B115" s="51">
        <v>7560</v>
      </c>
      <c r="C115" s="51">
        <v>3948.2880000000005</v>
      </c>
      <c r="D115" s="49"/>
      <c r="E115" s="51">
        <v>1220.5439999999999</v>
      </c>
      <c r="F115" s="49">
        <v>5168.8320000000003</v>
      </c>
      <c r="G115" s="49">
        <v>12728.832</v>
      </c>
      <c r="H115" s="49">
        <v>67.845000000000013</v>
      </c>
    </row>
    <row r="116" spans="1:8">
      <c r="A116" s="45" t="s">
        <v>219</v>
      </c>
      <c r="B116" s="51">
        <v>4080</v>
      </c>
      <c r="C116" s="51">
        <v>2140.7760000000003</v>
      </c>
      <c r="D116" s="49"/>
      <c r="E116" s="51">
        <v>897.6</v>
      </c>
      <c r="F116" s="49">
        <v>3038.3760000000002</v>
      </c>
      <c r="G116" s="49">
        <v>7118.3760000000002</v>
      </c>
      <c r="H116" s="49">
        <v>74.470000000000013</v>
      </c>
    </row>
    <row r="117" spans="1:8">
      <c r="A117" s="45" t="s">
        <v>220</v>
      </c>
      <c r="B117" s="51">
        <v>3480</v>
      </c>
      <c r="C117" s="51">
        <v>1807.5120000000004</v>
      </c>
      <c r="D117" s="49"/>
      <c r="E117" s="51">
        <v>322.94399999999996</v>
      </c>
      <c r="F117" s="49">
        <v>2130.4560000000001</v>
      </c>
      <c r="G117" s="49">
        <v>5610.4560000000001</v>
      </c>
      <c r="H117" s="49">
        <v>61.220000000000006</v>
      </c>
    </row>
    <row r="118" spans="1:8">
      <c r="A118" s="43" t="s">
        <v>59</v>
      </c>
      <c r="B118" s="51">
        <v>94050.5</v>
      </c>
      <c r="C118" s="51">
        <v>42795.531049999998</v>
      </c>
      <c r="D118" s="49">
        <v>43153.968949999988</v>
      </c>
      <c r="E118" s="51">
        <v>8018.2639999999992</v>
      </c>
      <c r="F118" s="49">
        <v>93967.763999999996</v>
      </c>
      <c r="G118" s="49">
        <v>188018.26400000002</v>
      </c>
      <c r="H118" s="49">
        <v>102.67452814125771</v>
      </c>
    </row>
    <row r="119" spans="1:8">
      <c r="A119" s="44" t="s">
        <v>221</v>
      </c>
      <c r="B119" s="51">
        <v>2024</v>
      </c>
      <c r="C119" s="51">
        <v>965.44800000000009</v>
      </c>
      <c r="D119" s="49">
        <v>1010.5519999999997</v>
      </c>
      <c r="E119" s="51">
        <v>100.3904</v>
      </c>
      <c r="F119" s="49">
        <v>2076.3904000000002</v>
      </c>
      <c r="G119" s="49">
        <v>4100.3904000000002</v>
      </c>
      <c r="H119" s="49">
        <v>102.58845849802374</v>
      </c>
    </row>
    <row r="120" spans="1:8">
      <c r="A120" s="45" t="s">
        <v>222</v>
      </c>
      <c r="B120" s="51">
        <v>2024</v>
      </c>
      <c r="C120" s="51">
        <v>965.44800000000009</v>
      </c>
      <c r="D120" s="49">
        <v>1010.5519999999997</v>
      </c>
      <c r="E120" s="51">
        <v>100.3904</v>
      </c>
      <c r="F120" s="49">
        <v>2076.3904000000002</v>
      </c>
      <c r="G120" s="49">
        <v>4100.3904000000002</v>
      </c>
      <c r="H120" s="49">
        <v>102.58845849802374</v>
      </c>
    </row>
    <row r="121" spans="1:8">
      <c r="A121" s="44" t="s">
        <v>199</v>
      </c>
      <c r="B121" s="51">
        <v>2500</v>
      </c>
      <c r="C121" s="51">
        <v>1205.7500000000002</v>
      </c>
      <c r="D121" s="49">
        <v>294.25</v>
      </c>
      <c r="E121" s="51">
        <v>16</v>
      </c>
      <c r="F121" s="49">
        <v>1516</v>
      </c>
      <c r="G121" s="49">
        <v>4016</v>
      </c>
      <c r="H121" s="49">
        <v>60.64</v>
      </c>
    </row>
    <row r="122" spans="1:8">
      <c r="A122" s="45" t="s">
        <v>223</v>
      </c>
      <c r="B122" s="51">
        <v>2500</v>
      </c>
      <c r="C122" s="51">
        <v>1205.7500000000002</v>
      </c>
      <c r="D122" s="49">
        <v>294.25</v>
      </c>
      <c r="E122" s="51">
        <v>16</v>
      </c>
      <c r="F122" s="49">
        <v>1516</v>
      </c>
      <c r="G122" s="49">
        <v>4016</v>
      </c>
      <c r="H122" s="49">
        <v>60.64</v>
      </c>
    </row>
    <row r="123" spans="1:8">
      <c r="A123" s="44" t="s">
        <v>224</v>
      </c>
      <c r="B123" s="51">
        <v>2040</v>
      </c>
      <c r="C123" s="51">
        <v>919.0200000000001</v>
      </c>
      <c r="D123" s="49">
        <v>1040.98</v>
      </c>
      <c r="E123" s="51">
        <v>141.98399999999998</v>
      </c>
      <c r="F123" s="49">
        <v>2101.9840000000004</v>
      </c>
      <c r="G123" s="49">
        <v>4141.9840000000004</v>
      </c>
      <c r="H123" s="49">
        <v>103.03843137254904</v>
      </c>
    </row>
    <row r="124" spans="1:8">
      <c r="A124" s="45" t="s">
        <v>225</v>
      </c>
      <c r="B124" s="51">
        <v>2040</v>
      </c>
      <c r="C124" s="51">
        <v>919.0200000000001</v>
      </c>
      <c r="D124" s="49">
        <v>1040.98</v>
      </c>
      <c r="E124" s="51">
        <v>141.98399999999998</v>
      </c>
      <c r="F124" s="49">
        <v>2101.9840000000004</v>
      </c>
      <c r="G124" s="49">
        <v>4141.9840000000004</v>
      </c>
      <c r="H124" s="49">
        <v>103.03843137254904</v>
      </c>
    </row>
    <row r="125" spans="1:8">
      <c r="A125" s="44" t="s">
        <v>205</v>
      </c>
      <c r="B125" s="51">
        <v>69095.5</v>
      </c>
      <c r="C125" s="51">
        <v>31527.879449999993</v>
      </c>
      <c r="D125" s="49">
        <v>27376.620549999992</v>
      </c>
      <c r="E125" s="51">
        <v>6903.2647999999981</v>
      </c>
      <c r="F125" s="49">
        <v>65807.764800000004</v>
      </c>
      <c r="G125" s="49">
        <v>134903.2648</v>
      </c>
      <c r="H125" s="49">
        <v>96.674798402370911</v>
      </c>
    </row>
    <row r="126" spans="1:8">
      <c r="A126" s="45" t="s">
        <v>226</v>
      </c>
      <c r="B126" s="51">
        <v>1870</v>
      </c>
      <c r="C126" s="51">
        <v>931.6339999999999</v>
      </c>
      <c r="D126" s="49">
        <v>1198.366</v>
      </c>
      <c r="E126" s="51">
        <v>201.96000000000004</v>
      </c>
      <c r="F126" s="49">
        <v>2331.96</v>
      </c>
      <c r="G126" s="49">
        <v>4201.96</v>
      </c>
      <c r="H126" s="49">
        <v>124.70374331550804</v>
      </c>
    </row>
    <row r="127" spans="1:8">
      <c r="A127" s="45" t="s">
        <v>227</v>
      </c>
      <c r="B127" s="51">
        <v>1870</v>
      </c>
      <c r="C127" s="51">
        <v>852.34600000000012</v>
      </c>
      <c r="D127" s="49">
        <v>1277.654</v>
      </c>
      <c r="E127" s="51">
        <v>149.6</v>
      </c>
      <c r="F127" s="49">
        <v>2279.6000000000004</v>
      </c>
      <c r="G127" s="49">
        <v>4149.6000000000004</v>
      </c>
      <c r="H127" s="49">
        <v>121.90374331550805</v>
      </c>
    </row>
    <row r="128" spans="1:8">
      <c r="A128" s="45" t="s">
        <v>228</v>
      </c>
      <c r="B128" s="51">
        <v>2150.5</v>
      </c>
      <c r="C128" s="51">
        <v>1037.1861500000002</v>
      </c>
      <c r="D128" s="49">
        <v>812.31384999999955</v>
      </c>
      <c r="E128" s="51">
        <v>252.89879999999999</v>
      </c>
      <c r="F128" s="49">
        <v>2102.3987999999999</v>
      </c>
      <c r="G128" s="49">
        <v>4252.8987999999999</v>
      </c>
      <c r="H128" s="49">
        <v>97.763255056963501</v>
      </c>
    </row>
    <row r="129" spans="1:8">
      <c r="A129" s="45" t="s">
        <v>229</v>
      </c>
      <c r="B129" s="51">
        <v>2244</v>
      </c>
      <c r="C129" s="51">
        <v>987.13560000000007</v>
      </c>
      <c r="D129" s="49">
        <v>768.86439999999993</v>
      </c>
      <c r="E129" s="51">
        <v>488.29440000000005</v>
      </c>
      <c r="F129" s="49">
        <v>2244.2943999999998</v>
      </c>
      <c r="G129" s="49">
        <v>4488.2943999999998</v>
      </c>
      <c r="H129" s="49">
        <v>100.01311942959001</v>
      </c>
    </row>
    <row r="130" spans="1:8">
      <c r="A130" s="45" t="s">
        <v>230</v>
      </c>
      <c r="B130" s="51">
        <v>2220</v>
      </c>
      <c r="C130" s="51">
        <v>882.45</v>
      </c>
      <c r="D130" s="49">
        <v>897.55000000000018</v>
      </c>
      <c r="E130" s="51">
        <v>165.16799999999998</v>
      </c>
      <c r="F130" s="49">
        <v>1945.1679999999997</v>
      </c>
      <c r="G130" s="49">
        <v>4165.1679999999997</v>
      </c>
      <c r="H130" s="49">
        <v>87.620180180180171</v>
      </c>
    </row>
    <row r="131" spans="1:8">
      <c r="A131" s="45" t="s">
        <v>231</v>
      </c>
      <c r="B131" s="51">
        <v>2244</v>
      </c>
      <c r="C131" s="51">
        <v>1117.9607999999998</v>
      </c>
      <c r="D131" s="49">
        <v>638.03920000000016</v>
      </c>
      <c r="E131" s="51">
        <v>373.40159999999997</v>
      </c>
      <c r="F131" s="49">
        <v>2129.4016000000001</v>
      </c>
      <c r="G131" s="49">
        <v>4373.4016000000001</v>
      </c>
      <c r="H131" s="49">
        <v>94.893119429590016</v>
      </c>
    </row>
    <row r="132" spans="1:8">
      <c r="A132" s="45" t="s">
        <v>232</v>
      </c>
      <c r="B132" s="51">
        <v>2340</v>
      </c>
      <c r="C132" s="51">
        <v>1004.562</v>
      </c>
      <c r="D132" s="49">
        <v>655.4380000000001</v>
      </c>
      <c r="E132" s="51">
        <v>209.66400000000004</v>
      </c>
      <c r="F132" s="49">
        <v>1869.6639999999998</v>
      </c>
      <c r="G132" s="49">
        <v>4209.6639999999998</v>
      </c>
      <c r="H132" s="49">
        <v>79.900170940170938</v>
      </c>
    </row>
    <row r="133" spans="1:8">
      <c r="A133" s="45" t="s">
        <v>233</v>
      </c>
      <c r="B133" s="51">
        <v>2600</v>
      </c>
      <c r="C133" s="51">
        <v>1157.5200000000002</v>
      </c>
      <c r="D133" s="49">
        <v>242.47999999999956</v>
      </c>
      <c r="E133" s="51">
        <v>320.32</v>
      </c>
      <c r="F133" s="49">
        <v>1720.3199999999997</v>
      </c>
      <c r="G133" s="49">
        <v>4320.32</v>
      </c>
      <c r="H133" s="49">
        <v>66.166153846153833</v>
      </c>
    </row>
    <row r="134" spans="1:8">
      <c r="A134" s="45" t="s">
        <v>234</v>
      </c>
      <c r="B134" s="51">
        <v>2244</v>
      </c>
      <c r="C134" s="51">
        <v>1117.9607999999998</v>
      </c>
      <c r="D134" s="49">
        <v>638.03920000000016</v>
      </c>
      <c r="E134" s="51">
        <v>253.1232</v>
      </c>
      <c r="F134" s="49">
        <v>2009.1232</v>
      </c>
      <c r="G134" s="49">
        <v>4253.1232</v>
      </c>
      <c r="H134" s="49">
        <v>89.533119429590016</v>
      </c>
    </row>
    <row r="135" spans="1:8">
      <c r="A135" s="45" t="s">
        <v>235</v>
      </c>
      <c r="B135" s="51">
        <v>2210</v>
      </c>
      <c r="C135" s="51">
        <v>1112.7350000000001</v>
      </c>
      <c r="D135" s="49">
        <v>677.26499999999987</v>
      </c>
      <c r="E135" s="51">
        <v>180.33600000000001</v>
      </c>
      <c r="F135" s="49">
        <v>1970.3360000000002</v>
      </c>
      <c r="G135" s="49">
        <v>4180.3360000000002</v>
      </c>
      <c r="H135" s="49">
        <v>89.155475113122179</v>
      </c>
    </row>
    <row r="136" spans="1:8">
      <c r="A136" s="45" t="s">
        <v>236</v>
      </c>
      <c r="B136" s="51">
        <v>1870</v>
      </c>
      <c r="C136" s="51">
        <v>733.41399999999999</v>
      </c>
      <c r="D136" s="49">
        <v>1396.5860000000002</v>
      </c>
      <c r="E136" s="51">
        <v>210.93600000000001</v>
      </c>
      <c r="F136" s="49">
        <v>2340.9359999999997</v>
      </c>
      <c r="G136" s="49">
        <v>4210.9359999999997</v>
      </c>
      <c r="H136" s="49">
        <v>125.18374331550801</v>
      </c>
    </row>
    <row r="137" spans="1:8">
      <c r="A137" s="45" t="s">
        <v>237</v>
      </c>
      <c r="B137" s="51">
        <v>2150.5</v>
      </c>
      <c r="C137" s="51">
        <v>1116.9697000000001</v>
      </c>
      <c r="D137" s="49">
        <v>732.5302999999999</v>
      </c>
      <c r="E137" s="51">
        <v>149.67479999999998</v>
      </c>
      <c r="F137" s="49">
        <v>1999.1747999999998</v>
      </c>
      <c r="G137" s="49">
        <v>4149.6747999999998</v>
      </c>
      <c r="H137" s="49">
        <v>92.96325505696349</v>
      </c>
    </row>
    <row r="138" spans="1:8">
      <c r="A138" s="45" t="s">
        <v>238</v>
      </c>
      <c r="B138" s="51">
        <v>2300</v>
      </c>
      <c r="C138" s="51">
        <v>1206.8100000000002</v>
      </c>
      <c r="D138" s="49">
        <v>493.1899999999996</v>
      </c>
      <c r="E138" s="51">
        <v>33.119999999999997</v>
      </c>
      <c r="F138" s="49">
        <v>1733.12</v>
      </c>
      <c r="G138" s="49">
        <v>4033.12</v>
      </c>
      <c r="H138" s="49">
        <v>75.353043478260858</v>
      </c>
    </row>
    <row r="139" spans="1:8">
      <c r="A139" s="45" t="s">
        <v>239</v>
      </c>
      <c r="B139" s="51">
        <v>2150.5</v>
      </c>
      <c r="C139" s="51">
        <v>1002.9932</v>
      </c>
      <c r="D139" s="49">
        <v>846.50680000000011</v>
      </c>
      <c r="E139" s="51">
        <v>218.49079999999998</v>
      </c>
      <c r="F139" s="49">
        <v>2067.9907999999996</v>
      </c>
      <c r="G139" s="49">
        <v>4218.4907999999996</v>
      </c>
      <c r="H139" s="49">
        <v>96.163255056963479</v>
      </c>
    </row>
    <row r="140" spans="1:8">
      <c r="A140" s="45" t="s">
        <v>240</v>
      </c>
      <c r="B140" s="51">
        <v>2150.5</v>
      </c>
      <c r="C140" s="51">
        <v>1014.39085</v>
      </c>
      <c r="D140" s="49">
        <v>835.10915000000023</v>
      </c>
      <c r="E140" s="51">
        <v>96.342400000000012</v>
      </c>
      <c r="F140" s="49">
        <v>1945.8424000000005</v>
      </c>
      <c r="G140" s="49">
        <v>4096.3424000000005</v>
      </c>
      <c r="H140" s="49">
        <v>90.483255056963529</v>
      </c>
    </row>
    <row r="141" spans="1:8">
      <c r="A141" s="45" t="s">
        <v>241</v>
      </c>
      <c r="B141" s="51">
        <v>2200</v>
      </c>
      <c r="C141" s="51">
        <v>1072.72</v>
      </c>
      <c r="D141" s="49">
        <v>727.27999999999975</v>
      </c>
      <c r="E141" s="51">
        <v>484</v>
      </c>
      <c r="F141" s="49">
        <v>2284</v>
      </c>
      <c r="G141" s="49">
        <v>4484</v>
      </c>
      <c r="H141" s="49">
        <v>103.81818181818181</v>
      </c>
    </row>
    <row r="142" spans="1:8">
      <c r="A142" s="45" t="s">
        <v>242</v>
      </c>
      <c r="B142" s="51">
        <v>1870</v>
      </c>
      <c r="C142" s="51">
        <v>822.61300000000006</v>
      </c>
      <c r="D142" s="49">
        <v>1307.3869999999997</v>
      </c>
      <c r="E142" s="51">
        <v>317.15199999999999</v>
      </c>
      <c r="F142" s="49">
        <v>2447.152</v>
      </c>
      <c r="G142" s="49">
        <v>4317.152</v>
      </c>
      <c r="H142" s="49">
        <v>130.86374331550803</v>
      </c>
    </row>
    <row r="143" spans="1:8">
      <c r="A143" s="45" t="s">
        <v>243</v>
      </c>
      <c r="B143" s="51">
        <v>2057</v>
      </c>
      <c r="C143" s="51">
        <v>981.18900000000008</v>
      </c>
      <c r="D143" s="49">
        <v>961.81099999999969</v>
      </c>
      <c r="E143" s="51">
        <v>241.9032</v>
      </c>
      <c r="F143" s="49">
        <v>2184.9031999999997</v>
      </c>
      <c r="G143" s="49">
        <v>4241.9031999999997</v>
      </c>
      <c r="H143" s="49">
        <v>106.21794846864364</v>
      </c>
    </row>
    <row r="144" spans="1:8">
      <c r="A144" s="45" t="s">
        <v>244</v>
      </c>
      <c r="B144" s="51">
        <v>2244</v>
      </c>
      <c r="C144" s="51">
        <v>1058.4947999999999</v>
      </c>
      <c r="D144" s="49">
        <v>697.50520000000006</v>
      </c>
      <c r="E144" s="51">
        <v>183.11040000000003</v>
      </c>
      <c r="F144" s="49">
        <v>1939.1103999999996</v>
      </c>
      <c r="G144" s="49">
        <v>4183.1103999999996</v>
      </c>
      <c r="H144" s="49">
        <v>86.413119429589997</v>
      </c>
    </row>
    <row r="145" spans="1:8">
      <c r="A145" s="45" t="s">
        <v>245</v>
      </c>
      <c r="B145" s="51">
        <v>2244</v>
      </c>
      <c r="C145" s="51">
        <v>1034.7084</v>
      </c>
      <c r="D145" s="49">
        <v>721.29160000000002</v>
      </c>
      <c r="E145" s="51">
        <v>324.93120000000005</v>
      </c>
      <c r="F145" s="49">
        <v>2080.9312</v>
      </c>
      <c r="G145" s="49">
        <v>4324.9312</v>
      </c>
      <c r="H145" s="49">
        <v>92.733119429590019</v>
      </c>
    </row>
    <row r="146" spans="1:8">
      <c r="A146" s="45" t="s">
        <v>246</v>
      </c>
      <c r="B146" s="51">
        <v>2100</v>
      </c>
      <c r="C146" s="51">
        <v>934.92000000000007</v>
      </c>
      <c r="D146" s="49">
        <v>965.07999999999993</v>
      </c>
      <c r="E146" s="51">
        <v>258.72000000000003</v>
      </c>
      <c r="F146" s="49">
        <v>2158.7200000000003</v>
      </c>
      <c r="G146" s="49">
        <v>4258.72</v>
      </c>
      <c r="H146" s="49">
        <v>102.79619047619049</v>
      </c>
    </row>
    <row r="147" spans="1:8">
      <c r="A147" s="45" t="s">
        <v>247</v>
      </c>
      <c r="B147" s="51">
        <v>2500</v>
      </c>
      <c r="C147" s="51">
        <v>1152.75</v>
      </c>
      <c r="D147" s="49">
        <v>347.25</v>
      </c>
      <c r="E147" s="51">
        <v>40</v>
      </c>
      <c r="F147" s="49">
        <v>1540</v>
      </c>
      <c r="G147" s="49">
        <v>4040</v>
      </c>
      <c r="H147" s="49">
        <v>61.6</v>
      </c>
    </row>
    <row r="148" spans="1:8">
      <c r="A148" s="45" t="s">
        <v>248</v>
      </c>
      <c r="B148" s="51">
        <v>2244</v>
      </c>
      <c r="C148" s="51">
        <v>784.95120000000009</v>
      </c>
      <c r="D148" s="49">
        <v>971.04880000000003</v>
      </c>
      <c r="E148" s="51">
        <v>166.95359999999999</v>
      </c>
      <c r="F148" s="49">
        <v>1922.9535999999998</v>
      </c>
      <c r="G148" s="49">
        <v>4166.9535999999998</v>
      </c>
      <c r="H148" s="49">
        <v>85.693119429589999</v>
      </c>
    </row>
    <row r="149" spans="1:8">
      <c r="A149" s="45" t="s">
        <v>249</v>
      </c>
      <c r="B149" s="51">
        <v>2150.5</v>
      </c>
      <c r="C149" s="51">
        <v>946.00495000000001</v>
      </c>
      <c r="D149" s="49">
        <v>903.49504999999999</v>
      </c>
      <c r="E149" s="51">
        <v>218.49079999999998</v>
      </c>
      <c r="F149" s="49">
        <v>2067.9907999999996</v>
      </c>
      <c r="G149" s="49">
        <v>4218.4907999999996</v>
      </c>
      <c r="H149" s="49">
        <v>96.163255056963479</v>
      </c>
    </row>
    <row r="150" spans="1:8">
      <c r="A150" s="45" t="s">
        <v>250</v>
      </c>
      <c r="B150" s="51">
        <v>2244</v>
      </c>
      <c r="C150" s="51">
        <v>1106.0676000000001</v>
      </c>
      <c r="D150" s="49">
        <v>649.93239999999969</v>
      </c>
      <c r="E150" s="51">
        <v>93.350399999999993</v>
      </c>
      <c r="F150" s="49">
        <v>1849.3503999999998</v>
      </c>
      <c r="G150" s="49">
        <v>4093.3503999999998</v>
      </c>
      <c r="H150" s="49">
        <v>82.413119429590012</v>
      </c>
    </row>
    <row r="151" spans="1:8">
      <c r="A151" s="45" t="s">
        <v>251</v>
      </c>
      <c r="B151" s="51">
        <v>2150</v>
      </c>
      <c r="C151" s="51">
        <v>1036.9450000000002</v>
      </c>
      <c r="D151" s="49">
        <v>813.05499999999984</v>
      </c>
      <c r="E151" s="51">
        <v>192.64000000000001</v>
      </c>
      <c r="F151" s="49">
        <v>2042.6400000000003</v>
      </c>
      <c r="G151" s="49">
        <v>4192.6400000000003</v>
      </c>
      <c r="H151" s="49">
        <v>95.006511627906988</v>
      </c>
    </row>
    <row r="152" spans="1:8">
      <c r="A152" s="45" t="s">
        <v>252</v>
      </c>
      <c r="B152" s="51">
        <v>1850</v>
      </c>
      <c r="C152" s="51">
        <v>735.375</v>
      </c>
      <c r="D152" s="49">
        <v>1414.625</v>
      </c>
      <c r="E152" s="51">
        <v>57.720000000000006</v>
      </c>
      <c r="F152" s="49">
        <v>2207.7199999999998</v>
      </c>
      <c r="G152" s="49">
        <v>4057.72</v>
      </c>
      <c r="H152" s="49">
        <v>119.3362162162162</v>
      </c>
    </row>
    <row r="153" spans="1:8">
      <c r="A153" s="45" t="s">
        <v>253</v>
      </c>
      <c r="B153" s="51">
        <v>2244</v>
      </c>
      <c r="C153" s="51">
        <v>880.09680000000003</v>
      </c>
      <c r="D153" s="49">
        <v>875.90319999999974</v>
      </c>
      <c r="E153" s="51">
        <v>211.83359999999999</v>
      </c>
      <c r="F153" s="49">
        <v>1967.8335999999999</v>
      </c>
      <c r="G153" s="49">
        <v>4211.8335999999999</v>
      </c>
      <c r="H153" s="49">
        <v>87.693119429590013</v>
      </c>
    </row>
    <row r="154" spans="1:8">
      <c r="A154" s="45" t="s">
        <v>254</v>
      </c>
      <c r="B154" s="51">
        <v>2400</v>
      </c>
      <c r="C154" s="51">
        <v>1132.08</v>
      </c>
      <c r="D154" s="49">
        <v>467.92000000000007</v>
      </c>
      <c r="E154" s="51">
        <v>259.20000000000005</v>
      </c>
      <c r="F154" s="49">
        <v>1859.1999999999998</v>
      </c>
      <c r="G154" s="49">
        <v>4259.2</v>
      </c>
      <c r="H154" s="49">
        <v>77.466666666666654</v>
      </c>
    </row>
    <row r="155" spans="1:8">
      <c r="A155" s="45" t="s">
        <v>255</v>
      </c>
      <c r="B155" s="51">
        <v>1870</v>
      </c>
      <c r="C155" s="51">
        <v>822.61300000000006</v>
      </c>
      <c r="D155" s="49">
        <v>1307.3869999999997</v>
      </c>
      <c r="E155" s="51">
        <v>142.12</v>
      </c>
      <c r="F155" s="49">
        <v>2272.12</v>
      </c>
      <c r="G155" s="49">
        <v>4142.12</v>
      </c>
      <c r="H155" s="49">
        <v>121.50374331550802</v>
      </c>
    </row>
    <row r="156" spans="1:8">
      <c r="A156" s="45" t="s">
        <v>256</v>
      </c>
      <c r="B156" s="51">
        <v>1870</v>
      </c>
      <c r="C156" s="51">
        <v>763.14700000000005</v>
      </c>
      <c r="D156" s="49">
        <v>1366.8530000000001</v>
      </c>
      <c r="E156" s="51">
        <v>195.976</v>
      </c>
      <c r="F156" s="49">
        <v>2325.9759999999997</v>
      </c>
      <c r="G156" s="49">
        <v>4195.9759999999997</v>
      </c>
      <c r="H156" s="49">
        <v>124.38374331550801</v>
      </c>
    </row>
    <row r="157" spans="1:8">
      <c r="A157" s="45" t="s">
        <v>257</v>
      </c>
      <c r="B157" s="51">
        <v>2244</v>
      </c>
      <c r="C157" s="51">
        <v>987.13560000000007</v>
      </c>
      <c r="D157" s="49">
        <v>768.86439999999993</v>
      </c>
      <c r="E157" s="51">
        <v>211.83359999999999</v>
      </c>
      <c r="F157" s="49">
        <v>1967.8335999999999</v>
      </c>
      <c r="G157" s="49">
        <v>4211.8335999999999</v>
      </c>
      <c r="H157" s="49">
        <v>87.693119429590013</v>
      </c>
    </row>
    <row r="158" spans="1:8">
      <c r="A158" s="44" t="s">
        <v>258</v>
      </c>
      <c r="B158" s="51">
        <v>18391</v>
      </c>
      <c r="C158" s="51">
        <v>8177.4336000000003</v>
      </c>
      <c r="D158" s="49">
        <v>13431.566400000002</v>
      </c>
      <c r="E158" s="51">
        <v>856.62479999999994</v>
      </c>
      <c r="F158" s="49">
        <v>22465.624799999998</v>
      </c>
      <c r="G158" s="49">
        <v>40856.624799999998</v>
      </c>
      <c r="H158" s="49">
        <v>126.04933276101562</v>
      </c>
    </row>
    <row r="159" spans="1:8">
      <c r="A159" s="45" t="s">
        <v>259</v>
      </c>
      <c r="B159" s="51">
        <v>1600</v>
      </c>
      <c r="C159" s="51">
        <v>746.24</v>
      </c>
      <c r="D159" s="49">
        <v>1653.7600000000002</v>
      </c>
      <c r="E159" s="51">
        <v>42.24</v>
      </c>
      <c r="F159" s="49">
        <v>2442.2399999999998</v>
      </c>
      <c r="G159" s="49">
        <v>4042.24</v>
      </c>
      <c r="H159" s="49">
        <v>152.63999999999999</v>
      </c>
    </row>
    <row r="160" spans="1:8">
      <c r="A160" s="45" t="s">
        <v>260</v>
      </c>
      <c r="B160" s="51">
        <v>1600</v>
      </c>
      <c r="C160" s="51">
        <v>805.60000000000014</v>
      </c>
      <c r="D160" s="49">
        <v>1594.3999999999996</v>
      </c>
      <c r="E160" s="51">
        <v>42.24</v>
      </c>
      <c r="F160" s="49">
        <v>2442.2399999999998</v>
      </c>
      <c r="G160" s="49">
        <v>4042.24</v>
      </c>
      <c r="H160" s="49">
        <v>152.63999999999999</v>
      </c>
    </row>
    <row r="161" spans="1:8">
      <c r="A161" s="45" t="s">
        <v>261</v>
      </c>
      <c r="B161" s="51">
        <v>2150.5</v>
      </c>
      <c r="C161" s="51">
        <v>1014.39085</v>
      </c>
      <c r="D161" s="49">
        <v>835.10915000000023</v>
      </c>
      <c r="E161" s="51">
        <v>175.48080000000002</v>
      </c>
      <c r="F161" s="49">
        <v>2024.9808000000003</v>
      </c>
      <c r="G161" s="49">
        <v>4175.4808000000003</v>
      </c>
      <c r="H161" s="49">
        <v>94.163255056963507</v>
      </c>
    </row>
    <row r="162" spans="1:8">
      <c r="A162" s="45" t="s">
        <v>262</v>
      </c>
      <c r="B162" s="51">
        <v>2150.5</v>
      </c>
      <c r="C162" s="51">
        <v>854.82375000000002</v>
      </c>
      <c r="D162" s="49">
        <v>994.67624999999998</v>
      </c>
      <c r="E162" s="51">
        <v>189.24400000000003</v>
      </c>
      <c r="F162" s="49">
        <v>2038.7439999999997</v>
      </c>
      <c r="G162" s="49">
        <v>4189.2439999999997</v>
      </c>
      <c r="H162" s="49">
        <v>94.803255056963494</v>
      </c>
    </row>
    <row r="163" spans="1:8">
      <c r="A163" s="45" t="s">
        <v>263</v>
      </c>
      <c r="B163" s="51">
        <v>2210</v>
      </c>
      <c r="C163" s="51">
        <v>855.04900000000009</v>
      </c>
      <c r="D163" s="49">
        <v>934.95100000000002</v>
      </c>
      <c r="E163" s="51">
        <v>79.56</v>
      </c>
      <c r="F163" s="49">
        <v>1869.56</v>
      </c>
      <c r="G163" s="49">
        <v>4079.56</v>
      </c>
      <c r="H163" s="49">
        <v>84.595475113122163</v>
      </c>
    </row>
    <row r="164" spans="1:8">
      <c r="A164" s="45" t="s">
        <v>264</v>
      </c>
      <c r="B164" s="51">
        <v>1870</v>
      </c>
      <c r="C164" s="51">
        <v>931.6339999999999</v>
      </c>
      <c r="D164" s="49">
        <v>1198.366</v>
      </c>
      <c r="E164" s="51">
        <v>89.76</v>
      </c>
      <c r="F164" s="49">
        <v>2219.7600000000002</v>
      </c>
      <c r="G164" s="49">
        <v>4089.76</v>
      </c>
      <c r="H164" s="49">
        <v>118.70374331550804</v>
      </c>
    </row>
    <row r="165" spans="1:8">
      <c r="A165" s="45" t="s">
        <v>265</v>
      </c>
      <c r="B165" s="51">
        <v>1760</v>
      </c>
      <c r="C165" s="51">
        <v>764.89599999999996</v>
      </c>
      <c r="D165" s="49">
        <v>1475.1040000000003</v>
      </c>
      <c r="E165" s="51">
        <v>133.76</v>
      </c>
      <c r="F165" s="49">
        <v>2373.7600000000002</v>
      </c>
      <c r="G165" s="49">
        <v>4133.76</v>
      </c>
      <c r="H165" s="49">
        <v>134.87272727272727</v>
      </c>
    </row>
    <row r="166" spans="1:8">
      <c r="A166" s="45" t="s">
        <v>266</v>
      </c>
      <c r="B166" s="51">
        <v>1600</v>
      </c>
      <c r="C166" s="51">
        <v>754.72</v>
      </c>
      <c r="D166" s="49">
        <v>1645.2799999999997</v>
      </c>
      <c r="E166" s="51">
        <v>49.92</v>
      </c>
      <c r="F166" s="49">
        <v>2449.92</v>
      </c>
      <c r="G166" s="49">
        <v>4049.92</v>
      </c>
      <c r="H166" s="49">
        <v>153.12</v>
      </c>
    </row>
    <row r="167" spans="1:8">
      <c r="A167" s="45" t="s">
        <v>267</v>
      </c>
      <c r="B167" s="51">
        <v>1500</v>
      </c>
      <c r="C167" s="51">
        <v>540.6</v>
      </c>
      <c r="D167" s="49">
        <v>1959.4</v>
      </c>
      <c r="E167" s="51">
        <v>24</v>
      </c>
      <c r="F167" s="49">
        <v>2524</v>
      </c>
      <c r="G167" s="49">
        <v>4024</v>
      </c>
      <c r="H167" s="49">
        <v>168.26666666666668</v>
      </c>
    </row>
    <row r="168" spans="1:8">
      <c r="A168" s="45" t="s">
        <v>268</v>
      </c>
      <c r="B168" s="51">
        <v>1950</v>
      </c>
      <c r="C168" s="51">
        <v>909.48</v>
      </c>
      <c r="D168" s="49">
        <v>1140.52</v>
      </c>
      <c r="E168" s="51">
        <v>30.42</v>
      </c>
      <c r="F168" s="49">
        <v>2080.42</v>
      </c>
      <c r="G168" s="49">
        <v>4030.42</v>
      </c>
      <c r="H168" s="49">
        <v>106.68820512820513</v>
      </c>
    </row>
    <row r="169" spans="1:8">
      <c r="A169" s="43" t="s">
        <v>60</v>
      </c>
      <c r="B169" s="51">
        <v>1950</v>
      </c>
      <c r="C169" s="51">
        <v>651.10500000000002</v>
      </c>
      <c r="D169" s="49">
        <v>898.89499999999998</v>
      </c>
      <c r="E169" s="51">
        <v>56.16</v>
      </c>
      <c r="F169" s="49">
        <v>1606.1599999999999</v>
      </c>
      <c r="G169" s="49">
        <v>3556.16</v>
      </c>
      <c r="H169" s="49">
        <v>82.367179487179484</v>
      </c>
    </row>
    <row r="170" spans="1:8">
      <c r="A170" s="44">
        <v>0</v>
      </c>
      <c r="B170" s="51">
        <v>1950</v>
      </c>
      <c r="C170" s="51">
        <v>651.10500000000002</v>
      </c>
      <c r="D170" s="49">
        <v>898.89499999999998</v>
      </c>
      <c r="E170" s="51">
        <v>56.16</v>
      </c>
      <c r="F170" s="49">
        <v>1606.1599999999999</v>
      </c>
      <c r="G170" s="49">
        <v>3556.16</v>
      </c>
      <c r="H170" s="49">
        <v>82.367179487179484</v>
      </c>
    </row>
    <row r="171" spans="1:8">
      <c r="A171" s="45" t="s">
        <v>269</v>
      </c>
      <c r="B171" s="51">
        <v>1950</v>
      </c>
      <c r="C171" s="51">
        <v>651.10500000000002</v>
      </c>
      <c r="D171" s="49">
        <v>898.89499999999998</v>
      </c>
      <c r="E171" s="51">
        <v>56.16</v>
      </c>
      <c r="F171" s="49">
        <v>1606.1599999999999</v>
      </c>
      <c r="G171" s="49">
        <v>3556.16</v>
      </c>
      <c r="H171" s="49">
        <v>82.367179487179484</v>
      </c>
    </row>
    <row r="172" spans="1:8">
      <c r="A172" s="43" t="s">
        <v>118</v>
      </c>
      <c r="B172" s="51">
        <v>77200</v>
      </c>
      <c r="C172" s="51">
        <v>28657.524000000001</v>
      </c>
      <c r="D172" s="49">
        <v>38142.475999999988</v>
      </c>
      <c r="E172" s="51">
        <v>2900.7760000000007</v>
      </c>
      <c r="F172" s="49">
        <v>69700.775999999998</v>
      </c>
      <c r="G172" s="49">
        <v>146900.77599999998</v>
      </c>
      <c r="H172" s="49">
        <v>92.266149483817898</v>
      </c>
    </row>
    <row r="173" spans="1:8">
      <c r="A173" s="44" t="s">
        <v>63</v>
      </c>
      <c r="B173" s="51">
        <v>77200</v>
      </c>
      <c r="C173" s="51">
        <v>28657.524000000001</v>
      </c>
      <c r="D173" s="49">
        <v>38142.475999999988</v>
      </c>
      <c r="E173" s="51">
        <v>2900.7760000000007</v>
      </c>
      <c r="F173" s="49">
        <v>69700.775999999998</v>
      </c>
      <c r="G173" s="49">
        <v>146900.77599999998</v>
      </c>
      <c r="H173" s="49">
        <v>92.266149483817898</v>
      </c>
    </row>
    <row r="174" spans="1:8">
      <c r="A174" s="45" t="s">
        <v>270</v>
      </c>
      <c r="B174" s="51">
        <v>1860</v>
      </c>
      <c r="C174" s="51">
        <v>709.77600000000007</v>
      </c>
      <c r="D174" s="49">
        <v>430.22400000000016</v>
      </c>
      <c r="E174" s="51">
        <v>166.65600000000003</v>
      </c>
      <c r="F174" s="49">
        <v>1306.6559999999999</v>
      </c>
      <c r="G174" s="49">
        <v>3166.6559999999999</v>
      </c>
      <c r="H174" s="49">
        <v>70.250322580645147</v>
      </c>
    </row>
    <row r="175" spans="1:8">
      <c r="A175" s="45" t="s">
        <v>271</v>
      </c>
      <c r="B175" s="51">
        <v>1400</v>
      </c>
      <c r="C175" s="51">
        <v>519.4</v>
      </c>
      <c r="D175" s="49">
        <v>1080.5999999999999</v>
      </c>
      <c r="E175" s="51">
        <v>0</v>
      </c>
      <c r="F175" s="49">
        <v>1600</v>
      </c>
      <c r="G175" s="49">
        <v>3000</v>
      </c>
      <c r="H175" s="49">
        <v>114.28571428571429</v>
      </c>
    </row>
    <row r="176" spans="1:8">
      <c r="A176" s="45" t="s">
        <v>272</v>
      </c>
      <c r="B176" s="51">
        <v>1500</v>
      </c>
      <c r="C176" s="51">
        <v>413.40000000000003</v>
      </c>
      <c r="D176" s="49">
        <v>1086.5999999999999</v>
      </c>
      <c r="E176" s="51">
        <v>21.599999999999998</v>
      </c>
      <c r="F176" s="49">
        <v>1521.6</v>
      </c>
      <c r="G176" s="49">
        <v>3021.6</v>
      </c>
      <c r="H176" s="49">
        <v>101.44</v>
      </c>
    </row>
    <row r="177" spans="1:8">
      <c r="A177" s="45" t="s">
        <v>273</v>
      </c>
      <c r="B177" s="51">
        <v>1760</v>
      </c>
      <c r="C177" s="51">
        <v>652.96</v>
      </c>
      <c r="D177" s="49">
        <v>587.04</v>
      </c>
      <c r="E177" s="51">
        <v>81.663999999999987</v>
      </c>
      <c r="F177" s="49">
        <v>1321.6639999999998</v>
      </c>
      <c r="G177" s="49">
        <v>3081.6639999999998</v>
      </c>
      <c r="H177" s="49">
        <v>75.09454545454544</v>
      </c>
    </row>
    <row r="178" spans="1:8">
      <c r="A178" s="45" t="s">
        <v>274</v>
      </c>
      <c r="B178" s="51">
        <v>1500</v>
      </c>
      <c r="C178" s="51">
        <v>612.15</v>
      </c>
      <c r="D178" s="49">
        <v>887.84999999999991</v>
      </c>
      <c r="E178" s="51">
        <v>16.8</v>
      </c>
      <c r="F178" s="49">
        <v>1516.8000000000002</v>
      </c>
      <c r="G178" s="49">
        <v>3016.8</v>
      </c>
      <c r="H178" s="49">
        <v>101.12000000000002</v>
      </c>
    </row>
    <row r="179" spans="1:8">
      <c r="A179" s="45" t="s">
        <v>275</v>
      </c>
      <c r="B179" s="51">
        <v>1500</v>
      </c>
      <c r="C179" s="51">
        <v>564.45000000000005</v>
      </c>
      <c r="D179" s="49">
        <v>935.55000000000018</v>
      </c>
      <c r="E179" s="51">
        <v>19.2</v>
      </c>
      <c r="F179" s="49">
        <v>1519.1999999999998</v>
      </c>
      <c r="G179" s="49">
        <v>3019.2</v>
      </c>
      <c r="H179" s="49">
        <v>101.27999999999999</v>
      </c>
    </row>
    <row r="180" spans="1:8">
      <c r="A180" s="45" t="s">
        <v>276</v>
      </c>
      <c r="B180" s="51">
        <v>1500</v>
      </c>
      <c r="C180" s="51">
        <v>612.15</v>
      </c>
      <c r="D180" s="49">
        <v>887.84999999999991</v>
      </c>
      <c r="E180" s="51">
        <v>16.8</v>
      </c>
      <c r="F180" s="49">
        <v>1516.8000000000002</v>
      </c>
      <c r="G180" s="49">
        <v>3016.8</v>
      </c>
      <c r="H180" s="49">
        <v>101.12000000000002</v>
      </c>
    </row>
    <row r="181" spans="1:8">
      <c r="A181" s="45" t="s">
        <v>277</v>
      </c>
      <c r="B181" s="51">
        <v>1600</v>
      </c>
      <c r="C181" s="51">
        <v>542.72</v>
      </c>
      <c r="D181" s="49">
        <v>857.27999999999975</v>
      </c>
      <c r="E181" s="51">
        <v>44.8</v>
      </c>
      <c r="F181" s="49">
        <v>1444.8000000000002</v>
      </c>
      <c r="G181" s="49">
        <v>3044.8</v>
      </c>
      <c r="H181" s="49">
        <v>90.300000000000011</v>
      </c>
    </row>
    <row r="182" spans="1:8">
      <c r="A182" s="45" t="s">
        <v>278</v>
      </c>
      <c r="B182" s="51">
        <v>1870</v>
      </c>
      <c r="C182" s="51">
        <v>773.05800000000011</v>
      </c>
      <c r="D182" s="49">
        <v>356.94200000000001</v>
      </c>
      <c r="E182" s="51">
        <v>173.536</v>
      </c>
      <c r="F182" s="49">
        <v>1303.5360000000001</v>
      </c>
      <c r="G182" s="49">
        <v>3173.5360000000001</v>
      </c>
      <c r="H182" s="49">
        <v>69.707807486631026</v>
      </c>
    </row>
    <row r="183" spans="1:8">
      <c r="A183" s="45" t="s">
        <v>463</v>
      </c>
      <c r="B183" s="51">
        <v>1400</v>
      </c>
      <c r="C183" s="51">
        <v>675.22000000000014</v>
      </c>
      <c r="D183" s="49">
        <v>924.77999999999975</v>
      </c>
      <c r="E183" s="51">
        <v>2.2400000000000002</v>
      </c>
      <c r="F183" s="49">
        <v>1602.2399999999998</v>
      </c>
      <c r="G183" s="49">
        <v>3002.24</v>
      </c>
      <c r="H183" s="49">
        <v>114.44571428571427</v>
      </c>
    </row>
    <row r="184" spans="1:8">
      <c r="A184" s="45" t="s">
        <v>279</v>
      </c>
      <c r="B184" s="51">
        <v>1760</v>
      </c>
      <c r="C184" s="51">
        <v>401.10400000000004</v>
      </c>
      <c r="D184" s="49">
        <v>838.89599999999973</v>
      </c>
      <c r="E184" s="51">
        <v>63.360000000000007</v>
      </c>
      <c r="F184" s="49">
        <v>1303.3600000000001</v>
      </c>
      <c r="G184" s="49">
        <v>3063.36</v>
      </c>
      <c r="H184" s="49">
        <v>74.054545454545462</v>
      </c>
    </row>
    <row r="185" spans="1:8">
      <c r="A185" s="45" t="s">
        <v>280</v>
      </c>
      <c r="B185" s="51">
        <v>1500</v>
      </c>
      <c r="C185" s="51">
        <v>628.05000000000007</v>
      </c>
      <c r="D185" s="49">
        <v>871.94999999999982</v>
      </c>
      <c r="E185" s="51">
        <v>16.8</v>
      </c>
      <c r="F185" s="49">
        <v>1516.8000000000002</v>
      </c>
      <c r="G185" s="49">
        <v>3016.8</v>
      </c>
      <c r="H185" s="49">
        <v>101.12000000000002</v>
      </c>
    </row>
    <row r="186" spans="1:8">
      <c r="A186" s="45" t="s">
        <v>281</v>
      </c>
      <c r="B186" s="51">
        <v>1500</v>
      </c>
      <c r="C186" s="51">
        <v>620.1</v>
      </c>
      <c r="D186" s="49">
        <v>879.90000000000009</v>
      </c>
      <c r="E186" s="51">
        <v>12</v>
      </c>
      <c r="F186" s="49">
        <v>1512</v>
      </c>
      <c r="G186" s="49">
        <v>3012</v>
      </c>
      <c r="H186" s="49">
        <v>100.8</v>
      </c>
    </row>
    <row r="187" spans="1:8">
      <c r="A187" s="45" t="s">
        <v>282</v>
      </c>
      <c r="B187" s="51">
        <v>1500</v>
      </c>
      <c r="C187" s="51">
        <v>667.80000000000007</v>
      </c>
      <c r="D187" s="49">
        <v>832.19999999999982</v>
      </c>
      <c r="E187" s="51">
        <v>24</v>
      </c>
      <c r="F187" s="49">
        <v>1524</v>
      </c>
      <c r="G187" s="49">
        <v>3024</v>
      </c>
      <c r="H187" s="49">
        <v>101.6</v>
      </c>
    </row>
    <row r="188" spans="1:8">
      <c r="A188" s="45" t="s">
        <v>283</v>
      </c>
      <c r="B188" s="51">
        <v>1500</v>
      </c>
      <c r="C188" s="51">
        <v>405.45</v>
      </c>
      <c r="D188" s="49">
        <v>1094.55</v>
      </c>
      <c r="E188" s="51">
        <v>16.8</v>
      </c>
      <c r="F188" s="49">
        <v>1516.8000000000002</v>
      </c>
      <c r="G188" s="49">
        <v>3016.8</v>
      </c>
      <c r="H188" s="49">
        <v>101.12000000000002</v>
      </c>
    </row>
    <row r="189" spans="1:8">
      <c r="A189" s="45" t="s">
        <v>284</v>
      </c>
      <c r="B189" s="51">
        <v>1760</v>
      </c>
      <c r="C189" s="51">
        <v>615.64800000000014</v>
      </c>
      <c r="D189" s="49">
        <v>624.35199999999986</v>
      </c>
      <c r="E189" s="51">
        <v>90.112000000000009</v>
      </c>
      <c r="F189" s="49">
        <v>1330.1120000000001</v>
      </c>
      <c r="G189" s="49">
        <v>3090.1120000000001</v>
      </c>
      <c r="H189" s="49">
        <v>75.574545454545458</v>
      </c>
    </row>
    <row r="190" spans="1:8">
      <c r="A190" s="45" t="s">
        <v>285</v>
      </c>
      <c r="B190" s="51">
        <v>2000</v>
      </c>
      <c r="C190" s="51">
        <v>763.2</v>
      </c>
      <c r="D190" s="49">
        <v>236.80000000000018</v>
      </c>
      <c r="E190" s="51">
        <v>200</v>
      </c>
      <c r="F190" s="49">
        <v>1200</v>
      </c>
      <c r="G190" s="49">
        <v>3200</v>
      </c>
      <c r="H190" s="49">
        <v>60</v>
      </c>
    </row>
    <row r="191" spans="1:8">
      <c r="A191" s="45" t="s">
        <v>464</v>
      </c>
      <c r="B191" s="51">
        <v>1400</v>
      </c>
      <c r="C191" s="51">
        <v>697.48</v>
      </c>
      <c r="D191" s="49">
        <v>902.52</v>
      </c>
      <c r="E191" s="51">
        <v>8.9600000000000009</v>
      </c>
      <c r="F191" s="49">
        <v>1608.96</v>
      </c>
      <c r="G191" s="49">
        <v>3008.96</v>
      </c>
      <c r="H191" s="49">
        <v>114.92571428571429</v>
      </c>
    </row>
    <row r="192" spans="1:8">
      <c r="A192" s="45" t="s">
        <v>286</v>
      </c>
      <c r="B192" s="51">
        <v>1500</v>
      </c>
      <c r="C192" s="51">
        <v>397.5</v>
      </c>
      <c r="D192" s="49">
        <v>1102.5</v>
      </c>
      <c r="E192" s="51">
        <v>9.6</v>
      </c>
      <c r="F192" s="49">
        <v>1509.6</v>
      </c>
      <c r="G192" s="49">
        <v>3009.6</v>
      </c>
      <c r="H192" s="49">
        <v>100.64</v>
      </c>
    </row>
    <row r="193" spans="1:8">
      <c r="A193" s="45" t="s">
        <v>287</v>
      </c>
      <c r="B193" s="51">
        <v>1870</v>
      </c>
      <c r="C193" s="51">
        <v>802.79100000000005</v>
      </c>
      <c r="D193" s="49">
        <v>327.20899999999983</v>
      </c>
      <c r="E193" s="51">
        <v>152.59200000000001</v>
      </c>
      <c r="F193" s="49">
        <v>1282.5920000000001</v>
      </c>
      <c r="G193" s="49">
        <v>3152.5920000000001</v>
      </c>
      <c r="H193" s="49">
        <v>68.587807486631021</v>
      </c>
    </row>
    <row r="194" spans="1:8">
      <c r="A194" s="45" t="s">
        <v>288</v>
      </c>
      <c r="B194" s="51">
        <v>1860</v>
      </c>
      <c r="C194" s="51">
        <v>768.92400000000009</v>
      </c>
      <c r="D194" s="49">
        <v>371.07600000000002</v>
      </c>
      <c r="E194" s="51">
        <v>166.65600000000003</v>
      </c>
      <c r="F194" s="49">
        <v>1306.6559999999999</v>
      </c>
      <c r="G194" s="49">
        <v>3166.6559999999999</v>
      </c>
      <c r="H194" s="49">
        <v>70.250322580645147</v>
      </c>
    </row>
    <row r="195" spans="1:8">
      <c r="A195" s="45" t="s">
        <v>289</v>
      </c>
      <c r="B195" s="51">
        <v>1400</v>
      </c>
      <c r="C195" s="51">
        <v>467.46000000000004</v>
      </c>
      <c r="D195" s="49">
        <v>1132.54</v>
      </c>
      <c r="E195" s="51">
        <v>11.200000000000001</v>
      </c>
      <c r="F195" s="49">
        <v>1611.1999999999998</v>
      </c>
      <c r="G195" s="49">
        <v>3011.2</v>
      </c>
      <c r="H195" s="49">
        <v>115.08571428571427</v>
      </c>
    </row>
    <row r="196" spans="1:8">
      <c r="A196" s="45" t="s">
        <v>290</v>
      </c>
      <c r="B196" s="51">
        <v>1760</v>
      </c>
      <c r="C196" s="51">
        <v>652.96</v>
      </c>
      <c r="D196" s="49">
        <v>587.04</v>
      </c>
      <c r="E196" s="51">
        <v>92.927999999999997</v>
      </c>
      <c r="F196" s="49">
        <v>1332.9279999999999</v>
      </c>
      <c r="G196" s="49">
        <v>3092.9279999999999</v>
      </c>
      <c r="H196" s="49">
        <v>75.73454545454544</v>
      </c>
    </row>
    <row r="197" spans="1:8">
      <c r="A197" s="45" t="s">
        <v>291</v>
      </c>
      <c r="B197" s="51">
        <v>1860</v>
      </c>
      <c r="C197" s="51">
        <v>759.06600000000003</v>
      </c>
      <c r="D197" s="49">
        <v>380.9340000000002</v>
      </c>
      <c r="E197" s="51">
        <v>169.63200000000001</v>
      </c>
      <c r="F197" s="49">
        <v>1309.6320000000001</v>
      </c>
      <c r="G197" s="49">
        <v>3169.6320000000001</v>
      </c>
      <c r="H197" s="49">
        <v>70.410322580645158</v>
      </c>
    </row>
    <row r="198" spans="1:8">
      <c r="A198" s="45" t="s">
        <v>292</v>
      </c>
      <c r="B198" s="51">
        <v>1760</v>
      </c>
      <c r="C198" s="51">
        <v>680.94400000000007</v>
      </c>
      <c r="D198" s="49">
        <v>559.05600000000004</v>
      </c>
      <c r="E198" s="51">
        <v>154.88000000000002</v>
      </c>
      <c r="F198" s="49">
        <v>1394.88</v>
      </c>
      <c r="G198" s="49">
        <v>3154.88</v>
      </c>
      <c r="H198" s="49">
        <v>79.25454545454545</v>
      </c>
    </row>
    <row r="199" spans="1:8">
      <c r="A199" s="45" t="s">
        <v>465</v>
      </c>
      <c r="B199" s="51">
        <v>1400</v>
      </c>
      <c r="C199" s="51">
        <v>675.22000000000014</v>
      </c>
      <c r="D199" s="49">
        <v>924.77999999999975</v>
      </c>
      <c r="E199" s="51">
        <v>2.2400000000000002</v>
      </c>
      <c r="F199" s="49">
        <v>1602.2399999999998</v>
      </c>
      <c r="G199" s="49">
        <v>3002.24</v>
      </c>
      <c r="H199" s="49">
        <v>114.44571428571427</v>
      </c>
    </row>
    <row r="200" spans="1:8">
      <c r="A200" s="45" t="s">
        <v>466</v>
      </c>
      <c r="B200" s="51">
        <v>1400</v>
      </c>
      <c r="C200" s="51">
        <v>0</v>
      </c>
      <c r="D200" s="49">
        <v>1600</v>
      </c>
      <c r="E200" s="51">
        <v>4.4800000000000004</v>
      </c>
      <c r="F200" s="49">
        <v>1604.48</v>
      </c>
      <c r="G200" s="49">
        <v>3004.48</v>
      </c>
      <c r="H200" s="49">
        <v>114.60571428571428</v>
      </c>
    </row>
    <row r="201" spans="1:8">
      <c r="A201" s="45" t="s">
        <v>293</v>
      </c>
      <c r="B201" s="51">
        <v>1760</v>
      </c>
      <c r="C201" s="51">
        <v>802.20800000000008</v>
      </c>
      <c r="D201" s="49">
        <v>437.79199999999992</v>
      </c>
      <c r="E201" s="51">
        <v>146.43199999999999</v>
      </c>
      <c r="F201" s="49">
        <v>1386.4319999999998</v>
      </c>
      <c r="G201" s="49">
        <v>3146.4319999999998</v>
      </c>
      <c r="H201" s="49">
        <v>78.774545454545432</v>
      </c>
    </row>
    <row r="202" spans="1:8">
      <c r="A202" s="45" t="s">
        <v>294</v>
      </c>
      <c r="B202" s="51">
        <v>1500</v>
      </c>
      <c r="C202" s="51">
        <v>174.9</v>
      </c>
      <c r="D202" s="49">
        <v>1325.1</v>
      </c>
      <c r="E202" s="51">
        <v>7.1999999999999993</v>
      </c>
      <c r="F202" s="49">
        <v>1507.1999999999998</v>
      </c>
      <c r="G202" s="49">
        <v>3007.2</v>
      </c>
      <c r="H202" s="49">
        <v>100.47999999999999</v>
      </c>
    </row>
    <row r="203" spans="1:8">
      <c r="A203" s="45" t="s">
        <v>295</v>
      </c>
      <c r="B203" s="51">
        <v>1500</v>
      </c>
      <c r="C203" s="51">
        <v>174.9</v>
      </c>
      <c r="D203" s="49">
        <v>1325.1</v>
      </c>
      <c r="E203" s="51">
        <v>19.2</v>
      </c>
      <c r="F203" s="49">
        <v>1519.1999999999998</v>
      </c>
      <c r="G203" s="49">
        <v>3019.2</v>
      </c>
      <c r="H203" s="49">
        <v>101.27999999999999</v>
      </c>
    </row>
    <row r="204" spans="1:8">
      <c r="A204" s="45" t="s">
        <v>467</v>
      </c>
      <c r="B204" s="51">
        <v>1750</v>
      </c>
      <c r="C204" s="51">
        <v>556.5</v>
      </c>
      <c r="D204" s="49">
        <v>693.5</v>
      </c>
      <c r="E204" s="51">
        <v>35</v>
      </c>
      <c r="F204" s="49">
        <v>1285</v>
      </c>
      <c r="G204" s="49">
        <v>3035</v>
      </c>
      <c r="H204" s="49">
        <v>73.428571428571431</v>
      </c>
    </row>
    <row r="205" spans="1:8">
      <c r="A205" s="45" t="s">
        <v>296</v>
      </c>
      <c r="B205" s="51">
        <v>1400</v>
      </c>
      <c r="C205" s="51">
        <v>511.98</v>
      </c>
      <c r="D205" s="49">
        <v>1088.02</v>
      </c>
      <c r="E205" s="51">
        <v>2.2400000000000002</v>
      </c>
      <c r="F205" s="49">
        <v>1602.2399999999998</v>
      </c>
      <c r="G205" s="49">
        <v>3002.24</v>
      </c>
      <c r="H205" s="49">
        <v>114.44571428571427</v>
      </c>
    </row>
    <row r="206" spans="1:8">
      <c r="A206" s="45" t="s">
        <v>297</v>
      </c>
      <c r="B206" s="51">
        <v>1760</v>
      </c>
      <c r="C206" s="51">
        <v>736.91200000000015</v>
      </c>
      <c r="D206" s="49">
        <v>503.08799999999974</v>
      </c>
      <c r="E206" s="51">
        <v>143.61600000000001</v>
      </c>
      <c r="F206" s="49">
        <v>1383.616</v>
      </c>
      <c r="G206" s="49">
        <v>3143.616</v>
      </c>
      <c r="H206" s="49">
        <v>78.61454545454545</v>
      </c>
    </row>
    <row r="207" spans="1:8">
      <c r="A207" s="45" t="s">
        <v>298</v>
      </c>
      <c r="B207" s="51">
        <v>1500</v>
      </c>
      <c r="C207" s="51">
        <v>572.40000000000009</v>
      </c>
      <c r="D207" s="49">
        <v>927.59999999999991</v>
      </c>
      <c r="E207" s="51">
        <v>14.399999999999999</v>
      </c>
      <c r="F207" s="49">
        <v>1514.4</v>
      </c>
      <c r="G207" s="49">
        <v>3014.4</v>
      </c>
      <c r="H207" s="49">
        <v>100.96000000000001</v>
      </c>
    </row>
    <row r="208" spans="1:8">
      <c r="A208" s="45" t="s">
        <v>299</v>
      </c>
      <c r="B208" s="51">
        <v>1500</v>
      </c>
      <c r="C208" s="51">
        <v>397.5</v>
      </c>
      <c r="D208" s="49">
        <v>1102.5</v>
      </c>
      <c r="E208" s="51">
        <v>14.399999999999999</v>
      </c>
      <c r="F208" s="49">
        <v>1514.4</v>
      </c>
      <c r="G208" s="49">
        <v>3014.4</v>
      </c>
      <c r="H208" s="49">
        <v>100.96000000000001</v>
      </c>
    </row>
    <row r="209" spans="1:8">
      <c r="A209" s="45" t="s">
        <v>300</v>
      </c>
      <c r="B209" s="51">
        <v>1860</v>
      </c>
      <c r="C209" s="51">
        <v>828.07200000000012</v>
      </c>
      <c r="D209" s="49">
        <v>311.92799999999988</v>
      </c>
      <c r="E209" s="51">
        <v>157.72800000000001</v>
      </c>
      <c r="F209" s="49">
        <v>1297.7280000000001</v>
      </c>
      <c r="G209" s="49">
        <v>3157.7280000000001</v>
      </c>
      <c r="H209" s="49">
        <v>69.770322580645157</v>
      </c>
    </row>
    <row r="210" spans="1:8">
      <c r="A210" s="45" t="s">
        <v>301</v>
      </c>
      <c r="B210" s="51">
        <v>1400</v>
      </c>
      <c r="C210" s="51">
        <v>541.66000000000008</v>
      </c>
      <c r="D210" s="49">
        <v>1058.3399999999999</v>
      </c>
      <c r="E210" s="51">
        <v>11.200000000000001</v>
      </c>
      <c r="F210" s="49">
        <v>1611.1999999999998</v>
      </c>
      <c r="G210" s="49">
        <v>3011.2</v>
      </c>
      <c r="H210" s="49">
        <v>115.08571428571427</v>
      </c>
    </row>
    <row r="211" spans="1:8">
      <c r="A211" s="45" t="s">
        <v>302</v>
      </c>
      <c r="B211" s="51">
        <v>1760</v>
      </c>
      <c r="C211" s="51">
        <v>550.35200000000009</v>
      </c>
      <c r="D211" s="49">
        <v>689.64800000000014</v>
      </c>
      <c r="E211" s="51">
        <v>63.360000000000007</v>
      </c>
      <c r="F211" s="49">
        <v>1303.3600000000001</v>
      </c>
      <c r="G211" s="49">
        <v>3063.36</v>
      </c>
      <c r="H211" s="49">
        <v>74.054545454545462</v>
      </c>
    </row>
    <row r="212" spans="1:8">
      <c r="A212" s="45" t="s">
        <v>303</v>
      </c>
      <c r="B212" s="51">
        <v>1600</v>
      </c>
      <c r="C212" s="51">
        <v>610.56000000000006</v>
      </c>
      <c r="D212" s="49">
        <v>789.44</v>
      </c>
      <c r="E212" s="51">
        <v>47.36</v>
      </c>
      <c r="F212" s="49">
        <v>1447.3600000000001</v>
      </c>
      <c r="G212" s="49">
        <v>3047.36</v>
      </c>
      <c r="H212" s="49">
        <v>90.460000000000008</v>
      </c>
    </row>
    <row r="213" spans="1:8">
      <c r="A213" s="45" t="s">
        <v>304</v>
      </c>
      <c r="B213" s="51">
        <v>1600</v>
      </c>
      <c r="C213" s="51">
        <v>602.08000000000004</v>
      </c>
      <c r="D213" s="49">
        <v>797.92000000000007</v>
      </c>
      <c r="E213" s="51">
        <v>49.92</v>
      </c>
      <c r="F213" s="49">
        <v>1449.92</v>
      </c>
      <c r="G213" s="49">
        <v>3049.92</v>
      </c>
      <c r="H213" s="49">
        <v>90.62</v>
      </c>
    </row>
    <row r="214" spans="1:8">
      <c r="A214" s="45" t="s">
        <v>305</v>
      </c>
      <c r="B214" s="51">
        <v>1500</v>
      </c>
      <c r="C214" s="51">
        <v>620.1</v>
      </c>
      <c r="D214" s="49">
        <v>879.90000000000009</v>
      </c>
      <c r="E214" s="51">
        <v>19.2</v>
      </c>
      <c r="F214" s="49">
        <v>1519.1999999999998</v>
      </c>
      <c r="G214" s="49">
        <v>3019.2</v>
      </c>
      <c r="H214" s="49">
        <v>101.27999999999999</v>
      </c>
    </row>
    <row r="215" spans="1:8">
      <c r="A215" s="45" t="s">
        <v>306</v>
      </c>
      <c r="B215" s="51">
        <v>1860</v>
      </c>
      <c r="C215" s="51">
        <v>788.6400000000001</v>
      </c>
      <c r="D215" s="49">
        <v>351.35999999999967</v>
      </c>
      <c r="E215" s="51">
        <v>77.375999999999991</v>
      </c>
      <c r="F215" s="49">
        <v>1217.3760000000002</v>
      </c>
      <c r="G215" s="49">
        <v>3077.3760000000002</v>
      </c>
      <c r="H215" s="49">
        <v>65.450322580645164</v>
      </c>
    </row>
    <row r="216" spans="1:8">
      <c r="A216" s="45" t="s">
        <v>468</v>
      </c>
      <c r="B216" s="51">
        <v>1400</v>
      </c>
      <c r="C216" s="51">
        <v>667.80000000000007</v>
      </c>
      <c r="D216" s="49">
        <v>932.19999999999982</v>
      </c>
      <c r="E216" s="51">
        <v>2.2400000000000002</v>
      </c>
      <c r="F216" s="49">
        <v>1602.2399999999998</v>
      </c>
      <c r="G216" s="49">
        <v>3002.24</v>
      </c>
      <c r="H216" s="49">
        <v>114.44571428571427</v>
      </c>
    </row>
    <row r="217" spans="1:8">
      <c r="A217" s="45" t="s">
        <v>307</v>
      </c>
      <c r="B217" s="51">
        <v>1500</v>
      </c>
      <c r="C217" s="51">
        <v>636.00000000000011</v>
      </c>
      <c r="D217" s="49">
        <v>864</v>
      </c>
      <c r="E217" s="51">
        <v>9.6</v>
      </c>
      <c r="F217" s="49">
        <v>1509.6</v>
      </c>
      <c r="G217" s="49">
        <v>3009.6</v>
      </c>
      <c r="H217" s="49">
        <v>100.64</v>
      </c>
    </row>
    <row r="218" spans="1:8">
      <c r="A218" s="45" t="s">
        <v>308</v>
      </c>
      <c r="B218" s="51">
        <v>1760</v>
      </c>
      <c r="C218" s="51">
        <v>783.55200000000002</v>
      </c>
      <c r="D218" s="49">
        <v>456.44799999999987</v>
      </c>
      <c r="E218" s="51">
        <v>140.80000000000001</v>
      </c>
      <c r="F218" s="49">
        <v>1380.8000000000002</v>
      </c>
      <c r="G218" s="49">
        <v>3140.8</v>
      </c>
      <c r="H218" s="49">
        <v>78.454545454545453</v>
      </c>
    </row>
    <row r="219" spans="1:8">
      <c r="A219" s="45" t="s">
        <v>309</v>
      </c>
      <c r="B219" s="51">
        <v>1500</v>
      </c>
      <c r="C219" s="51">
        <v>588.29999999999995</v>
      </c>
      <c r="D219" s="49">
        <v>911.69999999999982</v>
      </c>
      <c r="E219" s="51">
        <v>12</v>
      </c>
      <c r="F219" s="49">
        <v>1512</v>
      </c>
      <c r="G219" s="49">
        <v>3012</v>
      </c>
      <c r="H219" s="49">
        <v>100.8</v>
      </c>
    </row>
    <row r="220" spans="1:8">
      <c r="A220" s="45" t="s">
        <v>310</v>
      </c>
      <c r="B220" s="51">
        <v>1870</v>
      </c>
      <c r="C220" s="51">
        <v>862.25700000000006</v>
      </c>
      <c r="D220" s="49">
        <v>267.74299999999994</v>
      </c>
      <c r="E220" s="51">
        <v>176.52799999999999</v>
      </c>
      <c r="F220" s="49">
        <v>1306.5279999999998</v>
      </c>
      <c r="G220" s="49">
        <v>3176.5279999999998</v>
      </c>
      <c r="H220" s="49">
        <v>69.867807486631008</v>
      </c>
    </row>
    <row r="221" spans="1:8">
      <c r="A221" s="45" t="s">
        <v>311</v>
      </c>
      <c r="B221" s="51">
        <v>1300</v>
      </c>
      <c r="C221" s="51">
        <v>571.87</v>
      </c>
      <c r="D221" s="49">
        <v>1128.1300000000001</v>
      </c>
      <c r="E221" s="51">
        <v>11.440000000000001</v>
      </c>
      <c r="F221" s="49">
        <v>1711.44</v>
      </c>
      <c r="G221" s="49">
        <v>3011.44</v>
      </c>
      <c r="H221" s="49">
        <v>131.64923076923077</v>
      </c>
    </row>
    <row r="222" spans="1:8">
      <c r="A222" s="42" t="s">
        <v>128</v>
      </c>
      <c r="B222" s="51">
        <v>13000</v>
      </c>
      <c r="C222" s="51">
        <v>6338.8</v>
      </c>
      <c r="D222" s="49"/>
      <c r="E222" s="51">
        <v>2787.2000000000003</v>
      </c>
      <c r="F222" s="49">
        <v>9126</v>
      </c>
      <c r="G222" s="49">
        <v>22126</v>
      </c>
      <c r="H222" s="49">
        <v>70.2</v>
      </c>
    </row>
    <row r="223" spans="1:8">
      <c r="A223" s="43" t="s">
        <v>53</v>
      </c>
      <c r="B223" s="51">
        <v>13000</v>
      </c>
      <c r="C223" s="51">
        <v>6338.8</v>
      </c>
      <c r="D223" s="49"/>
      <c r="E223" s="51">
        <v>2787.2000000000003</v>
      </c>
      <c r="F223" s="49">
        <v>9126</v>
      </c>
      <c r="G223" s="49">
        <v>22126</v>
      </c>
      <c r="H223" s="49">
        <v>70.2</v>
      </c>
    </row>
    <row r="224" spans="1:8">
      <c r="A224" s="44">
        <v>0</v>
      </c>
      <c r="B224" s="51">
        <v>13000</v>
      </c>
      <c r="C224" s="51">
        <v>6338.8</v>
      </c>
      <c r="D224" s="49"/>
      <c r="E224" s="51">
        <v>2787.2000000000003</v>
      </c>
      <c r="F224" s="49">
        <v>9126</v>
      </c>
      <c r="G224" s="49">
        <v>22126</v>
      </c>
      <c r="H224" s="49">
        <v>70.2</v>
      </c>
    </row>
    <row r="225" spans="1:8">
      <c r="A225" s="45" t="s">
        <v>141</v>
      </c>
      <c r="B225" s="51">
        <v>13000</v>
      </c>
      <c r="C225" s="51">
        <v>6338.8</v>
      </c>
      <c r="D225" s="49"/>
      <c r="E225" s="51">
        <v>2787.2000000000003</v>
      </c>
      <c r="F225" s="49">
        <v>9126</v>
      </c>
      <c r="G225" s="49">
        <v>22126</v>
      </c>
      <c r="H225" s="49">
        <v>70.2</v>
      </c>
    </row>
    <row r="226" spans="1:8">
      <c r="A226" s="42" t="s">
        <v>469</v>
      </c>
      <c r="B226" s="51">
        <v>7200</v>
      </c>
      <c r="C226" s="51">
        <v>3816</v>
      </c>
      <c r="D226" s="49"/>
      <c r="E226" s="51">
        <v>414.71999999999997</v>
      </c>
      <c r="F226" s="49">
        <v>4230.7199999999993</v>
      </c>
      <c r="G226" s="49">
        <v>11430.72</v>
      </c>
      <c r="H226" s="49">
        <v>58.759999999999991</v>
      </c>
    </row>
    <row r="227" spans="1:8">
      <c r="A227" s="43" t="s">
        <v>50</v>
      </c>
      <c r="B227" s="51">
        <v>7200</v>
      </c>
      <c r="C227" s="51">
        <v>3816</v>
      </c>
      <c r="D227" s="49"/>
      <c r="E227" s="51">
        <v>414.71999999999997</v>
      </c>
      <c r="F227" s="49">
        <v>4230.7199999999993</v>
      </c>
      <c r="G227" s="49">
        <v>11430.72</v>
      </c>
      <c r="H227" s="49">
        <v>58.759999999999991</v>
      </c>
    </row>
    <row r="228" spans="1:8">
      <c r="A228" s="44" t="s">
        <v>122</v>
      </c>
      <c r="B228" s="51">
        <v>7200</v>
      </c>
      <c r="C228" s="51">
        <v>3816</v>
      </c>
      <c r="D228" s="49"/>
      <c r="E228" s="51">
        <v>414.71999999999997</v>
      </c>
      <c r="F228" s="49">
        <v>4230.7199999999993</v>
      </c>
      <c r="G228" s="49">
        <v>11430.72</v>
      </c>
      <c r="H228" s="49">
        <v>58.759999999999991</v>
      </c>
    </row>
    <row r="229" spans="1:8">
      <c r="A229" s="45" t="s">
        <v>470</v>
      </c>
      <c r="B229" s="51">
        <v>3600</v>
      </c>
      <c r="C229" s="51">
        <v>1908</v>
      </c>
      <c r="D229" s="49"/>
      <c r="E229" s="51">
        <v>207.35999999999999</v>
      </c>
      <c r="F229" s="49">
        <v>2115.3599999999997</v>
      </c>
      <c r="G229" s="49">
        <v>5715.36</v>
      </c>
      <c r="H229" s="49">
        <v>58.759999999999991</v>
      </c>
    </row>
    <row r="230" spans="1:8">
      <c r="A230" s="45" t="s">
        <v>471</v>
      </c>
      <c r="B230" s="51">
        <v>3600</v>
      </c>
      <c r="C230" s="51">
        <v>1908</v>
      </c>
      <c r="D230" s="49"/>
      <c r="E230" s="51">
        <v>207.35999999999999</v>
      </c>
      <c r="F230" s="49">
        <v>2115.3599999999997</v>
      </c>
      <c r="G230" s="49">
        <v>5715.36</v>
      </c>
      <c r="H230" s="49">
        <v>58.759999999999991</v>
      </c>
    </row>
    <row r="231" spans="1:8">
      <c r="A231" s="42" t="s">
        <v>75</v>
      </c>
      <c r="B231" s="51">
        <v>20545</v>
      </c>
      <c r="C231" s="51">
        <v>9150.6090000000004</v>
      </c>
      <c r="D231" s="49">
        <v>9804.3909999999978</v>
      </c>
      <c r="E231" s="51">
        <v>1506.6160000000002</v>
      </c>
      <c r="F231" s="49">
        <v>20461.616000000005</v>
      </c>
      <c r="G231" s="49">
        <v>41006.616000000002</v>
      </c>
      <c r="H231" s="49">
        <v>99.428847736951923</v>
      </c>
    </row>
    <row r="232" spans="1:8">
      <c r="A232" s="43" t="s">
        <v>49</v>
      </c>
      <c r="B232" s="51">
        <v>2550</v>
      </c>
      <c r="C232" s="51">
        <v>1270.4099999999999</v>
      </c>
      <c r="D232" s="49">
        <v>1179.5900000000001</v>
      </c>
      <c r="E232" s="51">
        <v>299.88</v>
      </c>
      <c r="F232" s="49">
        <v>2749.88</v>
      </c>
      <c r="G232" s="49">
        <v>5299.88</v>
      </c>
      <c r="H232" s="49">
        <v>107.83843137254902</v>
      </c>
    </row>
    <row r="233" spans="1:8">
      <c r="A233" s="44" t="s">
        <v>107</v>
      </c>
      <c r="B233" s="51">
        <v>2550</v>
      </c>
      <c r="C233" s="51">
        <v>1270.4099999999999</v>
      </c>
      <c r="D233" s="49">
        <v>1179.5900000000001</v>
      </c>
      <c r="E233" s="51">
        <v>299.88</v>
      </c>
      <c r="F233" s="49">
        <v>2749.88</v>
      </c>
      <c r="G233" s="49">
        <v>5299.88</v>
      </c>
      <c r="H233" s="49">
        <v>107.83843137254902</v>
      </c>
    </row>
    <row r="234" spans="1:8">
      <c r="A234" s="45" t="s">
        <v>95</v>
      </c>
      <c r="B234" s="51">
        <v>2550</v>
      </c>
      <c r="C234" s="51">
        <v>1270.4099999999999</v>
      </c>
      <c r="D234" s="49">
        <v>1179.5900000000001</v>
      </c>
      <c r="E234" s="51">
        <v>299.88</v>
      </c>
      <c r="F234" s="49">
        <v>2749.88</v>
      </c>
      <c r="G234" s="49">
        <v>5299.88</v>
      </c>
      <c r="H234" s="49">
        <v>107.83843137254902</v>
      </c>
    </row>
    <row r="235" spans="1:8">
      <c r="A235" s="43" t="s">
        <v>53</v>
      </c>
      <c r="B235" s="51">
        <v>1850</v>
      </c>
      <c r="C235" s="51">
        <v>804.01</v>
      </c>
      <c r="D235" s="49">
        <v>1845.9899999999998</v>
      </c>
      <c r="E235" s="51">
        <v>26.64</v>
      </c>
      <c r="F235" s="49">
        <v>2676.6400000000003</v>
      </c>
      <c r="G235" s="49">
        <v>4526.6400000000003</v>
      </c>
      <c r="H235" s="49">
        <v>144.68324324324325</v>
      </c>
    </row>
    <row r="236" spans="1:8">
      <c r="A236" s="44" t="s">
        <v>312</v>
      </c>
      <c r="B236" s="51">
        <v>1850</v>
      </c>
      <c r="C236" s="51">
        <v>804.01</v>
      </c>
      <c r="D236" s="49">
        <v>1845.9899999999998</v>
      </c>
      <c r="E236" s="51">
        <v>26.64</v>
      </c>
      <c r="F236" s="49">
        <v>2676.6400000000003</v>
      </c>
      <c r="G236" s="49">
        <v>4526.6400000000003</v>
      </c>
      <c r="H236" s="49">
        <v>144.68324324324325</v>
      </c>
    </row>
    <row r="237" spans="1:8">
      <c r="A237" s="45" t="s">
        <v>313</v>
      </c>
      <c r="B237" s="51">
        <v>1850</v>
      </c>
      <c r="C237" s="51">
        <v>804.01</v>
      </c>
      <c r="D237" s="49">
        <v>1845.9899999999998</v>
      </c>
      <c r="E237" s="51">
        <v>26.64</v>
      </c>
      <c r="F237" s="49">
        <v>2676.6400000000003</v>
      </c>
      <c r="G237" s="49">
        <v>4526.6400000000003</v>
      </c>
      <c r="H237" s="49">
        <v>144.68324324324325</v>
      </c>
    </row>
    <row r="238" spans="1:8">
      <c r="A238" s="43" t="s">
        <v>59</v>
      </c>
      <c r="B238" s="51">
        <v>6035</v>
      </c>
      <c r="C238" s="51">
        <v>2774.1790000000001</v>
      </c>
      <c r="D238" s="49">
        <v>3190.8209999999999</v>
      </c>
      <c r="E238" s="51">
        <v>620.4</v>
      </c>
      <c r="F238" s="49">
        <v>6585.4000000000005</v>
      </c>
      <c r="G238" s="49">
        <v>12620.400000000001</v>
      </c>
      <c r="H238" s="49">
        <v>109.14673218673219</v>
      </c>
    </row>
    <row r="239" spans="1:8">
      <c r="A239" s="44" t="s">
        <v>314</v>
      </c>
      <c r="B239" s="51">
        <v>6035</v>
      </c>
      <c r="C239" s="51">
        <v>2774.1790000000001</v>
      </c>
      <c r="D239" s="49">
        <v>3190.8209999999999</v>
      </c>
      <c r="E239" s="51">
        <v>620.4</v>
      </c>
      <c r="F239" s="49">
        <v>6585.4000000000005</v>
      </c>
      <c r="G239" s="49">
        <v>12620.400000000001</v>
      </c>
      <c r="H239" s="49">
        <v>109.14673218673219</v>
      </c>
    </row>
    <row r="240" spans="1:8">
      <c r="A240" s="45" t="s">
        <v>315</v>
      </c>
      <c r="B240" s="51">
        <v>2000</v>
      </c>
      <c r="C240" s="51">
        <v>848.00000000000011</v>
      </c>
      <c r="D240" s="49">
        <v>1152</v>
      </c>
      <c r="E240" s="51">
        <v>225.6</v>
      </c>
      <c r="F240" s="49">
        <v>2225.6000000000004</v>
      </c>
      <c r="G240" s="49">
        <v>4225.6000000000004</v>
      </c>
      <c r="H240" s="49">
        <v>111.28000000000002</v>
      </c>
    </row>
    <row r="241" spans="1:8">
      <c r="A241" s="45" t="s">
        <v>316</v>
      </c>
      <c r="B241" s="51">
        <v>2000</v>
      </c>
      <c r="C241" s="51">
        <v>869.19999999999993</v>
      </c>
      <c r="D241" s="49">
        <v>1130.8000000000002</v>
      </c>
      <c r="E241" s="51">
        <v>231.99999999999997</v>
      </c>
      <c r="F241" s="49">
        <v>2232</v>
      </c>
      <c r="G241" s="49">
        <v>4232</v>
      </c>
      <c r="H241" s="49">
        <v>111.6</v>
      </c>
    </row>
    <row r="242" spans="1:8">
      <c r="A242" s="45" t="s">
        <v>317</v>
      </c>
      <c r="B242" s="51">
        <v>2035</v>
      </c>
      <c r="C242" s="51">
        <v>1056.9790000000003</v>
      </c>
      <c r="D242" s="49">
        <v>908.02099999999973</v>
      </c>
      <c r="E242" s="51">
        <v>162.80000000000001</v>
      </c>
      <c r="F242" s="49">
        <v>2127.8000000000002</v>
      </c>
      <c r="G242" s="49">
        <v>4162.8</v>
      </c>
      <c r="H242" s="49">
        <v>104.56019656019656</v>
      </c>
    </row>
    <row r="243" spans="1:8">
      <c r="A243" s="43" t="s">
        <v>118</v>
      </c>
      <c r="B243" s="51">
        <v>10110</v>
      </c>
      <c r="C243" s="51">
        <v>4302.01</v>
      </c>
      <c r="D243" s="49">
        <v>3587.99</v>
      </c>
      <c r="E243" s="51">
        <v>559.69600000000003</v>
      </c>
      <c r="F243" s="49">
        <v>8449.6959999999999</v>
      </c>
      <c r="G243" s="49">
        <v>18559.696</v>
      </c>
      <c r="H243" s="49">
        <v>85.625908988413713</v>
      </c>
    </row>
    <row r="244" spans="1:8">
      <c r="A244" s="44" t="s">
        <v>314</v>
      </c>
      <c r="B244" s="51">
        <v>10110</v>
      </c>
      <c r="C244" s="51">
        <v>4302.01</v>
      </c>
      <c r="D244" s="49">
        <v>3587.99</v>
      </c>
      <c r="E244" s="51">
        <v>559.69600000000003</v>
      </c>
      <c r="F244" s="49">
        <v>8449.6959999999999</v>
      </c>
      <c r="G244" s="49">
        <v>18559.696</v>
      </c>
      <c r="H244" s="49">
        <v>85.625908988413713</v>
      </c>
    </row>
    <row r="245" spans="1:8">
      <c r="A245" s="45" t="s">
        <v>318</v>
      </c>
      <c r="B245" s="51">
        <v>1800</v>
      </c>
      <c r="C245" s="51">
        <v>620.1</v>
      </c>
      <c r="D245" s="49">
        <v>579.90000000000009</v>
      </c>
      <c r="E245" s="51">
        <v>131.04000000000002</v>
      </c>
      <c r="F245" s="49">
        <v>1331.04</v>
      </c>
      <c r="G245" s="49">
        <v>3131.04</v>
      </c>
      <c r="H245" s="49">
        <v>73.946666666666658</v>
      </c>
    </row>
    <row r="246" spans="1:8">
      <c r="A246" s="45" t="s">
        <v>319</v>
      </c>
      <c r="B246" s="51">
        <v>1700</v>
      </c>
      <c r="C246" s="51">
        <v>792.88</v>
      </c>
      <c r="D246" s="49">
        <v>507.11999999999989</v>
      </c>
      <c r="E246" s="51">
        <v>58.48</v>
      </c>
      <c r="F246" s="49">
        <v>1358.48</v>
      </c>
      <c r="G246" s="49">
        <v>3058.48</v>
      </c>
      <c r="H246" s="49">
        <v>79.910588235294114</v>
      </c>
    </row>
    <row r="247" spans="1:8">
      <c r="A247" s="45" t="s">
        <v>320</v>
      </c>
      <c r="B247" s="51">
        <v>1400</v>
      </c>
      <c r="C247" s="51">
        <v>615.86</v>
      </c>
      <c r="D247" s="49">
        <v>984.13999999999987</v>
      </c>
      <c r="E247" s="51">
        <v>118.72</v>
      </c>
      <c r="F247" s="49">
        <v>1718.7199999999998</v>
      </c>
      <c r="G247" s="49">
        <v>3118.72</v>
      </c>
      <c r="H247" s="49">
        <v>122.76571428571427</v>
      </c>
    </row>
    <row r="248" spans="1:8">
      <c r="A248" s="45" t="s">
        <v>321</v>
      </c>
      <c r="B248" s="51">
        <v>1860</v>
      </c>
      <c r="C248" s="51">
        <v>788.6400000000001</v>
      </c>
      <c r="D248" s="49">
        <v>351.35999999999967</v>
      </c>
      <c r="E248" s="51">
        <v>218.73599999999999</v>
      </c>
      <c r="F248" s="49">
        <v>1358.7359999999999</v>
      </c>
      <c r="G248" s="49">
        <v>3218.7359999999999</v>
      </c>
      <c r="H248" s="49">
        <v>73.050322580645144</v>
      </c>
    </row>
    <row r="249" spans="1:8">
      <c r="A249" s="45" t="s">
        <v>322</v>
      </c>
      <c r="B249" s="51">
        <v>1500</v>
      </c>
      <c r="C249" s="51">
        <v>739.35</v>
      </c>
      <c r="D249" s="49">
        <v>760.65000000000009</v>
      </c>
      <c r="E249" s="51">
        <v>12</v>
      </c>
      <c r="F249" s="49">
        <v>1512</v>
      </c>
      <c r="G249" s="49">
        <v>3012</v>
      </c>
      <c r="H249" s="49">
        <v>100.8</v>
      </c>
    </row>
    <row r="250" spans="1:8">
      <c r="A250" s="45" t="s">
        <v>323</v>
      </c>
      <c r="B250" s="51">
        <v>1850</v>
      </c>
      <c r="C250" s="51">
        <v>745.18</v>
      </c>
      <c r="D250" s="49">
        <v>404.82000000000016</v>
      </c>
      <c r="E250" s="51">
        <v>20.720000000000002</v>
      </c>
      <c r="F250" s="49">
        <v>1170.7199999999998</v>
      </c>
      <c r="G250" s="49">
        <v>3020.72</v>
      </c>
      <c r="H250" s="49">
        <v>63.282162162162152</v>
      </c>
    </row>
    <row r="251" spans="1:8">
      <c r="A251" s="42" t="s">
        <v>76</v>
      </c>
      <c r="B251" s="51">
        <v>39124</v>
      </c>
      <c r="C251" s="51">
        <v>19225.675800000001</v>
      </c>
      <c r="D251" s="49">
        <v>13659.865800000001</v>
      </c>
      <c r="E251" s="51">
        <v>3491.9823999999999</v>
      </c>
      <c r="F251" s="49">
        <v>36377.523999999998</v>
      </c>
      <c r="G251" s="49">
        <v>75501.524000000005</v>
      </c>
      <c r="H251" s="49">
        <v>93.435521756452061</v>
      </c>
    </row>
    <row r="252" spans="1:8">
      <c r="A252" s="43" t="s">
        <v>49</v>
      </c>
      <c r="B252" s="51">
        <v>2280</v>
      </c>
      <c r="C252" s="51">
        <v>1160.0640000000001</v>
      </c>
      <c r="D252" s="49">
        <v>1559.9359999999997</v>
      </c>
      <c r="E252" s="51">
        <v>173.28</v>
      </c>
      <c r="F252" s="49">
        <v>2893.2799999999997</v>
      </c>
      <c r="G252" s="49">
        <v>5173.28</v>
      </c>
      <c r="H252" s="49">
        <v>126.89824561403508</v>
      </c>
    </row>
    <row r="253" spans="1:8">
      <c r="A253" s="44" t="s">
        <v>108</v>
      </c>
      <c r="B253" s="51">
        <v>2280</v>
      </c>
      <c r="C253" s="51">
        <v>1160.0640000000001</v>
      </c>
      <c r="D253" s="49">
        <v>1559.9359999999997</v>
      </c>
      <c r="E253" s="51">
        <v>173.28</v>
      </c>
      <c r="F253" s="49">
        <v>2893.2799999999997</v>
      </c>
      <c r="G253" s="49">
        <v>5173.28</v>
      </c>
      <c r="H253" s="49">
        <v>126.89824561403508</v>
      </c>
    </row>
    <row r="254" spans="1:8">
      <c r="A254" s="45" t="s">
        <v>96</v>
      </c>
      <c r="B254" s="51">
        <v>2280</v>
      </c>
      <c r="C254" s="51">
        <v>1160.0640000000001</v>
      </c>
      <c r="D254" s="49">
        <v>1559.9359999999997</v>
      </c>
      <c r="E254" s="51">
        <v>173.28</v>
      </c>
      <c r="F254" s="49">
        <v>2893.2799999999997</v>
      </c>
      <c r="G254" s="49">
        <v>5173.28</v>
      </c>
      <c r="H254" s="49">
        <v>126.89824561403508</v>
      </c>
    </row>
    <row r="255" spans="1:8">
      <c r="A255" s="43" t="s">
        <v>53</v>
      </c>
      <c r="B255" s="51">
        <v>1870</v>
      </c>
      <c r="C255" s="51">
        <v>901.90100000000007</v>
      </c>
      <c r="D255" s="49">
        <v>1728.0990000000002</v>
      </c>
      <c r="E255" s="51">
        <v>158.57599999999999</v>
      </c>
      <c r="F255" s="49">
        <v>2788.576</v>
      </c>
      <c r="G255" s="49">
        <v>4658.576</v>
      </c>
      <c r="H255" s="49">
        <v>149.12171122994653</v>
      </c>
    </row>
    <row r="256" spans="1:8">
      <c r="A256" s="44" t="s">
        <v>108</v>
      </c>
      <c r="B256" s="51">
        <v>1870</v>
      </c>
      <c r="C256" s="51">
        <v>901.90100000000007</v>
      </c>
      <c r="D256" s="49">
        <v>1728.0990000000002</v>
      </c>
      <c r="E256" s="51">
        <v>158.57599999999999</v>
      </c>
      <c r="F256" s="49">
        <v>2788.576</v>
      </c>
      <c r="G256" s="49">
        <v>4658.576</v>
      </c>
      <c r="H256" s="49">
        <v>149.12171122994653</v>
      </c>
    </row>
    <row r="257" spans="1:8">
      <c r="A257" s="45" t="s">
        <v>324</v>
      </c>
      <c r="B257" s="51">
        <v>1870</v>
      </c>
      <c r="C257" s="51">
        <v>901.90100000000007</v>
      </c>
      <c r="D257" s="49">
        <v>1728.0990000000002</v>
      </c>
      <c r="E257" s="51">
        <v>158.57599999999999</v>
      </c>
      <c r="F257" s="49">
        <v>2788.576</v>
      </c>
      <c r="G257" s="49">
        <v>4658.576</v>
      </c>
      <c r="H257" s="49">
        <v>149.12171122994653</v>
      </c>
    </row>
    <row r="258" spans="1:8">
      <c r="A258" s="43" t="s">
        <v>59</v>
      </c>
      <c r="B258" s="51">
        <v>9600</v>
      </c>
      <c r="C258" s="51">
        <v>4588.3160000000007</v>
      </c>
      <c r="D258" s="49">
        <v>5811.6839999999993</v>
      </c>
      <c r="E258" s="51">
        <v>738.94400000000007</v>
      </c>
      <c r="F258" s="49">
        <v>11138.944</v>
      </c>
      <c r="G258" s="49">
        <v>20738.944000000003</v>
      </c>
      <c r="H258" s="49">
        <v>118.34371120459045</v>
      </c>
    </row>
    <row r="259" spans="1:8">
      <c r="A259" s="44" t="s">
        <v>221</v>
      </c>
      <c r="B259" s="51">
        <v>2280</v>
      </c>
      <c r="C259" s="51">
        <v>1099.6440000000002</v>
      </c>
      <c r="D259" s="49">
        <v>620.35599999999977</v>
      </c>
      <c r="E259" s="51">
        <v>193.34399999999999</v>
      </c>
      <c r="F259" s="49">
        <v>1913.3440000000001</v>
      </c>
      <c r="G259" s="49">
        <v>4193.3440000000001</v>
      </c>
      <c r="H259" s="49">
        <v>83.918596491228072</v>
      </c>
    </row>
    <row r="260" spans="1:8">
      <c r="A260" s="45" t="s">
        <v>325</v>
      </c>
      <c r="B260" s="51">
        <v>2280</v>
      </c>
      <c r="C260" s="51">
        <v>1099.6440000000002</v>
      </c>
      <c r="D260" s="49">
        <v>620.35599999999977</v>
      </c>
      <c r="E260" s="51">
        <v>193.34399999999999</v>
      </c>
      <c r="F260" s="49">
        <v>1913.3440000000001</v>
      </c>
      <c r="G260" s="49">
        <v>4193.3440000000001</v>
      </c>
      <c r="H260" s="49">
        <v>83.918596491228072</v>
      </c>
    </row>
    <row r="261" spans="1:8">
      <c r="A261" s="44" t="s">
        <v>326</v>
      </c>
      <c r="B261" s="51">
        <v>3450</v>
      </c>
      <c r="C261" s="51">
        <v>1630.0150000000001</v>
      </c>
      <c r="D261" s="49">
        <v>2919.9849999999997</v>
      </c>
      <c r="E261" s="51">
        <v>8.879999999999999</v>
      </c>
      <c r="F261" s="49">
        <v>4558.88</v>
      </c>
      <c r="G261" s="49">
        <v>8008.88</v>
      </c>
      <c r="H261" s="49">
        <v>133.34810810810811</v>
      </c>
    </row>
    <row r="262" spans="1:8">
      <c r="A262" s="45" t="s">
        <v>327</v>
      </c>
      <c r="B262" s="51">
        <v>1850</v>
      </c>
      <c r="C262" s="51">
        <v>892.25500000000011</v>
      </c>
      <c r="D262" s="49">
        <v>1257.7449999999999</v>
      </c>
      <c r="E262" s="51">
        <v>8.879999999999999</v>
      </c>
      <c r="F262" s="49">
        <v>2158.88</v>
      </c>
      <c r="G262" s="49">
        <v>4008.88</v>
      </c>
      <c r="H262" s="49">
        <v>116.69621621621623</v>
      </c>
    </row>
    <row r="263" spans="1:8">
      <c r="A263" s="45" t="s">
        <v>328</v>
      </c>
      <c r="B263" s="51">
        <v>1600</v>
      </c>
      <c r="C263" s="51">
        <v>737.76</v>
      </c>
      <c r="D263" s="49">
        <v>1662.2399999999998</v>
      </c>
      <c r="E263" s="51">
        <v>0</v>
      </c>
      <c r="F263" s="49">
        <v>2400</v>
      </c>
      <c r="G263" s="49">
        <v>4000</v>
      </c>
      <c r="H263" s="49">
        <v>150</v>
      </c>
    </row>
    <row r="264" spans="1:8">
      <c r="A264" s="44" t="s">
        <v>63</v>
      </c>
      <c r="B264" s="51">
        <v>3870</v>
      </c>
      <c r="C264" s="51">
        <v>1858.6570000000002</v>
      </c>
      <c r="D264" s="49">
        <v>2271.3429999999998</v>
      </c>
      <c r="E264" s="51">
        <v>536.72</v>
      </c>
      <c r="F264" s="49">
        <v>4666.72</v>
      </c>
      <c r="G264" s="49">
        <v>8536.7200000000012</v>
      </c>
      <c r="H264" s="49">
        <v>120.55187165775402</v>
      </c>
    </row>
    <row r="265" spans="1:8">
      <c r="A265" s="45" t="s">
        <v>329</v>
      </c>
      <c r="B265" s="51">
        <v>2000</v>
      </c>
      <c r="C265" s="51">
        <v>996.4</v>
      </c>
      <c r="D265" s="49">
        <v>1003.5999999999999</v>
      </c>
      <c r="E265" s="51">
        <v>432.00000000000006</v>
      </c>
      <c r="F265" s="49">
        <v>2432</v>
      </c>
      <c r="G265" s="49">
        <v>4432</v>
      </c>
      <c r="H265" s="49">
        <v>121.6</v>
      </c>
    </row>
    <row r="266" spans="1:8">
      <c r="A266" s="45" t="s">
        <v>330</v>
      </c>
      <c r="B266" s="51">
        <v>1870</v>
      </c>
      <c r="C266" s="51">
        <v>862.25700000000006</v>
      </c>
      <c r="D266" s="49">
        <v>1267.7429999999999</v>
      </c>
      <c r="E266" s="51">
        <v>104.71999999999998</v>
      </c>
      <c r="F266" s="49">
        <v>2234.7200000000003</v>
      </c>
      <c r="G266" s="49">
        <v>4104.72</v>
      </c>
      <c r="H266" s="49">
        <v>119.50374331550805</v>
      </c>
    </row>
    <row r="267" spans="1:8">
      <c r="A267" s="43" t="s">
        <v>118</v>
      </c>
      <c r="B267" s="51">
        <v>25374</v>
      </c>
      <c r="C267" s="51">
        <v>12575.3948</v>
      </c>
      <c r="D267" s="49">
        <v>4560.1468000000004</v>
      </c>
      <c r="E267" s="51">
        <v>2421.1824000000006</v>
      </c>
      <c r="F267" s="49">
        <v>19556.724000000002</v>
      </c>
      <c r="G267" s="49">
        <v>44930.724000000002</v>
      </c>
      <c r="H267" s="49">
        <v>78.171960287039994</v>
      </c>
    </row>
    <row r="268" spans="1:8">
      <c r="A268" s="44" t="s">
        <v>331</v>
      </c>
      <c r="B268" s="51">
        <v>1850</v>
      </c>
      <c r="C268" s="51">
        <v>892.25500000000011</v>
      </c>
      <c r="D268" s="49">
        <v>257.74499999999989</v>
      </c>
      <c r="E268" s="51">
        <v>45.879999999999995</v>
      </c>
      <c r="F268" s="49">
        <v>1195.8800000000001</v>
      </c>
      <c r="G268" s="49">
        <v>3045.88</v>
      </c>
      <c r="H268" s="49">
        <v>64.642162162162165</v>
      </c>
    </row>
    <row r="269" spans="1:8">
      <c r="A269" s="45" t="s">
        <v>332</v>
      </c>
      <c r="B269" s="51">
        <v>1850</v>
      </c>
      <c r="C269" s="51">
        <v>892.25500000000011</v>
      </c>
      <c r="D269" s="49">
        <v>257.74499999999989</v>
      </c>
      <c r="E269" s="51">
        <v>45.879999999999995</v>
      </c>
      <c r="F269" s="49">
        <v>1195.8800000000001</v>
      </c>
      <c r="G269" s="49">
        <v>3045.88</v>
      </c>
      <c r="H269" s="49">
        <v>64.642162162162165</v>
      </c>
    </row>
    <row r="270" spans="1:8">
      <c r="A270" s="44" t="s">
        <v>63</v>
      </c>
      <c r="B270" s="51">
        <v>23524</v>
      </c>
      <c r="C270" s="51">
        <v>11683.139800000001</v>
      </c>
      <c r="D270" s="49">
        <v>4302.4018000000015</v>
      </c>
      <c r="E270" s="51">
        <v>2375.3024000000005</v>
      </c>
      <c r="F270" s="49">
        <v>18360.844000000001</v>
      </c>
      <c r="G270" s="49">
        <v>41884.843999999997</v>
      </c>
      <c r="H270" s="49">
        <v>79.212713988953666</v>
      </c>
    </row>
    <row r="271" spans="1:8">
      <c r="A271" s="45" t="s">
        <v>333</v>
      </c>
      <c r="B271" s="51">
        <v>1870</v>
      </c>
      <c r="C271" s="51">
        <v>901.90100000000007</v>
      </c>
      <c r="D271" s="49">
        <v>228.09900000000016</v>
      </c>
      <c r="E271" s="51">
        <v>406.91200000000003</v>
      </c>
      <c r="F271" s="49">
        <v>1536.9120000000003</v>
      </c>
      <c r="G271" s="49">
        <v>3406.9120000000003</v>
      </c>
      <c r="H271" s="49">
        <v>82.18780748663103</v>
      </c>
    </row>
    <row r="272" spans="1:8">
      <c r="A272" s="45" t="s">
        <v>142</v>
      </c>
      <c r="B272" s="51">
        <v>1600</v>
      </c>
      <c r="C272" s="51">
        <v>788.64</v>
      </c>
      <c r="D272" s="49">
        <v>611.36000000000013</v>
      </c>
      <c r="E272" s="51">
        <v>42.24</v>
      </c>
      <c r="F272" s="49">
        <v>1442.2399999999998</v>
      </c>
      <c r="G272" s="49">
        <v>3042.24</v>
      </c>
      <c r="H272" s="49">
        <v>90.139999999999986</v>
      </c>
    </row>
    <row r="273" spans="1:8">
      <c r="A273" s="45" t="s">
        <v>334</v>
      </c>
      <c r="B273" s="51">
        <v>1500</v>
      </c>
      <c r="C273" s="51">
        <v>763.2</v>
      </c>
      <c r="D273" s="49">
        <v>736.80000000000018</v>
      </c>
      <c r="E273" s="51">
        <v>19.2</v>
      </c>
      <c r="F273" s="49">
        <v>1519.1999999999998</v>
      </c>
      <c r="G273" s="49">
        <v>3019.2</v>
      </c>
      <c r="H273" s="49">
        <v>101.27999999999999</v>
      </c>
    </row>
    <row r="274" spans="1:8">
      <c r="A274" s="45" t="s">
        <v>335</v>
      </c>
      <c r="B274" s="51">
        <v>1760</v>
      </c>
      <c r="C274" s="51">
        <v>867.50400000000002</v>
      </c>
      <c r="D274" s="49">
        <v>372.49600000000009</v>
      </c>
      <c r="E274" s="51">
        <v>143.61600000000001</v>
      </c>
      <c r="F274" s="49">
        <v>1383.616</v>
      </c>
      <c r="G274" s="49">
        <v>3143.616</v>
      </c>
      <c r="H274" s="49">
        <v>78.61454545454545</v>
      </c>
    </row>
    <row r="275" spans="1:8">
      <c r="A275" s="45" t="s">
        <v>336</v>
      </c>
      <c r="B275" s="51">
        <v>1500</v>
      </c>
      <c r="C275" s="51">
        <v>699.6</v>
      </c>
      <c r="D275" s="49">
        <v>800.40000000000009</v>
      </c>
      <c r="E275" s="51">
        <v>16.8</v>
      </c>
      <c r="F275" s="49">
        <v>1516.8000000000002</v>
      </c>
      <c r="G275" s="49">
        <v>3016.8</v>
      </c>
      <c r="H275" s="49">
        <v>101.12000000000002</v>
      </c>
    </row>
    <row r="276" spans="1:8">
      <c r="A276" s="45" t="s">
        <v>337</v>
      </c>
      <c r="B276" s="51">
        <v>1760</v>
      </c>
      <c r="C276" s="51">
        <v>867.50400000000002</v>
      </c>
      <c r="D276" s="49">
        <v>372.49600000000009</v>
      </c>
      <c r="E276" s="51">
        <v>73.215999999999994</v>
      </c>
      <c r="F276" s="49">
        <v>1313.2159999999999</v>
      </c>
      <c r="G276" s="49">
        <v>3073.2159999999999</v>
      </c>
      <c r="H276" s="49">
        <v>74.614545454545436</v>
      </c>
    </row>
    <row r="277" spans="1:8">
      <c r="A277" s="45" t="s">
        <v>338</v>
      </c>
      <c r="B277" s="51">
        <v>1760</v>
      </c>
      <c r="C277" s="51">
        <v>867.50400000000002</v>
      </c>
      <c r="D277" s="49">
        <v>372.49600000000009</v>
      </c>
      <c r="E277" s="51">
        <v>133.76</v>
      </c>
      <c r="F277" s="49">
        <v>1373.7600000000002</v>
      </c>
      <c r="G277" s="49">
        <v>3133.76</v>
      </c>
      <c r="H277" s="49">
        <v>78.054545454545462</v>
      </c>
    </row>
    <row r="278" spans="1:8">
      <c r="A278" s="45" t="s">
        <v>472</v>
      </c>
      <c r="B278" s="51">
        <v>2210</v>
      </c>
      <c r="C278" s="51">
        <v>1171.3</v>
      </c>
      <c r="D278" s="49"/>
      <c r="E278" s="51">
        <v>127.29599999999999</v>
      </c>
      <c r="F278" s="49">
        <v>1298.596</v>
      </c>
      <c r="G278" s="49">
        <v>3508.596</v>
      </c>
      <c r="H278" s="49">
        <v>58.76</v>
      </c>
    </row>
    <row r="279" spans="1:8">
      <c r="A279" s="45" t="s">
        <v>339</v>
      </c>
      <c r="B279" s="51">
        <v>1760</v>
      </c>
      <c r="C279" s="51">
        <v>858.17600000000004</v>
      </c>
      <c r="D279" s="49">
        <v>381.82400000000007</v>
      </c>
      <c r="E279" s="51">
        <v>81.663999999999987</v>
      </c>
      <c r="F279" s="49">
        <v>1321.6639999999998</v>
      </c>
      <c r="G279" s="49">
        <v>3081.6639999999998</v>
      </c>
      <c r="H279" s="49">
        <v>75.09454545454544</v>
      </c>
    </row>
    <row r="280" spans="1:8">
      <c r="A280" s="45" t="s">
        <v>143</v>
      </c>
      <c r="B280" s="51">
        <v>1956</v>
      </c>
      <c r="C280" s="51">
        <v>974.47919999999999</v>
      </c>
      <c r="D280" s="49">
        <v>69.520800000000236</v>
      </c>
      <c r="E280" s="51">
        <v>419.3664</v>
      </c>
      <c r="F280" s="49">
        <v>1463.3663999999999</v>
      </c>
      <c r="G280" s="49">
        <v>3419.3663999999999</v>
      </c>
      <c r="H280" s="49">
        <v>74.81423312883436</v>
      </c>
    </row>
    <row r="281" spans="1:8">
      <c r="A281" s="45" t="s">
        <v>144</v>
      </c>
      <c r="B281" s="51">
        <v>2088</v>
      </c>
      <c r="C281" s="51">
        <v>1040.2416000000001</v>
      </c>
      <c r="D281" s="49"/>
      <c r="E281" s="51">
        <v>434.30400000000003</v>
      </c>
      <c r="F281" s="49">
        <v>1474.5456000000004</v>
      </c>
      <c r="G281" s="49">
        <v>3562.5456000000004</v>
      </c>
      <c r="H281" s="49">
        <v>70.620000000000019</v>
      </c>
    </row>
    <row r="282" spans="1:8">
      <c r="A282" s="45" t="s">
        <v>145</v>
      </c>
      <c r="B282" s="51">
        <v>1900</v>
      </c>
      <c r="C282" s="51">
        <v>946.57999999999993</v>
      </c>
      <c r="D282" s="49">
        <v>153.42000000000007</v>
      </c>
      <c r="E282" s="51">
        <v>319.20000000000005</v>
      </c>
      <c r="F282" s="49">
        <v>1419.1999999999998</v>
      </c>
      <c r="G282" s="49">
        <v>3319.2</v>
      </c>
      <c r="H282" s="49">
        <v>74.694736842105257</v>
      </c>
    </row>
    <row r="283" spans="1:8">
      <c r="A283" s="45" t="s">
        <v>340</v>
      </c>
      <c r="B283" s="51">
        <v>1860</v>
      </c>
      <c r="C283" s="51">
        <v>936.5100000000001</v>
      </c>
      <c r="D283" s="49">
        <v>203.48999999999978</v>
      </c>
      <c r="E283" s="51">
        <v>157.72800000000001</v>
      </c>
      <c r="F283" s="49">
        <v>1297.7280000000001</v>
      </c>
      <c r="G283" s="49">
        <v>3157.7280000000001</v>
      </c>
      <c r="H283" s="49">
        <v>69.770322580645157</v>
      </c>
    </row>
    <row r="284" spans="1:8">
      <c r="A284" s="42" t="s">
        <v>77</v>
      </c>
      <c r="B284" s="51">
        <v>6735</v>
      </c>
      <c r="C284" s="51">
        <v>2677.1624999999999</v>
      </c>
      <c r="D284" s="49"/>
      <c r="E284" s="51">
        <v>808.19999999999993</v>
      </c>
      <c r="F284" s="49">
        <v>3485.3625000000011</v>
      </c>
      <c r="G284" s="49">
        <v>10220.362500000001</v>
      </c>
      <c r="H284" s="49">
        <v>51.750000000000021</v>
      </c>
    </row>
    <row r="285" spans="1:8">
      <c r="A285" s="43" t="s">
        <v>49</v>
      </c>
      <c r="B285" s="51">
        <v>6735</v>
      </c>
      <c r="C285" s="51">
        <v>2677.1624999999999</v>
      </c>
      <c r="D285" s="49"/>
      <c r="E285" s="51">
        <v>808.19999999999993</v>
      </c>
      <c r="F285" s="49">
        <v>3485.3625000000011</v>
      </c>
      <c r="G285" s="49">
        <v>10220.362500000001</v>
      </c>
      <c r="H285" s="49">
        <v>51.750000000000021</v>
      </c>
    </row>
    <row r="286" spans="1:8">
      <c r="A286" s="44" t="s">
        <v>109</v>
      </c>
      <c r="B286" s="51">
        <v>6735</v>
      </c>
      <c r="C286" s="51">
        <v>2677.1624999999999</v>
      </c>
      <c r="D286" s="49"/>
      <c r="E286" s="51">
        <v>808.19999999999993</v>
      </c>
      <c r="F286" s="49">
        <v>3485.3625000000011</v>
      </c>
      <c r="G286" s="49">
        <v>10220.362500000001</v>
      </c>
      <c r="H286" s="49">
        <v>51.750000000000021</v>
      </c>
    </row>
    <row r="287" spans="1:8">
      <c r="A287" s="45" t="s">
        <v>97</v>
      </c>
      <c r="B287" s="51">
        <v>6735</v>
      </c>
      <c r="C287" s="51">
        <v>2677.1624999999999</v>
      </c>
      <c r="D287" s="49"/>
      <c r="E287" s="51">
        <v>808.19999999999993</v>
      </c>
      <c r="F287" s="49">
        <v>3485.3625000000011</v>
      </c>
      <c r="G287" s="49">
        <v>10220.362500000001</v>
      </c>
      <c r="H287" s="49">
        <v>51.750000000000021</v>
      </c>
    </row>
    <row r="288" spans="1:8">
      <c r="A288" s="42" t="s">
        <v>129</v>
      </c>
      <c r="B288" s="51">
        <v>21622</v>
      </c>
      <c r="C288" s="51">
        <v>10093.4684</v>
      </c>
      <c r="D288" s="49">
        <v>486.49399999999969</v>
      </c>
      <c r="E288" s="51">
        <v>3599.5248000000001</v>
      </c>
      <c r="F288" s="49">
        <v>14179.487200000001</v>
      </c>
      <c r="G288" s="49">
        <v>35801.487200000003</v>
      </c>
      <c r="H288" s="49">
        <v>65.97242512077294</v>
      </c>
    </row>
    <row r="289" spans="1:8">
      <c r="A289" s="43" t="s">
        <v>50</v>
      </c>
      <c r="B289" s="51">
        <v>11392</v>
      </c>
      <c r="C289" s="51">
        <v>5481.5144</v>
      </c>
      <c r="D289" s="49"/>
      <c r="E289" s="51">
        <v>2159.4048000000003</v>
      </c>
      <c r="F289" s="49">
        <v>7640.9192000000003</v>
      </c>
      <c r="G289" s="49">
        <v>19032.9192</v>
      </c>
      <c r="H289" s="49">
        <v>67.350000000000009</v>
      </c>
    </row>
    <row r="290" spans="1:8">
      <c r="A290" s="44" t="s">
        <v>122</v>
      </c>
      <c r="B290" s="51">
        <v>5292</v>
      </c>
      <c r="C290" s="51">
        <v>2636.4744000000001</v>
      </c>
      <c r="D290" s="49"/>
      <c r="E290" s="51">
        <v>1134.6048000000001</v>
      </c>
      <c r="F290" s="49">
        <v>3771.0792000000001</v>
      </c>
      <c r="G290" s="49">
        <v>9063.0792000000001</v>
      </c>
      <c r="H290" s="49">
        <v>71.260000000000005</v>
      </c>
    </row>
    <row r="291" spans="1:8">
      <c r="A291" s="45" t="s">
        <v>146</v>
      </c>
      <c r="B291" s="51">
        <v>5292</v>
      </c>
      <c r="C291" s="51">
        <v>2636.4744000000001</v>
      </c>
      <c r="D291" s="49"/>
      <c r="E291" s="51">
        <v>1134.6048000000001</v>
      </c>
      <c r="F291" s="49">
        <v>3771.0792000000001</v>
      </c>
      <c r="G291" s="49">
        <v>9063.0792000000001</v>
      </c>
      <c r="H291" s="49">
        <v>71.260000000000005</v>
      </c>
    </row>
    <row r="292" spans="1:8">
      <c r="A292" s="44" t="s">
        <v>130</v>
      </c>
      <c r="B292" s="51">
        <v>6100</v>
      </c>
      <c r="C292" s="51">
        <v>2845.04</v>
      </c>
      <c r="D292" s="49"/>
      <c r="E292" s="51">
        <v>1024.8</v>
      </c>
      <c r="F292" s="49">
        <v>3869.84</v>
      </c>
      <c r="G292" s="49">
        <v>9969.84</v>
      </c>
      <c r="H292" s="49">
        <v>63.440000000000005</v>
      </c>
    </row>
    <row r="293" spans="1:8">
      <c r="A293" s="45" t="s">
        <v>147</v>
      </c>
      <c r="B293" s="51">
        <v>6100</v>
      </c>
      <c r="C293" s="51">
        <v>2845.04</v>
      </c>
      <c r="D293" s="49"/>
      <c r="E293" s="51">
        <v>1024.8</v>
      </c>
      <c r="F293" s="49">
        <v>3869.84</v>
      </c>
      <c r="G293" s="49">
        <v>9969.84</v>
      </c>
      <c r="H293" s="49">
        <v>63.440000000000005</v>
      </c>
    </row>
    <row r="294" spans="1:8">
      <c r="A294" s="43" t="s">
        <v>53</v>
      </c>
      <c r="B294" s="51">
        <v>8160</v>
      </c>
      <c r="C294" s="51">
        <v>3668.4480000000003</v>
      </c>
      <c r="D294" s="49"/>
      <c r="E294" s="51">
        <v>1305.9839999999999</v>
      </c>
      <c r="F294" s="49">
        <v>4974.4319999999998</v>
      </c>
      <c r="G294" s="49">
        <v>13134.432000000001</v>
      </c>
      <c r="H294" s="49">
        <v>59.8</v>
      </c>
    </row>
    <row r="295" spans="1:8">
      <c r="A295" s="44" t="s">
        <v>117</v>
      </c>
      <c r="B295" s="51">
        <v>8160</v>
      </c>
      <c r="C295" s="51">
        <v>3668.4480000000003</v>
      </c>
      <c r="D295" s="49"/>
      <c r="E295" s="51">
        <v>1305.9839999999999</v>
      </c>
      <c r="F295" s="49">
        <v>4974.4319999999998</v>
      </c>
      <c r="G295" s="49">
        <v>13134.432000000001</v>
      </c>
      <c r="H295" s="49">
        <v>59.8</v>
      </c>
    </row>
    <row r="296" spans="1:8">
      <c r="A296" s="45" t="s">
        <v>148</v>
      </c>
      <c r="B296" s="51">
        <v>4560</v>
      </c>
      <c r="C296" s="51">
        <v>2199.2880000000005</v>
      </c>
      <c r="D296" s="49"/>
      <c r="E296" s="51">
        <v>977.66399999999999</v>
      </c>
      <c r="F296" s="49">
        <v>3176.9520000000002</v>
      </c>
      <c r="G296" s="49">
        <v>7736.9520000000002</v>
      </c>
      <c r="H296" s="49">
        <v>69.67</v>
      </c>
    </row>
    <row r="297" spans="1:8">
      <c r="A297" s="45" t="s">
        <v>149</v>
      </c>
      <c r="B297" s="51">
        <v>3600</v>
      </c>
      <c r="C297" s="51">
        <v>1469.16</v>
      </c>
      <c r="D297" s="49"/>
      <c r="E297" s="51">
        <v>328.32</v>
      </c>
      <c r="F297" s="49">
        <v>1797.4799999999996</v>
      </c>
      <c r="G297" s="49">
        <v>5397.48</v>
      </c>
      <c r="H297" s="49">
        <v>49.929999999999986</v>
      </c>
    </row>
    <row r="298" spans="1:8">
      <c r="A298" s="43" t="s">
        <v>60</v>
      </c>
      <c r="B298" s="51">
        <v>2070</v>
      </c>
      <c r="C298" s="51">
        <v>943.50600000000009</v>
      </c>
      <c r="D298" s="49">
        <v>486.49399999999969</v>
      </c>
      <c r="E298" s="51">
        <v>134.13600000000002</v>
      </c>
      <c r="F298" s="49">
        <v>1564.136</v>
      </c>
      <c r="G298" s="49">
        <v>3634.136</v>
      </c>
      <c r="H298" s="49">
        <v>75.562125603864729</v>
      </c>
    </row>
    <row r="299" spans="1:8">
      <c r="A299" s="44">
        <v>0</v>
      </c>
      <c r="B299" s="51">
        <v>2070</v>
      </c>
      <c r="C299" s="51">
        <v>943.50600000000009</v>
      </c>
      <c r="D299" s="49">
        <v>486.49399999999969</v>
      </c>
      <c r="E299" s="51">
        <v>134.13600000000002</v>
      </c>
      <c r="F299" s="49">
        <v>1564.136</v>
      </c>
      <c r="G299" s="49">
        <v>3634.136</v>
      </c>
      <c r="H299" s="49">
        <v>75.562125603864729</v>
      </c>
    </row>
    <row r="300" spans="1:8">
      <c r="A300" s="45" t="s">
        <v>150</v>
      </c>
      <c r="B300" s="51">
        <v>2070</v>
      </c>
      <c r="C300" s="51">
        <v>943.50600000000009</v>
      </c>
      <c r="D300" s="49">
        <v>486.49399999999969</v>
      </c>
      <c r="E300" s="51">
        <v>134.13600000000002</v>
      </c>
      <c r="F300" s="49">
        <v>1564.136</v>
      </c>
      <c r="G300" s="49">
        <v>3634.136</v>
      </c>
      <c r="H300" s="49">
        <v>75.562125603864729</v>
      </c>
    </row>
    <row r="301" spans="1:8">
      <c r="A301" s="42" t="s">
        <v>78</v>
      </c>
      <c r="B301" s="51">
        <v>15250</v>
      </c>
      <c r="C301" s="51">
        <v>7666.45</v>
      </c>
      <c r="D301" s="49"/>
      <c r="E301" s="51">
        <v>2928.4</v>
      </c>
      <c r="F301" s="49">
        <v>10594.850000000002</v>
      </c>
      <c r="G301" s="49">
        <v>25844.850000000002</v>
      </c>
      <c r="H301" s="49">
        <v>66.640000000000015</v>
      </c>
    </row>
    <row r="302" spans="1:8">
      <c r="A302" s="43" t="s">
        <v>49</v>
      </c>
      <c r="B302" s="51">
        <v>12000</v>
      </c>
      <c r="C302" s="51">
        <v>5978.4</v>
      </c>
      <c r="D302" s="49"/>
      <c r="E302" s="51">
        <v>2611.2000000000003</v>
      </c>
      <c r="F302" s="49">
        <v>8589.6000000000022</v>
      </c>
      <c r="G302" s="49">
        <v>20589.600000000002</v>
      </c>
      <c r="H302" s="49">
        <v>71.580000000000013</v>
      </c>
    </row>
    <row r="303" spans="1:8">
      <c r="A303" s="44" t="s">
        <v>131</v>
      </c>
      <c r="B303" s="51">
        <v>12000</v>
      </c>
      <c r="C303" s="51">
        <v>5978.4</v>
      </c>
      <c r="D303" s="49"/>
      <c r="E303" s="51">
        <v>2611.2000000000003</v>
      </c>
      <c r="F303" s="49">
        <v>8589.6000000000022</v>
      </c>
      <c r="G303" s="49">
        <v>20589.600000000002</v>
      </c>
      <c r="H303" s="49">
        <v>71.580000000000013</v>
      </c>
    </row>
    <row r="304" spans="1:8">
      <c r="A304" s="45" t="s">
        <v>151</v>
      </c>
      <c r="B304" s="51">
        <v>12000</v>
      </c>
      <c r="C304" s="51">
        <v>5978.4</v>
      </c>
      <c r="D304" s="49"/>
      <c r="E304" s="51">
        <v>2611.2000000000003</v>
      </c>
      <c r="F304" s="49">
        <v>8589.6000000000022</v>
      </c>
      <c r="G304" s="49">
        <v>20589.600000000002</v>
      </c>
      <c r="H304" s="49">
        <v>71.580000000000013</v>
      </c>
    </row>
    <row r="305" spans="1:8">
      <c r="A305" s="43" t="s">
        <v>53</v>
      </c>
      <c r="B305" s="51">
        <v>3250</v>
      </c>
      <c r="C305" s="51">
        <v>1688.0500000000002</v>
      </c>
      <c r="D305" s="49"/>
      <c r="E305" s="51">
        <v>317.2</v>
      </c>
      <c r="F305" s="49">
        <v>2005.25</v>
      </c>
      <c r="G305" s="49">
        <v>5255.25</v>
      </c>
      <c r="H305" s="49">
        <v>61.7</v>
      </c>
    </row>
    <row r="306" spans="1:8">
      <c r="A306" s="44" t="s">
        <v>341</v>
      </c>
      <c r="B306" s="51">
        <v>3250</v>
      </c>
      <c r="C306" s="51">
        <v>1688.0500000000002</v>
      </c>
      <c r="D306" s="49"/>
      <c r="E306" s="51">
        <v>317.2</v>
      </c>
      <c r="F306" s="49">
        <v>2005.25</v>
      </c>
      <c r="G306" s="49">
        <v>5255.25</v>
      </c>
      <c r="H306" s="49">
        <v>61.7</v>
      </c>
    </row>
    <row r="307" spans="1:8">
      <c r="A307" s="45" t="s">
        <v>342</v>
      </c>
      <c r="B307" s="51">
        <v>3250</v>
      </c>
      <c r="C307" s="51">
        <v>1688.0500000000002</v>
      </c>
      <c r="D307" s="49"/>
      <c r="E307" s="51">
        <v>317.2</v>
      </c>
      <c r="F307" s="49">
        <v>2005.25</v>
      </c>
      <c r="G307" s="49">
        <v>5255.25</v>
      </c>
      <c r="H307" s="49">
        <v>61.7</v>
      </c>
    </row>
    <row r="308" spans="1:8">
      <c r="A308" s="42" t="s">
        <v>79</v>
      </c>
      <c r="B308" s="51">
        <v>43740</v>
      </c>
      <c r="C308" s="51">
        <v>19018.202000000005</v>
      </c>
      <c r="D308" s="49">
        <v>7744.206000000001</v>
      </c>
      <c r="E308" s="51">
        <v>4874.1679999999997</v>
      </c>
      <c r="F308" s="49">
        <v>31636.576000000005</v>
      </c>
      <c r="G308" s="49">
        <v>75376.576000000001</v>
      </c>
      <c r="H308" s="49">
        <v>75.974420244084399</v>
      </c>
    </row>
    <row r="309" spans="1:8">
      <c r="A309" s="43" t="s">
        <v>49</v>
      </c>
      <c r="B309" s="51">
        <v>8000</v>
      </c>
      <c r="C309" s="51">
        <v>4028.0000000000005</v>
      </c>
      <c r="D309" s="49"/>
      <c r="E309" s="51">
        <v>1760</v>
      </c>
      <c r="F309" s="49">
        <v>5788</v>
      </c>
      <c r="G309" s="49">
        <v>13788</v>
      </c>
      <c r="H309" s="49">
        <v>72.349999999999994</v>
      </c>
    </row>
    <row r="310" spans="1:8">
      <c r="A310" s="44" t="s">
        <v>110</v>
      </c>
      <c r="B310" s="51">
        <v>8000</v>
      </c>
      <c r="C310" s="51">
        <v>4028.0000000000005</v>
      </c>
      <c r="D310" s="49"/>
      <c r="E310" s="51">
        <v>1760</v>
      </c>
      <c r="F310" s="49">
        <v>5788</v>
      </c>
      <c r="G310" s="49">
        <v>13788</v>
      </c>
      <c r="H310" s="49">
        <v>72.349999999999994</v>
      </c>
    </row>
    <row r="311" spans="1:8">
      <c r="A311" s="45" t="s">
        <v>98</v>
      </c>
      <c r="B311" s="51">
        <v>8000</v>
      </c>
      <c r="C311" s="51">
        <v>4028.0000000000005</v>
      </c>
      <c r="D311" s="49"/>
      <c r="E311" s="51">
        <v>1760</v>
      </c>
      <c r="F311" s="49">
        <v>5788</v>
      </c>
      <c r="G311" s="49">
        <v>13788</v>
      </c>
      <c r="H311" s="49">
        <v>72.349999999999994</v>
      </c>
    </row>
    <row r="312" spans="1:8">
      <c r="A312" s="43" t="s">
        <v>50</v>
      </c>
      <c r="B312" s="51">
        <v>2000</v>
      </c>
      <c r="C312" s="51">
        <v>869.19999999999993</v>
      </c>
      <c r="D312" s="49">
        <v>2130.8000000000002</v>
      </c>
      <c r="E312" s="51">
        <v>12.8</v>
      </c>
      <c r="F312" s="49">
        <v>3012.8</v>
      </c>
      <c r="G312" s="49">
        <v>5012.8</v>
      </c>
      <c r="H312" s="49">
        <v>150.64000000000001</v>
      </c>
    </row>
    <row r="313" spans="1:8">
      <c r="A313" s="44" t="s">
        <v>343</v>
      </c>
      <c r="B313" s="51">
        <v>2000</v>
      </c>
      <c r="C313" s="51">
        <v>869.19999999999993</v>
      </c>
      <c r="D313" s="49">
        <v>2130.8000000000002</v>
      </c>
      <c r="E313" s="51">
        <v>12.8</v>
      </c>
      <c r="F313" s="49">
        <v>3012.8</v>
      </c>
      <c r="G313" s="49">
        <v>5012.8</v>
      </c>
      <c r="H313" s="49">
        <v>150.64000000000001</v>
      </c>
    </row>
    <row r="314" spans="1:8">
      <c r="A314" s="45" t="s">
        <v>344</v>
      </c>
      <c r="B314" s="51">
        <v>2000</v>
      </c>
      <c r="C314" s="51">
        <v>869.19999999999993</v>
      </c>
      <c r="D314" s="49">
        <v>2130.8000000000002</v>
      </c>
      <c r="E314" s="51">
        <v>12.8</v>
      </c>
      <c r="F314" s="49">
        <v>3012.8</v>
      </c>
      <c r="G314" s="49">
        <v>5012.8</v>
      </c>
      <c r="H314" s="49">
        <v>150.64000000000001</v>
      </c>
    </row>
    <row r="315" spans="1:8">
      <c r="A315" s="43" t="s">
        <v>53</v>
      </c>
      <c r="B315" s="51">
        <v>11350</v>
      </c>
      <c r="C315" s="51">
        <v>4843.1399999999994</v>
      </c>
      <c r="D315" s="49">
        <v>2509.5800000000004</v>
      </c>
      <c r="E315" s="51">
        <v>781.04</v>
      </c>
      <c r="F315" s="49">
        <v>8133.76</v>
      </c>
      <c r="G315" s="49">
        <v>19483.759999999998</v>
      </c>
      <c r="H315" s="49">
        <v>74.296470795214645</v>
      </c>
    </row>
    <row r="316" spans="1:8">
      <c r="A316" s="44" t="s">
        <v>345</v>
      </c>
      <c r="B316" s="51">
        <v>8900</v>
      </c>
      <c r="C316" s="51">
        <v>3778.37</v>
      </c>
      <c r="D316" s="49">
        <v>1524.3500000000004</v>
      </c>
      <c r="E316" s="51">
        <v>745.76</v>
      </c>
      <c r="F316" s="49">
        <v>6048.4800000000005</v>
      </c>
      <c r="G316" s="49">
        <v>14948.48</v>
      </c>
      <c r="H316" s="49">
        <v>70.69080459770116</v>
      </c>
    </row>
    <row r="317" spans="1:8">
      <c r="A317" s="45" t="s">
        <v>346</v>
      </c>
      <c r="B317" s="51">
        <v>2400</v>
      </c>
      <c r="C317" s="51">
        <v>992.16000000000008</v>
      </c>
      <c r="D317" s="49">
        <v>1107.8400000000001</v>
      </c>
      <c r="E317" s="51">
        <v>122.88000000000001</v>
      </c>
      <c r="F317" s="49">
        <v>2222.88</v>
      </c>
      <c r="G317" s="49">
        <v>4622.88</v>
      </c>
      <c r="H317" s="49">
        <v>92.62</v>
      </c>
    </row>
    <row r="318" spans="1:8">
      <c r="A318" s="45" t="s">
        <v>347</v>
      </c>
      <c r="B318" s="51">
        <v>3600</v>
      </c>
      <c r="C318" s="51">
        <v>1602.7200000000003</v>
      </c>
      <c r="D318" s="49"/>
      <c r="E318" s="51">
        <v>256.32</v>
      </c>
      <c r="F318" s="49">
        <v>1859.04</v>
      </c>
      <c r="G318" s="49">
        <v>5459.04</v>
      </c>
      <c r="H318" s="49">
        <v>51.64</v>
      </c>
    </row>
    <row r="319" spans="1:8">
      <c r="A319" s="45" t="s">
        <v>348</v>
      </c>
      <c r="B319" s="51">
        <v>2900</v>
      </c>
      <c r="C319" s="51">
        <v>1183.49</v>
      </c>
      <c r="D319" s="49">
        <v>416.51000000000022</v>
      </c>
      <c r="E319" s="51">
        <v>366.56000000000006</v>
      </c>
      <c r="F319" s="49">
        <v>1966.5600000000004</v>
      </c>
      <c r="G319" s="49">
        <v>4866.5600000000004</v>
      </c>
      <c r="H319" s="49">
        <v>67.81241379310346</v>
      </c>
    </row>
    <row r="320" spans="1:8">
      <c r="A320" s="44" t="s">
        <v>349</v>
      </c>
      <c r="B320" s="51">
        <v>2450</v>
      </c>
      <c r="C320" s="51">
        <v>1064.77</v>
      </c>
      <c r="D320" s="49">
        <v>985.23</v>
      </c>
      <c r="E320" s="51">
        <v>35.28</v>
      </c>
      <c r="F320" s="49">
        <v>2085.2799999999997</v>
      </c>
      <c r="G320" s="49">
        <v>4535.28</v>
      </c>
      <c r="H320" s="49">
        <v>85.113469387755089</v>
      </c>
    </row>
    <row r="321" spans="1:8">
      <c r="A321" s="45" t="s">
        <v>350</v>
      </c>
      <c r="B321" s="51">
        <v>2450</v>
      </c>
      <c r="C321" s="51">
        <v>1064.77</v>
      </c>
      <c r="D321" s="49">
        <v>985.23</v>
      </c>
      <c r="E321" s="51">
        <v>35.28</v>
      </c>
      <c r="F321" s="49">
        <v>2085.2799999999997</v>
      </c>
      <c r="G321" s="49">
        <v>4535.28</v>
      </c>
      <c r="H321" s="49">
        <v>85.113469387755089</v>
      </c>
    </row>
    <row r="322" spans="1:8">
      <c r="A322" s="43" t="s">
        <v>59</v>
      </c>
      <c r="B322" s="51">
        <v>22390</v>
      </c>
      <c r="C322" s="51">
        <v>9277.862000000001</v>
      </c>
      <c r="D322" s="49">
        <v>3103.8259999999996</v>
      </c>
      <c r="E322" s="51">
        <v>2320.328</v>
      </c>
      <c r="F322" s="49">
        <v>14702.016000000001</v>
      </c>
      <c r="G322" s="49">
        <v>37092.016000000003</v>
      </c>
      <c r="H322" s="49">
        <v>67.933250029540346</v>
      </c>
    </row>
    <row r="323" spans="1:8">
      <c r="A323" s="44" t="s">
        <v>351</v>
      </c>
      <c r="B323" s="51">
        <v>16070</v>
      </c>
      <c r="C323" s="51">
        <v>6822.902</v>
      </c>
      <c r="D323" s="49">
        <v>2451.3299999999995</v>
      </c>
      <c r="E323" s="51">
        <v>1923.848</v>
      </c>
      <c r="F323" s="49">
        <v>11198.080000000002</v>
      </c>
      <c r="G323" s="49">
        <v>27268.080000000002</v>
      </c>
      <c r="H323" s="49">
        <v>71.539279609279603</v>
      </c>
    </row>
    <row r="324" spans="1:8">
      <c r="A324" s="45" t="s">
        <v>352</v>
      </c>
      <c r="B324" s="51">
        <v>3600</v>
      </c>
      <c r="C324" s="51">
        <v>1640.88</v>
      </c>
      <c r="D324" s="49"/>
      <c r="E324" s="51">
        <v>792</v>
      </c>
      <c r="F324" s="49">
        <v>2432.88</v>
      </c>
      <c r="G324" s="49">
        <v>6032.88</v>
      </c>
      <c r="H324" s="49">
        <v>67.58</v>
      </c>
    </row>
    <row r="325" spans="1:8">
      <c r="A325" s="45" t="s">
        <v>353</v>
      </c>
      <c r="B325" s="51">
        <v>2600</v>
      </c>
      <c r="C325" s="51">
        <v>1267.76</v>
      </c>
      <c r="D325" s="49">
        <v>132.23999999999978</v>
      </c>
      <c r="E325" s="51">
        <v>572</v>
      </c>
      <c r="F325" s="49">
        <v>1972</v>
      </c>
      <c r="G325" s="49">
        <v>4572</v>
      </c>
      <c r="H325" s="49">
        <v>75.84615384615384</v>
      </c>
    </row>
    <row r="326" spans="1:8">
      <c r="A326" s="45" t="s">
        <v>354</v>
      </c>
      <c r="B326" s="51">
        <v>2970</v>
      </c>
      <c r="C326" s="51">
        <v>1133.3520000000001</v>
      </c>
      <c r="D326" s="49"/>
      <c r="E326" s="51">
        <v>78.408000000000001</v>
      </c>
      <c r="F326" s="49">
        <v>1211.7600000000002</v>
      </c>
      <c r="G326" s="49">
        <v>4181.76</v>
      </c>
      <c r="H326" s="49">
        <v>40.800000000000011</v>
      </c>
    </row>
    <row r="327" spans="1:8">
      <c r="A327" s="45" t="s">
        <v>355</v>
      </c>
      <c r="B327" s="51">
        <v>2400</v>
      </c>
      <c r="C327" s="51">
        <v>1055.76</v>
      </c>
      <c r="D327" s="49">
        <v>544.23999999999978</v>
      </c>
      <c r="E327" s="51">
        <v>78.720000000000013</v>
      </c>
      <c r="F327" s="49">
        <v>1678.7199999999998</v>
      </c>
      <c r="G327" s="49">
        <v>4078.72</v>
      </c>
      <c r="H327" s="49">
        <v>69.946666666666658</v>
      </c>
    </row>
    <row r="328" spans="1:8">
      <c r="A328" s="45" t="s">
        <v>356</v>
      </c>
      <c r="B328" s="51">
        <v>2100</v>
      </c>
      <c r="C328" s="51">
        <v>745.71</v>
      </c>
      <c r="D328" s="49">
        <v>1154.29</v>
      </c>
      <c r="E328" s="51">
        <v>191.52</v>
      </c>
      <c r="F328" s="49">
        <v>2091.5200000000004</v>
      </c>
      <c r="G328" s="49">
        <v>4191.5200000000004</v>
      </c>
      <c r="H328" s="49">
        <v>99.5961904761905</v>
      </c>
    </row>
    <row r="329" spans="1:8">
      <c r="A329" s="45" t="s">
        <v>357</v>
      </c>
      <c r="B329" s="51">
        <v>2400</v>
      </c>
      <c r="C329" s="51">
        <v>979.44</v>
      </c>
      <c r="D329" s="49">
        <v>620.55999999999995</v>
      </c>
      <c r="E329" s="51">
        <v>211.20000000000002</v>
      </c>
      <c r="F329" s="49">
        <v>1811.1999999999998</v>
      </c>
      <c r="G329" s="49">
        <v>4211.2</v>
      </c>
      <c r="H329" s="49">
        <v>75.466666666666654</v>
      </c>
    </row>
    <row r="330" spans="1:8">
      <c r="A330" s="44" t="s">
        <v>349</v>
      </c>
      <c r="B330" s="51">
        <v>3840</v>
      </c>
      <c r="C330" s="51">
        <v>1587.4560000000001</v>
      </c>
      <c r="D330" s="49"/>
      <c r="E330" s="51">
        <v>307.2</v>
      </c>
      <c r="F330" s="49">
        <v>1894.6559999999999</v>
      </c>
      <c r="G330" s="49">
        <v>5734.6559999999999</v>
      </c>
      <c r="H330" s="49">
        <v>49.34</v>
      </c>
    </row>
    <row r="331" spans="1:8">
      <c r="A331" s="45" t="s">
        <v>358</v>
      </c>
      <c r="B331" s="51">
        <v>3840</v>
      </c>
      <c r="C331" s="51">
        <v>1587.4560000000001</v>
      </c>
      <c r="D331" s="49"/>
      <c r="E331" s="51">
        <v>307.2</v>
      </c>
      <c r="F331" s="49">
        <v>1894.6559999999999</v>
      </c>
      <c r="G331" s="49">
        <v>5734.6559999999999</v>
      </c>
      <c r="H331" s="49">
        <v>49.34</v>
      </c>
    </row>
    <row r="332" spans="1:8">
      <c r="A332" s="44" t="s">
        <v>359</v>
      </c>
      <c r="B332" s="51">
        <v>2480</v>
      </c>
      <c r="C332" s="51">
        <v>867.50400000000013</v>
      </c>
      <c r="D332" s="49">
        <v>652.49600000000009</v>
      </c>
      <c r="E332" s="51">
        <v>89.280000000000015</v>
      </c>
      <c r="F332" s="49">
        <v>1609.2800000000002</v>
      </c>
      <c r="G332" s="49">
        <v>4089.28</v>
      </c>
      <c r="H332" s="49">
        <v>64.890322580645162</v>
      </c>
    </row>
    <row r="333" spans="1:8">
      <c r="A333" s="45" t="s">
        <v>360</v>
      </c>
      <c r="B333" s="51">
        <v>2480</v>
      </c>
      <c r="C333" s="51">
        <v>867.50400000000013</v>
      </c>
      <c r="D333" s="49">
        <v>652.49600000000009</v>
      </c>
      <c r="E333" s="51">
        <v>89.280000000000015</v>
      </c>
      <c r="F333" s="49">
        <v>1609.2800000000002</v>
      </c>
      <c r="G333" s="49">
        <v>4089.28</v>
      </c>
      <c r="H333" s="49">
        <v>64.890322580645162</v>
      </c>
    </row>
    <row r="334" spans="1:8">
      <c r="A334" s="42" t="s">
        <v>80</v>
      </c>
      <c r="B334" s="51">
        <v>70733</v>
      </c>
      <c r="C334" s="51">
        <v>27026.867699999999</v>
      </c>
      <c r="D334" s="49" t="e">
        <v>#N/A</v>
      </c>
      <c r="E334" s="51">
        <v>11643.459200000001</v>
      </c>
      <c r="F334" s="49" t="e">
        <v>#N/A</v>
      </c>
      <c r="G334" s="49" t="e">
        <v>#N/A</v>
      </c>
      <c r="H334" s="49" t="e">
        <v>#N/A</v>
      </c>
    </row>
    <row r="335" spans="1:8">
      <c r="A335" s="43" t="s">
        <v>49</v>
      </c>
      <c r="B335" s="51">
        <v>20000</v>
      </c>
      <c r="C335" s="51">
        <v>9964</v>
      </c>
      <c r="D335" s="49"/>
      <c r="E335" s="51">
        <v>4320</v>
      </c>
      <c r="F335" s="49">
        <v>14284</v>
      </c>
      <c r="G335" s="49">
        <v>34284</v>
      </c>
      <c r="H335" s="49">
        <v>71.42</v>
      </c>
    </row>
    <row r="336" spans="1:8">
      <c r="A336" s="44" t="s">
        <v>132</v>
      </c>
      <c r="B336" s="51">
        <v>10000</v>
      </c>
      <c r="C336" s="51">
        <v>4929</v>
      </c>
      <c r="D336" s="49"/>
      <c r="E336" s="51">
        <v>2144</v>
      </c>
      <c r="F336" s="49">
        <v>7073</v>
      </c>
      <c r="G336" s="49">
        <v>17073</v>
      </c>
      <c r="H336" s="49">
        <v>70.73</v>
      </c>
    </row>
    <row r="337" spans="1:8">
      <c r="A337" s="45" t="s">
        <v>152</v>
      </c>
      <c r="B337" s="51">
        <v>10000</v>
      </c>
      <c r="C337" s="51">
        <v>4929</v>
      </c>
      <c r="D337" s="49"/>
      <c r="E337" s="51">
        <v>2144</v>
      </c>
      <c r="F337" s="49">
        <v>7073</v>
      </c>
      <c r="G337" s="49">
        <v>17073</v>
      </c>
      <c r="H337" s="49">
        <v>70.73</v>
      </c>
    </row>
    <row r="338" spans="1:8">
      <c r="A338" s="44" t="s">
        <v>133</v>
      </c>
      <c r="B338" s="51">
        <v>10000</v>
      </c>
      <c r="C338" s="51">
        <v>5035.0000000000009</v>
      </c>
      <c r="D338" s="49"/>
      <c r="E338" s="51">
        <v>2176</v>
      </c>
      <c r="F338" s="49">
        <v>7211</v>
      </c>
      <c r="G338" s="49">
        <v>17211</v>
      </c>
      <c r="H338" s="49">
        <v>72.11</v>
      </c>
    </row>
    <row r="339" spans="1:8">
      <c r="A339" s="45" t="s">
        <v>153</v>
      </c>
      <c r="B339" s="51">
        <v>10000</v>
      </c>
      <c r="C339" s="51">
        <v>5035.0000000000009</v>
      </c>
      <c r="D339" s="49"/>
      <c r="E339" s="51">
        <v>2176</v>
      </c>
      <c r="F339" s="49">
        <v>7211</v>
      </c>
      <c r="G339" s="49">
        <v>17211</v>
      </c>
      <c r="H339" s="49">
        <v>72.11</v>
      </c>
    </row>
    <row r="340" spans="1:8">
      <c r="A340" s="43" t="s">
        <v>50</v>
      </c>
      <c r="B340" s="51">
        <v>25013</v>
      </c>
      <c r="C340" s="51">
        <v>12064.4377</v>
      </c>
      <c r="D340" s="49">
        <v>6451.0399999999991</v>
      </c>
      <c r="E340" s="51">
        <v>2366.1471999999999</v>
      </c>
      <c r="F340" s="49">
        <v>20881.624900000003</v>
      </c>
      <c r="G340" s="49">
        <v>45894.624900000003</v>
      </c>
      <c r="H340" s="49">
        <v>87.515961538461553</v>
      </c>
    </row>
    <row r="341" spans="1:8">
      <c r="A341" s="44" t="s">
        <v>111</v>
      </c>
      <c r="B341" s="51">
        <v>25013</v>
      </c>
      <c r="C341" s="51">
        <v>12064.4377</v>
      </c>
      <c r="D341" s="49">
        <v>6451.0399999999991</v>
      </c>
      <c r="E341" s="51">
        <v>2366.1471999999999</v>
      </c>
      <c r="F341" s="49">
        <v>20881.624900000003</v>
      </c>
      <c r="G341" s="49">
        <v>45894.624900000003</v>
      </c>
      <c r="H341" s="49">
        <v>87.515961538461553</v>
      </c>
    </row>
    <row r="342" spans="1:8">
      <c r="A342" s="45" t="s">
        <v>361</v>
      </c>
      <c r="B342" s="51">
        <v>3000</v>
      </c>
      <c r="C342" s="51">
        <v>1431</v>
      </c>
      <c r="D342" s="49">
        <v>569</v>
      </c>
      <c r="E342" s="51">
        <v>429.59999999999997</v>
      </c>
      <c r="F342" s="49">
        <v>2429.6000000000004</v>
      </c>
      <c r="G342" s="49">
        <v>5429.6</v>
      </c>
      <c r="H342" s="49">
        <v>80.986666666666679</v>
      </c>
    </row>
    <row r="343" spans="1:8">
      <c r="A343" s="45" t="s">
        <v>154</v>
      </c>
      <c r="B343" s="51">
        <v>5513</v>
      </c>
      <c r="C343" s="51">
        <v>2717.3577</v>
      </c>
      <c r="D343" s="49"/>
      <c r="E343" s="51">
        <v>1181.9872</v>
      </c>
      <c r="F343" s="49">
        <v>3899.3449000000001</v>
      </c>
      <c r="G343" s="49">
        <v>9412.3449000000001</v>
      </c>
      <c r="H343" s="49">
        <v>70.73</v>
      </c>
    </row>
    <row r="344" spans="1:8">
      <c r="A344" s="45" t="s">
        <v>473</v>
      </c>
      <c r="B344" s="51">
        <v>2600</v>
      </c>
      <c r="C344" s="51">
        <v>1378</v>
      </c>
      <c r="D344" s="49">
        <v>1022</v>
      </c>
      <c r="E344" s="51">
        <v>89.44</v>
      </c>
      <c r="F344" s="49">
        <v>2489.4399999999996</v>
      </c>
      <c r="G344" s="49">
        <v>5089.4399999999996</v>
      </c>
      <c r="H344" s="49">
        <v>95.74769230769229</v>
      </c>
    </row>
    <row r="345" spans="1:8">
      <c r="A345" s="45" t="s">
        <v>155</v>
      </c>
      <c r="B345" s="51">
        <v>3000</v>
      </c>
      <c r="C345" s="51">
        <v>1462.8000000000002</v>
      </c>
      <c r="D345" s="49">
        <v>537.19999999999982</v>
      </c>
      <c r="E345" s="51">
        <v>108.00000000000001</v>
      </c>
      <c r="F345" s="49">
        <v>2108</v>
      </c>
      <c r="G345" s="49">
        <v>5108</v>
      </c>
      <c r="H345" s="49">
        <v>70.266666666666666</v>
      </c>
    </row>
    <row r="346" spans="1:8">
      <c r="A346" s="45" t="s">
        <v>156</v>
      </c>
      <c r="B346" s="51">
        <v>3600</v>
      </c>
      <c r="C346" s="51">
        <v>1698.1200000000001</v>
      </c>
      <c r="D346" s="49"/>
      <c r="E346" s="51">
        <v>334.08</v>
      </c>
      <c r="F346" s="49">
        <v>2032.1999999999998</v>
      </c>
      <c r="G346" s="49">
        <v>5632.2</v>
      </c>
      <c r="H346" s="49">
        <v>56.449999999999996</v>
      </c>
    </row>
    <row r="347" spans="1:8">
      <c r="A347" s="45" t="s">
        <v>157</v>
      </c>
      <c r="B347" s="51">
        <v>2400</v>
      </c>
      <c r="C347" s="51">
        <v>1157.5200000000002</v>
      </c>
      <c r="D347" s="49">
        <v>1442.4799999999996</v>
      </c>
      <c r="E347" s="51">
        <v>119.03999999999999</v>
      </c>
      <c r="F347" s="49">
        <v>2719.04</v>
      </c>
      <c r="G347" s="49">
        <v>5119.04</v>
      </c>
      <c r="H347" s="49">
        <v>113.29333333333334</v>
      </c>
    </row>
    <row r="348" spans="1:8">
      <c r="A348" s="45" t="s">
        <v>158</v>
      </c>
      <c r="B348" s="51">
        <v>2500</v>
      </c>
      <c r="C348" s="51">
        <v>1113</v>
      </c>
      <c r="D348" s="49">
        <v>1387</v>
      </c>
      <c r="E348" s="51">
        <v>8</v>
      </c>
      <c r="F348" s="49">
        <v>2508</v>
      </c>
      <c r="G348" s="49">
        <v>5008</v>
      </c>
      <c r="H348" s="49">
        <v>100.32</v>
      </c>
    </row>
    <row r="349" spans="1:8">
      <c r="A349" s="45" t="s">
        <v>362</v>
      </c>
      <c r="B349" s="51">
        <v>2400</v>
      </c>
      <c r="C349" s="51">
        <v>1106.6400000000001</v>
      </c>
      <c r="D349" s="49">
        <v>1493.3599999999997</v>
      </c>
      <c r="E349" s="51">
        <v>96</v>
      </c>
      <c r="F349" s="49">
        <v>2696</v>
      </c>
      <c r="G349" s="49">
        <v>5096</v>
      </c>
      <c r="H349" s="49">
        <v>112.33333333333333</v>
      </c>
    </row>
    <row r="350" spans="1:8">
      <c r="A350" s="43" t="s">
        <v>53</v>
      </c>
      <c r="B350" s="51">
        <v>5720</v>
      </c>
      <c r="C350" s="51">
        <v>2666.4300000000003</v>
      </c>
      <c r="D350" s="49">
        <v>1338.7199999999998</v>
      </c>
      <c r="E350" s="51">
        <v>701.31200000000001</v>
      </c>
      <c r="F350" s="49">
        <v>4706.4620000000004</v>
      </c>
      <c r="G350" s="49">
        <v>10426.462</v>
      </c>
      <c r="H350" s="49">
        <v>86.556351351351367</v>
      </c>
    </row>
    <row r="351" spans="1:8">
      <c r="A351" s="44" t="s">
        <v>111</v>
      </c>
      <c r="B351" s="51">
        <v>5720</v>
      </c>
      <c r="C351" s="51">
        <v>2666.4300000000003</v>
      </c>
      <c r="D351" s="49">
        <v>1338.7199999999998</v>
      </c>
      <c r="E351" s="51">
        <v>701.31200000000001</v>
      </c>
      <c r="F351" s="49">
        <v>4706.4620000000004</v>
      </c>
      <c r="G351" s="49">
        <v>10426.462</v>
      </c>
      <c r="H351" s="49">
        <v>86.556351351351367</v>
      </c>
    </row>
    <row r="352" spans="1:8">
      <c r="A352" s="45" t="s">
        <v>363</v>
      </c>
      <c r="B352" s="51">
        <v>3500</v>
      </c>
      <c r="C352" s="51">
        <v>1725.15</v>
      </c>
      <c r="D352" s="49"/>
      <c r="E352" s="51">
        <v>635.6</v>
      </c>
      <c r="F352" s="49">
        <v>2360.75</v>
      </c>
      <c r="G352" s="49">
        <v>5860.75</v>
      </c>
      <c r="H352" s="49">
        <v>67.45</v>
      </c>
    </row>
    <row r="353" spans="1:8">
      <c r="A353" s="45" t="s">
        <v>364</v>
      </c>
      <c r="B353" s="51">
        <v>2220</v>
      </c>
      <c r="C353" s="51">
        <v>941.28000000000009</v>
      </c>
      <c r="D353" s="49">
        <v>1338.7199999999998</v>
      </c>
      <c r="E353" s="51">
        <v>65.712000000000003</v>
      </c>
      <c r="F353" s="49">
        <v>2345.7120000000004</v>
      </c>
      <c r="G353" s="49">
        <v>4565.7120000000004</v>
      </c>
      <c r="H353" s="49">
        <v>105.66270270270273</v>
      </c>
    </row>
    <row r="354" spans="1:8">
      <c r="A354" s="43" t="s">
        <v>457</v>
      </c>
      <c r="B354" s="51">
        <v>20000</v>
      </c>
      <c r="C354" s="51">
        <v>2332</v>
      </c>
      <c r="D354" s="49" t="e">
        <v>#N/A</v>
      </c>
      <c r="E354" s="51">
        <v>4256</v>
      </c>
      <c r="F354" s="49" t="e">
        <v>#N/A</v>
      </c>
      <c r="G354" s="49" t="e">
        <v>#N/A</v>
      </c>
      <c r="H354" s="49" t="e">
        <v>#N/A</v>
      </c>
    </row>
    <row r="355" spans="1:8">
      <c r="A355" s="44" t="s">
        <v>474</v>
      </c>
      <c r="B355" s="51">
        <v>20000</v>
      </c>
      <c r="C355" s="51">
        <v>2332</v>
      </c>
      <c r="D355" s="49" t="e">
        <v>#N/A</v>
      </c>
      <c r="E355" s="51">
        <v>4256</v>
      </c>
      <c r="F355" s="49" t="e">
        <v>#N/A</v>
      </c>
      <c r="G355" s="49" t="e">
        <v>#N/A</v>
      </c>
      <c r="H355" s="49" t="e">
        <v>#N/A</v>
      </c>
    </row>
    <row r="356" spans="1:8">
      <c r="A356" s="45" t="s">
        <v>475</v>
      </c>
      <c r="B356" s="51">
        <v>20000</v>
      </c>
      <c r="C356" s="51">
        <v>2332</v>
      </c>
      <c r="D356" s="49" t="e">
        <v>#N/A</v>
      </c>
      <c r="E356" s="51">
        <v>4256</v>
      </c>
      <c r="F356" s="49" t="e">
        <v>#N/A</v>
      </c>
      <c r="G356" s="49" t="e">
        <v>#N/A</v>
      </c>
      <c r="H356" s="49" t="e">
        <v>#N/A</v>
      </c>
    </row>
    <row r="357" spans="1:8">
      <c r="A357" s="42" t="s">
        <v>134</v>
      </c>
      <c r="B357" s="51">
        <v>6822</v>
      </c>
      <c r="C357" s="51">
        <v>3434.8770000000004</v>
      </c>
      <c r="D357" s="49"/>
      <c r="E357" s="51">
        <v>1462.6368</v>
      </c>
      <c r="F357" s="49">
        <v>4897.5138000000006</v>
      </c>
      <c r="G357" s="49">
        <v>11719.513800000001</v>
      </c>
      <c r="H357" s="49">
        <v>71.790000000000006</v>
      </c>
    </row>
    <row r="358" spans="1:8">
      <c r="A358" s="43" t="s">
        <v>50</v>
      </c>
      <c r="B358" s="51">
        <v>6822</v>
      </c>
      <c r="C358" s="51">
        <v>3434.8770000000004</v>
      </c>
      <c r="D358" s="49"/>
      <c r="E358" s="51">
        <v>1462.6368</v>
      </c>
      <c r="F358" s="49">
        <v>4897.5138000000006</v>
      </c>
      <c r="G358" s="49">
        <v>11719.513800000001</v>
      </c>
      <c r="H358" s="49">
        <v>71.790000000000006</v>
      </c>
    </row>
    <row r="359" spans="1:8">
      <c r="A359" s="44" t="s">
        <v>135</v>
      </c>
      <c r="B359" s="51">
        <v>6822</v>
      </c>
      <c r="C359" s="51">
        <v>3434.8770000000004</v>
      </c>
      <c r="D359" s="49"/>
      <c r="E359" s="51">
        <v>1462.6368</v>
      </c>
      <c r="F359" s="49">
        <v>4897.5138000000006</v>
      </c>
      <c r="G359" s="49">
        <v>11719.513800000001</v>
      </c>
      <c r="H359" s="49">
        <v>71.790000000000006</v>
      </c>
    </row>
    <row r="360" spans="1:8">
      <c r="A360" s="45" t="s">
        <v>159</v>
      </c>
      <c r="B360" s="51">
        <v>6822</v>
      </c>
      <c r="C360" s="51">
        <v>3434.8770000000004</v>
      </c>
      <c r="D360" s="49"/>
      <c r="E360" s="51">
        <v>1462.6368</v>
      </c>
      <c r="F360" s="49">
        <v>4897.5138000000006</v>
      </c>
      <c r="G360" s="49">
        <v>11719.513800000001</v>
      </c>
      <c r="H360" s="49">
        <v>71.790000000000006</v>
      </c>
    </row>
    <row r="361" spans="1:8">
      <c r="A361" s="42" t="s">
        <v>81</v>
      </c>
      <c r="B361" s="51">
        <v>82807</v>
      </c>
      <c r="C361" s="51">
        <v>37494.85</v>
      </c>
      <c r="D361" s="49">
        <v>32016.450200000007</v>
      </c>
      <c r="E361" s="51">
        <v>9277.2479999999978</v>
      </c>
      <c r="F361" s="49">
        <v>78788.548200000005</v>
      </c>
      <c r="G361" s="49">
        <v>161595.54819999999</v>
      </c>
      <c r="H361" s="49">
        <v>100.90318988302398</v>
      </c>
    </row>
    <row r="362" spans="1:8">
      <c r="A362" s="43" t="s">
        <v>49</v>
      </c>
      <c r="B362" s="51">
        <v>7248</v>
      </c>
      <c r="C362" s="51">
        <v>3610.9535999999998</v>
      </c>
      <c r="D362" s="49"/>
      <c r="E362" s="51">
        <v>1577.1648</v>
      </c>
      <c r="F362" s="49">
        <v>5188.1184000000012</v>
      </c>
      <c r="G362" s="49">
        <v>12436.118400000001</v>
      </c>
      <c r="H362" s="49">
        <v>71.580000000000013</v>
      </c>
    </row>
    <row r="363" spans="1:8">
      <c r="A363" s="44" t="s">
        <v>115</v>
      </c>
      <c r="B363" s="51">
        <v>7248</v>
      </c>
      <c r="C363" s="51">
        <v>3610.9535999999998</v>
      </c>
      <c r="D363" s="49"/>
      <c r="E363" s="51">
        <v>1577.1648</v>
      </c>
      <c r="F363" s="49">
        <v>5188.1184000000012</v>
      </c>
      <c r="G363" s="49">
        <v>12436.118400000001</v>
      </c>
      <c r="H363" s="49">
        <v>71.580000000000013</v>
      </c>
    </row>
    <row r="364" spans="1:8">
      <c r="A364" s="45" t="s">
        <v>101</v>
      </c>
      <c r="B364" s="51">
        <v>7248</v>
      </c>
      <c r="C364" s="51">
        <v>3610.9535999999998</v>
      </c>
      <c r="D364" s="49"/>
      <c r="E364" s="51">
        <v>1577.1648</v>
      </c>
      <c r="F364" s="49">
        <v>5188.1184000000012</v>
      </c>
      <c r="G364" s="49">
        <v>12436.118400000001</v>
      </c>
      <c r="H364" s="49">
        <v>71.580000000000013</v>
      </c>
    </row>
    <row r="365" spans="1:8">
      <c r="A365" s="43" t="s">
        <v>50</v>
      </c>
      <c r="B365" s="51">
        <v>18742</v>
      </c>
      <c r="C365" s="51">
        <v>9087.8146000000015</v>
      </c>
      <c r="D365" s="49">
        <v>4957.4750000000004</v>
      </c>
      <c r="E365" s="51">
        <v>2402.3920000000003</v>
      </c>
      <c r="F365" s="49">
        <v>16447.681599999996</v>
      </c>
      <c r="G365" s="49">
        <v>35189.681599999996</v>
      </c>
      <c r="H365" s="49">
        <v>95.49952991452993</v>
      </c>
    </row>
    <row r="366" spans="1:8">
      <c r="A366" s="44" t="s">
        <v>365</v>
      </c>
      <c r="B366" s="51">
        <v>2000</v>
      </c>
      <c r="C366" s="51">
        <v>901.00000000000011</v>
      </c>
      <c r="D366" s="49">
        <v>2099</v>
      </c>
      <c r="E366" s="51">
        <v>65.600000000000009</v>
      </c>
      <c r="F366" s="49">
        <v>3065.6000000000004</v>
      </c>
      <c r="G366" s="49">
        <v>5065.6000000000004</v>
      </c>
      <c r="H366" s="49">
        <v>153.28000000000003</v>
      </c>
    </row>
    <row r="367" spans="1:8">
      <c r="A367" s="45" t="s">
        <v>366</v>
      </c>
      <c r="B367" s="51">
        <v>2000</v>
      </c>
      <c r="C367" s="51">
        <v>901.00000000000011</v>
      </c>
      <c r="D367" s="49">
        <v>2099</v>
      </c>
      <c r="E367" s="51">
        <v>65.600000000000009</v>
      </c>
      <c r="F367" s="49">
        <v>3065.6000000000004</v>
      </c>
      <c r="G367" s="49">
        <v>5065.6000000000004</v>
      </c>
      <c r="H367" s="49">
        <v>153.28000000000003</v>
      </c>
    </row>
    <row r="368" spans="1:8">
      <c r="A368" s="44" t="s">
        <v>367</v>
      </c>
      <c r="B368" s="51">
        <v>5850</v>
      </c>
      <c r="C368" s="51">
        <v>2759.4450000000002</v>
      </c>
      <c r="D368" s="49">
        <v>1390.5550000000003</v>
      </c>
      <c r="E368" s="51">
        <v>573.55999999999995</v>
      </c>
      <c r="F368" s="49">
        <v>4723.5599999999995</v>
      </c>
      <c r="G368" s="49">
        <v>10573.56</v>
      </c>
      <c r="H368" s="49">
        <v>82.316923076923075</v>
      </c>
    </row>
    <row r="369" spans="1:8">
      <c r="A369" s="45" t="s">
        <v>368</v>
      </c>
      <c r="B369" s="51">
        <v>3250</v>
      </c>
      <c r="C369" s="51">
        <v>1670.825</v>
      </c>
      <c r="D369" s="49">
        <v>79.175000000000182</v>
      </c>
      <c r="E369" s="51">
        <v>465.4</v>
      </c>
      <c r="F369" s="49">
        <v>2215.3999999999996</v>
      </c>
      <c r="G369" s="49">
        <v>5465.4</v>
      </c>
      <c r="H369" s="49">
        <v>68.166153846153833</v>
      </c>
    </row>
    <row r="370" spans="1:8">
      <c r="A370" s="45" t="s">
        <v>369</v>
      </c>
      <c r="B370" s="51">
        <v>2600</v>
      </c>
      <c r="C370" s="51">
        <v>1088.6200000000001</v>
      </c>
      <c r="D370" s="49">
        <v>1311.38</v>
      </c>
      <c r="E370" s="51">
        <v>108.16</v>
      </c>
      <c r="F370" s="49">
        <v>2508.16</v>
      </c>
      <c r="G370" s="49">
        <v>5108.16</v>
      </c>
      <c r="H370" s="49">
        <v>96.467692307692303</v>
      </c>
    </row>
    <row r="371" spans="1:8">
      <c r="A371" s="44" t="s">
        <v>370</v>
      </c>
      <c r="B371" s="51">
        <v>3692</v>
      </c>
      <c r="C371" s="51">
        <v>1878.4896000000001</v>
      </c>
      <c r="D371" s="49"/>
      <c r="E371" s="51">
        <v>797.47200000000009</v>
      </c>
      <c r="F371" s="49">
        <v>2675.9615999999996</v>
      </c>
      <c r="G371" s="49">
        <v>6367.9615999999996</v>
      </c>
      <c r="H371" s="49">
        <v>72.47999999999999</v>
      </c>
    </row>
    <row r="372" spans="1:8">
      <c r="A372" s="45" t="s">
        <v>371</v>
      </c>
      <c r="B372" s="51">
        <v>3692</v>
      </c>
      <c r="C372" s="51">
        <v>1878.4896000000001</v>
      </c>
      <c r="D372" s="49"/>
      <c r="E372" s="51">
        <v>797.47200000000009</v>
      </c>
      <c r="F372" s="49">
        <v>2675.9615999999996</v>
      </c>
      <c r="G372" s="49">
        <v>6367.9615999999996</v>
      </c>
      <c r="H372" s="49">
        <v>72.47999999999999</v>
      </c>
    </row>
    <row r="373" spans="1:8">
      <c r="A373" s="44" t="s">
        <v>372</v>
      </c>
      <c r="B373" s="51">
        <v>4800</v>
      </c>
      <c r="C373" s="51">
        <v>2416.8000000000002</v>
      </c>
      <c r="D373" s="49"/>
      <c r="E373" s="51">
        <v>783.36</v>
      </c>
      <c r="F373" s="49">
        <v>3200.16</v>
      </c>
      <c r="G373" s="49">
        <v>8000.16</v>
      </c>
      <c r="H373" s="49">
        <v>66.67</v>
      </c>
    </row>
    <row r="374" spans="1:8">
      <c r="A374" s="45" t="s">
        <v>373</v>
      </c>
      <c r="B374" s="51">
        <v>4800</v>
      </c>
      <c r="C374" s="51">
        <v>2416.8000000000002</v>
      </c>
      <c r="D374" s="49"/>
      <c r="E374" s="51">
        <v>783.36</v>
      </c>
      <c r="F374" s="49">
        <v>3200.16</v>
      </c>
      <c r="G374" s="49">
        <v>8000.16</v>
      </c>
      <c r="H374" s="49">
        <v>66.67</v>
      </c>
    </row>
    <row r="375" spans="1:8">
      <c r="A375" s="44" t="s">
        <v>374</v>
      </c>
      <c r="B375" s="51">
        <v>2400</v>
      </c>
      <c r="C375" s="51">
        <v>1132.08</v>
      </c>
      <c r="D375" s="49">
        <v>1467.92</v>
      </c>
      <c r="E375" s="51">
        <v>182.4</v>
      </c>
      <c r="F375" s="49">
        <v>2782.3999999999996</v>
      </c>
      <c r="G375" s="49">
        <v>5182.3999999999996</v>
      </c>
      <c r="H375" s="49">
        <v>115.93333333333332</v>
      </c>
    </row>
    <row r="376" spans="1:8">
      <c r="A376" s="45" t="s">
        <v>375</v>
      </c>
      <c r="B376" s="51">
        <v>2400</v>
      </c>
      <c r="C376" s="51">
        <v>1132.08</v>
      </c>
      <c r="D376" s="49">
        <v>1467.92</v>
      </c>
      <c r="E376" s="51">
        <v>182.4</v>
      </c>
      <c r="F376" s="49">
        <v>2782.3999999999996</v>
      </c>
      <c r="G376" s="49">
        <v>5182.3999999999996</v>
      </c>
      <c r="H376" s="49">
        <v>115.93333333333332</v>
      </c>
    </row>
    <row r="377" spans="1:8">
      <c r="A377" s="43" t="s">
        <v>53</v>
      </c>
      <c r="B377" s="51">
        <v>4450</v>
      </c>
      <c r="C377" s="51">
        <v>2092.9700000000003</v>
      </c>
      <c r="D377" s="49">
        <v>2457.0299999999997</v>
      </c>
      <c r="E377" s="51">
        <v>240.56</v>
      </c>
      <c r="F377" s="49">
        <v>4790.5600000000004</v>
      </c>
      <c r="G377" s="49">
        <v>9240.5600000000013</v>
      </c>
      <c r="H377" s="49">
        <v>113.04008316008319</v>
      </c>
    </row>
    <row r="378" spans="1:8">
      <c r="A378" s="44" t="s">
        <v>376</v>
      </c>
      <c r="B378" s="51">
        <v>1850</v>
      </c>
      <c r="C378" s="51">
        <v>921.67</v>
      </c>
      <c r="D378" s="49">
        <v>1728.33</v>
      </c>
      <c r="E378" s="51">
        <v>32.56</v>
      </c>
      <c r="F378" s="49">
        <v>2682.5600000000004</v>
      </c>
      <c r="G378" s="49">
        <v>4532.5600000000004</v>
      </c>
      <c r="H378" s="49">
        <v>145.00324324324328</v>
      </c>
    </row>
    <row r="379" spans="1:8">
      <c r="A379" s="45" t="s">
        <v>377</v>
      </c>
      <c r="B379" s="51">
        <v>1850</v>
      </c>
      <c r="C379" s="51">
        <v>921.67</v>
      </c>
      <c r="D379" s="49">
        <v>1728.33</v>
      </c>
      <c r="E379" s="51">
        <v>32.56</v>
      </c>
      <c r="F379" s="49">
        <v>2682.5600000000004</v>
      </c>
      <c r="G379" s="49">
        <v>4532.5600000000004</v>
      </c>
      <c r="H379" s="49">
        <v>145.00324324324328</v>
      </c>
    </row>
    <row r="380" spans="1:8">
      <c r="A380" s="44" t="s">
        <v>367</v>
      </c>
      <c r="B380" s="51">
        <v>2600</v>
      </c>
      <c r="C380" s="51">
        <v>1171.3000000000002</v>
      </c>
      <c r="D380" s="49">
        <v>728.69999999999982</v>
      </c>
      <c r="E380" s="51">
        <v>208</v>
      </c>
      <c r="F380" s="49">
        <v>2108</v>
      </c>
      <c r="G380" s="49">
        <v>4708</v>
      </c>
      <c r="H380" s="49">
        <v>81.07692307692308</v>
      </c>
    </row>
    <row r="381" spans="1:8">
      <c r="A381" s="45" t="s">
        <v>378</v>
      </c>
      <c r="B381" s="51">
        <v>2600</v>
      </c>
      <c r="C381" s="51">
        <v>1171.3000000000002</v>
      </c>
      <c r="D381" s="49">
        <v>728.69999999999982</v>
      </c>
      <c r="E381" s="51">
        <v>208</v>
      </c>
      <c r="F381" s="49">
        <v>2108</v>
      </c>
      <c r="G381" s="49">
        <v>4708</v>
      </c>
      <c r="H381" s="49">
        <v>81.07692307692308</v>
      </c>
    </row>
    <row r="382" spans="1:8">
      <c r="A382" s="43" t="s">
        <v>59</v>
      </c>
      <c r="B382" s="51">
        <v>37627</v>
      </c>
      <c r="C382" s="51">
        <v>16676.110800000002</v>
      </c>
      <c r="D382" s="49">
        <v>18368.946199999998</v>
      </c>
      <c r="E382" s="51">
        <v>4456.4512000000004</v>
      </c>
      <c r="F382" s="49">
        <v>39501.508199999997</v>
      </c>
      <c r="G382" s="49">
        <v>77128.508199999997</v>
      </c>
      <c r="H382" s="49">
        <v>107.70923703362206</v>
      </c>
    </row>
    <row r="383" spans="1:8">
      <c r="A383" s="44" t="s">
        <v>379</v>
      </c>
      <c r="B383" s="51">
        <v>4000</v>
      </c>
      <c r="C383" s="51">
        <v>1886.8000000000002</v>
      </c>
      <c r="D383" s="49">
        <v>2113.1999999999998</v>
      </c>
      <c r="E383" s="51">
        <v>537.6</v>
      </c>
      <c r="F383" s="49">
        <v>4537.6000000000004</v>
      </c>
      <c r="G383" s="49">
        <v>8537.6</v>
      </c>
      <c r="H383" s="49">
        <v>113.44</v>
      </c>
    </row>
    <row r="384" spans="1:8">
      <c r="A384" s="45" t="s">
        <v>380</v>
      </c>
      <c r="B384" s="51">
        <v>2000</v>
      </c>
      <c r="C384" s="51">
        <v>901.00000000000011</v>
      </c>
      <c r="D384" s="49">
        <v>1099</v>
      </c>
      <c r="E384" s="51">
        <v>272</v>
      </c>
      <c r="F384" s="49">
        <v>2272</v>
      </c>
      <c r="G384" s="49">
        <v>4272</v>
      </c>
      <c r="H384" s="49">
        <v>113.6</v>
      </c>
    </row>
    <row r="385" spans="1:8">
      <c r="A385" s="45" t="s">
        <v>381</v>
      </c>
      <c r="B385" s="51">
        <v>2000</v>
      </c>
      <c r="C385" s="51">
        <v>985.8</v>
      </c>
      <c r="D385" s="49">
        <v>1014.1999999999998</v>
      </c>
      <c r="E385" s="51">
        <v>265.60000000000002</v>
      </c>
      <c r="F385" s="49">
        <v>2265.6000000000004</v>
      </c>
      <c r="G385" s="49">
        <v>4265.6000000000004</v>
      </c>
      <c r="H385" s="49">
        <v>113.28000000000002</v>
      </c>
    </row>
    <row r="386" spans="1:8">
      <c r="A386" s="44" t="s">
        <v>376</v>
      </c>
      <c r="B386" s="51">
        <v>3990</v>
      </c>
      <c r="C386" s="51">
        <v>1868.886</v>
      </c>
      <c r="D386" s="49">
        <v>2141.114</v>
      </c>
      <c r="E386" s="51">
        <v>180.36</v>
      </c>
      <c r="F386" s="49">
        <v>4190.3599999999997</v>
      </c>
      <c r="G386" s="49">
        <v>8180.36</v>
      </c>
      <c r="H386" s="49">
        <v>105.04331825037707</v>
      </c>
    </row>
    <row r="387" spans="1:8">
      <c r="A387" s="45" t="s">
        <v>382</v>
      </c>
      <c r="B387" s="51">
        <v>2040</v>
      </c>
      <c r="C387" s="51">
        <v>897.39600000000007</v>
      </c>
      <c r="D387" s="49">
        <v>1062.6039999999998</v>
      </c>
      <c r="E387" s="51">
        <v>163.20000000000002</v>
      </c>
      <c r="F387" s="49">
        <v>2123.1999999999998</v>
      </c>
      <c r="G387" s="49">
        <v>4163.2</v>
      </c>
      <c r="H387" s="49">
        <v>104.07843137254902</v>
      </c>
    </row>
    <row r="388" spans="1:8">
      <c r="A388" s="45" t="s">
        <v>383</v>
      </c>
      <c r="B388" s="51">
        <v>1950</v>
      </c>
      <c r="C388" s="51">
        <v>971.49</v>
      </c>
      <c r="D388" s="49">
        <v>1078.5100000000002</v>
      </c>
      <c r="E388" s="51">
        <v>17.16</v>
      </c>
      <c r="F388" s="49">
        <v>2067.16</v>
      </c>
      <c r="G388" s="49">
        <v>4017.16</v>
      </c>
      <c r="H388" s="49">
        <v>106.00820512820512</v>
      </c>
    </row>
    <row r="389" spans="1:8">
      <c r="A389" s="44" t="s">
        <v>384</v>
      </c>
      <c r="B389" s="51">
        <v>7870</v>
      </c>
      <c r="C389" s="51">
        <v>3332.0569999999998</v>
      </c>
      <c r="D389" s="49">
        <v>1470</v>
      </c>
      <c r="E389" s="51">
        <v>1282.6000000000001</v>
      </c>
      <c r="F389" s="49">
        <v>6084.6569999999992</v>
      </c>
      <c r="G389" s="49">
        <v>13954.656999999999</v>
      </c>
      <c r="H389" s="49">
        <v>79.72</v>
      </c>
    </row>
    <row r="390" spans="1:8">
      <c r="A390" s="45" t="s">
        <v>385</v>
      </c>
      <c r="B390" s="51">
        <v>3000</v>
      </c>
      <c r="C390" s="51">
        <v>1478.7</v>
      </c>
      <c r="D390" s="49"/>
      <c r="E390" s="51">
        <v>648.00000000000011</v>
      </c>
      <c r="F390" s="49">
        <v>2126.6999999999998</v>
      </c>
      <c r="G390" s="49">
        <v>5126.7</v>
      </c>
      <c r="H390" s="49">
        <v>70.89</v>
      </c>
    </row>
    <row r="391" spans="1:8">
      <c r="A391" s="45" t="s">
        <v>386</v>
      </c>
      <c r="B391" s="51">
        <v>2870</v>
      </c>
      <c r="C391" s="51">
        <v>1323.357</v>
      </c>
      <c r="D391" s="49"/>
      <c r="E391" s="51">
        <v>631.4</v>
      </c>
      <c r="F391" s="49">
        <v>1954.7569999999996</v>
      </c>
      <c r="G391" s="49">
        <v>4824.7569999999996</v>
      </c>
      <c r="H391" s="49">
        <v>68.109999999999985</v>
      </c>
    </row>
    <row r="392" spans="1:8">
      <c r="A392" s="45" t="s">
        <v>387</v>
      </c>
      <c r="B392" s="51">
        <v>2000</v>
      </c>
      <c r="C392" s="51">
        <v>530</v>
      </c>
      <c r="D392" s="49">
        <v>1470</v>
      </c>
      <c r="E392" s="51">
        <v>3.2</v>
      </c>
      <c r="F392" s="49">
        <v>2003.1999999999998</v>
      </c>
      <c r="G392" s="49">
        <v>4003.2</v>
      </c>
      <c r="H392" s="49">
        <v>100.16</v>
      </c>
    </row>
    <row r="393" spans="1:8">
      <c r="A393" s="44" t="s">
        <v>367</v>
      </c>
      <c r="B393" s="51">
        <v>2057</v>
      </c>
      <c r="C393" s="51">
        <v>904.87430000000006</v>
      </c>
      <c r="D393" s="49">
        <v>1038.1257000000001</v>
      </c>
      <c r="E393" s="51">
        <v>184.30720000000002</v>
      </c>
      <c r="F393" s="49">
        <v>2127.3072000000002</v>
      </c>
      <c r="G393" s="49">
        <v>4184.3072000000002</v>
      </c>
      <c r="H393" s="49">
        <v>103.41794846864366</v>
      </c>
    </row>
    <row r="394" spans="1:8">
      <c r="A394" s="45" t="s">
        <v>388</v>
      </c>
      <c r="B394" s="51">
        <v>2057</v>
      </c>
      <c r="C394" s="51">
        <v>904.87430000000006</v>
      </c>
      <c r="D394" s="49">
        <v>1038.1257000000001</v>
      </c>
      <c r="E394" s="51">
        <v>184.30720000000002</v>
      </c>
      <c r="F394" s="49">
        <v>2127.3072000000002</v>
      </c>
      <c r="G394" s="49">
        <v>4184.3072000000002</v>
      </c>
      <c r="H394" s="49">
        <v>103.41794846864366</v>
      </c>
    </row>
    <row r="395" spans="1:8">
      <c r="A395" s="44" t="s">
        <v>389</v>
      </c>
      <c r="B395" s="51">
        <v>2000</v>
      </c>
      <c r="C395" s="51">
        <v>879.80000000000007</v>
      </c>
      <c r="D395" s="49">
        <v>1120.1999999999998</v>
      </c>
      <c r="E395" s="51">
        <v>259.20000000000005</v>
      </c>
      <c r="F395" s="49">
        <v>2259.1999999999998</v>
      </c>
      <c r="G395" s="49">
        <v>4259.2</v>
      </c>
      <c r="H395" s="49">
        <v>112.96</v>
      </c>
    </row>
    <row r="396" spans="1:8">
      <c r="A396" s="45" t="s">
        <v>390</v>
      </c>
      <c r="B396" s="51">
        <v>2000</v>
      </c>
      <c r="C396" s="51">
        <v>879.80000000000007</v>
      </c>
      <c r="D396" s="49">
        <v>1120.1999999999998</v>
      </c>
      <c r="E396" s="51">
        <v>259.20000000000005</v>
      </c>
      <c r="F396" s="49">
        <v>2259.1999999999998</v>
      </c>
      <c r="G396" s="49">
        <v>4259.2</v>
      </c>
      <c r="H396" s="49">
        <v>112.96</v>
      </c>
    </row>
    <row r="397" spans="1:8">
      <c r="A397" s="44" t="s">
        <v>391</v>
      </c>
      <c r="B397" s="51">
        <v>3540</v>
      </c>
      <c r="C397" s="51">
        <v>1578.8700000000001</v>
      </c>
      <c r="D397" s="49">
        <v>2881.13</v>
      </c>
      <c r="E397" s="51">
        <v>184.8</v>
      </c>
      <c r="F397" s="49">
        <v>4644.7999999999993</v>
      </c>
      <c r="G397" s="49">
        <v>8184.7999999999993</v>
      </c>
      <c r="H397" s="49">
        <v>136.09254901960784</v>
      </c>
    </row>
    <row r="398" spans="1:8">
      <c r="A398" s="45" t="s">
        <v>392</v>
      </c>
      <c r="B398" s="51">
        <v>2040</v>
      </c>
      <c r="C398" s="51">
        <v>919.0200000000001</v>
      </c>
      <c r="D398" s="49">
        <v>1040.98</v>
      </c>
      <c r="E398" s="51">
        <v>163.20000000000002</v>
      </c>
      <c r="F398" s="49">
        <v>2123.1999999999998</v>
      </c>
      <c r="G398" s="49">
        <v>4163.2</v>
      </c>
      <c r="H398" s="49">
        <v>104.07843137254902</v>
      </c>
    </row>
    <row r="399" spans="1:8">
      <c r="A399" s="45" t="s">
        <v>393</v>
      </c>
      <c r="B399" s="51">
        <v>1500</v>
      </c>
      <c r="C399" s="51">
        <v>659.85</v>
      </c>
      <c r="D399" s="49">
        <v>1840.15</v>
      </c>
      <c r="E399" s="51">
        <v>21.599999999999998</v>
      </c>
      <c r="F399" s="49">
        <v>2521.6</v>
      </c>
      <c r="G399" s="49">
        <v>4021.6</v>
      </c>
      <c r="H399" s="49">
        <v>168.10666666666665</v>
      </c>
    </row>
    <row r="400" spans="1:8">
      <c r="A400" s="44" t="s">
        <v>224</v>
      </c>
      <c r="B400" s="51">
        <v>4070</v>
      </c>
      <c r="C400" s="51">
        <v>1693.3235</v>
      </c>
      <c r="D400" s="49">
        <v>2236.6764999999996</v>
      </c>
      <c r="E400" s="51">
        <v>273.50400000000002</v>
      </c>
      <c r="F400" s="49">
        <v>4203.5039999999999</v>
      </c>
      <c r="G400" s="49">
        <v>8273.5040000000008</v>
      </c>
      <c r="H400" s="49">
        <v>103.28019656019654</v>
      </c>
    </row>
    <row r="401" spans="1:8">
      <c r="A401" s="45" t="s">
        <v>394</v>
      </c>
      <c r="B401" s="51">
        <v>2035</v>
      </c>
      <c r="C401" s="51">
        <v>862.84</v>
      </c>
      <c r="D401" s="49">
        <v>1102.1599999999999</v>
      </c>
      <c r="E401" s="51">
        <v>94.423999999999992</v>
      </c>
      <c r="F401" s="49">
        <v>2059.424</v>
      </c>
      <c r="G401" s="49">
        <v>4094.424</v>
      </c>
      <c r="H401" s="49">
        <v>101.20019656019655</v>
      </c>
    </row>
    <row r="402" spans="1:8">
      <c r="A402" s="45" t="s">
        <v>395</v>
      </c>
      <c r="B402" s="51">
        <v>2035</v>
      </c>
      <c r="C402" s="51">
        <v>830.48350000000005</v>
      </c>
      <c r="D402" s="49">
        <v>1134.5164999999997</v>
      </c>
      <c r="E402" s="51">
        <v>179.08</v>
      </c>
      <c r="F402" s="49">
        <v>2144.08</v>
      </c>
      <c r="G402" s="49">
        <v>4179.08</v>
      </c>
      <c r="H402" s="49">
        <v>105.36019656019656</v>
      </c>
    </row>
    <row r="403" spans="1:8">
      <c r="A403" s="44" t="s">
        <v>396</v>
      </c>
      <c r="B403" s="51">
        <v>2000</v>
      </c>
      <c r="C403" s="51">
        <v>879.80000000000007</v>
      </c>
      <c r="D403" s="49">
        <v>1120.1999999999998</v>
      </c>
      <c r="E403" s="51">
        <v>339.2</v>
      </c>
      <c r="F403" s="49">
        <v>2339.1999999999998</v>
      </c>
      <c r="G403" s="49">
        <v>4339.2</v>
      </c>
      <c r="H403" s="49">
        <v>116.96</v>
      </c>
    </row>
    <row r="404" spans="1:8">
      <c r="A404" s="45" t="s">
        <v>397</v>
      </c>
      <c r="B404" s="51">
        <v>2000</v>
      </c>
      <c r="C404" s="51">
        <v>879.80000000000007</v>
      </c>
      <c r="D404" s="49">
        <v>1120.1999999999998</v>
      </c>
      <c r="E404" s="51">
        <v>339.2</v>
      </c>
      <c r="F404" s="49">
        <v>2339.1999999999998</v>
      </c>
      <c r="G404" s="49">
        <v>4339.2</v>
      </c>
      <c r="H404" s="49">
        <v>116.96</v>
      </c>
    </row>
    <row r="405" spans="1:8">
      <c r="A405" s="44" t="s">
        <v>258</v>
      </c>
      <c r="B405" s="51">
        <v>8100</v>
      </c>
      <c r="C405" s="51">
        <v>3651.7</v>
      </c>
      <c r="D405" s="49">
        <v>4248.3</v>
      </c>
      <c r="E405" s="51">
        <v>1214.8800000000001</v>
      </c>
      <c r="F405" s="49">
        <v>9114.880000000001</v>
      </c>
      <c r="G405" s="49">
        <v>17214.88</v>
      </c>
      <c r="H405" s="49">
        <v>112.6390476190476</v>
      </c>
    </row>
    <row r="406" spans="1:8">
      <c r="A406" s="45" t="s">
        <v>398</v>
      </c>
      <c r="B406" s="51">
        <v>2000</v>
      </c>
      <c r="C406" s="51">
        <v>848.00000000000011</v>
      </c>
      <c r="D406" s="49">
        <v>1152</v>
      </c>
      <c r="E406" s="51">
        <v>275.2</v>
      </c>
      <c r="F406" s="49">
        <v>2275.1999999999998</v>
      </c>
      <c r="G406" s="49">
        <v>4275.2</v>
      </c>
      <c r="H406" s="49">
        <v>113.75999999999999</v>
      </c>
    </row>
    <row r="407" spans="1:8">
      <c r="A407" s="45" t="s">
        <v>399</v>
      </c>
      <c r="B407" s="51">
        <v>2000</v>
      </c>
      <c r="C407" s="51">
        <v>879.80000000000007</v>
      </c>
      <c r="D407" s="49">
        <v>1120.1999999999998</v>
      </c>
      <c r="E407" s="51">
        <v>228.8</v>
      </c>
      <c r="F407" s="49">
        <v>2228.8000000000002</v>
      </c>
      <c r="G407" s="49">
        <v>4228.8</v>
      </c>
      <c r="H407" s="49">
        <v>111.44000000000001</v>
      </c>
    </row>
    <row r="408" spans="1:8">
      <c r="A408" s="45" t="s">
        <v>400</v>
      </c>
      <c r="B408" s="51">
        <v>2000</v>
      </c>
      <c r="C408" s="51">
        <v>922.2</v>
      </c>
      <c r="D408" s="49">
        <v>1077.8000000000002</v>
      </c>
      <c r="E408" s="51">
        <v>432.00000000000006</v>
      </c>
      <c r="F408" s="49">
        <v>2432</v>
      </c>
      <c r="G408" s="49">
        <v>4432</v>
      </c>
      <c r="H408" s="49">
        <v>121.6</v>
      </c>
    </row>
    <row r="409" spans="1:8">
      <c r="A409" s="45" t="s">
        <v>401</v>
      </c>
      <c r="B409" s="51">
        <v>2100</v>
      </c>
      <c r="C409" s="51">
        <v>1001.7</v>
      </c>
      <c r="D409" s="49">
        <v>898.30000000000018</v>
      </c>
      <c r="E409" s="51">
        <v>278.88</v>
      </c>
      <c r="F409" s="49">
        <v>2178.88</v>
      </c>
      <c r="G409" s="49">
        <v>4278.88</v>
      </c>
      <c r="H409" s="49">
        <v>103.75619047619048</v>
      </c>
    </row>
    <row r="410" spans="1:8">
      <c r="A410" s="43" t="s">
        <v>60</v>
      </c>
      <c r="B410" s="51">
        <v>11070</v>
      </c>
      <c r="C410" s="51">
        <v>4538.125</v>
      </c>
      <c r="D410" s="49">
        <v>5391.8749999999982</v>
      </c>
      <c r="E410" s="51">
        <v>411.76799999999997</v>
      </c>
      <c r="F410" s="49">
        <v>10341.768</v>
      </c>
      <c r="G410" s="49">
        <v>21411.768</v>
      </c>
      <c r="H410" s="49">
        <v>97.491784415994957</v>
      </c>
    </row>
    <row r="411" spans="1:8">
      <c r="A411" s="44" t="s">
        <v>376</v>
      </c>
      <c r="B411" s="51">
        <v>5100</v>
      </c>
      <c r="C411" s="51">
        <v>1928.67</v>
      </c>
      <c r="D411" s="49">
        <v>3471.33</v>
      </c>
      <c r="E411" s="51">
        <v>59.52</v>
      </c>
      <c r="F411" s="49">
        <v>5459.52</v>
      </c>
      <c r="G411" s="49">
        <v>10559.52</v>
      </c>
      <c r="H411" s="49">
        <v>112.28444444444445</v>
      </c>
    </row>
    <row r="412" spans="1:8">
      <c r="A412" s="45" t="s">
        <v>402</v>
      </c>
      <c r="B412" s="51">
        <v>2100</v>
      </c>
      <c r="C412" s="51">
        <v>934.92000000000007</v>
      </c>
      <c r="D412" s="49">
        <v>465.07999999999993</v>
      </c>
      <c r="E412" s="51">
        <v>23.520000000000003</v>
      </c>
      <c r="F412" s="49">
        <v>1423.52</v>
      </c>
      <c r="G412" s="49">
        <v>3523.52</v>
      </c>
      <c r="H412" s="49">
        <v>67.786666666666662</v>
      </c>
    </row>
    <row r="413" spans="1:8">
      <c r="A413" s="45" t="s">
        <v>403</v>
      </c>
      <c r="B413" s="51">
        <v>1500</v>
      </c>
      <c r="C413" s="51">
        <v>413.40000000000003</v>
      </c>
      <c r="D413" s="49">
        <v>1586.6</v>
      </c>
      <c r="E413" s="51">
        <v>12</v>
      </c>
      <c r="F413" s="49">
        <v>2012</v>
      </c>
      <c r="G413" s="49">
        <v>3512</v>
      </c>
      <c r="H413" s="49">
        <v>134.13333333333333</v>
      </c>
    </row>
    <row r="414" spans="1:8">
      <c r="A414" s="45" t="s">
        <v>404</v>
      </c>
      <c r="B414" s="51">
        <v>1500</v>
      </c>
      <c r="C414" s="51">
        <v>580.35</v>
      </c>
      <c r="D414" s="49">
        <v>1419.65</v>
      </c>
      <c r="E414" s="51">
        <v>24</v>
      </c>
      <c r="F414" s="49">
        <v>2024</v>
      </c>
      <c r="G414" s="49">
        <v>3524</v>
      </c>
      <c r="H414" s="49">
        <v>134.93333333333334</v>
      </c>
    </row>
    <row r="415" spans="1:8">
      <c r="A415" s="44" t="s">
        <v>405</v>
      </c>
      <c r="B415" s="51">
        <v>5970</v>
      </c>
      <c r="C415" s="51">
        <v>2609.4550000000004</v>
      </c>
      <c r="D415" s="49">
        <v>1920.5449999999996</v>
      </c>
      <c r="E415" s="51">
        <v>352.24799999999999</v>
      </c>
      <c r="F415" s="49">
        <v>4882.2479999999996</v>
      </c>
      <c r="G415" s="49">
        <v>10852.248</v>
      </c>
      <c r="H415" s="49">
        <v>82.699124387545439</v>
      </c>
    </row>
    <row r="416" spans="1:8">
      <c r="A416" s="45" t="s">
        <v>406</v>
      </c>
      <c r="B416" s="51">
        <v>1900</v>
      </c>
      <c r="C416" s="51">
        <v>795.53000000000009</v>
      </c>
      <c r="D416" s="49">
        <v>804.4699999999998</v>
      </c>
      <c r="E416" s="51">
        <v>79.039999999999992</v>
      </c>
      <c r="F416" s="49">
        <v>1679.04</v>
      </c>
      <c r="G416" s="49">
        <v>3579.04</v>
      </c>
      <c r="H416" s="49">
        <v>88.370526315789476</v>
      </c>
    </row>
    <row r="417" spans="1:8">
      <c r="A417" s="45" t="s">
        <v>407</v>
      </c>
      <c r="B417" s="51">
        <v>1850</v>
      </c>
      <c r="C417" s="51">
        <v>872.64499999999998</v>
      </c>
      <c r="D417" s="49">
        <v>777.35500000000002</v>
      </c>
      <c r="E417" s="51">
        <v>63.64</v>
      </c>
      <c r="F417" s="49">
        <v>1713.6399999999999</v>
      </c>
      <c r="G417" s="49">
        <v>3563.64</v>
      </c>
      <c r="H417" s="49">
        <v>92.629189189189177</v>
      </c>
    </row>
    <row r="418" spans="1:8">
      <c r="A418" s="45" t="s">
        <v>408</v>
      </c>
      <c r="B418" s="51">
        <v>2220</v>
      </c>
      <c r="C418" s="51">
        <v>941.28000000000009</v>
      </c>
      <c r="D418" s="49">
        <v>338.7199999999998</v>
      </c>
      <c r="E418" s="51">
        <v>209.56799999999998</v>
      </c>
      <c r="F418" s="49">
        <v>1489.5680000000002</v>
      </c>
      <c r="G418" s="49">
        <v>3709.5680000000002</v>
      </c>
      <c r="H418" s="49">
        <v>67.097657657657663</v>
      </c>
    </row>
    <row r="419" spans="1:8">
      <c r="A419" s="43" t="s">
        <v>118</v>
      </c>
      <c r="B419" s="51">
        <v>3670</v>
      </c>
      <c r="C419" s="51">
        <v>1488.8760000000002</v>
      </c>
      <c r="D419" s="49">
        <v>841.1239999999998</v>
      </c>
      <c r="E419" s="51">
        <v>188.91200000000001</v>
      </c>
      <c r="F419" s="49">
        <v>2518.9120000000003</v>
      </c>
      <c r="G419" s="49">
        <v>6188.9120000000003</v>
      </c>
      <c r="H419" s="49">
        <v>68.618663498663508</v>
      </c>
    </row>
    <row r="420" spans="1:8">
      <c r="A420" s="44" t="s">
        <v>63</v>
      </c>
      <c r="B420" s="51">
        <v>3670</v>
      </c>
      <c r="C420" s="51">
        <v>1488.8760000000002</v>
      </c>
      <c r="D420" s="49">
        <v>841.1239999999998</v>
      </c>
      <c r="E420" s="51">
        <v>188.91200000000001</v>
      </c>
      <c r="F420" s="49">
        <v>2518.9120000000003</v>
      </c>
      <c r="G420" s="49">
        <v>6188.9120000000003</v>
      </c>
      <c r="H420" s="49">
        <v>68.618663498663508</v>
      </c>
    </row>
    <row r="421" spans="1:8">
      <c r="A421" s="45" t="s">
        <v>409</v>
      </c>
      <c r="B421" s="51">
        <v>1820</v>
      </c>
      <c r="C421" s="51">
        <v>684.8660000000001</v>
      </c>
      <c r="D421" s="49">
        <v>495.13400000000001</v>
      </c>
      <c r="E421" s="51">
        <v>32.032000000000004</v>
      </c>
      <c r="F421" s="49">
        <v>1212.0320000000002</v>
      </c>
      <c r="G421" s="49">
        <v>3032.0320000000002</v>
      </c>
      <c r="H421" s="49">
        <v>66.595164835164852</v>
      </c>
    </row>
    <row r="422" spans="1:8">
      <c r="A422" s="45" t="s">
        <v>410</v>
      </c>
      <c r="B422" s="51">
        <v>1850</v>
      </c>
      <c r="C422" s="51">
        <v>804.01</v>
      </c>
      <c r="D422" s="49">
        <v>345.98999999999978</v>
      </c>
      <c r="E422" s="51">
        <v>156.88</v>
      </c>
      <c r="F422" s="49">
        <v>1306.8800000000001</v>
      </c>
      <c r="G422" s="49">
        <v>3156.88</v>
      </c>
      <c r="H422" s="49">
        <v>70.642162162162165</v>
      </c>
    </row>
    <row r="423" spans="1:8">
      <c r="A423" s="42" t="s">
        <v>136</v>
      </c>
      <c r="B423" s="51">
        <v>3380</v>
      </c>
      <c r="C423" s="51">
        <v>1683.9159999999999</v>
      </c>
      <c r="D423" s="49"/>
      <c r="E423" s="51">
        <v>329.88799999999998</v>
      </c>
      <c r="F423" s="49">
        <v>2013.8040000000001</v>
      </c>
      <c r="G423" s="49">
        <v>5393.8040000000001</v>
      </c>
      <c r="H423" s="49">
        <v>59.580000000000005</v>
      </c>
    </row>
    <row r="424" spans="1:8">
      <c r="A424" s="43" t="s">
        <v>53</v>
      </c>
      <c r="B424" s="51">
        <v>3380</v>
      </c>
      <c r="C424" s="51">
        <v>1683.9159999999999</v>
      </c>
      <c r="D424" s="49"/>
      <c r="E424" s="51">
        <v>329.88799999999998</v>
      </c>
      <c r="F424" s="49">
        <v>2013.8040000000001</v>
      </c>
      <c r="G424" s="49">
        <v>5393.8040000000001</v>
      </c>
      <c r="H424" s="49">
        <v>59.580000000000005</v>
      </c>
    </row>
    <row r="425" spans="1:8">
      <c r="A425" s="44" t="s">
        <v>116</v>
      </c>
      <c r="B425" s="51">
        <v>3380</v>
      </c>
      <c r="C425" s="51">
        <v>1683.9159999999999</v>
      </c>
      <c r="D425" s="49"/>
      <c r="E425" s="51">
        <v>329.88799999999998</v>
      </c>
      <c r="F425" s="49">
        <v>2013.8040000000001</v>
      </c>
      <c r="G425" s="49">
        <v>5393.8040000000001</v>
      </c>
      <c r="H425" s="49">
        <v>59.580000000000005</v>
      </c>
    </row>
    <row r="426" spans="1:8">
      <c r="A426" s="45" t="s">
        <v>160</v>
      </c>
      <c r="B426" s="51">
        <v>3380</v>
      </c>
      <c r="C426" s="51">
        <v>1683.9159999999999</v>
      </c>
      <c r="D426" s="49"/>
      <c r="E426" s="51">
        <v>329.88799999999998</v>
      </c>
      <c r="F426" s="49">
        <v>2013.8040000000001</v>
      </c>
      <c r="G426" s="49">
        <v>5393.8040000000001</v>
      </c>
      <c r="H426" s="49">
        <v>59.580000000000005</v>
      </c>
    </row>
    <row r="427" spans="1:8">
      <c r="A427" s="42" t="s">
        <v>82</v>
      </c>
      <c r="B427" s="51">
        <v>14200</v>
      </c>
      <c r="C427" s="51">
        <v>7058.54</v>
      </c>
      <c r="D427" s="49">
        <v>3679.4599999999996</v>
      </c>
      <c r="E427" s="51">
        <v>1823.08</v>
      </c>
      <c r="F427" s="49">
        <v>12561.08</v>
      </c>
      <c r="G427" s="49">
        <v>26761.079999999998</v>
      </c>
      <c r="H427" s="49">
        <v>94.302832515002734</v>
      </c>
    </row>
    <row r="428" spans="1:8">
      <c r="A428" s="43" t="s">
        <v>49</v>
      </c>
      <c r="B428" s="51">
        <v>5000</v>
      </c>
      <c r="C428" s="51">
        <v>2438</v>
      </c>
      <c r="D428" s="49"/>
      <c r="E428" s="51">
        <v>840</v>
      </c>
      <c r="F428" s="49">
        <v>3278</v>
      </c>
      <c r="G428" s="49">
        <v>8278</v>
      </c>
      <c r="H428" s="49">
        <v>65.56</v>
      </c>
    </row>
    <row r="429" spans="1:8">
      <c r="A429" s="44" t="s">
        <v>113</v>
      </c>
      <c r="B429" s="51">
        <v>5000</v>
      </c>
      <c r="C429" s="51">
        <v>2438</v>
      </c>
      <c r="D429" s="49"/>
      <c r="E429" s="51">
        <v>840</v>
      </c>
      <c r="F429" s="49">
        <v>3278</v>
      </c>
      <c r="G429" s="49">
        <v>8278</v>
      </c>
      <c r="H429" s="49">
        <v>65.56</v>
      </c>
    </row>
    <row r="430" spans="1:8">
      <c r="A430" s="45" t="s">
        <v>99</v>
      </c>
      <c r="B430" s="51">
        <v>5000</v>
      </c>
      <c r="C430" s="51">
        <v>2438</v>
      </c>
      <c r="D430" s="49"/>
      <c r="E430" s="51">
        <v>840</v>
      </c>
      <c r="F430" s="49">
        <v>3278</v>
      </c>
      <c r="G430" s="49">
        <v>8278</v>
      </c>
      <c r="H430" s="49">
        <v>65.56</v>
      </c>
    </row>
    <row r="431" spans="1:8">
      <c r="A431" s="43" t="s">
        <v>50</v>
      </c>
      <c r="B431" s="51">
        <v>2350</v>
      </c>
      <c r="C431" s="51">
        <v>1158.3150000000001</v>
      </c>
      <c r="D431" s="49">
        <v>1491.6849999999999</v>
      </c>
      <c r="E431" s="51">
        <v>84.600000000000009</v>
      </c>
      <c r="F431" s="49">
        <v>2734.6000000000004</v>
      </c>
      <c r="G431" s="49">
        <v>5084.6000000000004</v>
      </c>
      <c r="H431" s="49">
        <v>116.36595744680852</v>
      </c>
    </row>
    <row r="432" spans="1:8">
      <c r="A432" s="44" t="s">
        <v>112</v>
      </c>
      <c r="B432" s="51">
        <v>2350</v>
      </c>
      <c r="C432" s="51">
        <v>1158.3150000000001</v>
      </c>
      <c r="D432" s="49">
        <v>1491.6849999999999</v>
      </c>
      <c r="E432" s="51">
        <v>84.600000000000009</v>
      </c>
      <c r="F432" s="49">
        <v>2734.6000000000004</v>
      </c>
      <c r="G432" s="49">
        <v>5084.6000000000004</v>
      </c>
      <c r="H432" s="49">
        <v>116.36595744680852</v>
      </c>
    </row>
    <row r="433" spans="1:8">
      <c r="A433" s="45" t="s">
        <v>411</v>
      </c>
      <c r="B433" s="51">
        <v>2350</v>
      </c>
      <c r="C433" s="51">
        <v>1158.3150000000001</v>
      </c>
      <c r="D433" s="49">
        <v>1491.6849999999999</v>
      </c>
      <c r="E433" s="51">
        <v>84.600000000000009</v>
      </c>
      <c r="F433" s="49">
        <v>2734.6000000000004</v>
      </c>
      <c r="G433" s="49">
        <v>5084.6000000000004</v>
      </c>
      <c r="H433" s="49">
        <v>116.36595744680852</v>
      </c>
    </row>
    <row r="434" spans="1:8">
      <c r="A434" s="43" t="s">
        <v>53</v>
      </c>
      <c r="B434" s="51">
        <v>2400</v>
      </c>
      <c r="C434" s="51">
        <v>1208.4000000000001</v>
      </c>
      <c r="D434" s="49">
        <v>891.59999999999991</v>
      </c>
      <c r="E434" s="51">
        <v>528</v>
      </c>
      <c r="F434" s="49">
        <v>2628</v>
      </c>
      <c r="G434" s="49">
        <v>5028</v>
      </c>
      <c r="H434" s="49">
        <v>109.5</v>
      </c>
    </row>
    <row r="435" spans="1:8">
      <c r="A435" s="44" t="s">
        <v>112</v>
      </c>
      <c r="B435" s="51">
        <v>2400</v>
      </c>
      <c r="C435" s="51">
        <v>1208.4000000000001</v>
      </c>
      <c r="D435" s="49">
        <v>891.59999999999991</v>
      </c>
      <c r="E435" s="51">
        <v>528</v>
      </c>
      <c r="F435" s="49">
        <v>2628</v>
      </c>
      <c r="G435" s="49">
        <v>5028</v>
      </c>
      <c r="H435" s="49">
        <v>109.5</v>
      </c>
    </row>
    <row r="436" spans="1:8">
      <c r="A436" s="45" t="s">
        <v>161</v>
      </c>
      <c r="B436" s="51">
        <v>2400</v>
      </c>
      <c r="C436" s="51">
        <v>1208.4000000000001</v>
      </c>
      <c r="D436" s="49">
        <v>891.59999999999991</v>
      </c>
      <c r="E436" s="51">
        <v>528</v>
      </c>
      <c r="F436" s="49">
        <v>2628</v>
      </c>
      <c r="G436" s="49">
        <v>5028</v>
      </c>
      <c r="H436" s="49">
        <v>109.5</v>
      </c>
    </row>
    <row r="437" spans="1:8">
      <c r="A437" s="43" t="s">
        <v>59</v>
      </c>
      <c r="B437" s="51">
        <v>4450</v>
      </c>
      <c r="C437" s="51">
        <v>2253.8250000000003</v>
      </c>
      <c r="D437" s="49">
        <v>1296.1749999999997</v>
      </c>
      <c r="E437" s="51">
        <v>370.48</v>
      </c>
      <c r="F437" s="49">
        <v>3920.48</v>
      </c>
      <c r="G437" s="49">
        <v>8370.48</v>
      </c>
      <c r="H437" s="49">
        <v>90.044102564102559</v>
      </c>
    </row>
    <row r="438" spans="1:8">
      <c r="A438" s="44" t="s">
        <v>112</v>
      </c>
      <c r="B438" s="51">
        <v>4450</v>
      </c>
      <c r="C438" s="51">
        <v>2253.8250000000003</v>
      </c>
      <c r="D438" s="49">
        <v>1296.1749999999997</v>
      </c>
      <c r="E438" s="51">
        <v>370.48</v>
      </c>
      <c r="F438" s="49">
        <v>3920.48</v>
      </c>
      <c r="G438" s="49">
        <v>8370.48</v>
      </c>
      <c r="H438" s="49">
        <v>90.044102564102559</v>
      </c>
    </row>
    <row r="439" spans="1:8">
      <c r="A439" s="45" t="s">
        <v>412</v>
      </c>
      <c r="B439" s="51">
        <v>2500</v>
      </c>
      <c r="C439" s="51">
        <v>1272</v>
      </c>
      <c r="D439" s="49">
        <v>228</v>
      </c>
      <c r="E439" s="51">
        <v>358</v>
      </c>
      <c r="F439" s="49">
        <v>1858</v>
      </c>
      <c r="G439" s="49">
        <v>4358</v>
      </c>
      <c r="H439" s="49">
        <v>74.319999999999993</v>
      </c>
    </row>
    <row r="440" spans="1:8">
      <c r="A440" s="45" t="s">
        <v>413</v>
      </c>
      <c r="B440" s="51">
        <v>1950</v>
      </c>
      <c r="C440" s="51">
        <v>981.82500000000016</v>
      </c>
      <c r="D440" s="49">
        <v>1068.1749999999997</v>
      </c>
      <c r="E440" s="51">
        <v>12.48</v>
      </c>
      <c r="F440" s="49">
        <v>2062.48</v>
      </c>
      <c r="G440" s="49">
        <v>4012.48</v>
      </c>
      <c r="H440" s="49">
        <v>105.76820512820512</v>
      </c>
    </row>
    <row r="441" spans="1:8">
      <c r="A441" s="42" t="s">
        <v>83</v>
      </c>
      <c r="B441" s="51">
        <v>59971</v>
      </c>
      <c r="C441" s="51">
        <v>28196.662500000006</v>
      </c>
      <c r="D441" s="49">
        <v>12705.558800000003</v>
      </c>
      <c r="E441" s="51">
        <v>6427.5567999999985</v>
      </c>
      <c r="F441" s="49">
        <v>47329.778100000003</v>
      </c>
      <c r="G441" s="49">
        <v>107300.77809999998</v>
      </c>
      <c r="H441" s="49">
        <v>83.84988650519378</v>
      </c>
    </row>
    <row r="442" spans="1:8">
      <c r="A442" s="43" t="s">
        <v>49</v>
      </c>
      <c r="B442" s="51">
        <v>8000</v>
      </c>
      <c r="C442" s="51">
        <v>3900.8</v>
      </c>
      <c r="D442" s="49"/>
      <c r="E442" s="51">
        <v>1715.2</v>
      </c>
      <c r="F442" s="49">
        <v>5616</v>
      </c>
      <c r="G442" s="49">
        <v>13616</v>
      </c>
      <c r="H442" s="49">
        <v>70.2</v>
      </c>
    </row>
    <row r="443" spans="1:8">
      <c r="A443" s="44" t="s">
        <v>114</v>
      </c>
      <c r="B443" s="51">
        <v>8000</v>
      </c>
      <c r="C443" s="51">
        <v>3900.8</v>
      </c>
      <c r="D443" s="49"/>
      <c r="E443" s="51">
        <v>1715.2</v>
      </c>
      <c r="F443" s="49">
        <v>5616</v>
      </c>
      <c r="G443" s="49">
        <v>13616</v>
      </c>
      <c r="H443" s="49">
        <v>70.2</v>
      </c>
    </row>
    <row r="444" spans="1:8">
      <c r="A444" s="45" t="s">
        <v>100</v>
      </c>
      <c r="B444" s="51">
        <v>8000</v>
      </c>
      <c r="C444" s="51">
        <v>3900.8</v>
      </c>
      <c r="D444" s="49"/>
      <c r="E444" s="51">
        <v>1715.2</v>
      </c>
      <c r="F444" s="49">
        <v>5616</v>
      </c>
      <c r="G444" s="49">
        <v>13616</v>
      </c>
      <c r="H444" s="49">
        <v>70.2</v>
      </c>
    </row>
    <row r="445" spans="1:8">
      <c r="A445" s="43" t="s">
        <v>50</v>
      </c>
      <c r="B445" s="51">
        <v>6000</v>
      </c>
      <c r="C445" s="51">
        <v>2941.5</v>
      </c>
      <c r="D445" s="49">
        <v>1058.5</v>
      </c>
      <c r="E445" s="51">
        <v>199.2</v>
      </c>
      <c r="F445" s="49">
        <v>4199.2</v>
      </c>
      <c r="G445" s="49">
        <v>10199.200000000001</v>
      </c>
      <c r="H445" s="49">
        <v>69.986666666666665</v>
      </c>
    </row>
    <row r="446" spans="1:8">
      <c r="A446" s="44" t="s">
        <v>414</v>
      </c>
      <c r="B446" s="51">
        <v>3000</v>
      </c>
      <c r="C446" s="51">
        <v>1462.8000000000002</v>
      </c>
      <c r="D446" s="49">
        <v>537.19999999999982</v>
      </c>
      <c r="E446" s="51">
        <v>60</v>
      </c>
      <c r="F446" s="49">
        <v>2060</v>
      </c>
      <c r="G446" s="49">
        <v>5060</v>
      </c>
      <c r="H446" s="49">
        <v>68.666666666666671</v>
      </c>
    </row>
    <row r="447" spans="1:8">
      <c r="A447" s="45" t="s">
        <v>415</v>
      </c>
      <c r="B447" s="51">
        <v>3000</v>
      </c>
      <c r="C447" s="51">
        <v>1462.8000000000002</v>
      </c>
      <c r="D447" s="49">
        <v>537.19999999999982</v>
      </c>
      <c r="E447" s="51">
        <v>60</v>
      </c>
      <c r="F447" s="49">
        <v>2060</v>
      </c>
      <c r="G447" s="49">
        <v>5060</v>
      </c>
      <c r="H447" s="49">
        <v>68.666666666666671</v>
      </c>
    </row>
    <row r="448" spans="1:8">
      <c r="A448" s="44" t="s">
        <v>416</v>
      </c>
      <c r="B448" s="51">
        <v>3000</v>
      </c>
      <c r="C448" s="51">
        <v>1478.7</v>
      </c>
      <c r="D448" s="49">
        <v>521.30000000000018</v>
      </c>
      <c r="E448" s="51">
        <v>139.19999999999999</v>
      </c>
      <c r="F448" s="49">
        <v>2139.1999999999998</v>
      </c>
      <c r="G448" s="49">
        <v>5139.2</v>
      </c>
      <c r="H448" s="49">
        <v>71.306666666666658</v>
      </c>
    </row>
    <row r="449" spans="1:8">
      <c r="A449" s="45" t="s">
        <v>417</v>
      </c>
      <c r="B449" s="51">
        <v>3000</v>
      </c>
      <c r="C449" s="51">
        <v>1478.7</v>
      </c>
      <c r="D449" s="49">
        <v>521.30000000000018</v>
      </c>
      <c r="E449" s="51">
        <v>139.19999999999999</v>
      </c>
      <c r="F449" s="49">
        <v>2139.1999999999998</v>
      </c>
      <c r="G449" s="49">
        <v>5139.2</v>
      </c>
      <c r="H449" s="49">
        <v>71.306666666666658</v>
      </c>
    </row>
    <row r="450" spans="1:8">
      <c r="A450" s="43" t="s">
        <v>53</v>
      </c>
      <c r="B450" s="51">
        <v>24974</v>
      </c>
      <c r="C450" s="51">
        <v>11490.209200000001</v>
      </c>
      <c r="D450" s="49">
        <v>6270.9107999999997</v>
      </c>
      <c r="E450" s="51">
        <v>2394.2399999999998</v>
      </c>
      <c r="F450" s="49">
        <v>20155.36</v>
      </c>
      <c r="G450" s="49">
        <v>45129.360000000008</v>
      </c>
      <c r="H450" s="49">
        <v>84.295792232587885</v>
      </c>
    </row>
    <row r="451" spans="1:8">
      <c r="A451" s="44" t="s">
        <v>418</v>
      </c>
      <c r="B451" s="51">
        <v>11080</v>
      </c>
      <c r="C451" s="51">
        <v>4917.9760000000006</v>
      </c>
      <c r="D451" s="49">
        <v>4237.1440000000002</v>
      </c>
      <c r="E451" s="51">
        <v>1316.7360000000001</v>
      </c>
      <c r="F451" s="49">
        <v>10471.856000000002</v>
      </c>
      <c r="G451" s="49">
        <v>21551.856000000003</v>
      </c>
      <c r="H451" s="49">
        <v>101.80274294670848</v>
      </c>
    </row>
    <row r="452" spans="1:8">
      <c r="A452" s="45" t="s">
        <v>419</v>
      </c>
      <c r="B452" s="51">
        <v>4560</v>
      </c>
      <c r="C452" s="51">
        <v>2175.1200000000003</v>
      </c>
      <c r="D452" s="49"/>
      <c r="E452" s="51">
        <v>992.25600000000009</v>
      </c>
      <c r="F452" s="49">
        <v>3167.3760000000011</v>
      </c>
      <c r="G452" s="49">
        <v>7727.3760000000011</v>
      </c>
      <c r="H452" s="49">
        <v>69.460000000000022</v>
      </c>
    </row>
    <row r="453" spans="1:8">
      <c r="A453" s="45" t="s">
        <v>420</v>
      </c>
      <c r="B453" s="51">
        <v>2320</v>
      </c>
      <c r="C453" s="51">
        <v>1118.9360000000001</v>
      </c>
      <c r="D453" s="49">
        <v>1061.0639999999999</v>
      </c>
      <c r="E453" s="51">
        <v>222.72</v>
      </c>
      <c r="F453" s="49">
        <v>2402.7200000000003</v>
      </c>
      <c r="G453" s="49">
        <v>4722.72</v>
      </c>
      <c r="H453" s="49">
        <v>103.56551724137933</v>
      </c>
    </row>
    <row r="454" spans="1:8">
      <c r="A454" s="45" t="s">
        <v>421</v>
      </c>
      <c r="B454" s="51">
        <v>2000</v>
      </c>
      <c r="C454" s="51">
        <v>551.20000000000005</v>
      </c>
      <c r="D454" s="49">
        <v>1948.8000000000002</v>
      </c>
      <c r="E454" s="51">
        <v>3.2</v>
      </c>
      <c r="F454" s="49">
        <v>2503.1999999999998</v>
      </c>
      <c r="G454" s="49">
        <v>4503.2</v>
      </c>
      <c r="H454" s="49">
        <v>125.16</v>
      </c>
    </row>
    <row r="455" spans="1:8">
      <c r="A455" s="45" t="s">
        <v>422</v>
      </c>
      <c r="B455" s="51">
        <v>2200</v>
      </c>
      <c r="C455" s="51">
        <v>1072.72</v>
      </c>
      <c r="D455" s="49">
        <v>1227.2799999999997</v>
      </c>
      <c r="E455" s="51">
        <v>98.560000000000016</v>
      </c>
      <c r="F455" s="49">
        <v>2398.5600000000004</v>
      </c>
      <c r="G455" s="49">
        <v>4598.5600000000004</v>
      </c>
      <c r="H455" s="49">
        <v>109.02545454545456</v>
      </c>
    </row>
    <row r="456" spans="1:8">
      <c r="A456" s="44" t="s">
        <v>423</v>
      </c>
      <c r="B456" s="51">
        <v>5380</v>
      </c>
      <c r="C456" s="51">
        <v>2676.288</v>
      </c>
      <c r="D456" s="49">
        <v>943.71199999999953</v>
      </c>
      <c r="E456" s="51">
        <v>158.24</v>
      </c>
      <c r="F456" s="49">
        <v>3778.24</v>
      </c>
      <c r="G456" s="49">
        <v>9158.24</v>
      </c>
      <c r="H456" s="49">
        <v>70.924999999999997</v>
      </c>
    </row>
    <row r="457" spans="1:8">
      <c r="A457" s="45" t="s">
        <v>424</v>
      </c>
      <c r="B457" s="51">
        <v>2500</v>
      </c>
      <c r="C457" s="51">
        <v>1272</v>
      </c>
      <c r="D457" s="49">
        <v>728</v>
      </c>
      <c r="E457" s="51">
        <v>20</v>
      </c>
      <c r="F457" s="49">
        <v>2020</v>
      </c>
      <c r="G457" s="49">
        <v>4520</v>
      </c>
      <c r="H457" s="49">
        <v>80.8</v>
      </c>
    </row>
    <row r="458" spans="1:8">
      <c r="A458" s="45" t="s">
        <v>425</v>
      </c>
      <c r="B458" s="51">
        <v>2880</v>
      </c>
      <c r="C458" s="51">
        <v>1404.288</v>
      </c>
      <c r="D458" s="49">
        <v>215.71199999999953</v>
      </c>
      <c r="E458" s="51">
        <v>138.24</v>
      </c>
      <c r="F458" s="49">
        <v>1758.2399999999998</v>
      </c>
      <c r="G458" s="49">
        <v>4638.24</v>
      </c>
      <c r="H458" s="49">
        <v>61.04999999999999</v>
      </c>
    </row>
    <row r="459" spans="1:8">
      <c r="A459" s="44" t="s">
        <v>426</v>
      </c>
      <c r="B459" s="51">
        <v>8514</v>
      </c>
      <c r="C459" s="51">
        <v>3895.9452000000001</v>
      </c>
      <c r="D459" s="49">
        <v>1090.0547999999999</v>
      </c>
      <c r="E459" s="51">
        <v>919.26400000000001</v>
      </c>
      <c r="F459" s="49">
        <v>5905.2640000000001</v>
      </c>
      <c r="G459" s="49">
        <v>14419.263999999999</v>
      </c>
      <c r="H459" s="49">
        <v>69.86705276881905</v>
      </c>
    </row>
    <row r="460" spans="1:8">
      <c r="A460" s="45" t="s">
        <v>427</v>
      </c>
      <c r="B460" s="51">
        <v>2950</v>
      </c>
      <c r="C460" s="51">
        <v>1438.42</v>
      </c>
      <c r="D460" s="49">
        <v>111.57999999999993</v>
      </c>
      <c r="E460" s="51">
        <v>37.760000000000005</v>
      </c>
      <c r="F460" s="49">
        <v>1587.7600000000002</v>
      </c>
      <c r="G460" s="49">
        <v>4537.76</v>
      </c>
      <c r="H460" s="49">
        <v>53.822372881355939</v>
      </c>
    </row>
    <row r="461" spans="1:8">
      <c r="A461" s="45" t="s">
        <v>428</v>
      </c>
      <c r="B461" s="51">
        <v>2964</v>
      </c>
      <c r="C461" s="51">
        <v>1272.4452000000001</v>
      </c>
      <c r="D461" s="49">
        <v>263.55479999999989</v>
      </c>
      <c r="E461" s="51">
        <v>640.22400000000005</v>
      </c>
      <c r="F461" s="49">
        <v>2176.2240000000002</v>
      </c>
      <c r="G461" s="49">
        <v>5140.2240000000002</v>
      </c>
      <c r="H461" s="49">
        <v>73.421862348178138</v>
      </c>
    </row>
    <row r="462" spans="1:8">
      <c r="A462" s="45" t="s">
        <v>429</v>
      </c>
      <c r="B462" s="51">
        <v>2600</v>
      </c>
      <c r="C462" s="51">
        <v>1185.0800000000002</v>
      </c>
      <c r="D462" s="49">
        <v>714.92000000000007</v>
      </c>
      <c r="E462" s="51">
        <v>241.27999999999997</v>
      </c>
      <c r="F462" s="49">
        <v>2141.2799999999997</v>
      </c>
      <c r="G462" s="49">
        <v>4741.28</v>
      </c>
      <c r="H462" s="49">
        <v>82.356923076923067</v>
      </c>
    </row>
    <row r="463" spans="1:8">
      <c r="A463" s="43" t="s">
        <v>59</v>
      </c>
      <c r="B463" s="51">
        <v>20997</v>
      </c>
      <c r="C463" s="51">
        <v>9864.1532999999999</v>
      </c>
      <c r="D463" s="49">
        <v>5376.1480000000001</v>
      </c>
      <c r="E463" s="51">
        <v>2118.9168</v>
      </c>
      <c r="F463" s="49">
        <v>17359.218099999998</v>
      </c>
      <c r="G463" s="49">
        <v>38356.218099999998</v>
      </c>
      <c r="H463" s="49">
        <v>88.520283334656398</v>
      </c>
    </row>
    <row r="464" spans="1:8">
      <c r="A464" s="44" t="s">
        <v>423</v>
      </c>
      <c r="B464" s="51">
        <v>4320</v>
      </c>
      <c r="C464" s="51">
        <v>1882.8780000000002</v>
      </c>
      <c r="D464" s="49">
        <v>1797.1220000000003</v>
      </c>
      <c r="E464" s="51">
        <v>222.52799999999999</v>
      </c>
      <c r="F464" s="49">
        <v>3902.5279999999998</v>
      </c>
      <c r="G464" s="49">
        <v>8222.5280000000002</v>
      </c>
      <c r="H464" s="49">
        <v>91.038513931888545</v>
      </c>
    </row>
    <row r="465" spans="1:8">
      <c r="A465" s="45" t="s">
        <v>430</v>
      </c>
      <c r="B465" s="51">
        <v>2280</v>
      </c>
      <c r="C465" s="51">
        <v>1093.6020000000001</v>
      </c>
      <c r="D465" s="49">
        <v>626.39800000000014</v>
      </c>
      <c r="E465" s="51">
        <v>67.488</v>
      </c>
      <c r="F465" s="49">
        <v>1787.4879999999998</v>
      </c>
      <c r="G465" s="49">
        <v>4067.4879999999998</v>
      </c>
      <c r="H465" s="49">
        <v>78.398596491228062</v>
      </c>
    </row>
    <row r="466" spans="1:8">
      <c r="A466" s="45" t="s">
        <v>431</v>
      </c>
      <c r="B466" s="51">
        <v>2040</v>
      </c>
      <c r="C466" s="51">
        <v>789.27600000000007</v>
      </c>
      <c r="D466" s="49">
        <v>1170.7240000000002</v>
      </c>
      <c r="E466" s="51">
        <v>155.04</v>
      </c>
      <c r="F466" s="49">
        <v>2115.04</v>
      </c>
      <c r="G466" s="49">
        <v>4155.04</v>
      </c>
      <c r="H466" s="49">
        <v>103.67843137254903</v>
      </c>
    </row>
    <row r="467" spans="1:8">
      <c r="A467" s="44" t="s">
        <v>426</v>
      </c>
      <c r="B467" s="51">
        <v>2040</v>
      </c>
      <c r="C467" s="51">
        <v>935.23799999999994</v>
      </c>
      <c r="D467" s="49">
        <v>1024.7620000000002</v>
      </c>
      <c r="E467" s="51">
        <v>53.856000000000002</v>
      </c>
      <c r="F467" s="49">
        <v>2013.8560000000002</v>
      </c>
      <c r="G467" s="49">
        <v>4053.8560000000002</v>
      </c>
      <c r="H467" s="49">
        <v>98.718431372549034</v>
      </c>
    </row>
    <row r="468" spans="1:8">
      <c r="A468" s="45" t="s">
        <v>432</v>
      </c>
      <c r="B468" s="51">
        <v>2040</v>
      </c>
      <c r="C468" s="51">
        <v>935.23799999999994</v>
      </c>
      <c r="D468" s="49">
        <v>1024.7620000000002</v>
      </c>
      <c r="E468" s="51">
        <v>53.856000000000002</v>
      </c>
      <c r="F468" s="49">
        <v>2013.8560000000002</v>
      </c>
      <c r="G468" s="49">
        <v>4053.8560000000002</v>
      </c>
      <c r="H468" s="49">
        <v>98.718431372549034</v>
      </c>
    </row>
    <row r="469" spans="1:8">
      <c r="A469" s="44" t="s">
        <v>433</v>
      </c>
      <c r="B469" s="51">
        <v>2040</v>
      </c>
      <c r="C469" s="51">
        <v>897.39600000000007</v>
      </c>
      <c r="D469" s="49">
        <v>1062.6039999999998</v>
      </c>
      <c r="E469" s="51">
        <v>53.856000000000002</v>
      </c>
      <c r="F469" s="49">
        <v>2013.8560000000002</v>
      </c>
      <c r="G469" s="49">
        <v>4053.8560000000002</v>
      </c>
      <c r="H469" s="49">
        <v>98.718431372549034</v>
      </c>
    </row>
    <row r="470" spans="1:8">
      <c r="A470" s="45" t="s">
        <v>434</v>
      </c>
      <c r="B470" s="51">
        <v>2040</v>
      </c>
      <c r="C470" s="51">
        <v>897.39600000000007</v>
      </c>
      <c r="D470" s="49">
        <v>1062.6039999999998</v>
      </c>
      <c r="E470" s="51">
        <v>53.856000000000002</v>
      </c>
      <c r="F470" s="49">
        <v>2013.8560000000002</v>
      </c>
      <c r="G470" s="49">
        <v>4053.8560000000002</v>
      </c>
      <c r="H470" s="49">
        <v>98.718431372549034</v>
      </c>
    </row>
    <row r="471" spans="1:8">
      <c r="A471" s="44" t="s">
        <v>435</v>
      </c>
      <c r="B471" s="51">
        <v>7900</v>
      </c>
      <c r="C471" s="51">
        <v>3833.4900000000002</v>
      </c>
      <c r="D471" s="49">
        <v>1491.6599999999999</v>
      </c>
      <c r="E471" s="51">
        <v>1345.2800000000002</v>
      </c>
      <c r="F471" s="49">
        <v>6670.43</v>
      </c>
      <c r="G471" s="49">
        <v>14570.43</v>
      </c>
      <c r="H471" s="49">
        <v>89.972792022792021</v>
      </c>
    </row>
    <row r="472" spans="1:8">
      <c r="A472" s="45" t="s">
        <v>436</v>
      </c>
      <c r="B472" s="51">
        <v>2600</v>
      </c>
      <c r="C472" s="51">
        <v>1240.2</v>
      </c>
      <c r="D472" s="49">
        <v>159.80000000000018</v>
      </c>
      <c r="E472" s="51">
        <v>572</v>
      </c>
      <c r="F472" s="49">
        <v>1972</v>
      </c>
      <c r="G472" s="49">
        <v>4572</v>
      </c>
      <c r="H472" s="49">
        <v>75.84615384615384</v>
      </c>
    </row>
    <row r="473" spans="1:8">
      <c r="A473" s="45" t="s">
        <v>437</v>
      </c>
      <c r="B473" s="51">
        <v>1800</v>
      </c>
      <c r="C473" s="51">
        <v>868.1400000000001</v>
      </c>
      <c r="D473" s="49">
        <v>1331.8599999999997</v>
      </c>
      <c r="E473" s="51">
        <v>17.279999999999998</v>
      </c>
      <c r="F473" s="49">
        <v>2217.2800000000002</v>
      </c>
      <c r="G473" s="49">
        <v>4017.28</v>
      </c>
      <c r="H473" s="49">
        <v>123.18222222222224</v>
      </c>
    </row>
    <row r="474" spans="1:8">
      <c r="A474" s="45" t="s">
        <v>438</v>
      </c>
      <c r="B474" s="51">
        <v>3500</v>
      </c>
      <c r="C474" s="51">
        <v>1725.15</v>
      </c>
      <c r="D474" s="49"/>
      <c r="E474" s="51">
        <v>756.00000000000011</v>
      </c>
      <c r="F474" s="49">
        <v>2481.1499999999996</v>
      </c>
      <c r="G474" s="49">
        <v>5981.15</v>
      </c>
      <c r="H474" s="49">
        <v>70.889999999999986</v>
      </c>
    </row>
    <row r="475" spans="1:8">
      <c r="A475" s="44" t="s">
        <v>439</v>
      </c>
      <c r="B475" s="51">
        <v>4697</v>
      </c>
      <c r="C475" s="51">
        <v>2315.1513</v>
      </c>
      <c r="D475" s="49"/>
      <c r="E475" s="51">
        <v>443.39679999999998</v>
      </c>
      <c r="F475" s="49">
        <v>2758.5481</v>
      </c>
      <c r="G475" s="49">
        <v>7455.5481</v>
      </c>
      <c r="H475" s="49">
        <v>58.730000000000004</v>
      </c>
    </row>
    <row r="476" spans="1:8">
      <c r="A476" s="45" t="s">
        <v>440</v>
      </c>
      <c r="B476" s="51">
        <v>4697</v>
      </c>
      <c r="C476" s="51">
        <v>2315.1513</v>
      </c>
      <c r="D476" s="49"/>
      <c r="E476" s="51">
        <v>443.39679999999998</v>
      </c>
      <c r="F476" s="49">
        <v>2758.5481</v>
      </c>
      <c r="G476" s="49">
        <v>7455.5481</v>
      </c>
      <c r="H476" s="49">
        <v>58.730000000000004</v>
      </c>
    </row>
    <row r="477" spans="1:8">
      <c r="A477" s="42" t="s">
        <v>84</v>
      </c>
      <c r="B477" s="51">
        <v>8805</v>
      </c>
      <c r="C477" s="51">
        <v>3633.6800000000003</v>
      </c>
      <c r="D477" s="49">
        <v>4061.32</v>
      </c>
      <c r="E477" s="51">
        <v>586.10399999999993</v>
      </c>
      <c r="F477" s="49">
        <v>8281.1039999999994</v>
      </c>
      <c r="G477" s="49">
        <v>17086.103999999999</v>
      </c>
      <c r="H477" s="49">
        <v>94.505051057962447</v>
      </c>
    </row>
    <row r="478" spans="1:8">
      <c r="A478" s="43" t="s">
        <v>53</v>
      </c>
      <c r="B478" s="51">
        <v>2200</v>
      </c>
      <c r="C478" s="51">
        <v>1049.4000000000001</v>
      </c>
      <c r="D478" s="49">
        <v>1250.5999999999999</v>
      </c>
      <c r="E478" s="51">
        <v>31.68</v>
      </c>
      <c r="F478" s="49">
        <v>2331.6800000000003</v>
      </c>
      <c r="G478" s="49">
        <v>4531.68</v>
      </c>
      <c r="H478" s="49">
        <v>105.98545454545456</v>
      </c>
    </row>
    <row r="479" spans="1:8">
      <c r="A479" s="44" t="s">
        <v>441</v>
      </c>
      <c r="B479" s="51">
        <v>2200</v>
      </c>
      <c r="C479" s="51">
        <v>1049.4000000000001</v>
      </c>
      <c r="D479" s="49">
        <v>1250.5999999999999</v>
      </c>
      <c r="E479" s="51">
        <v>31.68</v>
      </c>
      <c r="F479" s="49">
        <v>2331.6800000000003</v>
      </c>
      <c r="G479" s="49">
        <v>4531.68</v>
      </c>
      <c r="H479" s="49">
        <v>105.98545454545456</v>
      </c>
    </row>
    <row r="480" spans="1:8">
      <c r="A480" s="45" t="s">
        <v>442</v>
      </c>
      <c r="B480" s="51">
        <v>2200</v>
      </c>
      <c r="C480" s="51">
        <v>1049.4000000000001</v>
      </c>
      <c r="D480" s="49">
        <v>1250.5999999999999</v>
      </c>
      <c r="E480" s="51">
        <v>31.68</v>
      </c>
      <c r="F480" s="49">
        <v>2331.6800000000003</v>
      </c>
      <c r="G480" s="49">
        <v>4531.68</v>
      </c>
      <c r="H480" s="49">
        <v>105.98545454545456</v>
      </c>
    </row>
    <row r="481" spans="1:8">
      <c r="A481" s="43" t="s">
        <v>59</v>
      </c>
      <c r="B481" s="51">
        <v>6605</v>
      </c>
      <c r="C481" s="51">
        <v>2584.2800000000002</v>
      </c>
      <c r="D481" s="49">
        <v>2810.7200000000003</v>
      </c>
      <c r="E481" s="51">
        <v>554.42399999999998</v>
      </c>
      <c r="F481" s="49">
        <v>5949.424</v>
      </c>
      <c r="G481" s="49">
        <v>12554.423999999999</v>
      </c>
      <c r="H481" s="49">
        <v>90.678249895465072</v>
      </c>
    </row>
    <row r="482" spans="1:8">
      <c r="A482" s="44" t="s">
        <v>443</v>
      </c>
      <c r="B482" s="51">
        <v>6605</v>
      </c>
      <c r="C482" s="51">
        <v>2584.2800000000002</v>
      </c>
      <c r="D482" s="49">
        <v>2810.7200000000003</v>
      </c>
      <c r="E482" s="51">
        <v>554.42399999999998</v>
      </c>
      <c r="F482" s="49">
        <v>5949.424</v>
      </c>
      <c r="G482" s="49">
        <v>12554.423999999999</v>
      </c>
      <c r="H482" s="49">
        <v>90.678249895465072</v>
      </c>
    </row>
    <row r="483" spans="1:8">
      <c r="A483" s="45" t="s">
        <v>444</v>
      </c>
      <c r="B483" s="51">
        <v>2200</v>
      </c>
      <c r="C483" s="51">
        <v>967.78</v>
      </c>
      <c r="D483" s="49">
        <v>832.22000000000025</v>
      </c>
      <c r="E483" s="51">
        <v>227.04</v>
      </c>
      <c r="F483" s="49">
        <v>2027.04</v>
      </c>
      <c r="G483" s="49">
        <v>4227.04</v>
      </c>
      <c r="H483" s="49">
        <v>92.13818181818182</v>
      </c>
    </row>
    <row r="484" spans="1:8">
      <c r="A484" s="45" t="s">
        <v>445</v>
      </c>
      <c r="B484" s="51">
        <v>2370</v>
      </c>
      <c r="C484" s="51">
        <v>753.66</v>
      </c>
      <c r="D484" s="49">
        <v>876.34000000000015</v>
      </c>
      <c r="E484" s="51">
        <v>219.93599999999998</v>
      </c>
      <c r="F484" s="49">
        <v>1849.9359999999997</v>
      </c>
      <c r="G484" s="49">
        <v>4219.9359999999997</v>
      </c>
      <c r="H484" s="49">
        <v>78.056371308016864</v>
      </c>
    </row>
    <row r="485" spans="1:8">
      <c r="A485" s="45" t="s">
        <v>446</v>
      </c>
      <c r="B485" s="51">
        <v>2035</v>
      </c>
      <c r="C485" s="51">
        <v>862.84</v>
      </c>
      <c r="D485" s="49">
        <v>1102.1599999999999</v>
      </c>
      <c r="E485" s="51">
        <v>107.44799999999999</v>
      </c>
      <c r="F485" s="49">
        <v>2072.4480000000003</v>
      </c>
      <c r="G485" s="49">
        <v>4107.4480000000003</v>
      </c>
      <c r="H485" s="49">
        <v>101.84019656019657</v>
      </c>
    </row>
    <row r="486" spans="1:8">
      <c r="A486" s="42" t="s">
        <v>476</v>
      </c>
      <c r="B486" s="51" t="e">
        <v>#N/A</v>
      </c>
      <c r="C486" s="51" t="e">
        <v>#N/A</v>
      </c>
      <c r="D486" s="49" t="e">
        <v>#N/A</v>
      </c>
      <c r="E486" s="51" t="e">
        <v>#N/A</v>
      </c>
      <c r="F486" s="49" t="e">
        <v>#N/A</v>
      </c>
      <c r="G486" s="49" t="e">
        <v>#N/A</v>
      </c>
      <c r="H486" s="49" t="e">
        <v>#N/A</v>
      </c>
    </row>
    <row r="487" spans="1:8">
      <c r="A487" s="43" t="s">
        <v>457</v>
      </c>
      <c r="B487" s="51" t="e">
        <v>#N/A</v>
      </c>
      <c r="C487" s="51" t="e">
        <v>#N/A</v>
      </c>
      <c r="D487" s="49" t="e">
        <v>#N/A</v>
      </c>
      <c r="E487" s="51" t="e">
        <v>#N/A</v>
      </c>
      <c r="F487" s="49" t="e">
        <v>#N/A</v>
      </c>
      <c r="G487" s="49" t="e">
        <v>#N/A</v>
      </c>
      <c r="H487" s="49" t="e">
        <v>#N/A</v>
      </c>
    </row>
    <row r="488" spans="1:8">
      <c r="A488" s="44" t="s">
        <v>476</v>
      </c>
      <c r="B488" s="51" t="e">
        <v>#N/A</v>
      </c>
      <c r="C488" s="51" t="e">
        <v>#N/A</v>
      </c>
      <c r="D488" s="49" t="e">
        <v>#N/A</v>
      </c>
      <c r="E488" s="51" t="e">
        <v>#N/A</v>
      </c>
      <c r="F488" s="49" t="e">
        <v>#N/A</v>
      </c>
      <c r="G488" s="49" t="e">
        <v>#N/A</v>
      </c>
      <c r="H488" s="49" t="e">
        <v>#N/A</v>
      </c>
    </row>
    <row r="489" spans="1:8">
      <c r="A489" s="45" t="s">
        <v>476</v>
      </c>
      <c r="B489" s="51" t="e">
        <v>#N/A</v>
      </c>
      <c r="C489" s="51" t="e">
        <v>#N/A</v>
      </c>
      <c r="D489" s="49" t="e">
        <v>#N/A</v>
      </c>
      <c r="E489" s="51" t="e">
        <v>#N/A</v>
      </c>
      <c r="F489" s="49" t="e">
        <v>#N/A</v>
      </c>
      <c r="G489" s="49" t="e">
        <v>#N/A</v>
      </c>
      <c r="H489" s="49" t="e">
        <v>#N/A</v>
      </c>
    </row>
    <row r="490" spans="1:8">
      <c r="A490" s="42" t="s">
        <v>457</v>
      </c>
      <c r="B490" s="51"/>
      <c r="C490" s="51"/>
      <c r="D490" s="49"/>
      <c r="E490" s="51"/>
      <c r="F490" s="49"/>
      <c r="G490" s="49"/>
      <c r="H490" s="49"/>
    </row>
    <row r="491" spans="1:8">
      <c r="A491" s="43" t="s">
        <v>457</v>
      </c>
      <c r="B491" s="51"/>
      <c r="C491" s="51"/>
      <c r="D491" s="49"/>
      <c r="E491" s="51"/>
      <c r="F491" s="49"/>
      <c r="G491" s="49"/>
      <c r="H491" s="49"/>
    </row>
    <row r="492" spans="1:8">
      <c r="A492" s="44" t="s">
        <v>457</v>
      </c>
      <c r="B492" s="51"/>
      <c r="C492" s="51"/>
      <c r="D492" s="49"/>
      <c r="E492" s="51"/>
      <c r="F492" s="49"/>
      <c r="G492" s="49"/>
      <c r="H492" s="49"/>
    </row>
    <row r="493" spans="1:8">
      <c r="A493" s="45" t="s">
        <v>457</v>
      </c>
      <c r="B493" s="51"/>
      <c r="C493" s="51"/>
      <c r="D493" s="49"/>
      <c r="E493" s="51"/>
      <c r="F493" s="49"/>
      <c r="G493" s="49"/>
      <c r="H493" s="49"/>
    </row>
    <row r="494" spans="1:8">
      <c r="A494" s="42" t="s">
        <v>69</v>
      </c>
      <c r="B494" s="51" t="e">
        <v>#N/A</v>
      </c>
      <c r="C494" s="51" t="e">
        <v>#N/A</v>
      </c>
      <c r="D494" s="49" t="e">
        <v>#N/A</v>
      </c>
      <c r="E494" s="51" t="e">
        <v>#N/A</v>
      </c>
      <c r="F494" s="49" t="e">
        <v>#N/A</v>
      </c>
      <c r="G494" s="49" t="e">
        <v>#N/A</v>
      </c>
      <c r="H494" s="49" t="e">
        <v>#N/A</v>
      </c>
    </row>
  </sheetData>
  <mergeCells count="1">
    <mergeCell ref="D1:G1"/>
  </mergeCells>
  <pageMargins left="0.7" right="0.7" top="0.75" bottom="0.890625" header="0.3" footer="0.3"/>
  <pageSetup scale="75" orientation="portrait" verticalDpi="0" r:id="rId2"/>
  <headerFooter>
    <oddHeader>&amp;C&amp;"DecoType Naskh,Regular"&amp;20payroll 2018</oddHeader>
    <oddFooter>&amp;CPrepared by HRM 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I2"/>
  <sheetViews>
    <sheetView workbookViewId="0">
      <selection activeCell="J8" sqref="J8"/>
    </sheetView>
  </sheetViews>
  <sheetFormatPr defaultRowHeight="14.5"/>
  <cols>
    <col min="1" max="1" width="11.81640625" customWidth="1"/>
    <col min="7" max="7" width="13.08984375" customWidth="1"/>
    <col min="8" max="8" width="9" customWidth="1"/>
    <col min="9" max="9" width="14.36328125" customWidth="1"/>
    <col min="10" max="10" width="9.81640625" customWidth="1"/>
    <col min="11" max="11" width="9.453125" customWidth="1"/>
    <col min="12" max="12" width="10.81640625" customWidth="1"/>
    <col min="13" max="13" width="12.08984375" customWidth="1"/>
    <col min="14" max="14" width="15.7265625" customWidth="1"/>
    <col min="15" max="15" width="14.7265625" customWidth="1"/>
    <col min="16" max="16" width="15.81640625" customWidth="1"/>
    <col min="17" max="17" width="20.26953125" customWidth="1"/>
    <col min="18" max="18" width="17.54296875" customWidth="1"/>
    <col min="19" max="19" width="18.7265625" customWidth="1"/>
    <col min="20" max="20" width="20.08984375" customWidth="1"/>
    <col min="21" max="21" width="18.36328125" customWidth="1"/>
    <col min="22" max="22" width="15.6328125" customWidth="1"/>
    <col min="23" max="23" width="20.453125" customWidth="1"/>
    <col min="24" max="24" width="21.6328125" customWidth="1"/>
    <col min="25" max="25" width="20.1796875" customWidth="1"/>
    <col min="26" max="26" width="16.54296875" customWidth="1"/>
    <col min="28" max="28" width="22.54296875" customWidth="1"/>
    <col min="29" max="29" width="11.54296875" customWidth="1"/>
    <col min="31" max="31" width="11.36328125" customWidth="1"/>
    <col min="32" max="32" width="21.08984375" customWidth="1"/>
    <col min="33" max="33" width="17.36328125" customWidth="1"/>
    <col min="34" max="34" width="9.453125" customWidth="1"/>
    <col min="35" max="35" width="12" customWidth="1"/>
    <col min="36" max="36" width="15.1796875" customWidth="1"/>
    <col min="37" max="37" width="16.54296875" customWidth="1"/>
    <col min="38" max="38" width="11.08984375" customWidth="1"/>
    <col min="39" max="39" width="10.08984375" customWidth="1"/>
    <col min="40" max="40" width="9.453125" customWidth="1"/>
    <col min="41" max="41" width="20.7265625" customWidth="1"/>
    <col min="42" max="42" width="19.453125" customWidth="1"/>
    <col min="43" max="43" width="16.453125" customWidth="1"/>
    <col min="44" max="44" width="15.36328125" customWidth="1"/>
    <col min="45" max="45" width="10" customWidth="1"/>
    <col min="46" max="46" width="23" customWidth="1"/>
    <col min="50" max="50" width="9.08984375" customWidth="1"/>
    <col min="51" max="51" width="12.36328125" customWidth="1"/>
    <col min="52" max="52" width="12" customWidth="1"/>
    <col min="53" max="53" width="16" customWidth="1"/>
    <col min="54" max="54" width="11.26953125" customWidth="1"/>
    <col min="55" max="55" width="10.54296875" customWidth="1"/>
    <col min="56" max="56" width="9.6328125" customWidth="1"/>
    <col min="58" max="59" width="10.26953125" customWidth="1"/>
    <col min="61" max="61" width="10.26953125" customWidth="1"/>
  </cols>
  <sheetData>
    <row r="1" spans="1:6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37</v>
      </c>
      <c r="I1" t="s">
        <v>954</v>
      </c>
      <c r="J1" t="s">
        <v>955</v>
      </c>
      <c r="K1" t="s">
        <v>6</v>
      </c>
      <c r="L1" t="s">
        <v>7</v>
      </c>
      <c r="M1" t="s">
        <v>8</v>
      </c>
      <c r="N1" t="s">
        <v>31</v>
      </c>
      <c r="O1" t="s">
        <v>32</v>
      </c>
      <c r="P1" t="s">
        <v>800</v>
      </c>
      <c r="Q1" t="s">
        <v>64</v>
      </c>
      <c r="R1" t="s">
        <v>36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  <c r="Z1" t="s">
        <v>16</v>
      </c>
      <c r="AA1" t="s">
        <v>17</v>
      </c>
      <c r="AB1" t="s">
        <v>18</v>
      </c>
      <c r="AC1" t="s">
        <v>19</v>
      </c>
      <c r="AD1" t="s">
        <v>20</v>
      </c>
      <c r="AE1" t="s">
        <v>21</v>
      </c>
      <c r="AF1" t="s">
        <v>22</v>
      </c>
      <c r="AG1" t="s">
        <v>23</v>
      </c>
      <c r="AH1" t="s">
        <v>24</v>
      </c>
      <c r="AI1" t="s">
        <v>26</v>
      </c>
      <c r="AJ1" t="s">
        <v>27</v>
      </c>
      <c r="AK1" t="s">
        <v>28</v>
      </c>
      <c r="AL1" t="s">
        <v>29</v>
      </c>
      <c r="AM1" t="s">
        <v>30</v>
      </c>
      <c r="AN1" t="s">
        <v>25</v>
      </c>
      <c r="AO1" t="s">
        <v>801</v>
      </c>
      <c r="AP1" t="s">
        <v>510</v>
      </c>
      <c r="AQ1" t="s">
        <v>511</v>
      </c>
      <c r="AR1" t="s">
        <v>34</v>
      </c>
      <c r="AS1" t="s">
        <v>62</v>
      </c>
      <c r="AT1" t="s">
        <v>512</v>
      </c>
      <c r="AU1" t="s">
        <v>65</v>
      </c>
      <c r="AV1" t="s">
        <v>66</v>
      </c>
      <c r="AW1" t="s">
        <v>124</v>
      </c>
      <c r="AX1" t="s">
        <v>123</v>
      </c>
      <c r="AY1" t="s">
        <v>893</v>
      </c>
      <c r="AZ1" t="s">
        <v>67</v>
      </c>
      <c r="BA1" t="s">
        <v>892</v>
      </c>
      <c r="BB1" t="s">
        <v>56</v>
      </c>
      <c r="BC1" t="s">
        <v>987</v>
      </c>
      <c r="BD1" t="s">
        <v>989</v>
      </c>
      <c r="BE1" t="s">
        <v>990</v>
      </c>
      <c r="BF1" t="s">
        <v>57</v>
      </c>
      <c r="BG1" t="s">
        <v>58</v>
      </c>
      <c r="BH1" t="s">
        <v>988</v>
      </c>
      <c r="BI1" t="s">
        <v>498</v>
      </c>
    </row>
    <row r="2" spans="1:61">
      <c r="A2">
        <v>1022</v>
      </c>
      <c r="B2" t="s">
        <v>992</v>
      </c>
      <c r="C2" t="s">
        <v>991</v>
      </c>
      <c r="D2" t="s">
        <v>80</v>
      </c>
      <c r="E2">
        <v>0</v>
      </c>
      <c r="F2" t="s">
        <v>474</v>
      </c>
      <c r="G2">
        <v>0</v>
      </c>
      <c r="H2">
        <v>0</v>
      </c>
      <c r="I2" t="s">
        <v>493</v>
      </c>
      <c r="J2" t="s">
        <v>50</v>
      </c>
      <c r="K2" s="660">
        <v>39173</v>
      </c>
      <c r="L2" s="660">
        <v>43465</v>
      </c>
      <c r="M2">
        <v>11</v>
      </c>
      <c r="N2">
        <v>8</v>
      </c>
      <c r="O2">
        <v>23.28</v>
      </c>
      <c r="P2">
        <v>35000</v>
      </c>
      <c r="Q2">
        <v>8148</v>
      </c>
      <c r="AA2">
        <v>0</v>
      </c>
      <c r="AB2">
        <v>15</v>
      </c>
      <c r="AC2">
        <v>15</v>
      </c>
      <c r="AD2">
        <v>15</v>
      </c>
      <c r="AE2">
        <v>12</v>
      </c>
      <c r="AF2">
        <v>5</v>
      </c>
      <c r="AG2">
        <v>3</v>
      </c>
      <c r="AH2">
        <v>65</v>
      </c>
      <c r="AI2">
        <v>65</v>
      </c>
      <c r="AO2">
        <v>39</v>
      </c>
      <c r="AP2">
        <v>13650</v>
      </c>
      <c r="AQ2">
        <v>48650</v>
      </c>
      <c r="AR2">
        <v>16350</v>
      </c>
      <c r="AS2">
        <v>65000</v>
      </c>
      <c r="AT2">
        <v>65000</v>
      </c>
      <c r="AU2">
        <v>30000</v>
      </c>
      <c r="AV2">
        <v>85.714285714285708</v>
      </c>
      <c r="AW2">
        <v>0</v>
      </c>
      <c r="AX2">
        <v>0</v>
      </c>
      <c r="AY2">
        <v>30000</v>
      </c>
      <c r="AZ2">
        <v>65000</v>
      </c>
      <c r="BA2">
        <v>85.714285714285708</v>
      </c>
      <c r="BB2">
        <v>35000</v>
      </c>
      <c r="BD2">
        <v>65000</v>
      </c>
      <c r="BE2">
        <v>65000</v>
      </c>
      <c r="BF2">
        <v>16350</v>
      </c>
      <c r="BG2">
        <v>-65000</v>
      </c>
      <c r="BH2">
        <v>65000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K862"/>
  <sheetViews>
    <sheetView zoomScaleNormal="100" workbookViewId="0">
      <selection activeCell="L14" sqref="L14"/>
    </sheetView>
  </sheetViews>
  <sheetFormatPr defaultRowHeight="14.5"/>
  <cols>
    <col min="1" max="1" width="35.1796875" customWidth="1"/>
    <col min="2" max="2" width="11.453125" style="1" customWidth="1"/>
    <col min="3" max="3" width="14.54296875" style="1" customWidth="1"/>
    <col min="4" max="4" width="9.90625" style="1" customWidth="1"/>
    <col min="5" max="5" width="14.36328125" style="1" customWidth="1"/>
    <col min="6" max="6" width="9.90625" style="1" customWidth="1"/>
    <col min="7" max="7" width="8.90625" style="1" customWidth="1"/>
    <col min="8" max="8" width="7.08984375" style="1" customWidth="1"/>
    <col min="9" max="10" width="11.453125" customWidth="1"/>
    <col min="11" max="11" width="8" customWidth="1"/>
  </cols>
  <sheetData>
    <row r="1" spans="1:11">
      <c r="A1" s="655" t="s">
        <v>955</v>
      </c>
      <c r="B1" t="s">
        <v>477</v>
      </c>
    </row>
    <row r="3" spans="1:11" ht="58">
      <c r="A3" s="654" t="s">
        <v>68</v>
      </c>
      <c r="B3" s="649" t="s">
        <v>974</v>
      </c>
      <c r="C3" s="649" t="s">
        <v>985</v>
      </c>
      <c r="D3" s="649" t="s">
        <v>121</v>
      </c>
      <c r="E3" s="649" t="s">
        <v>975</v>
      </c>
      <c r="F3" s="649" t="s">
        <v>87</v>
      </c>
      <c r="G3" s="649" t="s">
        <v>993</v>
      </c>
      <c r="H3" s="649" t="s">
        <v>994</v>
      </c>
      <c r="I3" s="649" t="s">
        <v>976</v>
      </c>
      <c r="J3" s="649" t="s">
        <v>977</v>
      </c>
      <c r="K3" s="649" t="s">
        <v>984</v>
      </c>
    </row>
    <row r="4" spans="1:11" s="651" customFormat="1">
      <c r="A4" s="650" t="s">
        <v>137</v>
      </c>
      <c r="B4" s="47">
        <v>251960</v>
      </c>
      <c r="C4" s="47">
        <v>49.285714285714278</v>
      </c>
      <c r="D4" s="47">
        <v>43805.040000000015</v>
      </c>
      <c r="E4" s="47">
        <v>125303.1</v>
      </c>
      <c r="F4" s="47">
        <v>42549.200000000004</v>
      </c>
      <c r="G4" s="47">
        <v>23407.980000000003</v>
      </c>
      <c r="H4" s="47">
        <v>19.719999999999345</v>
      </c>
      <c r="I4" s="47">
        <v>191280</v>
      </c>
      <c r="J4" s="47">
        <v>443240</v>
      </c>
      <c r="K4" s="47">
        <v>84.337938571297713</v>
      </c>
    </row>
    <row r="5" spans="1:11" s="651" customFormat="1">
      <c r="A5" s="656">
        <v>0</v>
      </c>
      <c r="B5" s="47">
        <v>13600</v>
      </c>
      <c r="C5" s="47">
        <v>36.6</v>
      </c>
      <c r="D5" s="47">
        <v>155.51999999999998</v>
      </c>
      <c r="E5" s="47">
        <v>5490</v>
      </c>
      <c r="F5" s="47">
        <v>2400</v>
      </c>
      <c r="G5" s="47">
        <v>0</v>
      </c>
      <c r="H5" s="47">
        <v>0</v>
      </c>
      <c r="I5" s="47">
        <v>7890</v>
      </c>
      <c r="J5" s="47">
        <v>21490</v>
      </c>
      <c r="K5" s="47">
        <v>58.822222222222223</v>
      </c>
    </row>
    <row r="6" spans="1:11" s="651" customFormat="1">
      <c r="A6" s="661" t="s">
        <v>173</v>
      </c>
      <c r="B6" s="47">
        <v>3600</v>
      </c>
      <c r="C6" s="47">
        <v>0</v>
      </c>
      <c r="D6" s="47">
        <v>11.520000000000001</v>
      </c>
      <c r="E6" s="47">
        <v>0</v>
      </c>
      <c r="F6" s="47">
        <v>2400</v>
      </c>
      <c r="G6" s="47">
        <v>0</v>
      </c>
      <c r="H6" s="47">
        <v>0</v>
      </c>
      <c r="I6" s="47">
        <v>2400</v>
      </c>
      <c r="J6" s="47">
        <v>6000</v>
      </c>
      <c r="K6" s="47">
        <v>66.666666666666671</v>
      </c>
    </row>
    <row r="7" spans="1:11" s="651" customFormat="1">
      <c r="A7" s="653" t="s">
        <v>1013</v>
      </c>
      <c r="B7" s="47">
        <v>3600</v>
      </c>
      <c r="C7" s="47">
        <v>0</v>
      </c>
      <c r="D7" s="47">
        <v>11.520000000000001</v>
      </c>
      <c r="E7" s="47">
        <v>0</v>
      </c>
      <c r="F7" s="47">
        <v>2400</v>
      </c>
      <c r="G7" s="47">
        <v>0</v>
      </c>
      <c r="H7" s="47">
        <v>0</v>
      </c>
      <c r="I7" s="47">
        <v>2400</v>
      </c>
      <c r="J7" s="47">
        <v>6000</v>
      </c>
      <c r="K7" s="47">
        <v>66.666666666666671</v>
      </c>
    </row>
    <row r="8" spans="1:11" s="651" customFormat="1">
      <c r="A8" s="652" t="s">
        <v>111</v>
      </c>
      <c r="B8" s="47">
        <v>5000</v>
      </c>
      <c r="C8" s="47">
        <v>54</v>
      </c>
      <c r="D8" s="47">
        <v>72</v>
      </c>
      <c r="E8" s="47">
        <v>2700</v>
      </c>
      <c r="F8" s="47">
        <v>0</v>
      </c>
      <c r="G8" s="47">
        <v>0</v>
      </c>
      <c r="H8" s="47">
        <v>0</v>
      </c>
      <c r="I8" s="47">
        <v>2700</v>
      </c>
      <c r="J8" s="47">
        <v>7700</v>
      </c>
      <c r="K8" s="47">
        <v>54</v>
      </c>
    </row>
    <row r="9" spans="1:11" s="651" customFormat="1">
      <c r="A9" s="653" t="s">
        <v>725</v>
      </c>
      <c r="B9" s="47">
        <v>5000</v>
      </c>
      <c r="C9" s="47">
        <v>54</v>
      </c>
      <c r="D9" s="47">
        <v>72</v>
      </c>
      <c r="E9" s="47">
        <v>2700</v>
      </c>
      <c r="F9" s="47">
        <v>0</v>
      </c>
      <c r="G9" s="47">
        <v>0</v>
      </c>
      <c r="H9" s="47">
        <v>0</v>
      </c>
      <c r="I9" s="47">
        <v>2700</v>
      </c>
      <c r="J9" s="47">
        <v>7700</v>
      </c>
      <c r="K9" s="47">
        <v>54</v>
      </c>
    </row>
    <row r="10" spans="1:11" s="651" customFormat="1">
      <c r="A10" s="652" t="s">
        <v>722</v>
      </c>
      <c r="B10" s="47">
        <v>5000</v>
      </c>
      <c r="C10" s="47">
        <v>55.8</v>
      </c>
      <c r="D10" s="47">
        <v>72</v>
      </c>
      <c r="E10" s="47">
        <v>2789.9999999999995</v>
      </c>
      <c r="F10" s="47">
        <v>0</v>
      </c>
      <c r="G10" s="47">
        <v>0</v>
      </c>
      <c r="H10" s="47">
        <v>0</v>
      </c>
      <c r="I10" s="47">
        <v>2790</v>
      </c>
      <c r="J10" s="47">
        <v>7790</v>
      </c>
      <c r="K10" s="47">
        <v>55.8</v>
      </c>
    </row>
    <row r="11" spans="1:11" s="651" customFormat="1">
      <c r="A11" s="653" t="s">
        <v>721</v>
      </c>
      <c r="B11" s="47">
        <v>5000</v>
      </c>
      <c r="C11" s="47">
        <v>55.8</v>
      </c>
      <c r="D11" s="47">
        <v>72</v>
      </c>
      <c r="E11" s="47">
        <v>2789.9999999999995</v>
      </c>
      <c r="F11" s="47">
        <v>0</v>
      </c>
      <c r="G11" s="47">
        <v>0</v>
      </c>
      <c r="H11" s="47">
        <v>0</v>
      </c>
      <c r="I11" s="47">
        <v>2790</v>
      </c>
      <c r="J11" s="47">
        <v>7790</v>
      </c>
      <c r="K11" s="47">
        <v>55.8</v>
      </c>
    </row>
    <row r="12" spans="1:11" s="651" customFormat="1">
      <c r="A12" s="656" t="s">
        <v>70</v>
      </c>
      <c r="B12" s="47">
        <v>18540</v>
      </c>
      <c r="C12" s="47">
        <v>51.4</v>
      </c>
      <c r="D12" s="47">
        <v>1458.3920000000001</v>
      </c>
      <c r="E12" s="47">
        <v>9460.3799999999992</v>
      </c>
      <c r="F12" s="47">
        <v>0</v>
      </c>
      <c r="G12" s="47">
        <v>3056.5200000000004</v>
      </c>
      <c r="H12" s="47">
        <v>3.1000000000003638</v>
      </c>
      <c r="I12" s="47">
        <v>12520</v>
      </c>
      <c r="J12" s="47">
        <v>31060</v>
      </c>
      <c r="K12" s="47">
        <v>72.885013428739342</v>
      </c>
    </row>
    <row r="13" spans="1:11" s="651" customFormat="1">
      <c r="A13" s="652" t="s">
        <v>126</v>
      </c>
      <c r="B13" s="47">
        <v>9050</v>
      </c>
      <c r="C13" s="47">
        <v>49.8</v>
      </c>
      <c r="D13" s="47">
        <v>296.83999999999997</v>
      </c>
      <c r="E13" s="47">
        <v>4506.8999999999996</v>
      </c>
      <c r="F13" s="47">
        <v>0</v>
      </c>
      <c r="G13" s="47">
        <v>0</v>
      </c>
      <c r="H13" s="47">
        <v>3.1000000000003638</v>
      </c>
      <c r="I13" s="47">
        <v>4510</v>
      </c>
      <c r="J13" s="47">
        <v>13560</v>
      </c>
      <c r="K13" s="47">
        <v>49.834254143646412</v>
      </c>
    </row>
    <row r="14" spans="1:11" s="651" customFormat="1">
      <c r="A14" s="653" t="s">
        <v>1014</v>
      </c>
      <c r="B14" s="47">
        <v>9050</v>
      </c>
      <c r="C14" s="47">
        <v>49.8</v>
      </c>
      <c r="D14" s="47">
        <v>296.83999999999997</v>
      </c>
      <c r="E14" s="47">
        <v>4506.8999999999996</v>
      </c>
      <c r="F14" s="47">
        <v>0</v>
      </c>
      <c r="G14" s="47">
        <v>0</v>
      </c>
      <c r="H14" s="47">
        <v>3.1000000000003638</v>
      </c>
      <c r="I14" s="47">
        <v>4510</v>
      </c>
      <c r="J14" s="47">
        <v>13560</v>
      </c>
      <c r="K14" s="47">
        <v>49.834254143646412</v>
      </c>
    </row>
    <row r="15" spans="1:11" s="651" customFormat="1">
      <c r="A15" s="652" t="s">
        <v>127</v>
      </c>
      <c r="B15" s="47">
        <v>4740</v>
      </c>
      <c r="C15" s="47">
        <v>55.199999999999996</v>
      </c>
      <c r="D15" s="47">
        <v>591.55200000000002</v>
      </c>
      <c r="E15" s="47">
        <v>2616.4799999999996</v>
      </c>
      <c r="F15" s="47">
        <v>0</v>
      </c>
      <c r="G15" s="47">
        <v>1643.5200000000004</v>
      </c>
      <c r="H15" s="47">
        <v>0</v>
      </c>
      <c r="I15" s="47">
        <v>4260</v>
      </c>
      <c r="J15" s="47">
        <v>9000</v>
      </c>
      <c r="K15" s="47">
        <v>89.87341772151899</v>
      </c>
    </row>
    <row r="16" spans="1:11" s="651" customFormat="1">
      <c r="A16" s="653" t="s">
        <v>139</v>
      </c>
      <c r="B16" s="47">
        <v>4740</v>
      </c>
      <c r="C16" s="47">
        <v>55.199999999999996</v>
      </c>
      <c r="D16" s="47">
        <v>591.55200000000002</v>
      </c>
      <c r="E16" s="47">
        <v>2616.4799999999996</v>
      </c>
      <c r="F16" s="47">
        <v>0</v>
      </c>
      <c r="G16" s="47">
        <v>1643.5200000000004</v>
      </c>
      <c r="H16" s="47">
        <v>0</v>
      </c>
      <c r="I16" s="47">
        <v>4260</v>
      </c>
      <c r="J16" s="47">
        <v>9000</v>
      </c>
      <c r="K16" s="47">
        <v>89.87341772151899</v>
      </c>
    </row>
    <row r="17" spans="1:11" s="651" customFormat="1">
      <c r="A17" s="652" t="s">
        <v>111</v>
      </c>
      <c r="B17" s="47">
        <v>4750</v>
      </c>
      <c r="C17" s="47">
        <v>49.199999999999996</v>
      </c>
      <c r="D17" s="47">
        <v>570</v>
      </c>
      <c r="E17" s="47">
        <v>2336.9999999999995</v>
      </c>
      <c r="F17" s="47">
        <v>0</v>
      </c>
      <c r="G17" s="47">
        <v>1413</v>
      </c>
      <c r="H17" s="47">
        <v>0</v>
      </c>
      <c r="I17" s="47">
        <v>3750</v>
      </c>
      <c r="J17" s="47">
        <v>8500</v>
      </c>
      <c r="K17" s="47">
        <v>78.94736842105263</v>
      </c>
    </row>
    <row r="18" spans="1:11" s="651" customFormat="1">
      <c r="A18" s="653" t="s">
        <v>1015</v>
      </c>
      <c r="B18" s="47">
        <v>4750</v>
      </c>
      <c r="C18" s="47">
        <v>49.199999999999996</v>
      </c>
      <c r="D18" s="47">
        <v>570</v>
      </c>
      <c r="E18" s="47">
        <v>2336.9999999999995</v>
      </c>
      <c r="F18" s="47">
        <v>0</v>
      </c>
      <c r="G18" s="47">
        <v>1413</v>
      </c>
      <c r="H18" s="47">
        <v>0</v>
      </c>
      <c r="I18" s="47">
        <v>3750</v>
      </c>
      <c r="J18" s="47">
        <v>8500</v>
      </c>
      <c r="K18" s="47">
        <v>78.94736842105263</v>
      </c>
    </row>
    <row r="19" spans="1:11" s="651" customFormat="1">
      <c r="A19" s="662" t="s">
        <v>128</v>
      </c>
      <c r="B19" s="47">
        <v>50000</v>
      </c>
      <c r="C19" s="47">
        <v>38.4</v>
      </c>
      <c r="D19" s="47">
        <v>11720</v>
      </c>
      <c r="E19" s="47">
        <v>19200</v>
      </c>
      <c r="F19" s="47">
        <v>10800</v>
      </c>
      <c r="G19" s="47">
        <v>0</v>
      </c>
      <c r="H19" s="47">
        <v>0</v>
      </c>
      <c r="I19" s="47">
        <v>30000</v>
      </c>
      <c r="J19" s="47">
        <v>80000</v>
      </c>
      <c r="K19" s="47">
        <v>60</v>
      </c>
    </row>
    <row r="20" spans="1:11" s="651" customFormat="1">
      <c r="A20" s="652">
        <v>0</v>
      </c>
      <c r="B20" s="47">
        <v>50000</v>
      </c>
      <c r="C20" s="47">
        <v>38.4</v>
      </c>
      <c r="D20" s="47">
        <v>11720</v>
      </c>
      <c r="E20" s="47">
        <v>19200</v>
      </c>
      <c r="F20" s="47">
        <v>10800</v>
      </c>
      <c r="G20" s="47">
        <v>0</v>
      </c>
      <c r="H20" s="47">
        <v>0</v>
      </c>
      <c r="I20" s="47">
        <v>30000</v>
      </c>
      <c r="J20" s="47">
        <v>80000</v>
      </c>
      <c r="K20" s="47">
        <v>60</v>
      </c>
    </row>
    <row r="21" spans="1:11" s="651" customFormat="1">
      <c r="A21" s="653" t="s">
        <v>1016</v>
      </c>
      <c r="B21" s="47">
        <v>50000</v>
      </c>
      <c r="C21" s="47">
        <v>38.4</v>
      </c>
      <c r="D21" s="47">
        <v>11720</v>
      </c>
      <c r="E21" s="47">
        <v>19200</v>
      </c>
      <c r="F21" s="47">
        <v>10800</v>
      </c>
      <c r="G21" s="47">
        <v>0</v>
      </c>
      <c r="H21" s="47">
        <v>0</v>
      </c>
      <c r="I21" s="47">
        <v>30000</v>
      </c>
      <c r="J21" s="47">
        <v>80000</v>
      </c>
      <c r="K21" s="47">
        <v>60</v>
      </c>
    </row>
    <row r="22" spans="1:11" s="651" customFormat="1">
      <c r="A22" s="656" t="s">
        <v>76</v>
      </c>
      <c r="B22" s="47">
        <v>16780</v>
      </c>
      <c r="C22" s="47">
        <v>53.760000000000005</v>
      </c>
      <c r="D22" s="47">
        <v>2808.1039999999998</v>
      </c>
      <c r="E22" s="47">
        <v>9033.9599999999991</v>
      </c>
      <c r="F22" s="47">
        <v>0</v>
      </c>
      <c r="G22" s="47">
        <v>1996.7800000000007</v>
      </c>
      <c r="H22" s="47">
        <v>9.2600000000002183</v>
      </c>
      <c r="I22" s="47">
        <v>11040</v>
      </c>
      <c r="J22" s="47">
        <v>27820</v>
      </c>
      <c r="K22" s="47">
        <v>65.543087443681131</v>
      </c>
    </row>
    <row r="23" spans="1:11" s="651" customFormat="1">
      <c r="A23" s="652" t="s">
        <v>63</v>
      </c>
      <c r="B23" s="47">
        <v>16780</v>
      </c>
      <c r="C23" s="47">
        <v>53.760000000000005</v>
      </c>
      <c r="D23" s="47">
        <v>2808.1039999999998</v>
      </c>
      <c r="E23" s="47">
        <v>9033.9599999999991</v>
      </c>
      <c r="F23" s="47">
        <v>0</v>
      </c>
      <c r="G23" s="47">
        <v>1996.7800000000007</v>
      </c>
      <c r="H23" s="47">
        <v>9.2600000000002183</v>
      </c>
      <c r="I23" s="47">
        <v>11040</v>
      </c>
      <c r="J23" s="47">
        <v>27820</v>
      </c>
      <c r="K23" s="47">
        <v>65.543087443681131</v>
      </c>
    </row>
    <row r="24" spans="1:11" s="651" customFormat="1">
      <c r="A24" s="653" t="s">
        <v>1017</v>
      </c>
      <c r="B24" s="47">
        <v>3420</v>
      </c>
      <c r="C24" s="47">
        <v>52.199999999999996</v>
      </c>
      <c r="D24" s="47">
        <v>426.81599999999997</v>
      </c>
      <c r="E24" s="47">
        <v>1785.2399999999998</v>
      </c>
      <c r="F24" s="47">
        <v>0</v>
      </c>
      <c r="G24" s="47">
        <v>0</v>
      </c>
      <c r="H24" s="47">
        <v>4.7600000000002183</v>
      </c>
      <c r="I24" s="47">
        <v>1790</v>
      </c>
      <c r="J24" s="47">
        <v>5210</v>
      </c>
      <c r="K24" s="47">
        <v>52.339181286549703</v>
      </c>
    </row>
    <row r="25" spans="1:11" s="651" customFormat="1">
      <c r="A25" s="653" t="s">
        <v>1018</v>
      </c>
      <c r="B25" s="47">
        <v>3050</v>
      </c>
      <c r="C25" s="47">
        <v>51</v>
      </c>
      <c r="D25" s="47">
        <v>141.52000000000001</v>
      </c>
      <c r="E25" s="47">
        <v>1555.5</v>
      </c>
      <c r="F25" s="47">
        <v>0</v>
      </c>
      <c r="G25" s="47">
        <v>0</v>
      </c>
      <c r="H25" s="47">
        <v>4.5</v>
      </c>
      <c r="I25" s="47">
        <v>1560</v>
      </c>
      <c r="J25" s="47">
        <v>4610</v>
      </c>
      <c r="K25" s="47">
        <v>51.147540983606561</v>
      </c>
    </row>
    <row r="26" spans="1:11" s="651" customFormat="1">
      <c r="A26" s="653" t="s">
        <v>143</v>
      </c>
      <c r="B26" s="47">
        <v>3420</v>
      </c>
      <c r="C26" s="47">
        <v>55.8</v>
      </c>
      <c r="D26" s="47">
        <v>801.64800000000002</v>
      </c>
      <c r="E26" s="47">
        <v>1908.36</v>
      </c>
      <c r="F26" s="47">
        <v>0</v>
      </c>
      <c r="G26" s="47">
        <v>671.64000000000033</v>
      </c>
      <c r="H26" s="47">
        <v>0</v>
      </c>
      <c r="I26" s="47">
        <v>2580</v>
      </c>
      <c r="J26" s="47">
        <v>6000</v>
      </c>
      <c r="K26" s="47">
        <v>75.438596491228068</v>
      </c>
    </row>
    <row r="27" spans="1:11" s="651" customFormat="1">
      <c r="A27" s="653" t="s">
        <v>1019</v>
      </c>
      <c r="B27" s="47">
        <v>3570</v>
      </c>
      <c r="C27" s="47">
        <v>55.8</v>
      </c>
      <c r="D27" s="47">
        <v>813.96</v>
      </c>
      <c r="E27" s="47">
        <v>1992.0599999999997</v>
      </c>
      <c r="F27" s="47">
        <v>0</v>
      </c>
      <c r="G27" s="47">
        <v>437.94000000000051</v>
      </c>
      <c r="H27" s="47">
        <v>0</v>
      </c>
      <c r="I27" s="47">
        <v>2430</v>
      </c>
      <c r="J27" s="47">
        <v>6000</v>
      </c>
      <c r="K27" s="47">
        <v>68.067226890756302</v>
      </c>
    </row>
    <row r="28" spans="1:11" s="651" customFormat="1">
      <c r="A28" s="653" t="s">
        <v>1020</v>
      </c>
      <c r="B28" s="47">
        <v>3320</v>
      </c>
      <c r="C28" s="47">
        <v>54</v>
      </c>
      <c r="D28" s="47">
        <v>624.16</v>
      </c>
      <c r="E28" s="47">
        <v>1792.8000000000002</v>
      </c>
      <c r="F28" s="47">
        <v>0</v>
      </c>
      <c r="G28" s="47">
        <v>887.19999999999982</v>
      </c>
      <c r="H28" s="47">
        <v>0</v>
      </c>
      <c r="I28" s="47">
        <v>2680</v>
      </c>
      <c r="J28" s="47">
        <v>6000</v>
      </c>
      <c r="K28" s="47">
        <v>80.722891566265048</v>
      </c>
    </row>
    <row r="29" spans="1:11" s="651" customFormat="1">
      <c r="A29" s="656" t="s">
        <v>77</v>
      </c>
      <c r="B29" s="47">
        <v>5060</v>
      </c>
      <c r="C29" s="47">
        <v>48</v>
      </c>
      <c r="D29" s="47">
        <v>283.36</v>
      </c>
      <c r="E29" s="47">
        <v>2428.7999999999997</v>
      </c>
      <c r="F29" s="47">
        <v>4511.2000000000007</v>
      </c>
      <c r="G29" s="47">
        <v>0</v>
      </c>
      <c r="H29" s="47">
        <v>0</v>
      </c>
      <c r="I29" s="47">
        <v>6940</v>
      </c>
      <c r="J29" s="47">
        <v>12000</v>
      </c>
      <c r="K29" s="47">
        <v>137.15415019762847</v>
      </c>
    </row>
    <row r="30" spans="1:11" s="651" customFormat="1">
      <c r="A30" s="652" t="s">
        <v>109</v>
      </c>
      <c r="B30" s="47">
        <v>5060</v>
      </c>
      <c r="C30" s="47">
        <v>48</v>
      </c>
      <c r="D30" s="47">
        <v>283.36</v>
      </c>
      <c r="E30" s="47">
        <v>2428.7999999999997</v>
      </c>
      <c r="F30" s="47">
        <v>4511.2000000000007</v>
      </c>
      <c r="G30" s="47">
        <v>0</v>
      </c>
      <c r="H30" s="47">
        <v>0</v>
      </c>
      <c r="I30" s="47">
        <v>6940</v>
      </c>
      <c r="J30" s="47">
        <v>12000</v>
      </c>
      <c r="K30" s="47">
        <v>137.15415019762847</v>
      </c>
    </row>
    <row r="31" spans="1:11" s="651" customFormat="1">
      <c r="A31" s="653" t="s">
        <v>687</v>
      </c>
      <c r="B31" s="47">
        <v>5060</v>
      </c>
      <c r="C31" s="47">
        <v>48</v>
      </c>
      <c r="D31" s="47">
        <v>283.36</v>
      </c>
      <c r="E31" s="47">
        <v>2428.7999999999997</v>
      </c>
      <c r="F31" s="47">
        <v>4511.2000000000007</v>
      </c>
      <c r="G31" s="47">
        <v>0</v>
      </c>
      <c r="H31" s="47">
        <v>0</v>
      </c>
      <c r="I31" s="47">
        <v>6940</v>
      </c>
      <c r="J31" s="47">
        <v>12000</v>
      </c>
      <c r="K31" s="47">
        <v>137.15415019762847</v>
      </c>
    </row>
    <row r="32" spans="1:11" s="651" customFormat="1">
      <c r="A32" s="662" t="s">
        <v>129</v>
      </c>
      <c r="B32" s="47">
        <v>33450</v>
      </c>
      <c r="C32" s="47">
        <v>51.749999999999993</v>
      </c>
      <c r="D32" s="47">
        <v>6832.1360000000004</v>
      </c>
      <c r="E32" s="47">
        <v>17878.8</v>
      </c>
      <c r="F32" s="47">
        <v>0</v>
      </c>
      <c r="G32" s="47">
        <v>2928.5600000000013</v>
      </c>
      <c r="H32" s="47">
        <v>2.6399999999994179</v>
      </c>
      <c r="I32" s="47">
        <v>20810</v>
      </c>
      <c r="J32" s="47">
        <v>54260</v>
      </c>
      <c r="K32" s="47">
        <v>63.066369756769994</v>
      </c>
    </row>
    <row r="33" spans="1:11" s="651" customFormat="1">
      <c r="A33" s="652">
        <v>0</v>
      </c>
      <c r="B33" s="47">
        <v>3640</v>
      </c>
      <c r="C33" s="47">
        <v>43.199999999999996</v>
      </c>
      <c r="D33" s="47">
        <v>308.67200000000003</v>
      </c>
      <c r="E33" s="47">
        <v>1572.4799999999998</v>
      </c>
      <c r="F33" s="47">
        <v>0</v>
      </c>
      <c r="G33" s="47">
        <v>787.52000000000044</v>
      </c>
      <c r="H33" s="47">
        <v>0</v>
      </c>
      <c r="I33" s="47">
        <v>2360</v>
      </c>
      <c r="J33" s="47">
        <v>6000</v>
      </c>
      <c r="K33" s="47">
        <v>64.835164835164832</v>
      </c>
    </row>
    <row r="34" spans="1:11" s="651" customFormat="1">
      <c r="A34" s="653" t="s">
        <v>1021</v>
      </c>
      <c r="B34" s="47">
        <v>3640</v>
      </c>
      <c r="C34" s="47">
        <v>43.199999999999996</v>
      </c>
      <c r="D34" s="47">
        <v>308.67200000000003</v>
      </c>
      <c r="E34" s="47">
        <v>1572.4799999999998</v>
      </c>
      <c r="F34" s="47">
        <v>0</v>
      </c>
      <c r="G34" s="47">
        <v>787.52000000000044</v>
      </c>
      <c r="H34" s="47">
        <v>0</v>
      </c>
      <c r="I34" s="47">
        <v>2360</v>
      </c>
      <c r="J34" s="47">
        <v>6000</v>
      </c>
      <c r="K34" s="47">
        <v>64.835164835164832</v>
      </c>
    </row>
    <row r="35" spans="1:11" s="651" customFormat="1">
      <c r="A35" s="652" t="s">
        <v>117</v>
      </c>
      <c r="B35" s="47">
        <v>10740</v>
      </c>
      <c r="C35" s="47">
        <v>56.4</v>
      </c>
      <c r="D35" s="47">
        <v>2517.4560000000001</v>
      </c>
      <c r="E35" s="47">
        <v>6057.36</v>
      </c>
      <c r="F35" s="47">
        <v>0</v>
      </c>
      <c r="G35" s="47">
        <v>0</v>
      </c>
      <c r="H35" s="47">
        <v>2.6399999999994179</v>
      </c>
      <c r="I35" s="47">
        <v>6060</v>
      </c>
      <c r="J35" s="47">
        <v>16800</v>
      </c>
      <c r="K35" s="47">
        <v>56.424581005586589</v>
      </c>
    </row>
    <row r="36" spans="1:11" s="651" customFormat="1">
      <c r="A36" s="653" t="s">
        <v>1022</v>
      </c>
      <c r="B36" s="47">
        <v>10740</v>
      </c>
      <c r="C36" s="47">
        <v>56.4</v>
      </c>
      <c r="D36" s="47">
        <v>2517.4560000000001</v>
      </c>
      <c r="E36" s="47">
        <v>6057.36</v>
      </c>
      <c r="F36" s="47">
        <v>0</v>
      </c>
      <c r="G36" s="47">
        <v>0</v>
      </c>
      <c r="H36" s="47">
        <v>2.6399999999994179</v>
      </c>
      <c r="I36" s="47">
        <v>6060</v>
      </c>
      <c r="J36" s="47">
        <v>16800</v>
      </c>
      <c r="K36" s="47">
        <v>56.424581005586589</v>
      </c>
    </row>
    <row r="37" spans="1:11" s="651" customFormat="1">
      <c r="A37" s="652" t="s">
        <v>122</v>
      </c>
      <c r="B37" s="47">
        <v>9070</v>
      </c>
      <c r="C37" s="47">
        <v>52.8</v>
      </c>
      <c r="D37" s="47">
        <v>2126.0079999999998</v>
      </c>
      <c r="E37" s="47">
        <v>4788.96</v>
      </c>
      <c r="F37" s="47">
        <v>0</v>
      </c>
      <c r="G37" s="47">
        <v>2141.0400000000009</v>
      </c>
      <c r="H37" s="47">
        <v>0</v>
      </c>
      <c r="I37" s="47">
        <v>6930</v>
      </c>
      <c r="J37" s="47">
        <v>16000</v>
      </c>
      <c r="K37" s="47">
        <v>76.405733186328547</v>
      </c>
    </row>
    <row r="38" spans="1:11" s="651" customFormat="1">
      <c r="A38" s="653" t="s">
        <v>1023</v>
      </c>
      <c r="B38" s="47">
        <v>9070</v>
      </c>
      <c r="C38" s="47">
        <v>52.8</v>
      </c>
      <c r="D38" s="47">
        <v>2126.0079999999998</v>
      </c>
      <c r="E38" s="47">
        <v>4788.96</v>
      </c>
      <c r="F38" s="47">
        <v>0</v>
      </c>
      <c r="G38" s="47">
        <v>2141.0400000000009</v>
      </c>
      <c r="H38" s="47">
        <v>0</v>
      </c>
      <c r="I38" s="47">
        <v>6930</v>
      </c>
      <c r="J38" s="47">
        <v>16000</v>
      </c>
      <c r="K38" s="47">
        <v>76.405733186328547</v>
      </c>
    </row>
    <row r="39" spans="1:11" s="651" customFormat="1">
      <c r="A39" s="652" t="s">
        <v>130</v>
      </c>
      <c r="B39" s="47">
        <v>10000</v>
      </c>
      <c r="C39" s="47">
        <v>54.6</v>
      </c>
      <c r="D39" s="47">
        <v>1880</v>
      </c>
      <c r="E39" s="47">
        <v>5460</v>
      </c>
      <c r="F39" s="47">
        <v>0</v>
      </c>
      <c r="G39" s="47">
        <v>0</v>
      </c>
      <c r="H39" s="47">
        <v>0</v>
      </c>
      <c r="I39" s="47">
        <v>5460</v>
      </c>
      <c r="J39" s="47">
        <v>15460</v>
      </c>
      <c r="K39" s="47">
        <v>54.6</v>
      </c>
    </row>
    <row r="40" spans="1:11" s="651" customFormat="1">
      <c r="A40" s="653" t="s">
        <v>1024</v>
      </c>
      <c r="B40" s="47">
        <v>10000</v>
      </c>
      <c r="C40" s="47">
        <v>54.6</v>
      </c>
      <c r="D40" s="47">
        <v>1880</v>
      </c>
      <c r="E40" s="47">
        <v>5460</v>
      </c>
      <c r="F40" s="47">
        <v>0</v>
      </c>
      <c r="G40" s="47">
        <v>0</v>
      </c>
      <c r="H40" s="47">
        <v>0</v>
      </c>
      <c r="I40" s="47">
        <v>5460</v>
      </c>
      <c r="J40" s="47">
        <v>15460</v>
      </c>
      <c r="K40" s="47">
        <v>54.6</v>
      </c>
    </row>
    <row r="41" spans="1:11" s="651" customFormat="1">
      <c r="A41" s="656" t="s">
        <v>78</v>
      </c>
      <c r="B41" s="47">
        <v>35000</v>
      </c>
      <c r="C41" s="47">
        <v>57</v>
      </c>
      <c r="D41" s="47">
        <v>8316</v>
      </c>
      <c r="E41" s="47">
        <v>19950</v>
      </c>
      <c r="F41" s="47">
        <v>0</v>
      </c>
      <c r="G41" s="47">
        <v>0</v>
      </c>
      <c r="H41" s="47">
        <v>0</v>
      </c>
      <c r="I41" s="47">
        <v>19950</v>
      </c>
      <c r="J41" s="47">
        <v>54950</v>
      </c>
      <c r="K41" s="47">
        <v>57</v>
      </c>
    </row>
    <row r="42" spans="1:11" s="651" customFormat="1">
      <c r="A42" s="652" t="s">
        <v>131</v>
      </c>
      <c r="B42" s="47">
        <v>35000</v>
      </c>
      <c r="C42" s="47">
        <v>57</v>
      </c>
      <c r="D42" s="47">
        <v>8316</v>
      </c>
      <c r="E42" s="47">
        <v>19950</v>
      </c>
      <c r="F42" s="47">
        <v>0</v>
      </c>
      <c r="G42" s="47">
        <v>0</v>
      </c>
      <c r="H42" s="47">
        <v>0</v>
      </c>
      <c r="I42" s="47">
        <v>19950</v>
      </c>
      <c r="J42" s="47">
        <v>54950</v>
      </c>
      <c r="K42" s="47">
        <v>57</v>
      </c>
    </row>
    <row r="43" spans="1:11" s="651" customFormat="1">
      <c r="A43" s="653" t="s">
        <v>1025</v>
      </c>
      <c r="B43" s="47">
        <v>35000</v>
      </c>
      <c r="C43" s="47">
        <v>57</v>
      </c>
      <c r="D43" s="47">
        <v>8316</v>
      </c>
      <c r="E43" s="47">
        <v>19950</v>
      </c>
      <c r="F43" s="47">
        <v>0</v>
      </c>
      <c r="G43" s="47">
        <v>0</v>
      </c>
      <c r="H43" s="47">
        <v>0</v>
      </c>
      <c r="I43" s="47">
        <v>19950</v>
      </c>
      <c r="J43" s="47">
        <v>54950</v>
      </c>
      <c r="K43" s="47">
        <v>57</v>
      </c>
    </row>
    <row r="44" spans="1:11" s="651" customFormat="1">
      <c r="A44" s="662" t="s">
        <v>80</v>
      </c>
      <c r="B44" s="47">
        <v>69100</v>
      </c>
      <c r="C44" s="47">
        <v>48.750000000000007</v>
      </c>
      <c r="D44" s="47">
        <v>10389.287999999999</v>
      </c>
      <c r="E44" s="47">
        <v>36284.879999999997</v>
      </c>
      <c r="F44" s="47">
        <v>13218.800000000003</v>
      </c>
      <c r="G44" s="47">
        <v>5051.5999999999995</v>
      </c>
      <c r="H44" s="47">
        <v>4.7199999999993452</v>
      </c>
      <c r="I44" s="47">
        <v>54560</v>
      </c>
      <c r="J44" s="47">
        <v>123660</v>
      </c>
      <c r="K44" s="47">
        <v>77.200528174832328</v>
      </c>
    </row>
    <row r="45" spans="1:11" s="651" customFormat="1">
      <c r="A45" s="652" t="s">
        <v>132</v>
      </c>
      <c r="B45" s="47">
        <v>17080</v>
      </c>
      <c r="C45" s="47">
        <v>55.199999999999996</v>
      </c>
      <c r="D45" s="47">
        <v>4003.5520000000001</v>
      </c>
      <c r="E45" s="47">
        <v>9428.159999999998</v>
      </c>
      <c r="F45" s="47">
        <v>3491.8400000000038</v>
      </c>
      <c r="G45" s="47">
        <v>0</v>
      </c>
      <c r="H45" s="47">
        <v>0</v>
      </c>
      <c r="I45" s="47">
        <v>12920</v>
      </c>
      <c r="J45" s="47">
        <v>30000</v>
      </c>
      <c r="K45" s="47">
        <v>75.644028103044491</v>
      </c>
    </row>
    <row r="46" spans="1:11" s="651" customFormat="1">
      <c r="A46" s="653" t="s">
        <v>1026</v>
      </c>
      <c r="B46" s="47">
        <v>17080</v>
      </c>
      <c r="C46" s="47">
        <v>55.199999999999996</v>
      </c>
      <c r="D46" s="47">
        <v>4003.5520000000001</v>
      </c>
      <c r="E46" s="47">
        <v>9428.159999999998</v>
      </c>
      <c r="F46" s="47">
        <v>3491.8400000000038</v>
      </c>
      <c r="G46" s="47">
        <v>0</v>
      </c>
      <c r="H46" s="47">
        <v>0</v>
      </c>
      <c r="I46" s="47">
        <v>12920</v>
      </c>
      <c r="J46" s="47">
        <v>30000</v>
      </c>
      <c r="K46" s="47">
        <v>75.644028103044491</v>
      </c>
    </row>
    <row r="47" spans="1:11" s="651" customFormat="1">
      <c r="A47" s="652" t="s">
        <v>133</v>
      </c>
      <c r="B47" s="47">
        <v>17220</v>
      </c>
      <c r="C47" s="47">
        <v>59.4</v>
      </c>
      <c r="D47" s="47">
        <v>2782.752</v>
      </c>
      <c r="E47" s="47">
        <v>10228.68</v>
      </c>
      <c r="F47" s="47">
        <v>2551.3199999999997</v>
      </c>
      <c r="G47" s="47">
        <v>0</v>
      </c>
      <c r="H47" s="47">
        <v>0</v>
      </c>
      <c r="I47" s="47">
        <v>12780</v>
      </c>
      <c r="J47" s="47">
        <v>30000</v>
      </c>
      <c r="K47" s="47">
        <v>74.21602787456446</v>
      </c>
    </row>
    <row r="48" spans="1:11" s="651" customFormat="1">
      <c r="A48" s="653" t="s">
        <v>1027</v>
      </c>
      <c r="B48" s="47">
        <v>17220</v>
      </c>
      <c r="C48" s="47">
        <v>59.4</v>
      </c>
      <c r="D48" s="47">
        <v>2782.752</v>
      </c>
      <c r="E48" s="47">
        <v>10228.68</v>
      </c>
      <c r="F48" s="47">
        <v>2551.3199999999997</v>
      </c>
      <c r="G48" s="47">
        <v>0</v>
      </c>
      <c r="H48" s="47">
        <v>0</v>
      </c>
      <c r="I48" s="47">
        <v>12780</v>
      </c>
      <c r="J48" s="47">
        <v>30000</v>
      </c>
      <c r="K48" s="47">
        <v>74.21602787456446</v>
      </c>
    </row>
    <row r="49" spans="1:11" s="651" customFormat="1">
      <c r="A49" s="652" t="s">
        <v>111</v>
      </c>
      <c r="B49" s="47">
        <v>34800</v>
      </c>
      <c r="C49" s="47">
        <v>45.9</v>
      </c>
      <c r="D49" s="47">
        <v>3602.9839999999995</v>
      </c>
      <c r="E49" s="47">
        <v>16628.039999999997</v>
      </c>
      <c r="F49" s="47">
        <v>7175.6399999999994</v>
      </c>
      <c r="G49" s="47">
        <v>5051.5999999999995</v>
      </c>
      <c r="H49" s="47">
        <v>4.7199999999993452</v>
      </c>
      <c r="I49" s="47">
        <v>28860</v>
      </c>
      <c r="J49" s="47">
        <v>63660</v>
      </c>
      <c r="K49" s="47">
        <v>77.957361570174953</v>
      </c>
    </row>
    <row r="50" spans="1:11" s="651" customFormat="1">
      <c r="A50" s="653" t="s">
        <v>782</v>
      </c>
      <c r="B50" s="47">
        <v>4500</v>
      </c>
      <c r="C50" s="47">
        <v>14.399999999999999</v>
      </c>
      <c r="D50" s="47">
        <v>0</v>
      </c>
      <c r="E50" s="47">
        <v>648</v>
      </c>
      <c r="F50" s="47">
        <v>1852</v>
      </c>
      <c r="G50" s="47">
        <v>0</v>
      </c>
      <c r="H50" s="47">
        <v>0</v>
      </c>
      <c r="I50" s="47">
        <v>2500</v>
      </c>
      <c r="J50" s="47">
        <v>7000</v>
      </c>
      <c r="K50" s="47">
        <v>55.555555555555557</v>
      </c>
    </row>
    <row r="51" spans="1:11" s="651" customFormat="1">
      <c r="A51" s="653" t="s">
        <v>1028</v>
      </c>
      <c r="B51" s="47">
        <v>9420</v>
      </c>
      <c r="C51" s="47">
        <v>55.8</v>
      </c>
      <c r="D51" s="47">
        <v>2208.0479999999998</v>
      </c>
      <c r="E51" s="47">
        <v>5256.36</v>
      </c>
      <c r="F51" s="47">
        <v>5323.6399999999994</v>
      </c>
      <c r="G51" s="47">
        <v>0</v>
      </c>
      <c r="H51" s="47">
        <v>0</v>
      </c>
      <c r="I51" s="47">
        <v>10580</v>
      </c>
      <c r="J51" s="47">
        <v>20000</v>
      </c>
      <c r="K51" s="47">
        <v>112.31422505307856</v>
      </c>
    </row>
    <row r="52" spans="1:11" s="651" customFormat="1">
      <c r="A52" s="653" t="s">
        <v>1029</v>
      </c>
      <c r="B52" s="47">
        <v>5110</v>
      </c>
      <c r="C52" s="47">
        <v>52.8</v>
      </c>
      <c r="D52" s="47">
        <v>286.16000000000003</v>
      </c>
      <c r="E52" s="47">
        <v>2698.08</v>
      </c>
      <c r="F52" s="47">
        <v>0</v>
      </c>
      <c r="G52" s="47">
        <v>2191.92</v>
      </c>
      <c r="H52" s="47">
        <v>0</v>
      </c>
      <c r="I52" s="47">
        <v>4890</v>
      </c>
      <c r="J52" s="47">
        <v>10000</v>
      </c>
      <c r="K52" s="47">
        <v>95.694716242661443</v>
      </c>
    </row>
    <row r="53" spans="1:11" s="651" customFormat="1">
      <c r="A53" s="653" t="s">
        <v>1030</v>
      </c>
      <c r="B53" s="47">
        <v>5640</v>
      </c>
      <c r="C53" s="47">
        <v>54</v>
      </c>
      <c r="D53" s="47">
        <v>636.19200000000001</v>
      </c>
      <c r="E53" s="47">
        <v>3045.6000000000004</v>
      </c>
      <c r="F53" s="47">
        <v>0</v>
      </c>
      <c r="G53" s="47">
        <v>2314.3999999999996</v>
      </c>
      <c r="H53" s="47">
        <v>0</v>
      </c>
      <c r="I53" s="47">
        <v>5360</v>
      </c>
      <c r="J53" s="47">
        <v>11000</v>
      </c>
      <c r="K53" s="47">
        <v>95.035460992907801</v>
      </c>
    </row>
    <row r="54" spans="1:11" s="651" customFormat="1">
      <c r="A54" s="653" t="s">
        <v>1031</v>
      </c>
      <c r="B54" s="47">
        <v>5120</v>
      </c>
      <c r="C54" s="47">
        <v>45.6</v>
      </c>
      <c r="D54" s="47">
        <v>356.35199999999998</v>
      </c>
      <c r="E54" s="47">
        <v>2334.7200000000003</v>
      </c>
      <c r="F54" s="47">
        <v>0</v>
      </c>
      <c r="G54" s="47">
        <v>545.27999999999975</v>
      </c>
      <c r="H54" s="47">
        <v>0</v>
      </c>
      <c r="I54" s="47">
        <v>2880</v>
      </c>
      <c r="J54" s="47">
        <v>8000</v>
      </c>
      <c r="K54" s="47">
        <v>56.25</v>
      </c>
    </row>
    <row r="55" spans="1:11" s="651" customFormat="1">
      <c r="A55" s="653" t="s">
        <v>158</v>
      </c>
      <c r="B55" s="47">
        <v>5010</v>
      </c>
      <c r="C55" s="47">
        <v>52.8</v>
      </c>
      <c r="D55" s="47">
        <v>116.232</v>
      </c>
      <c r="E55" s="47">
        <v>2645.28</v>
      </c>
      <c r="F55" s="47">
        <v>0</v>
      </c>
      <c r="G55" s="47">
        <v>0</v>
      </c>
      <c r="H55" s="47">
        <v>4.7199999999993452</v>
      </c>
      <c r="I55" s="47">
        <v>2650</v>
      </c>
      <c r="J55" s="47">
        <v>7660</v>
      </c>
      <c r="K55" s="47">
        <v>52.894211576846303</v>
      </c>
    </row>
    <row r="56" spans="1:11" s="651" customFormat="1">
      <c r="A56" s="662" t="s">
        <v>136</v>
      </c>
      <c r="B56" s="47">
        <v>5400</v>
      </c>
      <c r="C56" s="47">
        <v>55.199999999999996</v>
      </c>
      <c r="D56" s="47">
        <v>635.04</v>
      </c>
      <c r="E56" s="47">
        <v>2980.7999999999997</v>
      </c>
      <c r="F56" s="47">
        <v>11619.2</v>
      </c>
      <c r="G56" s="47">
        <v>10000</v>
      </c>
      <c r="H56" s="47">
        <v>0</v>
      </c>
      <c r="I56" s="47">
        <v>24600</v>
      </c>
      <c r="J56" s="47">
        <v>30000</v>
      </c>
      <c r="K56" s="47">
        <v>455.55555555555554</v>
      </c>
    </row>
    <row r="57" spans="1:11" s="651" customFormat="1">
      <c r="A57" s="652" t="s">
        <v>116</v>
      </c>
      <c r="B57" s="47">
        <v>5400</v>
      </c>
      <c r="C57" s="47">
        <v>55.199999999999996</v>
      </c>
      <c r="D57" s="47">
        <v>635.04</v>
      </c>
      <c r="E57" s="47">
        <v>2980.7999999999997</v>
      </c>
      <c r="F57" s="47">
        <v>11619.2</v>
      </c>
      <c r="G57" s="47">
        <v>10000</v>
      </c>
      <c r="H57" s="47">
        <v>0</v>
      </c>
      <c r="I57" s="47">
        <v>24600</v>
      </c>
      <c r="J57" s="47">
        <v>30000</v>
      </c>
      <c r="K57" s="47">
        <v>455.55555555555554</v>
      </c>
    </row>
    <row r="58" spans="1:11" s="651" customFormat="1">
      <c r="A58" s="653" t="s">
        <v>160</v>
      </c>
      <c r="B58" s="47">
        <v>5400</v>
      </c>
      <c r="C58" s="47">
        <v>55.199999999999996</v>
      </c>
      <c r="D58" s="47">
        <v>635.04</v>
      </c>
      <c r="E58" s="47">
        <v>2980.7999999999997</v>
      </c>
      <c r="F58" s="47">
        <v>11619.2</v>
      </c>
      <c r="G58" s="47">
        <v>10000</v>
      </c>
      <c r="H58" s="47">
        <v>0</v>
      </c>
      <c r="I58" s="47">
        <v>24600</v>
      </c>
      <c r="J58" s="47">
        <v>30000</v>
      </c>
      <c r="K58" s="47">
        <v>455.55555555555554</v>
      </c>
    </row>
    <row r="59" spans="1:11" s="651" customFormat="1">
      <c r="A59" s="656" t="s">
        <v>82</v>
      </c>
      <c r="B59" s="47">
        <v>5030</v>
      </c>
      <c r="C59" s="47">
        <v>51.6</v>
      </c>
      <c r="D59" s="47">
        <v>1207.2</v>
      </c>
      <c r="E59" s="47">
        <v>2595.48</v>
      </c>
      <c r="F59" s="47">
        <v>0</v>
      </c>
      <c r="G59" s="47">
        <v>374.52000000000044</v>
      </c>
      <c r="H59" s="47">
        <v>0</v>
      </c>
      <c r="I59" s="47">
        <v>2970</v>
      </c>
      <c r="J59" s="47">
        <v>8000</v>
      </c>
      <c r="K59" s="47">
        <v>59.045725646123266</v>
      </c>
    </row>
    <row r="60" spans="1:11" s="651" customFormat="1">
      <c r="A60" s="652" t="s">
        <v>112</v>
      </c>
      <c r="B60" s="47">
        <v>5030</v>
      </c>
      <c r="C60" s="47">
        <v>51.6</v>
      </c>
      <c r="D60" s="47">
        <v>1207.2</v>
      </c>
      <c r="E60" s="47">
        <v>2595.48</v>
      </c>
      <c r="F60" s="47">
        <v>0</v>
      </c>
      <c r="G60" s="47">
        <v>374.52000000000044</v>
      </c>
      <c r="H60" s="47">
        <v>0</v>
      </c>
      <c r="I60" s="47">
        <v>2970</v>
      </c>
      <c r="J60" s="47">
        <v>8000</v>
      </c>
      <c r="K60" s="47">
        <v>59.045725646123266</v>
      </c>
    </row>
    <row r="61" spans="1:11" s="651" customFormat="1">
      <c r="A61" s="653" t="s">
        <v>1032</v>
      </c>
      <c r="B61" s="47">
        <v>5030</v>
      </c>
      <c r="C61" s="47">
        <v>51.6</v>
      </c>
      <c r="D61" s="47">
        <v>1207.2</v>
      </c>
      <c r="E61" s="47">
        <v>2595.48</v>
      </c>
      <c r="F61" s="47">
        <v>0</v>
      </c>
      <c r="G61" s="47">
        <v>374.52000000000044</v>
      </c>
      <c r="H61" s="47">
        <v>0</v>
      </c>
      <c r="I61" s="47">
        <v>2970</v>
      </c>
      <c r="J61" s="47">
        <v>8000</v>
      </c>
      <c r="K61" s="47">
        <v>59.045725646123266</v>
      </c>
    </row>
    <row r="62" spans="1:11" s="651" customFormat="1">
      <c r="A62" s="650" t="s">
        <v>607</v>
      </c>
      <c r="B62" s="47">
        <v>87720</v>
      </c>
      <c r="C62" s="47">
        <v>49.574999999999996</v>
      </c>
      <c r="D62" s="47">
        <v>16135.624</v>
      </c>
      <c r="E62" s="47">
        <v>43285.020000000004</v>
      </c>
      <c r="F62" s="47">
        <v>2131.04</v>
      </c>
      <c r="G62" s="47">
        <v>0</v>
      </c>
      <c r="H62" s="47">
        <v>43.940000000003238</v>
      </c>
      <c r="I62" s="47">
        <v>45460</v>
      </c>
      <c r="J62" s="47">
        <v>133180</v>
      </c>
      <c r="K62" s="47">
        <v>54.096619583435164</v>
      </c>
    </row>
    <row r="63" spans="1:11" s="651" customFormat="1">
      <c r="A63" s="656">
        <v>0</v>
      </c>
      <c r="B63" s="47">
        <v>6750</v>
      </c>
      <c r="C63" s="47">
        <v>56.099999999999994</v>
      </c>
      <c r="D63" s="47">
        <v>4.4000000000000004</v>
      </c>
      <c r="E63" s="47">
        <v>3768</v>
      </c>
      <c r="F63" s="47">
        <v>166</v>
      </c>
      <c r="G63" s="47">
        <v>0</v>
      </c>
      <c r="H63" s="47">
        <v>6</v>
      </c>
      <c r="I63" s="47">
        <v>3940</v>
      </c>
      <c r="J63" s="47">
        <v>10690</v>
      </c>
      <c r="K63" s="47">
        <v>59.193181818181813</v>
      </c>
    </row>
    <row r="64" spans="1:11" s="651" customFormat="1">
      <c r="A64" s="652" t="s">
        <v>127</v>
      </c>
      <c r="B64" s="47">
        <v>4000</v>
      </c>
      <c r="C64" s="47">
        <v>54.6</v>
      </c>
      <c r="D64" s="47">
        <v>0</v>
      </c>
      <c r="E64" s="47">
        <v>2184</v>
      </c>
      <c r="F64" s="47">
        <v>0</v>
      </c>
      <c r="G64" s="47">
        <v>0</v>
      </c>
      <c r="H64" s="47">
        <v>6</v>
      </c>
      <c r="I64" s="47">
        <v>2190</v>
      </c>
      <c r="J64" s="47">
        <v>6190</v>
      </c>
      <c r="K64" s="47">
        <v>54.75</v>
      </c>
    </row>
    <row r="65" spans="1:11" s="651" customFormat="1">
      <c r="A65" s="653" t="s">
        <v>781</v>
      </c>
      <c r="B65" s="47">
        <v>4000</v>
      </c>
      <c r="C65" s="47">
        <v>54.6</v>
      </c>
      <c r="D65" s="47">
        <v>0</v>
      </c>
      <c r="E65" s="47">
        <v>2184</v>
      </c>
      <c r="F65" s="47">
        <v>0</v>
      </c>
      <c r="G65" s="47">
        <v>0</v>
      </c>
      <c r="H65" s="47">
        <v>6</v>
      </c>
      <c r="I65" s="47">
        <v>2190</v>
      </c>
      <c r="J65" s="47">
        <v>6190</v>
      </c>
      <c r="K65" s="47">
        <v>54.75</v>
      </c>
    </row>
    <row r="66" spans="1:11" s="651" customFormat="1">
      <c r="A66" s="661" t="s">
        <v>63</v>
      </c>
      <c r="B66" s="47">
        <v>2750</v>
      </c>
      <c r="C66" s="47">
        <v>57.599999999999994</v>
      </c>
      <c r="D66" s="47">
        <v>4.4000000000000004</v>
      </c>
      <c r="E66" s="47">
        <v>1583.9999999999998</v>
      </c>
      <c r="F66" s="47">
        <v>166</v>
      </c>
      <c r="G66" s="47">
        <v>0</v>
      </c>
      <c r="H66" s="47">
        <v>0</v>
      </c>
      <c r="I66" s="47">
        <v>1750</v>
      </c>
      <c r="J66" s="47">
        <v>4500</v>
      </c>
      <c r="K66" s="47">
        <v>63.636363636363633</v>
      </c>
    </row>
    <row r="67" spans="1:11" s="651" customFormat="1">
      <c r="A67" s="653" t="s">
        <v>777</v>
      </c>
      <c r="B67" s="47">
        <v>2750</v>
      </c>
      <c r="C67" s="47">
        <v>57.599999999999994</v>
      </c>
      <c r="D67" s="47">
        <v>4.4000000000000004</v>
      </c>
      <c r="E67" s="47">
        <v>1583.9999999999998</v>
      </c>
      <c r="F67" s="47">
        <v>166</v>
      </c>
      <c r="G67" s="47">
        <v>0</v>
      </c>
      <c r="H67" s="47">
        <v>0</v>
      </c>
      <c r="I67" s="47">
        <v>1750</v>
      </c>
      <c r="J67" s="47">
        <v>4500</v>
      </c>
      <c r="K67" s="47">
        <v>63.636363636363633</v>
      </c>
    </row>
    <row r="68" spans="1:11" s="651" customFormat="1">
      <c r="A68" s="656" t="s">
        <v>70</v>
      </c>
      <c r="B68" s="47">
        <v>37310</v>
      </c>
      <c r="C68" s="47">
        <v>50.25</v>
      </c>
      <c r="D68" s="47">
        <v>2714.96</v>
      </c>
      <c r="E68" s="47">
        <v>20310.66</v>
      </c>
      <c r="F68" s="47">
        <v>0</v>
      </c>
      <c r="G68" s="47">
        <v>0</v>
      </c>
      <c r="H68" s="47">
        <v>19.340000000001965</v>
      </c>
      <c r="I68" s="47">
        <v>20330</v>
      </c>
      <c r="J68" s="47">
        <v>57640</v>
      </c>
      <c r="K68" s="47">
        <v>50.342540962159191</v>
      </c>
    </row>
    <row r="69" spans="1:11" s="651" customFormat="1">
      <c r="A69" s="652" t="s">
        <v>447</v>
      </c>
      <c r="B69" s="47">
        <v>22120</v>
      </c>
      <c r="C69" s="47">
        <v>59.4</v>
      </c>
      <c r="D69" s="47">
        <v>2017.3440000000001</v>
      </c>
      <c r="E69" s="47">
        <v>13139.279999999999</v>
      </c>
      <c r="F69" s="47">
        <v>0</v>
      </c>
      <c r="G69" s="47">
        <v>0</v>
      </c>
      <c r="H69" s="47">
        <v>0.72000000000116415</v>
      </c>
      <c r="I69" s="47">
        <v>13140</v>
      </c>
      <c r="J69" s="47">
        <v>35260</v>
      </c>
      <c r="K69" s="47">
        <v>59.403254972875231</v>
      </c>
    </row>
    <row r="70" spans="1:11" s="651" customFormat="1">
      <c r="A70" s="653" t="s">
        <v>1033</v>
      </c>
      <c r="B70" s="47">
        <v>22120</v>
      </c>
      <c r="C70" s="47">
        <v>59.4</v>
      </c>
      <c r="D70" s="47">
        <v>2017.3440000000001</v>
      </c>
      <c r="E70" s="47">
        <v>13139.279999999999</v>
      </c>
      <c r="F70" s="47">
        <v>0</v>
      </c>
      <c r="G70" s="47">
        <v>0</v>
      </c>
      <c r="H70" s="47">
        <v>0.72000000000116415</v>
      </c>
      <c r="I70" s="47">
        <v>13140</v>
      </c>
      <c r="J70" s="47">
        <v>35260</v>
      </c>
      <c r="K70" s="47">
        <v>59.403254972875231</v>
      </c>
    </row>
    <row r="71" spans="1:11" s="651" customFormat="1">
      <c r="A71" s="652" t="s">
        <v>451</v>
      </c>
      <c r="B71" s="47">
        <v>5050</v>
      </c>
      <c r="C71" s="47">
        <v>45</v>
      </c>
      <c r="D71" s="47">
        <v>210.08</v>
      </c>
      <c r="E71" s="47">
        <v>2272.5</v>
      </c>
      <c r="F71" s="47">
        <v>0</v>
      </c>
      <c r="G71" s="47">
        <v>0</v>
      </c>
      <c r="H71" s="47">
        <v>7.5</v>
      </c>
      <c r="I71" s="47">
        <v>2280</v>
      </c>
      <c r="J71" s="47">
        <v>7330</v>
      </c>
      <c r="K71" s="47">
        <v>45.148514851485146</v>
      </c>
    </row>
    <row r="72" spans="1:11" s="651" customFormat="1">
      <c r="A72" s="653" t="s">
        <v>452</v>
      </c>
      <c r="B72" s="47">
        <v>5050</v>
      </c>
      <c r="C72" s="47">
        <v>45</v>
      </c>
      <c r="D72" s="47">
        <v>210.08</v>
      </c>
      <c r="E72" s="47">
        <v>2272.5</v>
      </c>
      <c r="F72" s="47">
        <v>0</v>
      </c>
      <c r="G72" s="47">
        <v>0</v>
      </c>
      <c r="H72" s="47">
        <v>7.5</v>
      </c>
      <c r="I72" s="47">
        <v>2280</v>
      </c>
      <c r="J72" s="47">
        <v>7330</v>
      </c>
      <c r="K72" s="47">
        <v>45.148514851485146</v>
      </c>
    </row>
    <row r="73" spans="1:11" s="651" customFormat="1">
      <c r="A73" s="652" t="s">
        <v>453</v>
      </c>
      <c r="B73" s="47">
        <v>5040</v>
      </c>
      <c r="C73" s="47">
        <v>46.199999999999996</v>
      </c>
      <c r="D73" s="47">
        <v>173.376</v>
      </c>
      <c r="E73" s="47">
        <v>2328.48</v>
      </c>
      <c r="F73" s="47">
        <v>0</v>
      </c>
      <c r="G73" s="47">
        <v>0</v>
      </c>
      <c r="H73" s="47">
        <v>1.5200000000004366</v>
      </c>
      <c r="I73" s="47">
        <v>2330</v>
      </c>
      <c r="J73" s="47">
        <v>7370</v>
      </c>
      <c r="K73" s="47">
        <v>46.230158730158735</v>
      </c>
    </row>
    <row r="74" spans="1:11" s="651" customFormat="1">
      <c r="A74" s="653" t="s">
        <v>1034</v>
      </c>
      <c r="B74" s="47">
        <v>5040</v>
      </c>
      <c r="C74" s="47">
        <v>46.199999999999996</v>
      </c>
      <c r="D74" s="47">
        <v>173.376</v>
      </c>
      <c r="E74" s="47">
        <v>2328.48</v>
      </c>
      <c r="F74" s="47">
        <v>0</v>
      </c>
      <c r="G74" s="47">
        <v>0</v>
      </c>
      <c r="H74" s="47">
        <v>1.5200000000004366</v>
      </c>
      <c r="I74" s="47">
        <v>2330</v>
      </c>
      <c r="J74" s="47">
        <v>7370</v>
      </c>
      <c r="K74" s="47">
        <v>46.230158730158735</v>
      </c>
    </row>
    <row r="75" spans="1:11" s="651" customFormat="1">
      <c r="A75" s="652" t="s">
        <v>455</v>
      </c>
      <c r="B75" s="47">
        <v>5100</v>
      </c>
      <c r="C75" s="47">
        <v>50.4</v>
      </c>
      <c r="D75" s="47">
        <v>314.16000000000003</v>
      </c>
      <c r="E75" s="47">
        <v>2570.4</v>
      </c>
      <c r="F75" s="47">
        <v>0</v>
      </c>
      <c r="G75" s="47">
        <v>0</v>
      </c>
      <c r="H75" s="47">
        <v>9.6000000000003638</v>
      </c>
      <c r="I75" s="47">
        <v>2580</v>
      </c>
      <c r="J75" s="47">
        <v>7680</v>
      </c>
      <c r="K75" s="47">
        <v>50.588235294117645</v>
      </c>
    </row>
    <row r="76" spans="1:11" s="651" customFormat="1">
      <c r="A76" s="653" t="s">
        <v>1035</v>
      </c>
      <c r="B76" s="47">
        <v>5100</v>
      </c>
      <c r="C76" s="47">
        <v>50.4</v>
      </c>
      <c r="D76" s="47">
        <v>314.16000000000003</v>
      </c>
      <c r="E76" s="47">
        <v>2570.4</v>
      </c>
      <c r="F76" s="47">
        <v>0</v>
      </c>
      <c r="G76" s="47">
        <v>0</v>
      </c>
      <c r="H76" s="47">
        <v>9.6000000000003638</v>
      </c>
      <c r="I76" s="47">
        <v>2580</v>
      </c>
      <c r="J76" s="47">
        <v>7680</v>
      </c>
      <c r="K76" s="47">
        <v>50.588235294117645</v>
      </c>
    </row>
    <row r="77" spans="1:11" s="651" customFormat="1">
      <c r="A77" s="656" t="s">
        <v>73</v>
      </c>
      <c r="B77" s="47">
        <v>4210</v>
      </c>
      <c r="C77" s="47">
        <v>58.8</v>
      </c>
      <c r="D77" s="47">
        <v>538.88</v>
      </c>
      <c r="E77" s="47">
        <v>2475.48</v>
      </c>
      <c r="F77" s="47">
        <v>0</v>
      </c>
      <c r="G77" s="47">
        <v>0</v>
      </c>
      <c r="H77" s="47">
        <v>4.5200000000004366</v>
      </c>
      <c r="I77" s="47">
        <v>2480</v>
      </c>
      <c r="J77" s="47">
        <v>6690</v>
      </c>
      <c r="K77" s="47">
        <v>58.907363420427551</v>
      </c>
    </row>
    <row r="78" spans="1:11" s="651" customFormat="1">
      <c r="A78" s="652" t="s">
        <v>459</v>
      </c>
      <c r="B78" s="47">
        <v>4210</v>
      </c>
      <c r="C78" s="47">
        <v>58.8</v>
      </c>
      <c r="D78" s="47">
        <v>538.88</v>
      </c>
      <c r="E78" s="47">
        <v>2475.48</v>
      </c>
      <c r="F78" s="47">
        <v>0</v>
      </c>
      <c r="G78" s="47">
        <v>0</v>
      </c>
      <c r="H78" s="47">
        <v>4.5200000000004366</v>
      </c>
      <c r="I78" s="47">
        <v>2480</v>
      </c>
      <c r="J78" s="47">
        <v>6690</v>
      </c>
      <c r="K78" s="47">
        <v>58.907363420427551</v>
      </c>
    </row>
    <row r="79" spans="1:11" s="651" customFormat="1">
      <c r="A79" s="653" t="s">
        <v>1036</v>
      </c>
      <c r="B79" s="47">
        <v>4210</v>
      </c>
      <c r="C79" s="47">
        <v>58.8</v>
      </c>
      <c r="D79" s="47">
        <v>538.88</v>
      </c>
      <c r="E79" s="47">
        <v>2475.48</v>
      </c>
      <c r="F79" s="47">
        <v>0</v>
      </c>
      <c r="G79" s="47">
        <v>0</v>
      </c>
      <c r="H79" s="47">
        <v>4.5200000000004366</v>
      </c>
      <c r="I79" s="47">
        <v>2480</v>
      </c>
      <c r="J79" s="47">
        <v>6690</v>
      </c>
      <c r="K79" s="47">
        <v>58.907363420427551</v>
      </c>
    </row>
    <row r="80" spans="1:11" s="651" customFormat="1">
      <c r="A80" s="656" t="s">
        <v>74</v>
      </c>
      <c r="B80" s="47">
        <v>29450</v>
      </c>
      <c r="C80" s="47">
        <v>50.099999999999994</v>
      </c>
      <c r="D80" s="47">
        <v>12877.384</v>
      </c>
      <c r="E80" s="47">
        <v>14690.88</v>
      </c>
      <c r="F80" s="47">
        <v>1965.04</v>
      </c>
      <c r="G80" s="47">
        <v>0</v>
      </c>
      <c r="H80" s="47">
        <v>14.080000000000837</v>
      </c>
      <c r="I80" s="47">
        <v>16670</v>
      </c>
      <c r="J80" s="47">
        <v>46120</v>
      </c>
      <c r="K80" s="47">
        <v>58.31025280369186</v>
      </c>
    </row>
    <row r="81" spans="1:11" s="651" customFormat="1">
      <c r="A81" s="652" t="s">
        <v>63</v>
      </c>
      <c r="B81" s="47">
        <v>19250</v>
      </c>
      <c r="C81" s="47">
        <v>50.4</v>
      </c>
      <c r="D81" s="47">
        <v>474.18399999999997</v>
      </c>
      <c r="E81" s="47">
        <v>9672.48</v>
      </c>
      <c r="F81" s="47">
        <v>1965.04</v>
      </c>
      <c r="G81" s="47">
        <v>0</v>
      </c>
      <c r="H81" s="47">
        <v>12.480000000000473</v>
      </c>
      <c r="I81" s="47">
        <v>11650</v>
      </c>
      <c r="J81" s="47">
        <v>30900</v>
      </c>
      <c r="K81" s="47">
        <v>61.34177498008588</v>
      </c>
    </row>
    <row r="82" spans="1:11" s="651" customFormat="1">
      <c r="A82" s="653" t="s">
        <v>1037</v>
      </c>
      <c r="B82" s="47">
        <v>4200</v>
      </c>
      <c r="C82" s="47">
        <v>48</v>
      </c>
      <c r="D82" s="47">
        <v>73.92</v>
      </c>
      <c r="E82" s="47">
        <v>2016</v>
      </c>
      <c r="F82" s="47">
        <v>0</v>
      </c>
      <c r="G82" s="47">
        <v>0</v>
      </c>
      <c r="H82" s="47">
        <v>4</v>
      </c>
      <c r="I82" s="47">
        <v>2020</v>
      </c>
      <c r="J82" s="47">
        <v>6220</v>
      </c>
      <c r="K82" s="47">
        <v>48.095238095238095</v>
      </c>
    </row>
    <row r="83" spans="1:11" s="651" customFormat="1">
      <c r="A83" s="653" t="s">
        <v>463</v>
      </c>
      <c r="B83" s="47">
        <v>3000</v>
      </c>
      <c r="C83" s="47">
        <v>53.4</v>
      </c>
      <c r="D83" s="47">
        <v>64.8</v>
      </c>
      <c r="E83" s="47">
        <v>1602</v>
      </c>
      <c r="F83" s="47">
        <v>398</v>
      </c>
      <c r="G83" s="47">
        <v>0</v>
      </c>
      <c r="H83" s="47">
        <v>0</v>
      </c>
      <c r="I83" s="47">
        <v>2000</v>
      </c>
      <c r="J83" s="47">
        <v>5000</v>
      </c>
      <c r="K83" s="47">
        <v>66.666666666666671</v>
      </c>
    </row>
    <row r="84" spans="1:11" s="651" customFormat="1">
      <c r="A84" s="653" t="s">
        <v>464</v>
      </c>
      <c r="B84" s="47">
        <v>3010</v>
      </c>
      <c r="C84" s="47">
        <v>55.199999999999996</v>
      </c>
      <c r="D84" s="47">
        <v>79.463999999999999</v>
      </c>
      <c r="E84" s="47">
        <v>1661.5199999999998</v>
      </c>
      <c r="F84" s="47">
        <v>0</v>
      </c>
      <c r="G84" s="47">
        <v>0</v>
      </c>
      <c r="H84" s="47">
        <v>8.4800000000004729</v>
      </c>
      <c r="I84" s="47">
        <v>1670</v>
      </c>
      <c r="J84" s="47">
        <v>4680</v>
      </c>
      <c r="K84" s="47">
        <v>55.481727574750828</v>
      </c>
    </row>
    <row r="85" spans="1:11" s="651" customFormat="1">
      <c r="A85" s="653" t="s">
        <v>465</v>
      </c>
      <c r="B85" s="47">
        <v>3000</v>
      </c>
      <c r="C85" s="47">
        <v>51.6</v>
      </c>
      <c r="D85" s="47">
        <v>64.8</v>
      </c>
      <c r="E85" s="47">
        <v>1548</v>
      </c>
      <c r="F85" s="47">
        <v>452</v>
      </c>
      <c r="G85" s="47">
        <v>0</v>
      </c>
      <c r="H85" s="47">
        <v>0</v>
      </c>
      <c r="I85" s="47">
        <v>2000</v>
      </c>
      <c r="J85" s="47">
        <v>5000</v>
      </c>
      <c r="K85" s="47">
        <v>66.666666666666671</v>
      </c>
    </row>
    <row r="86" spans="1:11" s="651" customFormat="1">
      <c r="A86" s="653" t="s">
        <v>1038</v>
      </c>
      <c r="B86" s="47">
        <v>3000</v>
      </c>
      <c r="C86" s="47">
        <v>46.8</v>
      </c>
      <c r="D86" s="47">
        <v>69.599999999999994</v>
      </c>
      <c r="E86" s="47">
        <v>1404</v>
      </c>
      <c r="F86" s="47">
        <v>596</v>
      </c>
      <c r="G86" s="47">
        <v>0</v>
      </c>
      <c r="H86" s="47">
        <v>0</v>
      </c>
      <c r="I86" s="47">
        <v>2000</v>
      </c>
      <c r="J86" s="47">
        <v>5000</v>
      </c>
      <c r="K86" s="47">
        <v>66.666666666666671</v>
      </c>
    </row>
    <row r="87" spans="1:11" s="651" customFormat="1">
      <c r="A87" s="653" t="s">
        <v>467</v>
      </c>
      <c r="B87" s="47">
        <v>3040</v>
      </c>
      <c r="C87" s="47">
        <v>47.4</v>
      </c>
      <c r="D87" s="47">
        <v>121.6</v>
      </c>
      <c r="E87" s="47">
        <v>1440.96</v>
      </c>
      <c r="F87" s="47">
        <v>519.04</v>
      </c>
      <c r="G87" s="47">
        <v>0</v>
      </c>
      <c r="H87" s="47">
        <v>0</v>
      </c>
      <c r="I87" s="47">
        <v>1960</v>
      </c>
      <c r="J87" s="47">
        <v>5000</v>
      </c>
      <c r="K87" s="47">
        <v>64.473684210526315</v>
      </c>
    </row>
    <row r="88" spans="1:11" s="651" customFormat="1">
      <c r="A88" s="652" t="s">
        <v>207</v>
      </c>
      <c r="B88" s="47">
        <v>10200</v>
      </c>
      <c r="C88" s="47">
        <v>49.2</v>
      </c>
      <c r="D88" s="47">
        <v>12403.2</v>
      </c>
      <c r="E88" s="47">
        <v>5018.3999999999996</v>
      </c>
      <c r="F88" s="47">
        <v>0</v>
      </c>
      <c r="G88" s="47">
        <v>0</v>
      </c>
      <c r="H88" s="47">
        <v>1.6000000000003638</v>
      </c>
      <c r="I88" s="47">
        <v>5020</v>
      </c>
      <c r="J88" s="47">
        <v>15220</v>
      </c>
      <c r="K88" s="47">
        <v>49.215686274509807</v>
      </c>
    </row>
    <row r="89" spans="1:11" s="651" customFormat="1">
      <c r="A89" s="653" t="s">
        <v>462</v>
      </c>
      <c r="B89" s="47">
        <v>5100</v>
      </c>
      <c r="C89" s="47">
        <v>39</v>
      </c>
      <c r="D89" s="47">
        <v>277.44</v>
      </c>
      <c r="E89" s="47">
        <v>1989</v>
      </c>
      <c r="F89" s="47">
        <v>0</v>
      </c>
      <c r="G89" s="47">
        <v>0</v>
      </c>
      <c r="H89" s="47">
        <v>1</v>
      </c>
      <c r="I89" s="47">
        <v>1990</v>
      </c>
      <c r="J89" s="47">
        <v>7090</v>
      </c>
      <c r="K89" s="47">
        <v>39.019607843137258</v>
      </c>
    </row>
    <row r="90" spans="1:11" s="651" customFormat="1">
      <c r="A90" s="653" t="s">
        <v>1039</v>
      </c>
      <c r="B90" s="47">
        <v>5100</v>
      </c>
      <c r="C90" s="47">
        <v>59.4</v>
      </c>
      <c r="D90" s="47">
        <v>12125.76</v>
      </c>
      <c r="E90" s="47">
        <v>3029.3999999999996</v>
      </c>
      <c r="F90" s="47">
        <v>0</v>
      </c>
      <c r="G90" s="47">
        <v>0</v>
      </c>
      <c r="H90" s="47">
        <v>0.6000000000003638</v>
      </c>
      <c r="I90" s="47">
        <v>3030</v>
      </c>
      <c r="J90" s="47">
        <v>8130</v>
      </c>
      <c r="K90" s="47">
        <v>59.411764705882355</v>
      </c>
    </row>
    <row r="91" spans="1:11" s="651" customFormat="1">
      <c r="A91" s="662" t="s">
        <v>80</v>
      </c>
      <c r="B91" s="47">
        <v>10000</v>
      </c>
      <c r="C91" s="47">
        <v>20.399999999999999</v>
      </c>
      <c r="D91" s="47">
        <v>0</v>
      </c>
      <c r="E91" s="47">
        <v>2039.9999999999998</v>
      </c>
      <c r="F91" s="47">
        <v>0</v>
      </c>
      <c r="G91" s="47">
        <v>0</v>
      </c>
      <c r="H91" s="47">
        <v>0</v>
      </c>
      <c r="I91" s="47">
        <v>2040</v>
      </c>
      <c r="J91" s="47">
        <v>12040</v>
      </c>
      <c r="K91" s="47">
        <v>20.399999999999999</v>
      </c>
    </row>
    <row r="92" spans="1:11" s="651" customFormat="1">
      <c r="A92" s="652" t="s">
        <v>1040</v>
      </c>
      <c r="B92" s="47">
        <v>10000</v>
      </c>
      <c r="C92" s="47">
        <v>20.399999999999999</v>
      </c>
      <c r="D92" s="47">
        <v>0</v>
      </c>
      <c r="E92" s="47">
        <v>2039.9999999999998</v>
      </c>
      <c r="F92" s="47">
        <v>0</v>
      </c>
      <c r="G92" s="47">
        <v>0</v>
      </c>
      <c r="H92" s="47">
        <v>0</v>
      </c>
      <c r="I92" s="47">
        <v>2040</v>
      </c>
      <c r="J92" s="47">
        <v>12040</v>
      </c>
      <c r="K92" s="47">
        <v>20.399999999999999</v>
      </c>
    </row>
    <row r="93" spans="1:11" s="651" customFormat="1">
      <c r="A93" s="653" t="s">
        <v>783</v>
      </c>
      <c r="B93" s="47">
        <v>10000</v>
      </c>
      <c r="C93" s="47">
        <v>20.399999999999999</v>
      </c>
      <c r="D93" s="47">
        <v>0</v>
      </c>
      <c r="E93" s="47">
        <v>2039.9999999999998</v>
      </c>
      <c r="F93" s="47">
        <v>0</v>
      </c>
      <c r="G93" s="47">
        <v>0</v>
      </c>
      <c r="H93" s="47">
        <v>0</v>
      </c>
      <c r="I93" s="47">
        <v>2040</v>
      </c>
      <c r="J93" s="47">
        <v>12040</v>
      </c>
      <c r="K93" s="47">
        <v>20.399999999999999</v>
      </c>
    </row>
    <row r="94" spans="1:11" s="651" customFormat="1">
      <c r="A94" s="650" t="s">
        <v>90</v>
      </c>
      <c r="B94" s="47">
        <v>1286600</v>
      </c>
      <c r="C94" s="47">
        <v>53.946808510638277</v>
      </c>
      <c r="D94" s="47">
        <v>146586.94400000002</v>
      </c>
      <c r="E94" s="47">
        <v>702366.6599999998</v>
      </c>
      <c r="F94" s="47">
        <v>104877.55999999995</v>
      </c>
      <c r="G94" s="47">
        <v>36233.860000000008</v>
      </c>
      <c r="H94" s="47">
        <v>862.36000000000786</v>
      </c>
      <c r="I94" s="47">
        <v>844340.44</v>
      </c>
      <c r="J94" s="47">
        <v>2130940.44</v>
      </c>
      <c r="K94" s="47">
        <v>63.40830636443831</v>
      </c>
    </row>
    <row r="95" spans="1:11" s="651" customFormat="1">
      <c r="A95" s="656">
        <v>0</v>
      </c>
      <c r="B95" s="47">
        <v>6000</v>
      </c>
      <c r="C95" s="47">
        <v>52.8</v>
      </c>
      <c r="D95" s="47">
        <v>57.6</v>
      </c>
      <c r="E95" s="47">
        <v>3168</v>
      </c>
      <c r="F95" s="47">
        <v>332</v>
      </c>
      <c r="G95" s="47">
        <v>0</v>
      </c>
      <c r="H95" s="47">
        <v>0</v>
      </c>
      <c r="I95" s="47">
        <v>3500</v>
      </c>
      <c r="J95" s="47">
        <v>9500</v>
      </c>
      <c r="K95" s="47">
        <v>58.333333333333336</v>
      </c>
    </row>
    <row r="96" spans="1:11" s="651" customFormat="1">
      <c r="A96" s="661" t="s">
        <v>109</v>
      </c>
      <c r="B96" s="47">
        <v>6000</v>
      </c>
      <c r="C96" s="47">
        <v>52.8</v>
      </c>
      <c r="D96" s="47">
        <v>57.6</v>
      </c>
      <c r="E96" s="47">
        <v>3168</v>
      </c>
      <c r="F96" s="47">
        <v>332</v>
      </c>
      <c r="G96" s="47">
        <v>0</v>
      </c>
      <c r="H96" s="47">
        <v>0</v>
      </c>
      <c r="I96" s="47">
        <v>3500</v>
      </c>
      <c r="J96" s="47">
        <v>9500</v>
      </c>
      <c r="K96" s="47">
        <v>58.333333333333336</v>
      </c>
    </row>
    <row r="97" spans="1:11" s="651" customFormat="1">
      <c r="A97" s="663" t="s">
        <v>1041</v>
      </c>
      <c r="B97" s="47">
        <v>6000</v>
      </c>
      <c r="C97" s="47">
        <v>52.8</v>
      </c>
      <c r="D97" s="47">
        <v>57.6</v>
      </c>
      <c r="E97" s="47">
        <v>3168</v>
      </c>
      <c r="F97" s="47">
        <v>332</v>
      </c>
      <c r="G97" s="47">
        <v>0</v>
      </c>
      <c r="H97" s="47">
        <v>0</v>
      </c>
      <c r="I97" s="47">
        <v>3500</v>
      </c>
      <c r="J97" s="47">
        <v>9500</v>
      </c>
      <c r="K97" s="47">
        <v>58.333333333333336</v>
      </c>
    </row>
    <row r="98" spans="1:11" s="651" customFormat="1">
      <c r="A98" s="656" t="s">
        <v>70</v>
      </c>
      <c r="B98" s="47">
        <v>43840</v>
      </c>
      <c r="C98" s="47">
        <v>55.199999999999996</v>
      </c>
      <c r="D98" s="47">
        <v>10058.591999999999</v>
      </c>
      <c r="E98" s="47">
        <v>25659.24</v>
      </c>
      <c r="F98" s="47">
        <v>367.65999999999985</v>
      </c>
      <c r="G98" s="47">
        <v>1000</v>
      </c>
      <c r="H98" s="47">
        <v>23.100000000000364</v>
      </c>
      <c r="I98" s="47">
        <v>27050</v>
      </c>
      <c r="J98" s="47">
        <v>70890</v>
      </c>
      <c r="K98" s="47">
        <v>65.906163109128968</v>
      </c>
    </row>
    <row r="99" spans="1:11" s="651" customFormat="1">
      <c r="A99" s="652" t="s">
        <v>103</v>
      </c>
      <c r="B99" s="47">
        <v>34960</v>
      </c>
      <c r="C99" s="47">
        <v>60</v>
      </c>
      <c r="D99" s="47">
        <v>8306.4959999999992</v>
      </c>
      <c r="E99" s="47">
        <v>20976</v>
      </c>
      <c r="F99" s="47">
        <v>0</v>
      </c>
      <c r="G99" s="47">
        <v>0</v>
      </c>
      <c r="H99" s="47">
        <v>14</v>
      </c>
      <c r="I99" s="47">
        <v>20990</v>
      </c>
      <c r="J99" s="47">
        <v>55950</v>
      </c>
      <c r="K99" s="47">
        <v>60.040045766590389</v>
      </c>
    </row>
    <row r="100" spans="1:11" s="651" customFormat="1">
      <c r="A100" s="653" t="s">
        <v>91</v>
      </c>
      <c r="B100" s="47">
        <v>34960</v>
      </c>
      <c r="C100" s="47">
        <v>60</v>
      </c>
      <c r="D100" s="47">
        <v>8306.4959999999992</v>
      </c>
      <c r="E100" s="47">
        <v>20976</v>
      </c>
      <c r="F100" s="47">
        <v>0</v>
      </c>
      <c r="G100" s="47">
        <v>0</v>
      </c>
      <c r="H100" s="47">
        <v>14</v>
      </c>
      <c r="I100" s="47">
        <v>20990</v>
      </c>
      <c r="J100" s="47">
        <v>55950</v>
      </c>
      <c r="K100" s="47">
        <v>60.040045766590389</v>
      </c>
    </row>
    <row r="101" spans="1:11" s="651" customFormat="1">
      <c r="A101" s="652" t="s">
        <v>117</v>
      </c>
      <c r="B101" s="47">
        <v>4590</v>
      </c>
      <c r="C101" s="47">
        <v>51</v>
      </c>
      <c r="D101" s="47">
        <v>1182.384</v>
      </c>
      <c r="E101" s="47">
        <v>2340.9</v>
      </c>
      <c r="F101" s="47">
        <v>0</v>
      </c>
      <c r="G101" s="47">
        <v>0</v>
      </c>
      <c r="H101" s="47">
        <v>9.1000000000003638</v>
      </c>
      <c r="I101" s="47">
        <v>2350</v>
      </c>
      <c r="J101" s="47">
        <v>6940</v>
      </c>
      <c r="K101" s="47">
        <v>51.19825708061002</v>
      </c>
    </row>
    <row r="102" spans="1:11" s="651" customFormat="1">
      <c r="A102" s="653" t="s">
        <v>162</v>
      </c>
      <c r="B102" s="47">
        <v>4590</v>
      </c>
      <c r="C102" s="47">
        <v>51</v>
      </c>
      <c r="D102" s="47">
        <v>1182.384</v>
      </c>
      <c r="E102" s="47">
        <v>2340.9</v>
      </c>
      <c r="F102" s="47">
        <v>0</v>
      </c>
      <c r="G102" s="47">
        <v>0</v>
      </c>
      <c r="H102" s="47">
        <v>9.1000000000003638</v>
      </c>
      <c r="I102" s="47">
        <v>2350</v>
      </c>
      <c r="J102" s="47">
        <v>6940</v>
      </c>
      <c r="K102" s="47">
        <v>51.19825708061002</v>
      </c>
    </row>
    <row r="103" spans="1:11" s="651" customFormat="1">
      <c r="A103" s="652" t="s">
        <v>116</v>
      </c>
      <c r="B103" s="47">
        <v>4290</v>
      </c>
      <c r="C103" s="47">
        <v>54.6</v>
      </c>
      <c r="D103" s="47">
        <v>569.71199999999999</v>
      </c>
      <c r="E103" s="47">
        <v>2342.34</v>
      </c>
      <c r="F103" s="47">
        <v>367.65999999999985</v>
      </c>
      <c r="G103" s="47">
        <v>1000</v>
      </c>
      <c r="H103" s="47">
        <v>0</v>
      </c>
      <c r="I103" s="47">
        <v>3710</v>
      </c>
      <c r="J103" s="47">
        <v>8000</v>
      </c>
      <c r="K103" s="47">
        <v>86.480186480186489</v>
      </c>
    </row>
    <row r="104" spans="1:11" s="651" customFormat="1">
      <c r="A104" s="653" t="s">
        <v>1042</v>
      </c>
      <c r="B104" s="47">
        <v>4290</v>
      </c>
      <c r="C104" s="47">
        <v>54.6</v>
      </c>
      <c r="D104" s="47">
        <v>569.71199999999999</v>
      </c>
      <c r="E104" s="47">
        <v>2342.34</v>
      </c>
      <c r="F104" s="47">
        <v>367.65999999999985</v>
      </c>
      <c r="G104" s="47">
        <v>1000</v>
      </c>
      <c r="H104" s="47">
        <v>0</v>
      </c>
      <c r="I104" s="47">
        <v>3710</v>
      </c>
      <c r="J104" s="47">
        <v>8000</v>
      </c>
      <c r="K104" s="47">
        <v>86.480186480186489</v>
      </c>
    </row>
    <row r="105" spans="1:11" s="651" customFormat="1">
      <c r="A105" s="656" t="s">
        <v>71</v>
      </c>
      <c r="B105" s="47">
        <v>13640</v>
      </c>
      <c r="C105" s="47">
        <v>52.4</v>
      </c>
      <c r="D105" s="47">
        <v>535.44000000000005</v>
      </c>
      <c r="E105" s="47">
        <v>7155.9</v>
      </c>
      <c r="F105" s="47">
        <v>0</v>
      </c>
      <c r="G105" s="47">
        <v>283.97999999999956</v>
      </c>
      <c r="H105" s="47">
        <v>10.119999999999891</v>
      </c>
      <c r="I105" s="47">
        <v>7450</v>
      </c>
      <c r="J105" s="47">
        <v>21090</v>
      </c>
      <c r="K105" s="47">
        <v>54.363951952650034</v>
      </c>
    </row>
    <row r="106" spans="1:11" s="651" customFormat="1">
      <c r="A106" s="652" t="s">
        <v>166</v>
      </c>
      <c r="B106" s="47">
        <v>4520</v>
      </c>
      <c r="C106" s="47">
        <v>52.199999999999996</v>
      </c>
      <c r="D106" s="47">
        <v>126.56</v>
      </c>
      <c r="E106" s="47">
        <v>2359.4399999999996</v>
      </c>
      <c r="F106" s="47">
        <v>0</v>
      </c>
      <c r="G106" s="47">
        <v>0</v>
      </c>
      <c r="H106" s="47">
        <v>0.56000000000040018</v>
      </c>
      <c r="I106" s="47">
        <v>2360</v>
      </c>
      <c r="J106" s="47">
        <v>6880</v>
      </c>
      <c r="K106" s="47">
        <v>52.212389380530972</v>
      </c>
    </row>
    <row r="107" spans="1:11" s="651" customFormat="1">
      <c r="A107" s="653" t="s">
        <v>167</v>
      </c>
      <c r="B107" s="47">
        <v>4520</v>
      </c>
      <c r="C107" s="47">
        <v>52.199999999999996</v>
      </c>
      <c r="D107" s="47">
        <v>126.56</v>
      </c>
      <c r="E107" s="47">
        <v>2359.4399999999996</v>
      </c>
      <c r="F107" s="47">
        <v>0</v>
      </c>
      <c r="G107" s="47">
        <v>0</v>
      </c>
      <c r="H107" s="47">
        <v>0.56000000000040018</v>
      </c>
      <c r="I107" s="47">
        <v>2360</v>
      </c>
      <c r="J107" s="47">
        <v>6880</v>
      </c>
      <c r="K107" s="47">
        <v>52.212389380530972</v>
      </c>
    </row>
    <row r="108" spans="1:11" s="651" customFormat="1">
      <c r="A108" s="652" t="s">
        <v>168</v>
      </c>
      <c r="B108" s="47">
        <v>4090</v>
      </c>
      <c r="C108" s="47">
        <v>51.6</v>
      </c>
      <c r="D108" s="47">
        <v>251.94399999999999</v>
      </c>
      <c r="E108" s="47">
        <v>2110.44</v>
      </c>
      <c r="F108" s="47">
        <v>0</v>
      </c>
      <c r="G108" s="47">
        <v>0</v>
      </c>
      <c r="H108" s="47">
        <v>9.5599999999994907</v>
      </c>
      <c r="I108" s="47">
        <v>2120</v>
      </c>
      <c r="J108" s="47">
        <v>6210</v>
      </c>
      <c r="K108" s="47">
        <v>51.833740831295849</v>
      </c>
    </row>
    <row r="109" spans="1:11" s="651" customFormat="1">
      <c r="A109" s="653" t="s">
        <v>169</v>
      </c>
      <c r="B109" s="47">
        <v>4090</v>
      </c>
      <c r="C109" s="47">
        <v>51.6</v>
      </c>
      <c r="D109" s="47">
        <v>251.94399999999999</v>
      </c>
      <c r="E109" s="47">
        <v>2110.44</v>
      </c>
      <c r="F109" s="47">
        <v>0</v>
      </c>
      <c r="G109" s="47">
        <v>0</v>
      </c>
      <c r="H109" s="47">
        <v>9.5599999999994907</v>
      </c>
      <c r="I109" s="47">
        <v>2120</v>
      </c>
      <c r="J109" s="47">
        <v>6210</v>
      </c>
      <c r="K109" s="47">
        <v>51.833740831295849</v>
      </c>
    </row>
    <row r="110" spans="1:11" s="651" customFormat="1">
      <c r="A110" s="652" t="s">
        <v>164</v>
      </c>
      <c r="B110" s="47">
        <v>5030</v>
      </c>
      <c r="C110" s="47">
        <v>53.4</v>
      </c>
      <c r="D110" s="47">
        <v>156.93600000000001</v>
      </c>
      <c r="E110" s="47">
        <v>2686.02</v>
      </c>
      <c r="F110" s="47">
        <v>0</v>
      </c>
      <c r="G110" s="47">
        <v>283.97999999999956</v>
      </c>
      <c r="H110" s="47">
        <v>0</v>
      </c>
      <c r="I110" s="47">
        <v>2970</v>
      </c>
      <c r="J110" s="47">
        <v>8000</v>
      </c>
      <c r="K110" s="47">
        <v>59.045725646123266</v>
      </c>
    </row>
    <row r="111" spans="1:11" s="651" customFormat="1">
      <c r="A111" s="653" t="s">
        <v>1043</v>
      </c>
      <c r="B111" s="47">
        <v>5030</v>
      </c>
      <c r="C111" s="47">
        <v>53.4</v>
      </c>
      <c r="D111" s="47">
        <v>156.93600000000001</v>
      </c>
      <c r="E111" s="47">
        <v>2686.02</v>
      </c>
      <c r="F111" s="47">
        <v>0</v>
      </c>
      <c r="G111" s="47">
        <v>283.97999999999956</v>
      </c>
      <c r="H111" s="47">
        <v>0</v>
      </c>
      <c r="I111" s="47">
        <v>2970</v>
      </c>
      <c r="J111" s="47">
        <v>8000</v>
      </c>
      <c r="K111" s="47">
        <v>59.045725646123266</v>
      </c>
    </row>
    <row r="112" spans="1:11" s="651" customFormat="1">
      <c r="A112" s="656" t="s">
        <v>72</v>
      </c>
      <c r="B112" s="47">
        <v>30440</v>
      </c>
      <c r="C112" s="47">
        <v>55.699999999999996</v>
      </c>
      <c r="D112" s="47">
        <v>1211.248</v>
      </c>
      <c r="E112" s="47">
        <v>16974.059999999998</v>
      </c>
      <c r="F112" s="47">
        <v>2545</v>
      </c>
      <c r="G112" s="47">
        <v>0</v>
      </c>
      <c r="H112" s="47">
        <v>30.940000000000509</v>
      </c>
      <c r="I112" s="47">
        <v>19550</v>
      </c>
      <c r="J112" s="47">
        <v>49990</v>
      </c>
      <c r="K112" s="47">
        <v>63.404788314680424</v>
      </c>
    </row>
    <row r="113" spans="1:11" s="651" customFormat="1">
      <c r="A113" s="652" t="s">
        <v>170</v>
      </c>
      <c r="B113" s="47">
        <v>9140</v>
      </c>
      <c r="C113" s="47">
        <v>52.5</v>
      </c>
      <c r="D113" s="47">
        <v>476.68799999999999</v>
      </c>
      <c r="E113" s="47">
        <v>4798.26</v>
      </c>
      <c r="F113" s="47">
        <v>0</v>
      </c>
      <c r="G113" s="47">
        <v>0</v>
      </c>
      <c r="H113" s="47">
        <v>11.739999999999782</v>
      </c>
      <c r="I113" s="47">
        <v>4810</v>
      </c>
      <c r="J113" s="47">
        <v>13950</v>
      </c>
      <c r="K113" s="47">
        <v>52.628894858571201</v>
      </c>
    </row>
    <row r="114" spans="1:11" s="651" customFormat="1">
      <c r="A114" s="653" t="s">
        <v>1044</v>
      </c>
      <c r="B114" s="47">
        <v>4610</v>
      </c>
      <c r="C114" s="47">
        <v>52.199999999999996</v>
      </c>
      <c r="D114" s="47">
        <v>320.85599999999999</v>
      </c>
      <c r="E114" s="47">
        <v>2406.4199999999996</v>
      </c>
      <c r="F114" s="47">
        <v>0</v>
      </c>
      <c r="G114" s="47">
        <v>0</v>
      </c>
      <c r="H114" s="47">
        <v>3.5799999999999272</v>
      </c>
      <c r="I114" s="47">
        <v>2410</v>
      </c>
      <c r="J114" s="47">
        <v>7020</v>
      </c>
      <c r="K114" s="47">
        <v>52.277657266811275</v>
      </c>
    </row>
    <row r="115" spans="1:11" s="651" customFormat="1">
      <c r="A115" s="653" t="s">
        <v>172</v>
      </c>
      <c r="B115" s="47">
        <v>4530</v>
      </c>
      <c r="C115" s="47">
        <v>52.8</v>
      </c>
      <c r="D115" s="47">
        <v>155.83199999999999</v>
      </c>
      <c r="E115" s="47">
        <v>2391.84</v>
      </c>
      <c r="F115" s="47">
        <v>0</v>
      </c>
      <c r="G115" s="47">
        <v>0</v>
      </c>
      <c r="H115" s="47">
        <v>8.1599999999998545</v>
      </c>
      <c r="I115" s="47">
        <v>2400</v>
      </c>
      <c r="J115" s="47">
        <v>6930</v>
      </c>
      <c r="K115" s="47">
        <v>52.980132450331126</v>
      </c>
    </row>
    <row r="116" spans="1:11" s="651" customFormat="1">
      <c r="A116" s="652" t="s">
        <v>1045</v>
      </c>
      <c r="B116" s="47">
        <v>5400</v>
      </c>
      <c r="C116" s="47">
        <v>57.599999999999994</v>
      </c>
      <c r="D116" s="47">
        <v>95.04</v>
      </c>
      <c r="E116" s="47">
        <v>3110.3999999999996</v>
      </c>
      <c r="F116" s="47">
        <v>0</v>
      </c>
      <c r="G116" s="47">
        <v>0</v>
      </c>
      <c r="H116" s="47">
        <v>9.6000000000003638</v>
      </c>
      <c r="I116" s="47">
        <v>3120</v>
      </c>
      <c r="J116" s="47">
        <v>8520</v>
      </c>
      <c r="K116" s="47">
        <v>57.777777777777779</v>
      </c>
    </row>
    <row r="117" spans="1:11" s="651" customFormat="1">
      <c r="A117" s="653" t="s">
        <v>793</v>
      </c>
      <c r="B117" s="47">
        <v>5400</v>
      </c>
      <c r="C117" s="47">
        <v>57.599999999999994</v>
      </c>
      <c r="D117" s="47">
        <v>95.04</v>
      </c>
      <c r="E117" s="47">
        <v>3110.3999999999996</v>
      </c>
      <c r="F117" s="47">
        <v>0</v>
      </c>
      <c r="G117" s="47">
        <v>0</v>
      </c>
      <c r="H117" s="47">
        <v>9.6000000000003638</v>
      </c>
      <c r="I117" s="47">
        <v>3120</v>
      </c>
      <c r="J117" s="47">
        <v>8520</v>
      </c>
      <c r="K117" s="47">
        <v>57.777777777777779</v>
      </c>
    </row>
    <row r="118" spans="1:11" s="651" customFormat="1">
      <c r="A118" s="652" t="s">
        <v>1046</v>
      </c>
      <c r="B118" s="47">
        <v>4000</v>
      </c>
      <c r="C118" s="47">
        <v>58.199999999999996</v>
      </c>
      <c r="D118" s="47">
        <v>32</v>
      </c>
      <c r="E118" s="47">
        <v>2328</v>
      </c>
      <c r="F118" s="47">
        <v>672</v>
      </c>
      <c r="G118" s="47">
        <v>0</v>
      </c>
      <c r="H118" s="47">
        <v>0</v>
      </c>
      <c r="I118" s="47">
        <v>3000</v>
      </c>
      <c r="J118" s="47">
        <v>7000</v>
      </c>
      <c r="K118" s="47">
        <v>75</v>
      </c>
    </row>
    <row r="119" spans="1:11" s="651" customFormat="1">
      <c r="A119" s="653" t="s">
        <v>736</v>
      </c>
      <c r="B119" s="47">
        <v>4000</v>
      </c>
      <c r="C119" s="47">
        <v>58.199999999999996</v>
      </c>
      <c r="D119" s="47">
        <v>32</v>
      </c>
      <c r="E119" s="47">
        <v>2328</v>
      </c>
      <c r="F119" s="47">
        <v>672</v>
      </c>
      <c r="G119" s="47">
        <v>0</v>
      </c>
      <c r="H119" s="47">
        <v>0</v>
      </c>
      <c r="I119" s="47">
        <v>3000</v>
      </c>
      <c r="J119" s="47">
        <v>7000</v>
      </c>
      <c r="K119" s="47">
        <v>75</v>
      </c>
    </row>
    <row r="120" spans="1:11" s="651" customFormat="1">
      <c r="A120" s="652" t="s">
        <v>197</v>
      </c>
      <c r="B120" s="47">
        <v>5400</v>
      </c>
      <c r="C120" s="47">
        <v>57.599999999999994</v>
      </c>
      <c r="D120" s="47">
        <v>285.12</v>
      </c>
      <c r="E120" s="47">
        <v>3110.3999999999996</v>
      </c>
      <c r="F120" s="47">
        <v>0</v>
      </c>
      <c r="G120" s="47">
        <v>0</v>
      </c>
      <c r="H120" s="47">
        <v>9.6000000000003638</v>
      </c>
      <c r="I120" s="47">
        <v>3120</v>
      </c>
      <c r="J120" s="47">
        <v>8520</v>
      </c>
      <c r="K120" s="47">
        <v>57.777777777777779</v>
      </c>
    </row>
    <row r="121" spans="1:11" s="651" customFormat="1">
      <c r="A121" s="653" t="s">
        <v>1047</v>
      </c>
      <c r="B121" s="47">
        <v>5400</v>
      </c>
      <c r="C121" s="47">
        <v>57.599999999999994</v>
      </c>
      <c r="D121" s="47">
        <v>285.12</v>
      </c>
      <c r="E121" s="47">
        <v>3110.3999999999996</v>
      </c>
      <c r="F121" s="47">
        <v>0</v>
      </c>
      <c r="G121" s="47">
        <v>0</v>
      </c>
      <c r="H121" s="47">
        <v>9.6000000000003638</v>
      </c>
      <c r="I121" s="47">
        <v>3120</v>
      </c>
      <c r="J121" s="47">
        <v>8520</v>
      </c>
      <c r="K121" s="47">
        <v>57.777777777777779</v>
      </c>
    </row>
    <row r="122" spans="1:11" s="651" customFormat="1">
      <c r="A122" s="652" t="s">
        <v>104</v>
      </c>
      <c r="B122" s="47">
        <v>6500</v>
      </c>
      <c r="C122" s="47">
        <v>55.8</v>
      </c>
      <c r="D122" s="47">
        <v>322.39999999999998</v>
      </c>
      <c r="E122" s="47">
        <v>3626.9999999999995</v>
      </c>
      <c r="F122" s="47">
        <v>1873</v>
      </c>
      <c r="G122" s="47">
        <v>0</v>
      </c>
      <c r="H122" s="47">
        <v>0</v>
      </c>
      <c r="I122" s="47">
        <v>5500</v>
      </c>
      <c r="J122" s="47">
        <v>12000</v>
      </c>
      <c r="K122" s="47">
        <v>84.615384615384613</v>
      </c>
    </row>
    <row r="123" spans="1:11" s="651" customFormat="1">
      <c r="A123" s="653" t="s">
        <v>92</v>
      </c>
      <c r="B123" s="47">
        <v>6500</v>
      </c>
      <c r="C123" s="47">
        <v>55.8</v>
      </c>
      <c r="D123" s="47">
        <v>322.39999999999998</v>
      </c>
      <c r="E123" s="47">
        <v>3626.9999999999995</v>
      </c>
      <c r="F123" s="47">
        <v>1873</v>
      </c>
      <c r="G123" s="47">
        <v>0</v>
      </c>
      <c r="H123" s="47">
        <v>0</v>
      </c>
      <c r="I123" s="47">
        <v>5500</v>
      </c>
      <c r="J123" s="47">
        <v>12000</v>
      </c>
      <c r="K123" s="47">
        <v>84.615384615384613</v>
      </c>
    </row>
    <row r="124" spans="1:11" s="651" customFormat="1">
      <c r="A124" s="656" t="s">
        <v>73</v>
      </c>
      <c r="B124" s="47">
        <v>36440</v>
      </c>
      <c r="C124" s="47">
        <v>55.349999999999994</v>
      </c>
      <c r="D124" s="47">
        <v>3562.8239999999996</v>
      </c>
      <c r="E124" s="47">
        <v>20292.239999999998</v>
      </c>
      <c r="F124" s="47">
        <v>3474.88</v>
      </c>
      <c r="G124" s="47">
        <v>0</v>
      </c>
      <c r="H124" s="47">
        <v>22.880000000000109</v>
      </c>
      <c r="I124" s="47">
        <v>23790</v>
      </c>
      <c r="J124" s="47">
        <v>60230</v>
      </c>
      <c r="K124" s="47">
        <v>61.480059423164448</v>
      </c>
    </row>
    <row r="125" spans="1:11" s="651" customFormat="1">
      <c r="A125" s="652" t="s">
        <v>173</v>
      </c>
      <c r="B125" s="47">
        <v>16320</v>
      </c>
      <c r="C125" s="47">
        <v>53.849999999999994</v>
      </c>
      <c r="D125" s="47">
        <v>913.79200000000003</v>
      </c>
      <c r="E125" s="47">
        <v>8777.2799999999988</v>
      </c>
      <c r="F125" s="47">
        <v>42.880000000000109</v>
      </c>
      <c r="G125" s="47">
        <v>0</v>
      </c>
      <c r="H125" s="47">
        <v>9.8400000000001455</v>
      </c>
      <c r="I125" s="47">
        <v>8830</v>
      </c>
      <c r="J125" s="47">
        <v>25150</v>
      </c>
      <c r="K125" s="47">
        <v>54.167986425339365</v>
      </c>
    </row>
    <row r="126" spans="1:11" s="651" customFormat="1">
      <c r="A126" s="653" t="s">
        <v>174</v>
      </c>
      <c r="B126" s="47">
        <v>4080</v>
      </c>
      <c r="C126" s="47">
        <v>55.8</v>
      </c>
      <c r="D126" s="47">
        <v>235.00800000000001</v>
      </c>
      <c r="E126" s="47">
        <v>2276.64</v>
      </c>
      <c r="F126" s="47">
        <v>0</v>
      </c>
      <c r="G126" s="47">
        <v>0</v>
      </c>
      <c r="H126" s="47">
        <v>3.3600000000005821</v>
      </c>
      <c r="I126" s="47">
        <v>2280</v>
      </c>
      <c r="J126" s="47">
        <v>6360</v>
      </c>
      <c r="K126" s="47">
        <v>55.882352941176471</v>
      </c>
    </row>
    <row r="127" spans="1:11" s="651" customFormat="1">
      <c r="A127" s="653" t="s">
        <v>1048</v>
      </c>
      <c r="B127" s="47">
        <v>4080</v>
      </c>
      <c r="C127" s="47">
        <v>59.4</v>
      </c>
      <c r="D127" s="47">
        <v>228.48</v>
      </c>
      <c r="E127" s="47">
        <v>2423.52</v>
      </c>
      <c r="F127" s="47">
        <v>0</v>
      </c>
      <c r="G127" s="47">
        <v>0</v>
      </c>
      <c r="H127" s="47">
        <v>6.4799999999995634</v>
      </c>
      <c r="I127" s="47">
        <v>2430</v>
      </c>
      <c r="J127" s="47">
        <v>6510</v>
      </c>
      <c r="K127" s="47">
        <v>59.558823529411768</v>
      </c>
    </row>
    <row r="128" spans="1:11" s="651" customFormat="1">
      <c r="A128" s="653" t="s">
        <v>176</v>
      </c>
      <c r="B128" s="47">
        <v>4160</v>
      </c>
      <c r="C128" s="47">
        <v>43.199999999999996</v>
      </c>
      <c r="D128" s="47">
        <v>392.70400000000001</v>
      </c>
      <c r="E128" s="47">
        <v>1797.1199999999997</v>
      </c>
      <c r="F128" s="47">
        <v>42.880000000000109</v>
      </c>
      <c r="G128" s="47">
        <v>0</v>
      </c>
      <c r="H128" s="47">
        <v>0</v>
      </c>
      <c r="I128" s="47">
        <v>1840</v>
      </c>
      <c r="J128" s="47">
        <v>6000</v>
      </c>
      <c r="K128" s="47">
        <v>44.230769230769226</v>
      </c>
    </row>
    <row r="129" spans="1:11" s="651" customFormat="1">
      <c r="A129" s="653" t="s">
        <v>723</v>
      </c>
      <c r="B129" s="47">
        <v>4000</v>
      </c>
      <c r="C129" s="47">
        <v>57</v>
      </c>
      <c r="D129" s="47">
        <v>57.6</v>
      </c>
      <c r="E129" s="47">
        <v>2280</v>
      </c>
      <c r="F129" s="47">
        <v>0</v>
      </c>
      <c r="G129" s="47">
        <v>0</v>
      </c>
      <c r="H129" s="47">
        <v>0</v>
      </c>
      <c r="I129" s="47">
        <v>2280</v>
      </c>
      <c r="J129" s="47">
        <v>6280</v>
      </c>
      <c r="K129" s="47">
        <v>57</v>
      </c>
    </row>
    <row r="130" spans="1:11" s="651" customFormat="1">
      <c r="A130" s="652" t="s">
        <v>177</v>
      </c>
      <c r="B130" s="47">
        <v>12890</v>
      </c>
      <c r="C130" s="47">
        <v>55.800000000000004</v>
      </c>
      <c r="D130" s="47">
        <v>931.18399999999997</v>
      </c>
      <c r="E130" s="47">
        <v>7176.96</v>
      </c>
      <c r="F130" s="47">
        <v>0</v>
      </c>
      <c r="G130" s="47">
        <v>0</v>
      </c>
      <c r="H130" s="47">
        <v>13.039999999999964</v>
      </c>
      <c r="I130" s="47">
        <v>7190</v>
      </c>
      <c r="J130" s="47">
        <v>20080</v>
      </c>
      <c r="K130" s="47">
        <v>55.899883338636123</v>
      </c>
    </row>
    <row r="131" spans="1:11" s="651" customFormat="1">
      <c r="A131" s="653" t="s">
        <v>179</v>
      </c>
      <c r="B131" s="47">
        <v>4200</v>
      </c>
      <c r="C131" s="47">
        <v>58.199999999999996</v>
      </c>
      <c r="D131" s="47">
        <v>420</v>
      </c>
      <c r="E131" s="47">
        <v>2444.3999999999996</v>
      </c>
      <c r="F131" s="47">
        <v>0</v>
      </c>
      <c r="G131" s="47">
        <v>0</v>
      </c>
      <c r="H131" s="47">
        <v>5.6000000000003638</v>
      </c>
      <c r="I131" s="47">
        <v>2450</v>
      </c>
      <c r="J131" s="47">
        <v>6650</v>
      </c>
      <c r="K131" s="47">
        <v>58.333333333333336</v>
      </c>
    </row>
    <row r="132" spans="1:11" s="651" customFormat="1">
      <c r="A132" s="653" t="s">
        <v>182</v>
      </c>
      <c r="B132" s="47">
        <v>4200</v>
      </c>
      <c r="C132" s="47">
        <v>58.8</v>
      </c>
      <c r="D132" s="47">
        <v>504</v>
      </c>
      <c r="E132" s="47">
        <v>2469.6</v>
      </c>
      <c r="F132" s="47">
        <v>0</v>
      </c>
      <c r="G132" s="47">
        <v>0</v>
      </c>
      <c r="H132" s="47">
        <v>0.3999999999996362</v>
      </c>
      <c r="I132" s="47">
        <v>2470</v>
      </c>
      <c r="J132" s="47">
        <v>6670</v>
      </c>
      <c r="K132" s="47">
        <v>58.80952380952381</v>
      </c>
    </row>
    <row r="133" spans="1:11" s="651" customFormat="1">
      <c r="A133" s="653" t="s">
        <v>183</v>
      </c>
      <c r="B133" s="47">
        <v>4490</v>
      </c>
      <c r="C133" s="47">
        <v>50.4</v>
      </c>
      <c r="D133" s="47">
        <v>7.1840000000000002</v>
      </c>
      <c r="E133" s="47">
        <v>2262.96</v>
      </c>
      <c r="F133" s="47">
        <v>0</v>
      </c>
      <c r="G133" s="47">
        <v>0</v>
      </c>
      <c r="H133" s="47">
        <v>7.0399999999999636</v>
      </c>
      <c r="I133" s="47">
        <v>2270</v>
      </c>
      <c r="J133" s="47">
        <v>6760</v>
      </c>
      <c r="K133" s="47">
        <v>50.556792873051229</v>
      </c>
    </row>
    <row r="134" spans="1:11" s="651" customFormat="1">
      <c r="A134" s="652" t="s">
        <v>105</v>
      </c>
      <c r="B134" s="47">
        <v>7230</v>
      </c>
      <c r="C134" s="47">
        <v>60</v>
      </c>
      <c r="D134" s="47">
        <v>1717.848</v>
      </c>
      <c r="E134" s="47">
        <v>4338</v>
      </c>
      <c r="F134" s="47">
        <v>3432</v>
      </c>
      <c r="G134" s="47">
        <v>0</v>
      </c>
      <c r="H134" s="47">
        <v>0</v>
      </c>
      <c r="I134" s="47">
        <v>7770</v>
      </c>
      <c r="J134" s="47">
        <v>15000</v>
      </c>
      <c r="K134" s="47">
        <v>107.46887966804979</v>
      </c>
    </row>
    <row r="135" spans="1:11" s="651" customFormat="1">
      <c r="A135" s="653" t="s">
        <v>93</v>
      </c>
      <c r="B135" s="47">
        <v>7230</v>
      </c>
      <c r="C135" s="47">
        <v>60</v>
      </c>
      <c r="D135" s="47">
        <v>1717.848</v>
      </c>
      <c r="E135" s="47">
        <v>4338</v>
      </c>
      <c r="F135" s="47">
        <v>3432</v>
      </c>
      <c r="G135" s="47">
        <v>0</v>
      </c>
      <c r="H135" s="47">
        <v>0</v>
      </c>
      <c r="I135" s="47">
        <v>7770</v>
      </c>
      <c r="J135" s="47">
        <v>15000</v>
      </c>
      <c r="K135" s="47">
        <v>107.46887966804979</v>
      </c>
    </row>
    <row r="136" spans="1:11" s="651" customFormat="1">
      <c r="A136" s="656" t="s">
        <v>74</v>
      </c>
      <c r="B136" s="47">
        <v>605330</v>
      </c>
      <c r="C136" s="47">
        <v>53.400000000000027</v>
      </c>
      <c r="D136" s="47">
        <v>69313.256000000008</v>
      </c>
      <c r="E136" s="47">
        <v>327198.05999999994</v>
      </c>
      <c r="F136" s="47">
        <v>35699.320000000007</v>
      </c>
      <c r="G136" s="47">
        <v>15137.720000000003</v>
      </c>
      <c r="H136" s="47">
        <v>415.34000000000469</v>
      </c>
      <c r="I136" s="47">
        <v>378450.44</v>
      </c>
      <c r="J136" s="47">
        <v>983780.44</v>
      </c>
      <c r="K136" s="47">
        <v>60.100483412740729</v>
      </c>
    </row>
    <row r="137" spans="1:11" s="651" customFormat="1">
      <c r="A137" s="652" t="s">
        <v>106</v>
      </c>
      <c r="B137" s="47">
        <v>25860</v>
      </c>
      <c r="C137" s="47">
        <v>58.8</v>
      </c>
      <c r="D137" s="47">
        <v>6206.4</v>
      </c>
      <c r="E137" s="47">
        <v>15205.679999999998</v>
      </c>
      <c r="F137" s="47">
        <v>8934.32</v>
      </c>
      <c r="G137" s="47">
        <v>0</v>
      </c>
      <c r="H137" s="47">
        <v>0</v>
      </c>
      <c r="I137" s="47">
        <v>24140</v>
      </c>
      <c r="J137" s="47">
        <v>50000</v>
      </c>
      <c r="K137" s="47">
        <v>93.348801237432326</v>
      </c>
    </row>
    <row r="138" spans="1:11" s="651" customFormat="1">
      <c r="A138" s="653" t="s">
        <v>94</v>
      </c>
      <c r="B138" s="47">
        <v>25860</v>
      </c>
      <c r="C138" s="47">
        <v>58.8</v>
      </c>
      <c r="D138" s="47">
        <v>6206.4</v>
      </c>
      <c r="E138" s="47">
        <v>15205.679999999998</v>
      </c>
      <c r="F138" s="47">
        <v>8934.32</v>
      </c>
      <c r="G138" s="47">
        <v>0</v>
      </c>
      <c r="H138" s="47">
        <v>0</v>
      </c>
      <c r="I138" s="47">
        <v>24140</v>
      </c>
      <c r="J138" s="47">
        <v>50000</v>
      </c>
      <c r="K138" s="47">
        <v>93.348801237432326</v>
      </c>
    </row>
    <row r="139" spans="1:11" s="651" customFormat="1">
      <c r="A139" s="652" t="s">
        <v>199</v>
      </c>
      <c r="B139" s="47">
        <v>25120</v>
      </c>
      <c r="C139" s="47">
        <v>54.839999999999996</v>
      </c>
      <c r="D139" s="47">
        <v>2247.712</v>
      </c>
      <c r="E139" s="47">
        <v>13750.439999999999</v>
      </c>
      <c r="F139" s="47">
        <v>0</v>
      </c>
      <c r="G139" s="47">
        <v>1249.4000000000005</v>
      </c>
      <c r="H139" s="47">
        <v>10.160000000000764</v>
      </c>
      <c r="I139" s="47">
        <v>15010</v>
      </c>
      <c r="J139" s="47">
        <v>40130</v>
      </c>
      <c r="K139" s="47">
        <v>59.946262420998416</v>
      </c>
    </row>
    <row r="140" spans="1:11" s="651" customFormat="1">
      <c r="A140" s="653" t="s">
        <v>200</v>
      </c>
      <c r="B140" s="47">
        <v>4800</v>
      </c>
      <c r="C140" s="47">
        <v>56.4</v>
      </c>
      <c r="D140" s="47">
        <v>564.48</v>
      </c>
      <c r="E140" s="47">
        <v>2707.2</v>
      </c>
      <c r="F140" s="47">
        <v>0</v>
      </c>
      <c r="G140" s="47">
        <v>992.80000000000018</v>
      </c>
      <c r="H140" s="47">
        <v>0</v>
      </c>
      <c r="I140" s="47">
        <v>3700</v>
      </c>
      <c r="J140" s="47">
        <v>8500</v>
      </c>
      <c r="K140" s="47">
        <v>77.083333333333329</v>
      </c>
    </row>
    <row r="141" spans="1:11" s="651" customFormat="1">
      <c r="A141" s="653" t="s">
        <v>201</v>
      </c>
      <c r="B141" s="47">
        <v>5340</v>
      </c>
      <c r="C141" s="47">
        <v>58.199999999999996</v>
      </c>
      <c r="D141" s="47">
        <v>1012.4640000000001</v>
      </c>
      <c r="E141" s="47">
        <v>3107.8799999999997</v>
      </c>
      <c r="F141" s="47">
        <v>0</v>
      </c>
      <c r="G141" s="47">
        <v>52.1200000000008</v>
      </c>
      <c r="H141" s="47">
        <v>0</v>
      </c>
      <c r="I141" s="47">
        <v>3160</v>
      </c>
      <c r="J141" s="47">
        <v>8500</v>
      </c>
      <c r="K141" s="47">
        <v>59.176029962546821</v>
      </c>
    </row>
    <row r="142" spans="1:11" s="651" customFormat="1">
      <c r="A142" s="653" t="s">
        <v>799</v>
      </c>
      <c r="B142" s="47">
        <v>5400</v>
      </c>
      <c r="C142" s="47">
        <v>55.199999999999996</v>
      </c>
      <c r="D142" s="47">
        <v>8.64</v>
      </c>
      <c r="E142" s="47">
        <v>2980.7999999999997</v>
      </c>
      <c r="F142" s="47">
        <v>0</v>
      </c>
      <c r="G142" s="47">
        <v>0</v>
      </c>
      <c r="H142" s="47">
        <v>9.2000000000007276</v>
      </c>
      <c r="I142" s="47">
        <v>2990</v>
      </c>
      <c r="J142" s="47">
        <v>8390</v>
      </c>
      <c r="K142" s="47">
        <v>55.370370370370374</v>
      </c>
    </row>
    <row r="143" spans="1:11" s="651" customFormat="1">
      <c r="A143" s="653" t="s">
        <v>223</v>
      </c>
      <c r="B143" s="47">
        <v>4020</v>
      </c>
      <c r="C143" s="47">
        <v>55.199999999999996</v>
      </c>
      <c r="D143" s="47">
        <v>106.128</v>
      </c>
      <c r="E143" s="47">
        <v>2219.04</v>
      </c>
      <c r="F143" s="47">
        <v>0</v>
      </c>
      <c r="G143" s="47">
        <v>0</v>
      </c>
      <c r="H143" s="47">
        <v>0.96000000000003638</v>
      </c>
      <c r="I143" s="47">
        <v>2220</v>
      </c>
      <c r="J143" s="47">
        <v>6240</v>
      </c>
      <c r="K143" s="47">
        <v>55.223880597014919</v>
      </c>
    </row>
    <row r="144" spans="1:11" s="651" customFormat="1">
      <c r="A144" s="653" t="s">
        <v>202</v>
      </c>
      <c r="B144" s="47">
        <v>5560</v>
      </c>
      <c r="C144" s="47">
        <v>49.199999999999996</v>
      </c>
      <c r="D144" s="47">
        <v>556</v>
      </c>
      <c r="E144" s="47">
        <v>2735.5199999999995</v>
      </c>
      <c r="F144" s="47">
        <v>0</v>
      </c>
      <c r="G144" s="47">
        <v>204.47999999999956</v>
      </c>
      <c r="H144" s="47">
        <v>0</v>
      </c>
      <c r="I144" s="47">
        <v>2940</v>
      </c>
      <c r="J144" s="47">
        <v>8500</v>
      </c>
      <c r="K144" s="47">
        <v>52.877697841726615</v>
      </c>
    </row>
    <row r="145" spans="1:11" s="651" customFormat="1">
      <c r="A145" s="652" t="s">
        <v>1049</v>
      </c>
      <c r="B145" s="47">
        <v>5400</v>
      </c>
      <c r="C145" s="47">
        <v>54.6</v>
      </c>
      <c r="D145" s="47">
        <v>133.91999999999999</v>
      </c>
      <c r="E145" s="47">
        <v>2948.4</v>
      </c>
      <c r="F145" s="47">
        <v>0</v>
      </c>
      <c r="G145" s="47">
        <v>0</v>
      </c>
      <c r="H145" s="47">
        <v>1.6000000000003638</v>
      </c>
      <c r="I145" s="47">
        <v>2950</v>
      </c>
      <c r="J145" s="47">
        <v>8350</v>
      </c>
      <c r="K145" s="47">
        <v>54.629629629629626</v>
      </c>
    </row>
    <row r="146" spans="1:11" s="651" customFormat="1">
      <c r="A146" s="653" t="s">
        <v>1050</v>
      </c>
      <c r="B146" s="47">
        <v>5400</v>
      </c>
      <c r="C146" s="47">
        <v>54.6</v>
      </c>
      <c r="D146" s="47">
        <v>133.91999999999999</v>
      </c>
      <c r="E146" s="47">
        <v>2948.4</v>
      </c>
      <c r="F146" s="47">
        <v>0</v>
      </c>
      <c r="G146" s="47">
        <v>0</v>
      </c>
      <c r="H146" s="47">
        <v>1.6000000000003638</v>
      </c>
      <c r="I146" s="47">
        <v>2950</v>
      </c>
      <c r="J146" s="47">
        <v>8350</v>
      </c>
      <c r="K146" s="47">
        <v>54.629629629629626</v>
      </c>
    </row>
    <row r="147" spans="1:11" s="651" customFormat="1">
      <c r="A147" s="652" t="s">
        <v>63</v>
      </c>
      <c r="B147" s="47">
        <v>157110</v>
      </c>
      <c r="C147" s="47">
        <v>51.635294117647049</v>
      </c>
      <c r="D147" s="47">
        <v>6651.5999999999995</v>
      </c>
      <c r="E147" s="47">
        <v>81330.36</v>
      </c>
      <c r="F147" s="47">
        <v>3211.420000000001</v>
      </c>
      <c r="G147" s="47">
        <v>0</v>
      </c>
      <c r="H147" s="47">
        <v>158.22000000000025</v>
      </c>
      <c r="I147" s="47">
        <v>84700</v>
      </c>
      <c r="J147" s="47">
        <v>241810</v>
      </c>
      <c r="K147" s="47">
        <v>53.904718132744328</v>
      </c>
    </row>
    <row r="148" spans="1:11" s="651" customFormat="1">
      <c r="A148" s="653" t="s">
        <v>733</v>
      </c>
      <c r="B148" s="47">
        <v>3000</v>
      </c>
      <c r="C148" s="47">
        <v>54</v>
      </c>
      <c r="D148" s="47">
        <v>33.6</v>
      </c>
      <c r="E148" s="47">
        <v>1620</v>
      </c>
      <c r="F148" s="47">
        <v>0</v>
      </c>
      <c r="G148" s="47">
        <v>0</v>
      </c>
      <c r="H148" s="47">
        <v>0</v>
      </c>
      <c r="I148" s="47">
        <v>1620</v>
      </c>
      <c r="J148" s="47">
        <v>4620</v>
      </c>
      <c r="K148" s="47">
        <v>54</v>
      </c>
    </row>
    <row r="149" spans="1:11" s="651" customFormat="1">
      <c r="A149" s="653" t="s">
        <v>271</v>
      </c>
      <c r="B149" s="47">
        <v>3000</v>
      </c>
      <c r="C149" s="47">
        <v>51</v>
      </c>
      <c r="D149" s="47">
        <v>60</v>
      </c>
      <c r="E149" s="47">
        <v>1530</v>
      </c>
      <c r="F149" s="47">
        <v>0</v>
      </c>
      <c r="G149" s="47">
        <v>0</v>
      </c>
      <c r="H149" s="47">
        <v>0</v>
      </c>
      <c r="I149" s="47">
        <v>1530</v>
      </c>
      <c r="J149" s="47">
        <v>4530</v>
      </c>
      <c r="K149" s="47">
        <v>51</v>
      </c>
    </row>
    <row r="150" spans="1:11" s="651" customFormat="1">
      <c r="A150" s="653" t="s">
        <v>273</v>
      </c>
      <c r="B150" s="47">
        <v>3090</v>
      </c>
      <c r="C150" s="47">
        <v>55.199999999999996</v>
      </c>
      <c r="D150" s="47">
        <v>205.17599999999999</v>
      </c>
      <c r="E150" s="47">
        <v>1705.6799999999998</v>
      </c>
      <c r="F150" s="47">
        <v>0</v>
      </c>
      <c r="G150" s="47">
        <v>0</v>
      </c>
      <c r="H150" s="47">
        <v>4.319999999999709</v>
      </c>
      <c r="I150" s="47">
        <v>1710</v>
      </c>
      <c r="J150" s="47">
        <v>4800</v>
      </c>
      <c r="K150" s="47">
        <v>55.339805825242721</v>
      </c>
    </row>
    <row r="151" spans="1:11" s="651" customFormat="1">
      <c r="A151" s="653" t="s">
        <v>274</v>
      </c>
      <c r="B151" s="47">
        <v>3020</v>
      </c>
      <c r="C151" s="47">
        <v>52.199999999999996</v>
      </c>
      <c r="D151" s="47">
        <v>94.224000000000004</v>
      </c>
      <c r="E151" s="47">
        <v>1576.4399999999998</v>
      </c>
      <c r="F151" s="47">
        <v>0</v>
      </c>
      <c r="G151" s="47">
        <v>0</v>
      </c>
      <c r="H151" s="47">
        <v>3.5600000000004002</v>
      </c>
      <c r="I151" s="47">
        <v>1580</v>
      </c>
      <c r="J151" s="47">
        <v>4600</v>
      </c>
      <c r="K151" s="47">
        <v>52.317880794701985</v>
      </c>
    </row>
    <row r="152" spans="1:11" s="651" customFormat="1">
      <c r="A152" s="653" t="s">
        <v>275</v>
      </c>
      <c r="B152" s="47">
        <v>3020</v>
      </c>
      <c r="C152" s="47">
        <v>50.4</v>
      </c>
      <c r="D152" s="47">
        <v>99.055999999999997</v>
      </c>
      <c r="E152" s="47">
        <v>1522.08</v>
      </c>
      <c r="F152" s="47">
        <v>0</v>
      </c>
      <c r="G152" s="47">
        <v>0</v>
      </c>
      <c r="H152" s="47">
        <v>7.9200000000000728</v>
      </c>
      <c r="I152" s="47">
        <v>1530</v>
      </c>
      <c r="J152" s="47">
        <v>4550</v>
      </c>
      <c r="K152" s="47">
        <v>50.662251655629142</v>
      </c>
    </row>
    <row r="153" spans="1:11" s="651" customFormat="1">
      <c r="A153" s="653" t="s">
        <v>276</v>
      </c>
      <c r="B153" s="47">
        <v>3020</v>
      </c>
      <c r="C153" s="47">
        <v>45.6</v>
      </c>
      <c r="D153" s="47">
        <v>94.224000000000004</v>
      </c>
      <c r="E153" s="47">
        <v>1377.1200000000001</v>
      </c>
      <c r="F153" s="47">
        <v>102.88000000000011</v>
      </c>
      <c r="G153" s="47">
        <v>0</v>
      </c>
      <c r="H153" s="47">
        <v>0</v>
      </c>
      <c r="I153" s="47">
        <v>1480</v>
      </c>
      <c r="J153" s="47">
        <v>4500</v>
      </c>
      <c r="K153" s="47">
        <v>49.006622516556291</v>
      </c>
    </row>
    <row r="154" spans="1:11" s="651" customFormat="1">
      <c r="A154" s="653" t="s">
        <v>713</v>
      </c>
      <c r="B154" s="47">
        <v>3000</v>
      </c>
      <c r="C154" s="47">
        <v>49.8</v>
      </c>
      <c r="D154" s="47">
        <v>48</v>
      </c>
      <c r="E154" s="47">
        <v>1494</v>
      </c>
      <c r="F154" s="47">
        <v>6</v>
      </c>
      <c r="G154" s="47">
        <v>0</v>
      </c>
      <c r="H154" s="47">
        <v>0</v>
      </c>
      <c r="I154" s="47">
        <v>1500</v>
      </c>
      <c r="J154" s="47">
        <v>4500</v>
      </c>
      <c r="K154" s="47">
        <v>50</v>
      </c>
    </row>
    <row r="155" spans="1:11" s="651" customFormat="1">
      <c r="A155" s="653" t="s">
        <v>311</v>
      </c>
      <c r="B155" s="47">
        <v>3750</v>
      </c>
      <c r="C155" s="47">
        <v>55.8</v>
      </c>
      <c r="D155" s="47">
        <v>174</v>
      </c>
      <c r="E155" s="47">
        <v>2092.5</v>
      </c>
      <c r="F155" s="47">
        <v>0</v>
      </c>
      <c r="G155" s="47">
        <v>0</v>
      </c>
      <c r="H155" s="47">
        <v>7.5</v>
      </c>
      <c r="I155" s="47">
        <v>2100</v>
      </c>
      <c r="J155" s="47">
        <v>5850</v>
      </c>
      <c r="K155" s="47">
        <v>56</v>
      </c>
    </row>
    <row r="156" spans="1:11" s="651" customFormat="1">
      <c r="A156" s="653" t="s">
        <v>703</v>
      </c>
      <c r="B156" s="47">
        <v>3000</v>
      </c>
      <c r="C156" s="47">
        <v>54.6</v>
      </c>
      <c r="D156" s="47">
        <v>48</v>
      </c>
      <c r="E156" s="47">
        <v>1638.0000000000002</v>
      </c>
      <c r="F156" s="47">
        <v>0</v>
      </c>
      <c r="G156" s="47">
        <v>0</v>
      </c>
      <c r="H156" s="47">
        <v>2</v>
      </c>
      <c r="I156" s="47">
        <v>1640</v>
      </c>
      <c r="J156" s="47">
        <v>4640</v>
      </c>
      <c r="K156" s="47">
        <v>54.666666666666664</v>
      </c>
    </row>
    <row r="157" spans="1:11" s="651" customFormat="1">
      <c r="A157" s="653" t="s">
        <v>695</v>
      </c>
      <c r="B157" s="47">
        <v>3000</v>
      </c>
      <c r="C157" s="47">
        <v>48.6</v>
      </c>
      <c r="D157" s="47">
        <v>48</v>
      </c>
      <c r="E157" s="47">
        <v>1458</v>
      </c>
      <c r="F157" s="47">
        <v>42</v>
      </c>
      <c r="G157" s="47">
        <v>0</v>
      </c>
      <c r="H157" s="47">
        <v>0</v>
      </c>
      <c r="I157" s="47">
        <v>1500</v>
      </c>
      <c r="J157" s="47">
        <v>4500</v>
      </c>
      <c r="K157" s="47">
        <v>50</v>
      </c>
    </row>
    <row r="158" spans="1:11" s="651" customFormat="1">
      <c r="A158" s="653" t="s">
        <v>1051</v>
      </c>
      <c r="B158" s="47">
        <v>3180</v>
      </c>
      <c r="C158" s="47">
        <v>56.4</v>
      </c>
      <c r="D158" s="47">
        <v>358.70400000000001</v>
      </c>
      <c r="E158" s="47">
        <v>1793.5199999999998</v>
      </c>
      <c r="F158" s="47">
        <v>0</v>
      </c>
      <c r="G158" s="47">
        <v>0</v>
      </c>
      <c r="H158" s="47">
        <v>6.4800000000004729</v>
      </c>
      <c r="I158" s="47">
        <v>1800</v>
      </c>
      <c r="J158" s="47">
        <v>4980</v>
      </c>
      <c r="K158" s="47">
        <v>56.60377358490566</v>
      </c>
    </row>
    <row r="159" spans="1:11" s="651" customFormat="1">
      <c r="A159" s="653" t="s">
        <v>280</v>
      </c>
      <c r="B159" s="47">
        <v>3020</v>
      </c>
      <c r="C159" s="47">
        <v>53.4</v>
      </c>
      <c r="D159" s="47">
        <v>94.224000000000004</v>
      </c>
      <c r="E159" s="47">
        <v>1612.68</v>
      </c>
      <c r="F159" s="47">
        <v>0</v>
      </c>
      <c r="G159" s="47">
        <v>0</v>
      </c>
      <c r="H159" s="47">
        <v>7.319999999999709</v>
      </c>
      <c r="I159" s="47">
        <v>1620</v>
      </c>
      <c r="J159" s="47">
        <v>4640</v>
      </c>
      <c r="K159" s="47">
        <v>53.642384105960268</v>
      </c>
    </row>
    <row r="160" spans="1:11" s="651" customFormat="1">
      <c r="A160" s="653" t="s">
        <v>1052</v>
      </c>
      <c r="B160" s="47">
        <v>3020</v>
      </c>
      <c r="C160" s="47">
        <v>57.599999999999994</v>
      </c>
      <c r="D160" s="47">
        <v>84.56</v>
      </c>
      <c r="E160" s="47">
        <v>1739.52</v>
      </c>
      <c r="F160" s="47">
        <v>0</v>
      </c>
      <c r="G160" s="47">
        <v>0</v>
      </c>
      <c r="H160" s="47">
        <v>0.47999999999956344</v>
      </c>
      <c r="I160" s="47">
        <v>1740</v>
      </c>
      <c r="J160" s="47">
        <v>4760</v>
      </c>
      <c r="K160" s="47">
        <v>57.615894039735103</v>
      </c>
    </row>
    <row r="161" spans="1:11" s="651" customFormat="1">
      <c r="A161" s="653" t="s">
        <v>774</v>
      </c>
      <c r="B161" s="47">
        <v>2750</v>
      </c>
      <c r="C161" s="47">
        <v>54</v>
      </c>
      <c r="D161" s="47">
        <v>4.4000000000000004</v>
      </c>
      <c r="E161" s="47">
        <v>1485</v>
      </c>
      <c r="F161" s="47">
        <v>265</v>
      </c>
      <c r="G161" s="47">
        <v>0</v>
      </c>
      <c r="H161" s="47">
        <v>0</v>
      </c>
      <c r="I161" s="47">
        <v>1750</v>
      </c>
      <c r="J161" s="47">
        <v>4500</v>
      </c>
      <c r="K161" s="47">
        <v>63.636363636363633</v>
      </c>
    </row>
    <row r="162" spans="1:11" s="651" customFormat="1">
      <c r="A162" s="663" t="s">
        <v>1053</v>
      </c>
      <c r="B162" s="47">
        <v>2750</v>
      </c>
      <c r="C162" s="47">
        <v>15.6</v>
      </c>
      <c r="D162" s="47">
        <v>4.4000000000000004</v>
      </c>
      <c r="E162" s="47">
        <v>429</v>
      </c>
      <c r="F162" s="47">
        <v>1321</v>
      </c>
      <c r="G162" s="47">
        <v>0</v>
      </c>
      <c r="H162" s="47">
        <v>0</v>
      </c>
      <c r="I162" s="47">
        <v>1750</v>
      </c>
      <c r="J162" s="47">
        <v>4500</v>
      </c>
      <c r="K162" s="47">
        <v>63.636363636363633</v>
      </c>
    </row>
    <row r="163" spans="1:11" s="651" customFormat="1">
      <c r="A163" s="663" t="s">
        <v>701</v>
      </c>
      <c r="B163" s="47">
        <v>4000</v>
      </c>
      <c r="C163" s="47">
        <v>56.4</v>
      </c>
      <c r="D163" s="47">
        <v>70.400000000000006</v>
      </c>
      <c r="E163" s="47">
        <v>2256</v>
      </c>
      <c r="F163" s="47">
        <v>0</v>
      </c>
      <c r="G163" s="47">
        <v>0</v>
      </c>
      <c r="H163" s="47">
        <v>4</v>
      </c>
      <c r="I163" s="47">
        <v>2260</v>
      </c>
      <c r="J163" s="47">
        <v>6260</v>
      </c>
      <c r="K163" s="47">
        <v>56.5</v>
      </c>
    </row>
    <row r="164" spans="1:11" s="651" customFormat="1">
      <c r="A164" s="663" t="s">
        <v>282</v>
      </c>
      <c r="B164" s="47">
        <v>3030</v>
      </c>
      <c r="C164" s="47">
        <v>45.6</v>
      </c>
      <c r="D164" s="47">
        <v>109.08</v>
      </c>
      <c r="E164" s="47">
        <v>1381.68</v>
      </c>
      <c r="F164" s="47">
        <v>0</v>
      </c>
      <c r="G164" s="47">
        <v>0</v>
      </c>
      <c r="H164" s="47">
        <v>8.319999999999709</v>
      </c>
      <c r="I164" s="47">
        <v>1390</v>
      </c>
      <c r="J164" s="47">
        <v>4420</v>
      </c>
      <c r="K164" s="47">
        <v>45.874587458745872</v>
      </c>
    </row>
    <row r="165" spans="1:11" s="651" customFormat="1">
      <c r="A165" s="663" t="s">
        <v>284</v>
      </c>
      <c r="B165" s="47">
        <v>3090</v>
      </c>
      <c r="C165" s="47">
        <v>49.199999999999996</v>
      </c>
      <c r="D165" s="47">
        <v>220.00800000000001</v>
      </c>
      <c r="E165" s="47">
        <v>1520.2799999999997</v>
      </c>
      <c r="F165" s="47">
        <v>0</v>
      </c>
      <c r="G165" s="47">
        <v>0</v>
      </c>
      <c r="H165" s="47">
        <v>9.7200000000002547</v>
      </c>
      <c r="I165" s="47">
        <v>1530</v>
      </c>
      <c r="J165" s="47">
        <v>4620</v>
      </c>
      <c r="K165" s="47">
        <v>49.514563106796118</v>
      </c>
    </row>
    <row r="166" spans="1:11" s="651" customFormat="1">
      <c r="A166" s="663" t="s">
        <v>718</v>
      </c>
      <c r="B166" s="47">
        <v>3000</v>
      </c>
      <c r="C166" s="47">
        <v>52.199999999999996</v>
      </c>
      <c r="D166" s="47">
        <v>48</v>
      </c>
      <c r="E166" s="47">
        <v>1565.9999999999998</v>
      </c>
      <c r="F166" s="47">
        <v>0</v>
      </c>
      <c r="G166" s="47">
        <v>0</v>
      </c>
      <c r="H166" s="47">
        <v>4</v>
      </c>
      <c r="I166" s="47">
        <v>1570</v>
      </c>
      <c r="J166" s="47">
        <v>4570</v>
      </c>
      <c r="K166" s="47">
        <v>52.333333333333336</v>
      </c>
    </row>
    <row r="167" spans="1:11" s="651" customFormat="1">
      <c r="A167" s="663" t="s">
        <v>285</v>
      </c>
      <c r="B167" s="47">
        <v>3200</v>
      </c>
      <c r="C167" s="47">
        <v>48</v>
      </c>
      <c r="D167" s="47">
        <v>384</v>
      </c>
      <c r="E167" s="47">
        <v>1536</v>
      </c>
      <c r="F167" s="47">
        <v>0</v>
      </c>
      <c r="G167" s="47">
        <v>0</v>
      </c>
      <c r="H167" s="47">
        <v>4</v>
      </c>
      <c r="I167" s="47">
        <v>1540</v>
      </c>
      <c r="J167" s="47">
        <v>4740</v>
      </c>
      <c r="K167" s="47">
        <v>48.125</v>
      </c>
    </row>
    <row r="168" spans="1:11" s="651" customFormat="1">
      <c r="A168" s="663" t="s">
        <v>719</v>
      </c>
      <c r="B168" s="47">
        <v>3000</v>
      </c>
      <c r="C168" s="47">
        <v>54</v>
      </c>
      <c r="D168" s="47">
        <v>48</v>
      </c>
      <c r="E168" s="47">
        <v>1620</v>
      </c>
      <c r="F168" s="47">
        <v>0</v>
      </c>
      <c r="G168" s="47">
        <v>0</v>
      </c>
      <c r="H168" s="47">
        <v>0</v>
      </c>
      <c r="I168" s="47">
        <v>1620</v>
      </c>
      <c r="J168" s="47">
        <v>4620</v>
      </c>
      <c r="K168" s="47">
        <v>54</v>
      </c>
    </row>
    <row r="169" spans="1:11" s="651" customFormat="1">
      <c r="A169" s="663" t="s">
        <v>710</v>
      </c>
      <c r="B169" s="47">
        <v>3000</v>
      </c>
      <c r="C169" s="47">
        <v>52.199999999999996</v>
      </c>
      <c r="D169" s="47">
        <v>48</v>
      </c>
      <c r="E169" s="47">
        <v>1565.9999999999998</v>
      </c>
      <c r="F169" s="47">
        <v>0</v>
      </c>
      <c r="G169" s="47">
        <v>0</v>
      </c>
      <c r="H169" s="47">
        <v>4</v>
      </c>
      <c r="I169" s="47">
        <v>1570</v>
      </c>
      <c r="J169" s="47">
        <v>4570</v>
      </c>
      <c r="K169" s="47">
        <v>52.333333333333336</v>
      </c>
    </row>
    <row r="170" spans="1:11" s="651" customFormat="1">
      <c r="A170" s="663" t="s">
        <v>1054</v>
      </c>
      <c r="B170" s="47">
        <v>3160</v>
      </c>
      <c r="C170" s="47">
        <v>54.6</v>
      </c>
      <c r="D170" s="47">
        <v>321.05599999999998</v>
      </c>
      <c r="E170" s="47">
        <v>1725.3600000000001</v>
      </c>
      <c r="F170" s="47">
        <v>0</v>
      </c>
      <c r="G170" s="47">
        <v>0</v>
      </c>
      <c r="H170" s="47">
        <v>4.6399999999994179</v>
      </c>
      <c r="I170" s="47">
        <v>1730</v>
      </c>
      <c r="J170" s="47">
        <v>4890</v>
      </c>
      <c r="K170" s="47">
        <v>54.746835443037973</v>
      </c>
    </row>
    <row r="171" spans="1:11" s="651" customFormat="1">
      <c r="A171" s="663" t="s">
        <v>288</v>
      </c>
      <c r="B171" s="47">
        <v>3170</v>
      </c>
      <c r="C171" s="47">
        <v>55.8</v>
      </c>
      <c r="D171" s="47">
        <v>347.43200000000002</v>
      </c>
      <c r="E171" s="47">
        <v>1768.86</v>
      </c>
      <c r="F171" s="47">
        <v>0</v>
      </c>
      <c r="G171" s="47">
        <v>0</v>
      </c>
      <c r="H171" s="47">
        <v>1.1400000000003274</v>
      </c>
      <c r="I171" s="47">
        <v>1770</v>
      </c>
      <c r="J171" s="47">
        <v>4940</v>
      </c>
      <c r="K171" s="47">
        <v>55.835962145110415</v>
      </c>
    </row>
    <row r="172" spans="1:11" s="651" customFormat="1">
      <c r="A172" s="663" t="s">
        <v>289</v>
      </c>
      <c r="B172" s="47">
        <v>3020</v>
      </c>
      <c r="C172" s="47">
        <v>45.6</v>
      </c>
      <c r="D172" s="47">
        <v>84.56</v>
      </c>
      <c r="E172" s="47">
        <v>1377.1200000000001</v>
      </c>
      <c r="F172" s="47">
        <v>0</v>
      </c>
      <c r="G172" s="47">
        <v>0</v>
      </c>
      <c r="H172" s="47">
        <v>2.8800000000001091</v>
      </c>
      <c r="I172" s="47">
        <v>1380</v>
      </c>
      <c r="J172" s="47">
        <v>4400</v>
      </c>
      <c r="K172" s="47">
        <v>45.695364238410598</v>
      </c>
    </row>
    <row r="173" spans="1:11" s="651" customFormat="1">
      <c r="A173" s="663" t="s">
        <v>290</v>
      </c>
      <c r="B173" s="47">
        <v>3100</v>
      </c>
      <c r="C173" s="47">
        <v>51</v>
      </c>
      <c r="D173" s="47">
        <v>225.68</v>
      </c>
      <c r="E173" s="47">
        <v>1581</v>
      </c>
      <c r="F173" s="47">
        <v>0</v>
      </c>
      <c r="G173" s="47">
        <v>0</v>
      </c>
      <c r="H173" s="47">
        <v>9</v>
      </c>
      <c r="I173" s="47">
        <v>1590</v>
      </c>
      <c r="J173" s="47">
        <v>4690</v>
      </c>
      <c r="K173" s="47">
        <v>51.29032258064516</v>
      </c>
    </row>
    <row r="174" spans="1:11" s="651" customFormat="1">
      <c r="A174" s="663" t="s">
        <v>291</v>
      </c>
      <c r="B174" s="47">
        <v>3170</v>
      </c>
      <c r="C174" s="47">
        <v>55.8</v>
      </c>
      <c r="D174" s="47">
        <v>352.50400000000002</v>
      </c>
      <c r="E174" s="47">
        <v>1768.86</v>
      </c>
      <c r="F174" s="47">
        <v>0</v>
      </c>
      <c r="G174" s="47">
        <v>0</v>
      </c>
      <c r="H174" s="47">
        <v>1.1400000000003274</v>
      </c>
      <c r="I174" s="47">
        <v>1770</v>
      </c>
      <c r="J174" s="47">
        <v>4940</v>
      </c>
      <c r="K174" s="47">
        <v>55.835962145110415</v>
      </c>
    </row>
    <row r="175" spans="1:11" s="651" customFormat="1">
      <c r="A175" s="663" t="s">
        <v>292</v>
      </c>
      <c r="B175" s="47">
        <v>3160</v>
      </c>
      <c r="C175" s="47">
        <v>52.8</v>
      </c>
      <c r="D175" s="47">
        <v>341.28</v>
      </c>
      <c r="E175" s="47">
        <v>1668.48</v>
      </c>
      <c r="F175" s="47">
        <v>0</v>
      </c>
      <c r="G175" s="47">
        <v>0</v>
      </c>
      <c r="H175" s="47">
        <v>1.5200000000004366</v>
      </c>
      <c r="I175" s="47">
        <v>1670</v>
      </c>
      <c r="J175" s="47">
        <v>4830</v>
      </c>
      <c r="K175" s="47">
        <v>52.848101265822784</v>
      </c>
    </row>
    <row r="176" spans="1:11" s="651" customFormat="1">
      <c r="A176" s="663" t="s">
        <v>293</v>
      </c>
      <c r="B176" s="47">
        <v>3150</v>
      </c>
      <c r="C176" s="47">
        <v>55.8</v>
      </c>
      <c r="D176" s="47">
        <v>325.08</v>
      </c>
      <c r="E176" s="47">
        <v>1757.6999999999998</v>
      </c>
      <c r="F176" s="47">
        <v>0</v>
      </c>
      <c r="G176" s="47">
        <v>0</v>
      </c>
      <c r="H176" s="47">
        <v>2.3000000000001819</v>
      </c>
      <c r="I176" s="47">
        <v>1760</v>
      </c>
      <c r="J176" s="47">
        <v>4910</v>
      </c>
      <c r="K176" s="47">
        <v>55.873015873015873</v>
      </c>
    </row>
    <row r="177" spans="1:11" s="651" customFormat="1">
      <c r="A177" s="663" t="s">
        <v>1055</v>
      </c>
      <c r="B177" s="47">
        <v>3000</v>
      </c>
      <c r="C177" s="47">
        <v>54</v>
      </c>
      <c r="D177" s="47">
        <v>64.8</v>
      </c>
      <c r="E177" s="47">
        <v>1620</v>
      </c>
      <c r="F177" s="47">
        <v>0</v>
      </c>
      <c r="G177" s="47">
        <v>0</v>
      </c>
      <c r="H177" s="47">
        <v>0</v>
      </c>
      <c r="I177" s="47">
        <v>1620</v>
      </c>
      <c r="J177" s="47">
        <v>4620</v>
      </c>
      <c r="K177" s="47">
        <v>54</v>
      </c>
    </row>
    <row r="178" spans="1:11" s="651" customFormat="1">
      <c r="A178" s="663" t="s">
        <v>716</v>
      </c>
      <c r="B178" s="47">
        <v>3000</v>
      </c>
      <c r="C178" s="47">
        <v>54</v>
      </c>
      <c r="D178" s="47">
        <v>48</v>
      </c>
      <c r="E178" s="47">
        <v>1620</v>
      </c>
      <c r="F178" s="47">
        <v>0</v>
      </c>
      <c r="G178" s="47">
        <v>0</v>
      </c>
      <c r="H178" s="47">
        <v>0</v>
      </c>
      <c r="I178" s="47">
        <v>1620</v>
      </c>
      <c r="J178" s="47">
        <v>4620</v>
      </c>
      <c r="K178" s="47">
        <v>54</v>
      </c>
    </row>
    <row r="179" spans="1:11" s="651" customFormat="1">
      <c r="A179" s="663" t="s">
        <v>1056</v>
      </c>
      <c r="B179" s="47">
        <v>3160</v>
      </c>
      <c r="C179" s="47">
        <v>54.6</v>
      </c>
      <c r="D179" s="47">
        <v>331.16800000000001</v>
      </c>
      <c r="E179" s="47">
        <v>1725.3600000000001</v>
      </c>
      <c r="F179" s="47">
        <v>0</v>
      </c>
      <c r="G179" s="47">
        <v>0</v>
      </c>
      <c r="H179" s="47">
        <v>4.6399999999994179</v>
      </c>
      <c r="I179" s="47">
        <v>1730</v>
      </c>
      <c r="J179" s="47">
        <v>4890</v>
      </c>
      <c r="K179" s="47">
        <v>54.746835443037973</v>
      </c>
    </row>
    <row r="180" spans="1:11" s="651" customFormat="1">
      <c r="A180" s="663" t="s">
        <v>301</v>
      </c>
      <c r="B180" s="47">
        <v>3020</v>
      </c>
      <c r="C180" s="47">
        <v>46.199999999999996</v>
      </c>
      <c r="D180" s="47">
        <v>84.56</v>
      </c>
      <c r="E180" s="47">
        <v>1395.24</v>
      </c>
      <c r="F180" s="47">
        <v>84.760000000000218</v>
      </c>
      <c r="G180" s="47">
        <v>0</v>
      </c>
      <c r="H180" s="47">
        <v>0</v>
      </c>
      <c r="I180" s="47">
        <v>1480</v>
      </c>
      <c r="J180" s="47">
        <v>4500</v>
      </c>
      <c r="K180" s="47">
        <v>49.006622516556291</v>
      </c>
    </row>
    <row r="181" spans="1:11" s="651" customFormat="1">
      <c r="A181" s="663" t="s">
        <v>302</v>
      </c>
      <c r="B181" s="47">
        <v>3070</v>
      </c>
      <c r="C181" s="47">
        <v>51</v>
      </c>
      <c r="D181" s="47">
        <v>171.92</v>
      </c>
      <c r="E181" s="47">
        <v>1565.7</v>
      </c>
      <c r="F181" s="47">
        <v>0</v>
      </c>
      <c r="G181" s="47">
        <v>0</v>
      </c>
      <c r="H181" s="47">
        <v>4.3000000000001819</v>
      </c>
      <c r="I181" s="47">
        <v>1570</v>
      </c>
      <c r="J181" s="47">
        <v>4640</v>
      </c>
      <c r="K181" s="47">
        <v>51.140065146579808</v>
      </c>
    </row>
    <row r="182" spans="1:11" s="651" customFormat="1">
      <c r="A182" s="663" t="s">
        <v>304</v>
      </c>
      <c r="B182" s="47">
        <v>3050</v>
      </c>
      <c r="C182" s="47">
        <v>50.4</v>
      </c>
      <c r="D182" s="47">
        <v>156.16</v>
      </c>
      <c r="E182" s="47">
        <v>1537.2</v>
      </c>
      <c r="F182" s="47">
        <v>0</v>
      </c>
      <c r="G182" s="47">
        <v>0</v>
      </c>
      <c r="H182" s="47">
        <v>2.8000000000001819</v>
      </c>
      <c r="I182" s="47">
        <v>1540</v>
      </c>
      <c r="J182" s="47">
        <v>4590</v>
      </c>
      <c r="K182" s="47">
        <v>50.491803278688522</v>
      </c>
    </row>
    <row r="183" spans="1:11" s="651" customFormat="1">
      <c r="A183" s="663" t="s">
        <v>711</v>
      </c>
      <c r="B183" s="47">
        <v>3000</v>
      </c>
      <c r="C183" s="47">
        <v>48</v>
      </c>
      <c r="D183" s="47">
        <v>48</v>
      </c>
      <c r="E183" s="47">
        <v>1440</v>
      </c>
      <c r="F183" s="47">
        <v>0</v>
      </c>
      <c r="G183" s="47">
        <v>0</v>
      </c>
      <c r="H183" s="47">
        <v>0</v>
      </c>
      <c r="I183" s="47">
        <v>1440</v>
      </c>
      <c r="J183" s="47">
        <v>4440</v>
      </c>
      <c r="K183" s="47">
        <v>48</v>
      </c>
    </row>
    <row r="184" spans="1:11" s="651" customFormat="1">
      <c r="A184" s="663" t="s">
        <v>776</v>
      </c>
      <c r="B184" s="47">
        <v>2750</v>
      </c>
      <c r="C184" s="47">
        <v>52.8</v>
      </c>
      <c r="D184" s="47">
        <v>4.4000000000000004</v>
      </c>
      <c r="E184" s="47">
        <v>1452</v>
      </c>
      <c r="F184" s="47">
        <v>298</v>
      </c>
      <c r="G184" s="47">
        <v>0</v>
      </c>
      <c r="H184" s="47">
        <v>0</v>
      </c>
      <c r="I184" s="47">
        <v>1750</v>
      </c>
      <c r="J184" s="47">
        <v>4500</v>
      </c>
      <c r="K184" s="47">
        <v>63.636363636363633</v>
      </c>
    </row>
    <row r="185" spans="1:11" s="651" customFormat="1">
      <c r="A185" s="663" t="s">
        <v>730</v>
      </c>
      <c r="B185" s="47">
        <v>3000</v>
      </c>
      <c r="C185" s="47">
        <v>52.8</v>
      </c>
      <c r="D185" s="47">
        <v>38.4</v>
      </c>
      <c r="E185" s="47">
        <v>1584</v>
      </c>
      <c r="F185" s="47">
        <v>0</v>
      </c>
      <c r="G185" s="47">
        <v>0</v>
      </c>
      <c r="H185" s="47">
        <v>6</v>
      </c>
      <c r="I185" s="47">
        <v>1590</v>
      </c>
      <c r="J185" s="47">
        <v>4590</v>
      </c>
      <c r="K185" s="47">
        <v>53</v>
      </c>
    </row>
    <row r="186" spans="1:11" s="651" customFormat="1">
      <c r="A186" s="663" t="s">
        <v>306</v>
      </c>
      <c r="B186" s="47">
        <v>3080</v>
      </c>
      <c r="C186" s="47">
        <v>53.4</v>
      </c>
      <c r="D186" s="47">
        <v>189.72800000000001</v>
      </c>
      <c r="E186" s="47">
        <v>1644.72</v>
      </c>
      <c r="F186" s="47">
        <v>0</v>
      </c>
      <c r="G186" s="47">
        <v>0</v>
      </c>
      <c r="H186" s="47">
        <v>5.2799999999997453</v>
      </c>
      <c r="I186" s="47">
        <v>1650</v>
      </c>
      <c r="J186" s="47">
        <v>4730</v>
      </c>
      <c r="K186" s="47">
        <v>53.571428571428569</v>
      </c>
    </row>
    <row r="187" spans="1:11" s="651" customFormat="1">
      <c r="A187" s="663" t="s">
        <v>734</v>
      </c>
      <c r="B187" s="47">
        <v>3000</v>
      </c>
      <c r="C187" s="47">
        <v>52.199999999999996</v>
      </c>
      <c r="D187" s="47">
        <v>33.6</v>
      </c>
      <c r="E187" s="47">
        <v>1565.9999999999998</v>
      </c>
      <c r="F187" s="47">
        <v>0</v>
      </c>
      <c r="G187" s="47">
        <v>0</v>
      </c>
      <c r="H187" s="47">
        <v>4</v>
      </c>
      <c r="I187" s="47">
        <v>1570</v>
      </c>
      <c r="J187" s="47">
        <v>4570</v>
      </c>
      <c r="K187" s="47">
        <v>52.333333333333336</v>
      </c>
    </row>
    <row r="188" spans="1:11" s="651" customFormat="1">
      <c r="A188" s="663" t="s">
        <v>702</v>
      </c>
      <c r="B188" s="47">
        <v>4000</v>
      </c>
      <c r="C188" s="47">
        <v>52.8</v>
      </c>
      <c r="D188" s="47">
        <v>70.400000000000006</v>
      </c>
      <c r="E188" s="47">
        <v>2112</v>
      </c>
      <c r="F188" s="47">
        <v>0</v>
      </c>
      <c r="G188" s="47">
        <v>0</v>
      </c>
      <c r="H188" s="47">
        <v>8</v>
      </c>
      <c r="I188" s="47">
        <v>2120</v>
      </c>
      <c r="J188" s="47">
        <v>6120</v>
      </c>
      <c r="K188" s="47">
        <v>53</v>
      </c>
    </row>
    <row r="189" spans="1:11" s="651" customFormat="1">
      <c r="A189" s="663" t="s">
        <v>714</v>
      </c>
      <c r="B189" s="47">
        <v>3000</v>
      </c>
      <c r="C189" s="47">
        <v>50.4</v>
      </c>
      <c r="D189" s="47">
        <v>48</v>
      </c>
      <c r="E189" s="47">
        <v>1512</v>
      </c>
      <c r="F189" s="47">
        <v>0</v>
      </c>
      <c r="G189" s="47">
        <v>0</v>
      </c>
      <c r="H189" s="47">
        <v>8</v>
      </c>
      <c r="I189" s="47">
        <v>1520</v>
      </c>
      <c r="J189" s="47">
        <v>4520</v>
      </c>
      <c r="K189" s="47">
        <v>50.666666666666664</v>
      </c>
    </row>
    <row r="190" spans="1:11" s="651" customFormat="1">
      <c r="A190" s="663" t="s">
        <v>307</v>
      </c>
      <c r="B190" s="47">
        <v>3010</v>
      </c>
      <c r="C190" s="47">
        <v>48.6</v>
      </c>
      <c r="D190" s="47">
        <v>79.463999999999999</v>
      </c>
      <c r="E190" s="47">
        <v>1462.86</v>
      </c>
      <c r="F190" s="47">
        <v>27.140000000000327</v>
      </c>
      <c r="G190" s="47">
        <v>0</v>
      </c>
      <c r="H190" s="47">
        <v>0</v>
      </c>
      <c r="I190" s="47">
        <v>1490</v>
      </c>
      <c r="J190" s="47">
        <v>4500</v>
      </c>
      <c r="K190" s="47">
        <v>49.501661129568106</v>
      </c>
    </row>
    <row r="191" spans="1:11" s="651" customFormat="1">
      <c r="A191" s="663" t="s">
        <v>731</v>
      </c>
      <c r="B191" s="47">
        <v>3000</v>
      </c>
      <c r="C191" s="47">
        <v>54</v>
      </c>
      <c r="D191" s="47">
        <v>33.6</v>
      </c>
      <c r="E191" s="47">
        <v>1620</v>
      </c>
      <c r="F191" s="47">
        <v>0</v>
      </c>
      <c r="G191" s="47">
        <v>0</v>
      </c>
      <c r="H191" s="47">
        <v>0</v>
      </c>
      <c r="I191" s="47">
        <v>1620</v>
      </c>
      <c r="J191" s="47">
        <v>4620</v>
      </c>
      <c r="K191" s="47">
        <v>54</v>
      </c>
    </row>
    <row r="192" spans="1:11" s="651" customFormat="1">
      <c r="A192" s="663" t="s">
        <v>712</v>
      </c>
      <c r="B192" s="47">
        <v>3000</v>
      </c>
      <c r="C192" s="47">
        <v>51</v>
      </c>
      <c r="D192" s="47">
        <v>48</v>
      </c>
      <c r="E192" s="47">
        <v>1530</v>
      </c>
      <c r="F192" s="47">
        <v>0</v>
      </c>
      <c r="G192" s="47">
        <v>0</v>
      </c>
      <c r="H192" s="47">
        <v>0</v>
      </c>
      <c r="I192" s="47">
        <v>1530</v>
      </c>
      <c r="J192" s="47">
        <v>4530</v>
      </c>
      <c r="K192" s="47">
        <v>51</v>
      </c>
    </row>
    <row r="193" spans="1:11" s="651" customFormat="1">
      <c r="A193" s="663" t="s">
        <v>308</v>
      </c>
      <c r="B193" s="47">
        <v>3150</v>
      </c>
      <c r="C193" s="47">
        <v>54</v>
      </c>
      <c r="D193" s="47">
        <v>315</v>
      </c>
      <c r="E193" s="47">
        <v>1701</v>
      </c>
      <c r="F193" s="47">
        <v>0</v>
      </c>
      <c r="G193" s="47">
        <v>0</v>
      </c>
      <c r="H193" s="47">
        <v>9</v>
      </c>
      <c r="I193" s="47">
        <v>1710</v>
      </c>
      <c r="J193" s="47">
        <v>4860</v>
      </c>
      <c r="K193" s="47">
        <v>54.285714285714285</v>
      </c>
    </row>
    <row r="194" spans="1:11" s="651" customFormat="1">
      <c r="A194" s="663" t="s">
        <v>780</v>
      </c>
      <c r="B194" s="47">
        <v>2750</v>
      </c>
      <c r="C194" s="47">
        <v>54</v>
      </c>
      <c r="D194" s="47">
        <v>0</v>
      </c>
      <c r="E194" s="47">
        <v>1485</v>
      </c>
      <c r="F194" s="47">
        <v>0</v>
      </c>
      <c r="G194" s="47">
        <v>0</v>
      </c>
      <c r="H194" s="47">
        <v>5</v>
      </c>
      <c r="I194" s="47">
        <v>1490</v>
      </c>
      <c r="J194" s="47">
        <v>4240</v>
      </c>
      <c r="K194" s="47">
        <v>54.18181818181818</v>
      </c>
    </row>
    <row r="195" spans="1:11" s="651" customFormat="1">
      <c r="A195" s="663" t="s">
        <v>1057</v>
      </c>
      <c r="B195" s="47">
        <v>3000</v>
      </c>
      <c r="C195" s="47">
        <v>54</v>
      </c>
      <c r="D195" s="47">
        <v>14.4</v>
      </c>
      <c r="E195" s="47">
        <v>1620</v>
      </c>
      <c r="F195" s="47">
        <v>0</v>
      </c>
      <c r="G195" s="47">
        <v>0</v>
      </c>
      <c r="H195" s="47">
        <v>0</v>
      </c>
      <c r="I195" s="47">
        <v>1620</v>
      </c>
      <c r="J195" s="47">
        <v>4620</v>
      </c>
      <c r="K195" s="47">
        <v>54</v>
      </c>
    </row>
    <row r="196" spans="1:11" s="651" customFormat="1">
      <c r="A196" s="663" t="s">
        <v>717</v>
      </c>
      <c r="B196" s="47">
        <v>3000</v>
      </c>
      <c r="C196" s="47">
        <v>51.6</v>
      </c>
      <c r="D196" s="47">
        <v>48</v>
      </c>
      <c r="E196" s="47">
        <v>1548</v>
      </c>
      <c r="F196" s="47">
        <v>0</v>
      </c>
      <c r="G196" s="47">
        <v>0</v>
      </c>
      <c r="H196" s="47">
        <v>2</v>
      </c>
      <c r="I196" s="47">
        <v>1550</v>
      </c>
      <c r="J196" s="47">
        <v>4550</v>
      </c>
      <c r="K196" s="47">
        <v>51.666666666666664</v>
      </c>
    </row>
    <row r="197" spans="1:11" s="651" customFormat="1">
      <c r="A197" s="663" t="s">
        <v>309</v>
      </c>
      <c r="B197" s="47">
        <v>3020</v>
      </c>
      <c r="C197" s="47">
        <v>55.199999999999996</v>
      </c>
      <c r="D197" s="47">
        <v>84.56</v>
      </c>
      <c r="E197" s="47">
        <v>1667.0399999999997</v>
      </c>
      <c r="F197" s="47">
        <v>0</v>
      </c>
      <c r="G197" s="47">
        <v>0</v>
      </c>
      <c r="H197" s="47">
        <v>2.9600000000000364</v>
      </c>
      <c r="I197" s="47">
        <v>1670</v>
      </c>
      <c r="J197" s="47">
        <v>4690</v>
      </c>
      <c r="K197" s="47">
        <v>55.298013245033111</v>
      </c>
    </row>
    <row r="198" spans="1:11" s="651" customFormat="1">
      <c r="A198" s="663" t="s">
        <v>1058</v>
      </c>
      <c r="B198" s="47">
        <v>3180</v>
      </c>
      <c r="C198" s="47">
        <v>55.199999999999996</v>
      </c>
      <c r="D198" s="47">
        <v>363.79199999999997</v>
      </c>
      <c r="E198" s="47">
        <v>1755.36</v>
      </c>
      <c r="F198" s="47">
        <v>1064.6400000000003</v>
      </c>
      <c r="G198" s="47">
        <v>0</v>
      </c>
      <c r="H198" s="47">
        <v>0</v>
      </c>
      <c r="I198" s="47">
        <v>2820</v>
      </c>
      <c r="J198" s="47">
        <v>6000</v>
      </c>
      <c r="K198" s="47">
        <v>88.679245283018872</v>
      </c>
    </row>
    <row r="199" spans="1:11" s="651" customFormat="1">
      <c r="A199" s="652" t="s">
        <v>667</v>
      </c>
      <c r="B199" s="47">
        <v>3050</v>
      </c>
      <c r="C199" s="47">
        <v>51</v>
      </c>
      <c r="D199" s="47">
        <v>151.28</v>
      </c>
      <c r="E199" s="47">
        <v>1555.5</v>
      </c>
      <c r="F199" s="47">
        <v>0</v>
      </c>
      <c r="G199" s="47">
        <v>0</v>
      </c>
      <c r="H199" s="47">
        <v>4.5</v>
      </c>
      <c r="I199" s="47">
        <v>1560</v>
      </c>
      <c r="J199" s="47">
        <v>4610</v>
      </c>
      <c r="K199" s="47">
        <v>51.147540983606561</v>
      </c>
    </row>
    <row r="200" spans="1:11" s="651" customFormat="1">
      <c r="A200" s="653" t="s">
        <v>303</v>
      </c>
      <c r="B200" s="47">
        <v>3050</v>
      </c>
      <c r="C200" s="47">
        <v>51</v>
      </c>
      <c r="D200" s="47">
        <v>151.28</v>
      </c>
      <c r="E200" s="47">
        <v>1555.5</v>
      </c>
      <c r="F200" s="47">
        <v>0</v>
      </c>
      <c r="G200" s="47">
        <v>0</v>
      </c>
      <c r="H200" s="47">
        <v>4.5</v>
      </c>
      <c r="I200" s="47">
        <v>1560</v>
      </c>
      <c r="J200" s="47">
        <v>4610</v>
      </c>
      <c r="K200" s="47">
        <v>51.147540983606561</v>
      </c>
    </row>
    <row r="201" spans="1:11" s="651" customFormat="1">
      <c r="A201" s="652" t="s">
        <v>188</v>
      </c>
      <c r="B201" s="47">
        <v>57800</v>
      </c>
      <c r="C201" s="47">
        <v>55.725000000000001</v>
      </c>
      <c r="D201" s="47">
        <v>8576.6400000000012</v>
      </c>
      <c r="E201" s="47">
        <v>32108.400000000001</v>
      </c>
      <c r="F201" s="47">
        <v>6143.6</v>
      </c>
      <c r="G201" s="47">
        <v>9948</v>
      </c>
      <c r="H201" s="47">
        <v>0</v>
      </c>
      <c r="I201" s="47">
        <v>48200</v>
      </c>
      <c r="J201" s="47">
        <v>106000</v>
      </c>
      <c r="K201" s="47">
        <v>84.275793650793645</v>
      </c>
    </row>
    <row r="202" spans="1:11" s="651" customFormat="1">
      <c r="A202" s="653" t="s">
        <v>673</v>
      </c>
      <c r="B202" s="47">
        <v>8000</v>
      </c>
      <c r="C202" s="47">
        <v>57</v>
      </c>
      <c r="D202" s="47">
        <v>115.2</v>
      </c>
      <c r="E202" s="47">
        <v>4560</v>
      </c>
      <c r="F202" s="47">
        <v>0</v>
      </c>
      <c r="G202" s="47">
        <v>1440</v>
      </c>
      <c r="H202" s="47">
        <v>0</v>
      </c>
      <c r="I202" s="47">
        <v>6000</v>
      </c>
      <c r="J202" s="47">
        <v>14000</v>
      </c>
      <c r="K202" s="47">
        <v>75</v>
      </c>
    </row>
    <row r="203" spans="1:11" s="651" customFormat="1">
      <c r="A203" s="653" t="s">
        <v>189</v>
      </c>
      <c r="B203" s="47">
        <v>9000</v>
      </c>
      <c r="C203" s="47">
        <v>52.199999999999996</v>
      </c>
      <c r="D203" s="47">
        <v>1440</v>
      </c>
      <c r="E203" s="47">
        <v>4697.9999999999991</v>
      </c>
      <c r="F203" s="47">
        <v>1302</v>
      </c>
      <c r="G203" s="47">
        <v>2000</v>
      </c>
      <c r="H203" s="47">
        <v>0</v>
      </c>
      <c r="I203" s="47">
        <v>8000</v>
      </c>
      <c r="J203" s="47">
        <v>17000</v>
      </c>
      <c r="K203" s="47">
        <v>88.888888888888886</v>
      </c>
    </row>
    <row r="204" spans="1:11" s="651" customFormat="1">
      <c r="A204" s="653" t="s">
        <v>190</v>
      </c>
      <c r="B204" s="47">
        <v>8000</v>
      </c>
      <c r="C204" s="47">
        <v>49.199999999999996</v>
      </c>
      <c r="D204" s="47">
        <v>1920</v>
      </c>
      <c r="E204" s="47">
        <v>3935.9999999999995</v>
      </c>
      <c r="F204" s="47">
        <v>64</v>
      </c>
      <c r="G204" s="47">
        <v>2000</v>
      </c>
      <c r="H204" s="47">
        <v>0</v>
      </c>
      <c r="I204" s="47">
        <v>6000</v>
      </c>
      <c r="J204" s="47">
        <v>14000</v>
      </c>
      <c r="K204" s="47">
        <v>75</v>
      </c>
    </row>
    <row r="205" spans="1:11" s="651" customFormat="1">
      <c r="A205" s="653" t="s">
        <v>1059</v>
      </c>
      <c r="B205" s="47">
        <v>9000</v>
      </c>
      <c r="C205" s="47">
        <v>59.4</v>
      </c>
      <c r="D205" s="47">
        <v>2138.4</v>
      </c>
      <c r="E205" s="47">
        <v>5346</v>
      </c>
      <c r="F205" s="47">
        <v>654</v>
      </c>
      <c r="G205" s="47">
        <v>2000</v>
      </c>
      <c r="H205" s="47">
        <v>0</v>
      </c>
      <c r="I205" s="47">
        <v>8000</v>
      </c>
      <c r="J205" s="47">
        <v>17000</v>
      </c>
      <c r="K205" s="47">
        <v>88.888888888888886</v>
      </c>
    </row>
    <row r="206" spans="1:11" s="651" customFormat="1">
      <c r="A206" s="653" t="s">
        <v>220</v>
      </c>
      <c r="B206" s="47">
        <v>7000</v>
      </c>
      <c r="C206" s="47">
        <v>59.4</v>
      </c>
      <c r="D206" s="47">
        <v>789.6</v>
      </c>
      <c r="E206" s="47">
        <v>4158</v>
      </c>
      <c r="F206" s="47">
        <v>842</v>
      </c>
      <c r="G206" s="47">
        <v>0</v>
      </c>
      <c r="H206" s="47">
        <v>0</v>
      </c>
      <c r="I206" s="47">
        <v>5000</v>
      </c>
      <c r="J206" s="47">
        <v>12000</v>
      </c>
      <c r="K206" s="47">
        <v>71.428571428571431</v>
      </c>
    </row>
    <row r="207" spans="1:11" s="651" customFormat="1">
      <c r="A207" s="653" t="s">
        <v>214</v>
      </c>
      <c r="B207" s="47">
        <v>4800</v>
      </c>
      <c r="C207" s="47">
        <v>58.8</v>
      </c>
      <c r="D207" s="47">
        <v>637.44000000000005</v>
      </c>
      <c r="E207" s="47">
        <v>2822.3999999999996</v>
      </c>
      <c r="F207" s="47">
        <v>2377.6000000000004</v>
      </c>
      <c r="G207" s="47">
        <v>0</v>
      </c>
      <c r="H207" s="47">
        <v>0</v>
      </c>
      <c r="I207" s="47">
        <v>5200</v>
      </c>
      <c r="J207" s="47">
        <v>10000</v>
      </c>
      <c r="K207" s="47">
        <v>108.33333333333333</v>
      </c>
    </row>
    <row r="208" spans="1:11" s="651" customFormat="1">
      <c r="A208" s="653" t="s">
        <v>215</v>
      </c>
      <c r="B208" s="47">
        <v>6000</v>
      </c>
      <c r="C208" s="47">
        <v>58.199999999999996</v>
      </c>
      <c r="D208" s="47">
        <v>1440</v>
      </c>
      <c r="E208" s="47">
        <v>3491.9999999999995</v>
      </c>
      <c r="F208" s="47">
        <v>0</v>
      </c>
      <c r="G208" s="47">
        <v>2508</v>
      </c>
      <c r="H208" s="47">
        <v>0</v>
      </c>
      <c r="I208" s="47">
        <v>6000</v>
      </c>
      <c r="J208" s="47">
        <v>12000</v>
      </c>
      <c r="K208" s="47">
        <v>100</v>
      </c>
    </row>
    <row r="209" spans="1:11" s="651" customFormat="1">
      <c r="A209" s="653" t="s">
        <v>795</v>
      </c>
      <c r="B209" s="47">
        <v>6000</v>
      </c>
      <c r="C209" s="47">
        <v>51.6</v>
      </c>
      <c r="D209" s="47">
        <v>96</v>
      </c>
      <c r="E209" s="47">
        <v>3096</v>
      </c>
      <c r="F209" s="47">
        <v>904</v>
      </c>
      <c r="G209" s="47">
        <v>0</v>
      </c>
      <c r="H209" s="47">
        <v>0</v>
      </c>
      <c r="I209" s="47">
        <v>4000</v>
      </c>
      <c r="J209" s="47">
        <v>10000</v>
      </c>
      <c r="K209" s="47">
        <v>66.666666666666671</v>
      </c>
    </row>
    <row r="210" spans="1:11" s="651" customFormat="1">
      <c r="A210" s="652" t="s">
        <v>224</v>
      </c>
      <c r="B210" s="47">
        <v>4150</v>
      </c>
      <c r="C210" s="47">
        <v>54.6</v>
      </c>
      <c r="D210" s="47">
        <v>371.84</v>
      </c>
      <c r="E210" s="47">
        <v>2265.9</v>
      </c>
      <c r="F210" s="47">
        <v>0</v>
      </c>
      <c r="G210" s="47">
        <v>584.10000000000036</v>
      </c>
      <c r="H210" s="47">
        <v>0</v>
      </c>
      <c r="I210" s="47">
        <v>2850</v>
      </c>
      <c r="J210" s="47">
        <v>7000</v>
      </c>
      <c r="K210" s="47">
        <v>68.674698795180717</v>
      </c>
    </row>
    <row r="211" spans="1:11" s="651" customFormat="1">
      <c r="A211" s="663" t="s">
        <v>1060</v>
      </c>
      <c r="B211" s="47">
        <v>4150</v>
      </c>
      <c r="C211" s="47">
        <v>54.6</v>
      </c>
      <c r="D211" s="47">
        <v>371.84</v>
      </c>
      <c r="E211" s="47">
        <v>2265.9</v>
      </c>
      <c r="F211" s="47">
        <v>0</v>
      </c>
      <c r="G211" s="47">
        <v>584.10000000000036</v>
      </c>
      <c r="H211" s="47">
        <v>0</v>
      </c>
      <c r="I211" s="47">
        <v>2850</v>
      </c>
      <c r="J211" s="47">
        <v>7000</v>
      </c>
      <c r="K211" s="47">
        <v>68.674698795180717</v>
      </c>
    </row>
    <row r="212" spans="1:11" s="651" customFormat="1">
      <c r="A212" s="652" t="s">
        <v>109</v>
      </c>
      <c r="B212" s="47">
        <v>4710</v>
      </c>
      <c r="C212" s="47">
        <v>59.4</v>
      </c>
      <c r="D212" s="47">
        <v>538.82399999999996</v>
      </c>
      <c r="E212" s="47">
        <v>2797.74</v>
      </c>
      <c r="F212" s="47">
        <v>0</v>
      </c>
      <c r="G212" s="47">
        <v>492.26000000000022</v>
      </c>
      <c r="H212" s="47">
        <v>0</v>
      </c>
      <c r="I212" s="47">
        <v>3290</v>
      </c>
      <c r="J212" s="47">
        <v>8000</v>
      </c>
      <c r="K212" s="47">
        <v>69.85138004246285</v>
      </c>
    </row>
    <row r="213" spans="1:11" s="651" customFormat="1">
      <c r="A213" s="653" t="s">
        <v>1061</v>
      </c>
      <c r="B213" s="47">
        <v>4710</v>
      </c>
      <c r="C213" s="47">
        <v>59.4</v>
      </c>
      <c r="D213" s="47">
        <v>538.82399999999996</v>
      </c>
      <c r="E213" s="47">
        <v>2797.74</v>
      </c>
      <c r="F213" s="47">
        <v>0</v>
      </c>
      <c r="G213" s="47">
        <v>492.26000000000022</v>
      </c>
      <c r="H213" s="47">
        <v>0</v>
      </c>
      <c r="I213" s="47">
        <v>3290</v>
      </c>
      <c r="J213" s="47">
        <v>8000</v>
      </c>
      <c r="K213" s="47">
        <v>69.85138004246285</v>
      </c>
    </row>
    <row r="214" spans="1:11" s="651" customFormat="1">
      <c r="A214" s="652" t="s">
        <v>205</v>
      </c>
      <c r="B214" s="47">
        <v>115260</v>
      </c>
      <c r="C214" s="47">
        <v>52.841379310344806</v>
      </c>
      <c r="D214" s="47">
        <v>22170.768000000004</v>
      </c>
      <c r="E214" s="47">
        <v>61043.22</v>
      </c>
      <c r="F214" s="47">
        <v>811.21999999999935</v>
      </c>
      <c r="G214" s="47">
        <v>1152</v>
      </c>
      <c r="H214" s="47">
        <v>123.56000000000313</v>
      </c>
      <c r="I214" s="47">
        <v>63130</v>
      </c>
      <c r="J214" s="47">
        <v>178390</v>
      </c>
      <c r="K214" s="47">
        <v>55.162223486527779</v>
      </c>
    </row>
    <row r="215" spans="1:11" s="651" customFormat="1">
      <c r="A215" s="653" t="s">
        <v>1062</v>
      </c>
      <c r="B215" s="47">
        <v>4210</v>
      </c>
      <c r="C215" s="47">
        <v>57</v>
      </c>
      <c r="D215" s="47">
        <v>538.88</v>
      </c>
      <c r="E215" s="47">
        <v>2399.6999999999998</v>
      </c>
      <c r="F215" s="47">
        <v>0</v>
      </c>
      <c r="G215" s="47">
        <v>0</v>
      </c>
      <c r="H215" s="47">
        <v>0.3000000000001819</v>
      </c>
      <c r="I215" s="47">
        <v>2400</v>
      </c>
      <c r="J215" s="47">
        <v>6610</v>
      </c>
      <c r="K215" s="47">
        <v>57.00712589073634</v>
      </c>
    </row>
    <row r="216" spans="1:11" s="651" customFormat="1">
      <c r="A216" s="653" t="s">
        <v>227</v>
      </c>
      <c r="B216" s="47">
        <v>4150</v>
      </c>
      <c r="C216" s="47">
        <v>56.4</v>
      </c>
      <c r="D216" s="47">
        <v>415</v>
      </c>
      <c r="E216" s="47">
        <v>2340.6</v>
      </c>
      <c r="F216" s="47">
        <v>0</v>
      </c>
      <c r="G216" s="47">
        <v>0</v>
      </c>
      <c r="H216" s="47">
        <v>9.3999999999996362</v>
      </c>
      <c r="I216" s="47">
        <v>2350</v>
      </c>
      <c r="J216" s="47">
        <v>6500</v>
      </c>
      <c r="K216" s="47">
        <v>56.626506024096386</v>
      </c>
    </row>
    <row r="217" spans="1:11" s="651" customFormat="1">
      <c r="A217" s="653" t="s">
        <v>270</v>
      </c>
      <c r="B217" s="47">
        <v>3170</v>
      </c>
      <c r="C217" s="47">
        <v>53.4</v>
      </c>
      <c r="D217" s="47">
        <v>347.43200000000002</v>
      </c>
      <c r="E217" s="47">
        <v>1692.7800000000002</v>
      </c>
      <c r="F217" s="47">
        <v>637.21999999999935</v>
      </c>
      <c r="G217" s="47">
        <v>0</v>
      </c>
      <c r="H217" s="47">
        <v>0</v>
      </c>
      <c r="I217" s="47">
        <v>2330</v>
      </c>
      <c r="J217" s="47">
        <v>5500</v>
      </c>
      <c r="K217" s="47">
        <v>73.501577287066254</v>
      </c>
    </row>
    <row r="218" spans="1:11" s="651" customFormat="1">
      <c r="A218" s="653" t="s">
        <v>229</v>
      </c>
      <c r="B218" s="47">
        <v>4490</v>
      </c>
      <c r="C218" s="47">
        <v>55.199999999999996</v>
      </c>
      <c r="D218" s="47">
        <v>1066.8240000000001</v>
      </c>
      <c r="E218" s="47">
        <v>2478.4799999999996</v>
      </c>
      <c r="F218" s="47">
        <v>0</v>
      </c>
      <c r="G218" s="47">
        <v>0</v>
      </c>
      <c r="H218" s="47">
        <v>1.5200000000004366</v>
      </c>
      <c r="I218" s="47">
        <v>2480</v>
      </c>
      <c r="J218" s="47">
        <v>6970</v>
      </c>
      <c r="K218" s="47">
        <v>55.233853006681514</v>
      </c>
    </row>
    <row r="219" spans="1:11" s="651" customFormat="1">
      <c r="A219" s="653" t="s">
        <v>230</v>
      </c>
      <c r="B219" s="47">
        <v>4170</v>
      </c>
      <c r="C219" s="47">
        <v>52.199999999999996</v>
      </c>
      <c r="D219" s="47">
        <v>393.64800000000002</v>
      </c>
      <c r="E219" s="47">
        <v>2176.7399999999998</v>
      </c>
      <c r="F219" s="47">
        <v>0</v>
      </c>
      <c r="G219" s="47">
        <v>0</v>
      </c>
      <c r="H219" s="47">
        <v>3.2600000000002183</v>
      </c>
      <c r="I219" s="47">
        <v>2180</v>
      </c>
      <c r="J219" s="47">
        <v>6350</v>
      </c>
      <c r="K219" s="47">
        <v>52.278177458033568</v>
      </c>
    </row>
    <row r="220" spans="1:11" s="651" customFormat="1">
      <c r="A220" s="653" t="s">
        <v>724</v>
      </c>
      <c r="B220" s="47">
        <v>3000</v>
      </c>
      <c r="C220" s="47">
        <v>48.6</v>
      </c>
      <c r="D220" s="47">
        <v>43.2</v>
      </c>
      <c r="E220" s="47">
        <v>1458</v>
      </c>
      <c r="F220" s="47">
        <v>42</v>
      </c>
      <c r="G220" s="47">
        <v>0</v>
      </c>
      <c r="H220" s="47">
        <v>0</v>
      </c>
      <c r="I220" s="47">
        <v>1500</v>
      </c>
      <c r="J220" s="47">
        <v>4500</v>
      </c>
      <c r="K220" s="47">
        <v>50</v>
      </c>
    </row>
    <row r="221" spans="1:11" s="651" customFormat="1">
      <c r="A221" s="653" t="s">
        <v>279</v>
      </c>
      <c r="B221" s="47">
        <v>3070</v>
      </c>
      <c r="C221" s="47">
        <v>44.4</v>
      </c>
      <c r="D221" s="47">
        <v>171.92</v>
      </c>
      <c r="E221" s="47">
        <v>1363.08</v>
      </c>
      <c r="F221" s="47">
        <v>0</v>
      </c>
      <c r="G221" s="47">
        <v>0</v>
      </c>
      <c r="H221" s="47">
        <v>6.9200000000000728</v>
      </c>
      <c r="I221" s="47">
        <v>1370</v>
      </c>
      <c r="J221" s="47">
        <v>4440</v>
      </c>
      <c r="K221" s="47">
        <v>44.625407166123779</v>
      </c>
    </row>
    <row r="222" spans="1:11" s="651" customFormat="1">
      <c r="A222" s="653" t="s">
        <v>260</v>
      </c>
      <c r="B222" s="47">
        <v>4050</v>
      </c>
      <c r="C222" s="47">
        <v>58.199999999999996</v>
      </c>
      <c r="D222" s="47">
        <v>187.92</v>
      </c>
      <c r="E222" s="47">
        <v>2357.1</v>
      </c>
      <c r="F222" s="47">
        <v>0</v>
      </c>
      <c r="G222" s="47">
        <v>0</v>
      </c>
      <c r="H222" s="47">
        <v>2.8999999999996362</v>
      </c>
      <c r="I222" s="47">
        <v>2360</v>
      </c>
      <c r="J222" s="47">
        <v>6410</v>
      </c>
      <c r="K222" s="47">
        <v>58.271604938271608</v>
      </c>
    </row>
    <row r="223" spans="1:11" s="651" customFormat="1">
      <c r="A223" s="653" t="s">
        <v>233</v>
      </c>
      <c r="B223" s="47">
        <v>4320</v>
      </c>
      <c r="C223" s="47">
        <v>49.199999999999996</v>
      </c>
      <c r="D223" s="47">
        <v>618.62400000000002</v>
      </c>
      <c r="E223" s="47">
        <v>2125.4399999999996</v>
      </c>
      <c r="F223" s="47">
        <v>0</v>
      </c>
      <c r="G223" s="47">
        <v>0</v>
      </c>
      <c r="H223" s="47">
        <v>4.5600000000004002</v>
      </c>
      <c r="I223" s="47">
        <v>2130</v>
      </c>
      <c r="J223" s="47">
        <v>6450</v>
      </c>
      <c r="K223" s="47">
        <v>49.30555555555555</v>
      </c>
    </row>
    <row r="224" spans="1:11" s="651" customFormat="1">
      <c r="A224" s="653" t="s">
        <v>1063</v>
      </c>
      <c r="B224" s="47">
        <v>4500</v>
      </c>
      <c r="C224" s="47">
        <v>51.6</v>
      </c>
      <c r="D224" s="47">
        <v>10699.2</v>
      </c>
      <c r="E224" s="47">
        <v>2322</v>
      </c>
      <c r="F224" s="47">
        <v>0</v>
      </c>
      <c r="G224" s="47">
        <v>0</v>
      </c>
      <c r="H224" s="47">
        <v>8</v>
      </c>
      <c r="I224" s="47">
        <v>2330</v>
      </c>
      <c r="J224" s="47">
        <v>6830</v>
      </c>
      <c r="K224" s="47">
        <v>51.777777777777779</v>
      </c>
    </row>
    <row r="225" spans="1:11" s="651" customFormat="1">
      <c r="A225" s="663" t="s">
        <v>1064</v>
      </c>
      <c r="B225" s="47">
        <v>4180</v>
      </c>
      <c r="C225" s="47">
        <v>56.4</v>
      </c>
      <c r="D225" s="47">
        <v>424.68799999999999</v>
      </c>
      <c r="E225" s="47">
        <v>2357.52</v>
      </c>
      <c r="F225" s="47">
        <v>0</v>
      </c>
      <c r="G225" s="47">
        <v>0</v>
      </c>
      <c r="H225" s="47">
        <v>2.4799999999995634</v>
      </c>
      <c r="I225" s="47">
        <v>2360</v>
      </c>
      <c r="J225" s="47">
        <v>6540</v>
      </c>
      <c r="K225" s="47">
        <v>56.459330143540676</v>
      </c>
    </row>
    <row r="226" spans="1:11" s="651" customFormat="1">
      <c r="A226" s="663" t="s">
        <v>779</v>
      </c>
      <c r="B226" s="47">
        <v>4000</v>
      </c>
      <c r="C226" s="47">
        <v>58.199999999999996</v>
      </c>
      <c r="D226" s="47">
        <v>0</v>
      </c>
      <c r="E226" s="47">
        <v>2328</v>
      </c>
      <c r="F226" s="47">
        <v>0</v>
      </c>
      <c r="G226" s="47">
        <v>0</v>
      </c>
      <c r="H226" s="47">
        <v>2</v>
      </c>
      <c r="I226" s="47">
        <v>2330</v>
      </c>
      <c r="J226" s="47">
        <v>6330</v>
      </c>
      <c r="K226" s="47">
        <v>58.25</v>
      </c>
    </row>
    <row r="227" spans="1:11" s="651" customFormat="1">
      <c r="A227" s="663" t="s">
        <v>1065</v>
      </c>
      <c r="B227" s="47">
        <v>4100</v>
      </c>
      <c r="C227" s="47">
        <v>56.4</v>
      </c>
      <c r="D227" s="47">
        <v>285.36</v>
      </c>
      <c r="E227" s="47">
        <v>2312.3999999999996</v>
      </c>
      <c r="F227" s="47">
        <v>0</v>
      </c>
      <c r="G227" s="47">
        <v>0</v>
      </c>
      <c r="H227" s="47">
        <v>7.6000000000003638</v>
      </c>
      <c r="I227" s="47">
        <v>2320</v>
      </c>
      <c r="J227" s="47">
        <v>6420</v>
      </c>
      <c r="K227" s="47">
        <v>56.585365853658537</v>
      </c>
    </row>
    <row r="228" spans="1:11" s="651" customFormat="1">
      <c r="A228" s="663" t="s">
        <v>1066</v>
      </c>
      <c r="B228" s="47">
        <v>4220</v>
      </c>
      <c r="C228" s="47">
        <v>49.8</v>
      </c>
      <c r="D228" s="47">
        <v>560.41600000000005</v>
      </c>
      <c r="E228" s="47">
        <v>2101.56</v>
      </c>
      <c r="F228" s="47">
        <v>0</v>
      </c>
      <c r="G228" s="47">
        <v>0</v>
      </c>
      <c r="H228" s="47">
        <v>8.4400000000005093</v>
      </c>
      <c r="I228" s="47">
        <v>2110</v>
      </c>
      <c r="J228" s="47">
        <v>6330</v>
      </c>
      <c r="K228" s="47">
        <v>50</v>
      </c>
    </row>
    <row r="229" spans="1:11" s="651" customFormat="1">
      <c r="A229" s="663" t="s">
        <v>241</v>
      </c>
      <c r="B229" s="47">
        <v>4490</v>
      </c>
      <c r="C229" s="47">
        <v>57.599999999999994</v>
      </c>
      <c r="D229" s="47">
        <v>1077.5999999999999</v>
      </c>
      <c r="E229" s="47">
        <v>2586.2399999999998</v>
      </c>
      <c r="F229" s="47">
        <v>0</v>
      </c>
      <c r="G229" s="47">
        <v>0</v>
      </c>
      <c r="H229" s="47">
        <v>3.7600000000002183</v>
      </c>
      <c r="I229" s="47">
        <v>2590</v>
      </c>
      <c r="J229" s="47">
        <v>7080</v>
      </c>
      <c r="K229" s="47">
        <v>57.683741648106903</v>
      </c>
    </row>
    <row r="230" spans="1:11" s="651" customFormat="1">
      <c r="A230" s="663" t="s">
        <v>1067</v>
      </c>
      <c r="B230" s="47">
        <v>4320</v>
      </c>
      <c r="C230" s="47">
        <v>51.6</v>
      </c>
      <c r="D230" s="47">
        <v>819.072</v>
      </c>
      <c r="E230" s="47">
        <v>2229.12</v>
      </c>
      <c r="F230" s="47">
        <v>0</v>
      </c>
      <c r="G230" s="47">
        <v>0</v>
      </c>
      <c r="H230" s="47">
        <v>0.88000000000010914</v>
      </c>
      <c r="I230" s="47">
        <v>2230</v>
      </c>
      <c r="J230" s="47">
        <v>6550</v>
      </c>
      <c r="K230" s="47">
        <v>51.620370370370367</v>
      </c>
    </row>
    <row r="231" spans="1:11" s="651" customFormat="1">
      <c r="A231" s="663" t="s">
        <v>245</v>
      </c>
      <c r="B231" s="47">
        <v>4330</v>
      </c>
      <c r="C231" s="47">
        <v>52.8</v>
      </c>
      <c r="D231" s="47">
        <v>713.58399999999995</v>
      </c>
      <c r="E231" s="47">
        <v>2286.2400000000002</v>
      </c>
      <c r="F231" s="47">
        <v>0</v>
      </c>
      <c r="G231" s="47">
        <v>0</v>
      </c>
      <c r="H231" s="47">
        <v>3.7600000000002183</v>
      </c>
      <c r="I231" s="47">
        <v>2290</v>
      </c>
      <c r="J231" s="47">
        <v>6620</v>
      </c>
      <c r="K231" s="47">
        <v>52.886836027713628</v>
      </c>
    </row>
    <row r="232" spans="1:11" s="651" customFormat="1">
      <c r="A232" s="663" t="s">
        <v>246</v>
      </c>
      <c r="B232" s="47">
        <v>4260</v>
      </c>
      <c r="C232" s="47">
        <v>55.8</v>
      </c>
      <c r="D232" s="47">
        <v>610.03200000000004</v>
      </c>
      <c r="E232" s="47">
        <v>2377.08</v>
      </c>
      <c r="F232" s="47">
        <v>0</v>
      </c>
      <c r="G232" s="47">
        <v>0</v>
      </c>
      <c r="H232" s="47">
        <v>2.9200000000000728</v>
      </c>
      <c r="I232" s="47">
        <v>2380</v>
      </c>
      <c r="J232" s="47">
        <v>6640</v>
      </c>
      <c r="K232" s="47">
        <v>55.868544600938968</v>
      </c>
    </row>
    <row r="233" spans="1:11" s="651" customFormat="1">
      <c r="A233" s="663" t="s">
        <v>247</v>
      </c>
      <c r="B233" s="47">
        <v>4040</v>
      </c>
      <c r="C233" s="47">
        <v>57</v>
      </c>
      <c r="D233" s="47">
        <v>145.44</v>
      </c>
      <c r="E233" s="47">
        <v>2302.7999999999997</v>
      </c>
      <c r="F233" s="47">
        <v>0</v>
      </c>
      <c r="G233" s="47">
        <v>0</v>
      </c>
      <c r="H233" s="47">
        <v>7.2000000000007276</v>
      </c>
      <c r="I233" s="47">
        <v>2310</v>
      </c>
      <c r="J233" s="47">
        <v>6350</v>
      </c>
      <c r="K233" s="47">
        <v>57.178217821782184</v>
      </c>
    </row>
    <row r="234" spans="1:11" s="651" customFormat="1">
      <c r="A234" s="663" t="s">
        <v>248</v>
      </c>
      <c r="B234" s="47">
        <v>4170</v>
      </c>
      <c r="C234" s="47">
        <v>41.4</v>
      </c>
      <c r="D234" s="47">
        <v>393.64800000000002</v>
      </c>
      <c r="E234" s="47">
        <v>1726.3799999999999</v>
      </c>
      <c r="F234" s="47">
        <v>0</v>
      </c>
      <c r="G234" s="47">
        <v>0</v>
      </c>
      <c r="H234" s="47">
        <v>3.6199999999998909</v>
      </c>
      <c r="I234" s="47">
        <v>1730</v>
      </c>
      <c r="J234" s="47">
        <v>5900</v>
      </c>
      <c r="K234" s="47">
        <v>41.486810551558747</v>
      </c>
    </row>
    <row r="235" spans="1:11" s="651" customFormat="1">
      <c r="A235" s="663" t="s">
        <v>249</v>
      </c>
      <c r="B235" s="47">
        <v>4220</v>
      </c>
      <c r="C235" s="47">
        <v>55.8</v>
      </c>
      <c r="D235" s="47">
        <v>513.15200000000004</v>
      </c>
      <c r="E235" s="47">
        <v>2354.7599999999998</v>
      </c>
      <c r="F235" s="47">
        <v>0</v>
      </c>
      <c r="G235" s="47">
        <v>0</v>
      </c>
      <c r="H235" s="47">
        <v>5.2399999999997817</v>
      </c>
      <c r="I235" s="47">
        <v>2360</v>
      </c>
      <c r="J235" s="47">
        <v>6580</v>
      </c>
      <c r="K235" s="47">
        <v>55.924170616113742</v>
      </c>
    </row>
    <row r="236" spans="1:11" s="651" customFormat="1">
      <c r="A236" s="663" t="s">
        <v>705</v>
      </c>
      <c r="B236" s="47">
        <v>3000</v>
      </c>
      <c r="C236" s="47">
        <v>55.8</v>
      </c>
      <c r="D236" s="47">
        <v>48</v>
      </c>
      <c r="E236" s="47">
        <v>1673.9999999999998</v>
      </c>
      <c r="F236" s="47">
        <v>0</v>
      </c>
      <c r="G236" s="47">
        <v>326</v>
      </c>
      <c r="H236" s="47">
        <v>0</v>
      </c>
      <c r="I236" s="47">
        <v>2000</v>
      </c>
      <c r="J236" s="47">
        <v>5000</v>
      </c>
      <c r="K236" s="47">
        <v>66.666666666666671</v>
      </c>
    </row>
    <row r="237" spans="1:11" s="651" customFormat="1">
      <c r="A237" s="663" t="s">
        <v>708</v>
      </c>
      <c r="B237" s="47">
        <v>3000</v>
      </c>
      <c r="C237" s="47">
        <v>45.6</v>
      </c>
      <c r="D237" s="47">
        <v>48</v>
      </c>
      <c r="E237" s="47">
        <v>1368</v>
      </c>
      <c r="F237" s="47">
        <v>132</v>
      </c>
      <c r="G237" s="47">
        <v>500</v>
      </c>
      <c r="H237" s="47">
        <v>0</v>
      </c>
      <c r="I237" s="47">
        <v>2000</v>
      </c>
      <c r="J237" s="47">
        <v>5000</v>
      </c>
      <c r="K237" s="47">
        <v>66.666666666666671</v>
      </c>
    </row>
    <row r="238" spans="1:11" s="651" customFormat="1">
      <c r="A238" s="663" t="s">
        <v>1068</v>
      </c>
      <c r="B238" s="47">
        <v>4200</v>
      </c>
      <c r="C238" s="47">
        <v>52.199999999999996</v>
      </c>
      <c r="D238" s="47">
        <v>460.32</v>
      </c>
      <c r="E238" s="47">
        <v>2192.3999999999996</v>
      </c>
      <c r="F238" s="47">
        <v>0</v>
      </c>
      <c r="G238" s="47">
        <v>0</v>
      </c>
      <c r="H238" s="47">
        <v>7.6000000000003638</v>
      </c>
      <c r="I238" s="47">
        <v>2200</v>
      </c>
      <c r="J238" s="47">
        <v>6400</v>
      </c>
      <c r="K238" s="47">
        <v>52.38095238095238</v>
      </c>
    </row>
    <row r="239" spans="1:11" s="651" customFormat="1">
      <c r="A239" s="663" t="s">
        <v>1069</v>
      </c>
      <c r="B239" s="47">
        <v>4220</v>
      </c>
      <c r="C239" s="47">
        <v>48.6</v>
      </c>
      <c r="D239" s="47">
        <v>482.76799999999997</v>
      </c>
      <c r="E239" s="47">
        <v>2050.92</v>
      </c>
      <c r="F239" s="47">
        <v>0</v>
      </c>
      <c r="G239" s="47">
        <v>0</v>
      </c>
      <c r="H239" s="47">
        <v>9.0799999999999272</v>
      </c>
      <c r="I239" s="47">
        <v>2060</v>
      </c>
      <c r="J239" s="47">
        <v>6280</v>
      </c>
      <c r="K239" s="47">
        <v>48.81516587677725</v>
      </c>
    </row>
    <row r="240" spans="1:11" s="651" customFormat="1">
      <c r="A240" s="663" t="s">
        <v>255</v>
      </c>
      <c r="B240" s="47">
        <v>4150</v>
      </c>
      <c r="C240" s="47">
        <v>52.199999999999996</v>
      </c>
      <c r="D240" s="47">
        <v>398.4</v>
      </c>
      <c r="E240" s="47">
        <v>2166.2999999999997</v>
      </c>
      <c r="F240" s="47">
        <v>0</v>
      </c>
      <c r="G240" s="47">
        <v>0</v>
      </c>
      <c r="H240" s="47">
        <v>3.7000000000007276</v>
      </c>
      <c r="I240" s="47">
        <v>2170</v>
      </c>
      <c r="J240" s="47">
        <v>6320</v>
      </c>
      <c r="K240" s="47">
        <v>52.289156626506021</v>
      </c>
    </row>
    <row r="241" spans="1:11" s="651" customFormat="1">
      <c r="A241" s="663" t="s">
        <v>727</v>
      </c>
      <c r="B241" s="47">
        <v>3000</v>
      </c>
      <c r="C241" s="47">
        <v>55.8</v>
      </c>
      <c r="D241" s="47">
        <v>38.4</v>
      </c>
      <c r="E241" s="47">
        <v>1673.9999999999998</v>
      </c>
      <c r="F241" s="47">
        <v>0</v>
      </c>
      <c r="G241" s="47">
        <v>326</v>
      </c>
      <c r="H241" s="47">
        <v>0</v>
      </c>
      <c r="I241" s="47">
        <v>2000</v>
      </c>
      <c r="J241" s="47">
        <v>5000</v>
      </c>
      <c r="K241" s="47">
        <v>66.666666666666671</v>
      </c>
    </row>
    <row r="242" spans="1:11" s="651" customFormat="1">
      <c r="A242" s="663" t="s">
        <v>256</v>
      </c>
      <c r="B242" s="47">
        <v>4200</v>
      </c>
      <c r="C242" s="47">
        <v>48.6</v>
      </c>
      <c r="D242" s="47">
        <v>524.16</v>
      </c>
      <c r="E242" s="47">
        <v>2041.2</v>
      </c>
      <c r="F242" s="47">
        <v>0</v>
      </c>
      <c r="G242" s="47">
        <v>0</v>
      </c>
      <c r="H242" s="47">
        <v>8.8000000000001819</v>
      </c>
      <c r="I242" s="47">
        <v>2050</v>
      </c>
      <c r="J242" s="47">
        <v>6250</v>
      </c>
      <c r="K242" s="47">
        <v>48.80952380952381</v>
      </c>
    </row>
    <row r="243" spans="1:11" s="651" customFormat="1">
      <c r="A243" s="663" t="s">
        <v>267</v>
      </c>
      <c r="B243" s="47">
        <v>4030</v>
      </c>
      <c r="C243" s="47">
        <v>54.6</v>
      </c>
      <c r="D243" s="47">
        <v>145.08000000000001</v>
      </c>
      <c r="E243" s="47">
        <v>2200.38</v>
      </c>
      <c r="F243" s="47">
        <v>0</v>
      </c>
      <c r="G243" s="47">
        <v>0</v>
      </c>
      <c r="H243" s="47">
        <v>9.6199999999998909</v>
      </c>
      <c r="I243" s="47">
        <v>2210</v>
      </c>
      <c r="J243" s="47">
        <v>6240</v>
      </c>
      <c r="K243" s="47">
        <v>54.838709677419359</v>
      </c>
    </row>
    <row r="244" spans="1:11" s="651" customFormat="1">
      <c r="A244" s="652" t="s">
        <v>192</v>
      </c>
      <c r="B244" s="47">
        <v>34600</v>
      </c>
      <c r="C244" s="47">
        <v>56.699999999999996</v>
      </c>
      <c r="D244" s="47">
        <v>6761.32</v>
      </c>
      <c r="E244" s="47">
        <v>19739.879999999997</v>
      </c>
      <c r="F244" s="47">
        <v>5600.8400000000011</v>
      </c>
      <c r="G244" s="47">
        <v>0</v>
      </c>
      <c r="H244" s="47">
        <v>9.2799999999988358</v>
      </c>
      <c r="I244" s="47">
        <v>25350</v>
      </c>
      <c r="J244" s="47">
        <v>59950</v>
      </c>
      <c r="K244" s="47">
        <v>76.996589463613176</v>
      </c>
    </row>
    <row r="245" spans="1:11" s="651" customFormat="1">
      <c r="A245" s="653" t="s">
        <v>1070</v>
      </c>
      <c r="B245" s="47">
        <v>5170</v>
      </c>
      <c r="C245" s="47">
        <v>55.8</v>
      </c>
      <c r="D245" s="47">
        <v>368.10399999999998</v>
      </c>
      <c r="E245" s="47">
        <v>2884.8599999999997</v>
      </c>
      <c r="F245" s="47">
        <v>1445.1400000000003</v>
      </c>
      <c r="G245" s="47">
        <v>0</v>
      </c>
      <c r="H245" s="47">
        <v>0</v>
      </c>
      <c r="I245" s="47">
        <v>4330</v>
      </c>
      <c r="J245" s="47">
        <v>9500</v>
      </c>
      <c r="K245" s="47">
        <v>83.752417794970981</v>
      </c>
    </row>
    <row r="246" spans="1:11" s="651" customFormat="1">
      <c r="A246" s="653" t="s">
        <v>194</v>
      </c>
      <c r="B246" s="47">
        <v>5370</v>
      </c>
      <c r="C246" s="47">
        <v>55.8</v>
      </c>
      <c r="D246" s="47">
        <v>884.976</v>
      </c>
      <c r="E246" s="47">
        <v>2996.4599999999996</v>
      </c>
      <c r="F246" s="47">
        <v>1633.5400000000009</v>
      </c>
      <c r="G246" s="47">
        <v>0</v>
      </c>
      <c r="H246" s="47">
        <v>0</v>
      </c>
      <c r="I246" s="47">
        <v>4630</v>
      </c>
      <c r="J246" s="47">
        <v>10000</v>
      </c>
      <c r="K246" s="47">
        <v>86.219739292364991</v>
      </c>
    </row>
    <row r="247" spans="1:11" s="651" customFormat="1">
      <c r="A247" s="653" t="s">
        <v>195</v>
      </c>
      <c r="B247" s="47">
        <v>12970</v>
      </c>
      <c r="C247" s="47">
        <v>57.599999999999994</v>
      </c>
      <c r="D247" s="47">
        <v>3112.8</v>
      </c>
      <c r="E247" s="47">
        <v>7470.7199999999993</v>
      </c>
      <c r="F247" s="47">
        <v>0</v>
      </c>
      <c r="G247" s="47">
        <v>0</v>
      </c>
      <c r="H247" s="47">
        <v>9.2799999999988358</v>
      </c>
      <c r="I247" s="47">
        <v>7480</v>
      </c>
      <c r="J247" s="47">
        <v>20450</v>
      </c>
      <c r="K247" s="47">
        <v>57.671549730146495</v>
      </c>
    </row>
    <row r="248" spans="1:11" s="651" customFormat="1">
      <c r="A248" s="653" t="s">
        <v>196</v>
      </c>
      <c r="B248" s="47">
        <v>11090</v>
      </c>
      <c r="C248" s="47">
        <v>57.599999999999994</v>
      </c>
      <c r="D248" s="47">
        <v>2395.44</v>
      </c>
      <c r="E248" s="47">
        <v>6387.8399999999992</v>
      </c>
      <c r="F248" s="47">
        <v>2522.16</v>
      </c>
      <c r="G248" s="47">
        <v>0</v>
      </c>
      <c r="H248" s="47">
        <v>0</v>
      </c>
      <c r="I248" s="47">
        <v>8910</v>
      </c>
      <c r="J248" s="47">
        <v>20000</v>
      </c>
      <c r="K248" s="47">
        <v>80.342651036970238</v>
      </c>
    </row>
    <row r="249" spans="1:11" s="651" customFormat="1">
      <c r="A249" s="652" t="s">
        <v>207</v>
      </c>
      <c r="B249" s="47">
        <v>120320</v>
      </c>
      <c r="C249" s="47">
        <v>54.844444444444434</v>
      </c>
      <c r="D249" s="47">
        <v>12539.624</v>
      </c>
      <c r="E249" s="47">
        <v>66124.260000000009</v>
      </c>
      <c r="F249" s="47">
        <v>3855.9599999999991</v>
      </c>
      <c r="G249" s="47">
        <v>1711.9600000000009</v>
      </c>
      <c r="H249" s="47">
        <v>77.820000000000618</v>
      </c>
      <c r="I249" s="47">
        <v>71770</v>
      </c>
      <c r="J249" s="47">
        <v>192090</v>
      </c>
      <c r="K249" s="47">
        <v>60.22087326957265</v>
      </c>
    </row>
    <row r="250" spans="1:11" s="651" customFormat="1">
      <c r="A250" s="653" t="s">
        <v>208</v>
      </c>
      <c r="B250" s="47">
        <v>4750</v>
      </c>
      <c r="C250" s="47">
        <v>58.8</v>
      </c>
      <c r="D250" s="47">
        <v>535.79999999999995</v>
      </c>
      <c r="E250" s="47">
        <v>2793</v>
      </c>
      <c r="F250" s="47">
        <v>0</v>
      </c>
      <c r="G250" s="47">
        <v>0</v>
      </c>
      <c r="H250" s="47">
        <v>7</v>
      </c>
      <c r="I250" s="47">
        <v>2800</v>
      </c>
      <c r="J250" s="47">
        <v>7550</v>
      </c>
      <c r="K250" s="47">
        <v>58.94736842105263</v>
      </c>
    </row>
    <row r="251" spans="1:11" s="651" customFormat="1">
      <c r="A251" s="653" t="s">
        <v>206</v>
      </c>
      <c r="B251" s="47">
        <v>4500</v>
      </c>
      <c r="C251" s="47">
        <v>52.8</v>
      </c>
      <c r="D251" s="47">
        <v>230.4</v>
      </c>
      <c r="E251" s="47">
        <v>2376</v>
      </c>
      <c r="F251" s="47">
        <v>0</v>
      </c>
      <c r="G251" s="47">
        <v>0</v>
      </c>
      <c r="H251" s="47">
        <v>4</v>
      </c>
      <c r="I251" s="47">
        <v>2380</v>
      </c>
      <c r="J251" s="47">
        <v>6880</v>
      </c>
      <c r="K251" s="47">
        <v>52.888888888888886</v>
      </c>
    </row>
    <row r="252" spans="1:11" s="651" customFormat="1">
      <c r="A252" s="653" t="s">
        <v>228</v>
      </c>
      <c r="B252" s="47">
        <v>4260</v>
      </c>
      <c r="C252" s="47">
        <v>51.6</v>
      </c>
      <c r="D252" s="47">
        <v>586.17600000000004</v>
      </c>
      <c r="E252" s="47">
        <v>2198.16</v>
      </c>
      <c r="F252" s="47">
        <v>0</v>
      </c>
      <c r="G252" s="47">
        <v>541.84000000000015</v>
      </c>
      <c r="H252" s="47">
        <v>0</v>
      </c>
      <c r="I252" s="47">
        <v>2740</v>
      </c>
      <c r="J252" s="47">
        <v>7000</v>
      </c>
      <c r="K252" s="47">
        <v>64.319248826291073</v>
      </c>
    </row>
    <row r="253" spans="1:11" s="651" customFormat="1">
      <c r="A253" s="653" t="s">
        <v>209</v>
      </c>
      <c r="B253" s="47">
        <v>4790</v>
      </c>
      <c r="C253" s="47">
        <v>57.599999999999994</v>
      </c>
      <c r="D253" s="47">
        <v>659.10400000000004</v>
      </c>
      <c r="E253" s="47">
        <v>2759.04</v>
      </c>
      <c r="F253" s="47">
        <v>0</v>
      </c>
      <c r="G253" s="47">
        <v>0</v>
      </c>
      <c r="H253" s="47">
        <v>0.96000000000003638</v>
      </c>
      <c r="I253" s="47">
        <v>2760</v>
      </c>
      <c r="J253" s="47">
        <v>7550</v>
      </c>
      <c r="K253" s="47">
        <v>57.620041753653446</v>
      </c>
    </row>
    <row r="254" spans="1:11" s="651" customFormat="1">
      <c r="A254" s="653" t="s">
        <v>210</v>
      </c>
      <c r="B254" s="47">
        <v>4710</v>
      </c>
      <c r="C254" s="47">
        <v>54.6</v>
      </c>
      <c r="D254" s="47">
        <v>531.28800000000001</v>
      </c>
      <c r="E254" s="47">
        <v>2571.6600000000003</v>
      </c>
      <c r="F254" s="47">
        <v>0</v>
      </c>
      <c r="G254" s="47">
        <v>0</v>
      </c>
      <c r="H254" s="47">
        <v>8.3400000000001455</v>
      </c>
      <c r="I254" s="47">
        <v>2580</v>
      </c>
      <c r="J254" s="47">
        <v>7290</v>
      </c>
      <c r="K254" s="47">
        <v>54.777070063694268</v>
      </c>
    </row>
    <row r="255" spans="1:11" s="651" customFormat="1">
      <c r="A255" s="653" t="s">
        <v>1071</v>
      </c>
      <c r="B255" s="47">
        <v>4380</v>
      </c>
      <c r="C255" s="47">
        <v>57.599999999999994</v>
      </c>
      <c r="D255" s="47">
        <v>816.43200000000002</v>
      </c>
      <c r="E255" s="47">
        <v>2522.8799999999997</v>
      </c>
      <c r="F255" s="47">
        <v>0</v>
      </c>
      <c r="G255" s="47">
        <v>97.1200000000008</v>
      </c>
      <c r="H255" s="47">
        <v>0</v>
      </c>
      <c r="I255" s="47">
        <v>2620</v>
      </c>
      <c r="J255" s="47">
        <v>7000</v>
      </c>
      <c r="K255" s="47">
        <v>59.817351598173516</v>
      </c>
    </row>
    <row r="256" spans="1:11" s="651" customFormat="1">
      <c r="A256" s="653" t="s">
        <v>1072</v>
      </c>
      <c r="B256" s="47">
        <v>4210</v>
      </c>
      <c r="C256" s="47">
        <v>48</v>
      </c>
      <c r="D256" s="47">
        <v>461.416</v>
      </c>
      <c r="E256" s="47">
        <v>2020.8</v>
      </c>
      <c r="F256" s="47">
        <v>269.19999999999982</v>
      </c>
      <c r="G256" s="47">
        <v>0</v>
      </c>
      <c r="H256" s="47">
        <v>0</v>
      </c>
      <c r="I256" s="47">
        <v>2290</v>
      </c>
      <c r="J256" s="47">
        <v>6500</v>
      </c>
      <c r="K256" s="47">
        <v>54.394299287410924</v>
      </c>
    </row>
    <row r="257" spans="1:11" s="651" customFormat="1">
      <c r="A257" s="653" t="s">
        <v>211</v>
      </c>
      <c r="B257" s="47">
        <v>5050</v>
      </c>
      <c r="C257" s="47">
        <v>59.4</v>
      </c>
      <c r="D257" s="47">
        <v>1212</v>
      </c>
      <c r="E257" s="47">
        <v>2999.7</v>
      </c>
      <c r="F257" s="47">
        <v>0</v>
      </c>
      <c r="G257" s="47">
        <v>0</v>
      </c>
      <c r="H257" s="47">
        <v>0.3000000000001819</v>
      </c>
      <c r="I257" s="47">
        <v>3000</v>
      </c>
      <c r="J257" s="47">
        <v>8050</v>
      </c>
      <c r="K257" s="47">
        <v>59.405940594059409</v>
      </c>
    </row>
    <row r="258" spans="1:11" s="651" customFormat="1">
      <c r="A258" s="653" t="s">
        <v>212</v>
      </c>
      <c r="B258" s="47">
        <v>5550</v>
      </c>
      <c r="C258" s="47">
        <v>57</v>
      </c>
      <c r="D258" s="47">
        <v>257.52</v>
      </c>
      <c r="E258" s="47">
        <v>3163.4999999999995</v>
      </c>
      <c r="F258" s="47">
        <v>0</v>
      </c>
      <c r="G258" s="47">
        <v>286.5</v>
      </c>
      <c r="H258" s="47">
        <v>0</v>
      </c>
      <c r="I258" s="47">
        <v>3450</v>
      </c>
      <c r="J258" s="47">
        <v>9000</v>
      </c>
      <c r="K258" s="47">
        <v>62.162162162162161</v>
      </c>
    </row>
    <row r="259" spans="1:11" s="651" customFormat="1">
      <c r="A259" s="653" t="s">
        <v>234</v>
      </c>
      <c r="B259" s="47">
        <v>4260</v>
      </c>
      <c r="C259" s="47">
        <v>40.799999999999997</v>
      </c>
      <c r="D259" s="47">
        <v>565.72799999999995</v>
      </c>
      <c r="E259" s="47">
        <v>1738.08</v>
      </c>
      <c r="F259" s="47">
        <v>0</v>
      </c>
      <c r="G259" s="47">
        <v>0</v>
      </c>
      <c r="H259" s="47">
        <v>1.9200000000000728</v>
      </c>
      <c r="I259" s="47">
        <v>1740</v>
      </c>
      <c r="J259" s="47">
        <v>6000</v>
      </c>
      <c r="K259" s="47">
        <v>40.845070422535208</v>
      </c>
    </row>
    <row r="260" spans="1:11" s="651" customFormat="1">
      <c r="A260" s="653" t="s">
        <v>235</v>
      </c>
      <c r="B260" s="47">
        <v>4180</v>
      </c>
      <c r="C260" s="47">
        <v>54</v>
      </c>
      <c r="D260" s="47">
        <v>424.68799999999999</v>
      </c>
      <c r="E260" s="47">
        <v>2257.2000000000003</v>
      </c>
      <c r="F260" s="47">
        <v>562.79999999999927</v>
      </c>
      <c r="G260" s="47">
        <v>0</v>
      </c>
      <c r="H260" s="47">
        <v>0</v>
      </c>
      <c r="I260" s="47">
        <v>2820</v>
      </c>
      <c r="J260" s="47">
        <v>7000</v>
      </c>
      <c r="K260" s="47">
        <v>67.464114832535884</v>
      </c>
    </row>
    <row r="261" spans="1:11" s="651" customFormat="1">
      <c r="A261" s="653" t="s">
        <v>237</v>
      </c>
      <c r="B261" s="47">
        <v>4150</v>
      </c>
      <c r="C261" s="47">
        <v>59.4</v>
      </c>
      <c r="D261" s="47">
        <v>371.84</v>
      </c>
      <c r="E261" s="47">
        <v>2465.1</v>
      </c>
      <c r="F261" s="47">
        <v>0</v>
      </c>
      <c r="G261" s="47">
        <v>0</v>
      </c>
      <c r="H261" s="47">
        <v>4.8999999999996362</v>
      </c>
      <c r="I261" s="47">
        <v>2470</v>
      </c>
      <c r="J261" s="47">
        <v>6620</v>
      </c>
      <c r="K261" s="47">
        <v>59.518072289156628</v>
      </c>
    </row>
    <row r="262" spans="1:11" s="651" customFormat="1">
      <c r="A262" s="653" t="s">
        <v>238</v>
      </c>
      <c r="B262" s="47">
        <v>4040</v>
      </c>
      <c r="C262" s="47">
        <v>58.199999999999996</v>
      </c>
      <c r="D262" s="47">
        <v>138.976</v>
      </c>
      <c r="E262" s="47">
        <v>2351.2799999999997</v>
      </c>
      <c r="F262" s="47">
        <v>608.72000000000025</v>
      </c>
      <c r="G262" s="47">
        <v>0</v>
      </c>
      <c r="H262" s="47">
        <v>0</v>
      </c>
      <c r="I262" s="47">
        <v>2960</v>
      </c>
      <c r="J262" s="47">
        <v>7000</v>
      </c>
      <c r="K262" s="47">
        <v>73.267326732673268</v>
      </c>
    </row>
    <row r="263" spans="1:11" s="651" customFormat="1">
      <c r="A263" s="653" t="s">
        <v>213</v>
      </c>
      <c r="B263" s="47">
        <v>5090</v>
      </c>
      <c r="C263" s="47">
        <v>58.199999999999996</v>
      </c>
      <c r="D263" s="47">
        <v>1221.5999999999999</v>
      </c>
      <c r="E263" s="47">
        <v>2962.3799999999997</v>
      </c>
      <c r="F263" s="47">
        <v>0</v>
      </c>
      <c r="G263" s="47">
        <v>0</v>
      </c>
      <c r="H263" s="47">
        <v>7.6200000000008004</v>
      </c>
      <c r="I263" s="47">
        <v>2970</v>
      </c>
      <c r="J263" s="47">
        <v>8060</v>
      </c>
      <c r="K263" s="47">
        <v>58.349705304518665</v>
      </c>
    </row>
    <row r="264" spans="1:11" s="651" customFormat="1">
      <c r="A264" s="653" t="s">
        <v>239</v>
      </c>
      <c r="B264" s="47">
        <v>4220</v>
      </c>
      <c r="C264" s="47">
        <v>54</v>
      </c>
      <c r="D264" s="47">
        <v>513.15200000000004</v>
      </c>
      <c r="E264" s="47">
        <v>2278.8000000000002</v>
      </c>
      <c r="F264" s="47">
        <v>1.1999999999998181</v>
      </c>
      <c r="G264" s="47">
        <v>500</v>
      </c>
      <c r="H264" s="47">
        <v>0</v>
      </c>
      <c r="I264" s="47">
        <v>2780</v>
      </c>
      <c r="J264" s="47">
        <v>7000</v>
      </c>
      <c r="K264" s="47">
        <v>65.876777251184834</v>
      </c>
    </row>
    <row r="265" spans="1:11" s="651" customFormat="1">
      <c r="A265" s="653" t="s">
        <v>1073</v>
      </c>
      <c r="B265" s="47">
        <v>4100</v>
      </c>
      <c r="C265" s="47">
        <v>52.8</v>
      </c>
      <c r="D265" s="47">
        <v>265.68</v>
      </c>
      <c r="E265" s="47">
        <v>2164.8000000000002</v>
      </c>
      <c r="F265" s="47">
        <v>235.19999999999982</v>
      </c>
      <c r="G265" s="47">
        <v>0</v>
      </c>
      <c r="H265" s="47">
        <v>0</v>
      </c>
      <c r="I265" s="47">
        <v>2400</v>
      </c>
      <c r="J265" s="47">
        <v>6500</v>
      </c>
      <c r="K265" s="47">
        <v>58.536585365853661</v>
      </c>
    </row>
    <row r="266" spans="1:11" s="651" customFormat="1">
      <c r="A266" s="653" t="s">
        <v>1074</v>
      </c>
      <c r="B266" s="47">
        <v>4250</v>
      </c>
      <c r="C266" s="47">
        <v>55.8</v>
      </c>
      <c r="D266" s="47">
        <v>584.79999999999995</v>
      </c>
      <c r="E266" s="47">
        <v>2371.4999999999995</v>
      </c>
      <c r="F266" s="47">
        <v>0</v>
      </c>
      <c r="G266" s="47">
        <v>0</v>
      </c>
      <c r="H266" s="47">
        <v>8.5</v>
      </c>
      <c r="I266" s="47">
        <v>2380</v>
      </c>
      <c r="J266" s="47">
        <v>6630</v>
      </c>
      <c r="K266" s="47">
        <v>56</v>
      </c>
    </row>
    <row r="267" spans="1:11" s="651" customFormat="1">
      <c r="A267" s="653" t="s">
        <v>1075</v>
      </c>
      <c r="B267" s="47">
        <v>4190</v>
      </c>
      <c r="C267" s="47">
        <v>56.4</v>
      </c>
      <c r="D267" s="47">
        <v>425.70400000000001</v>
      </c>
      <c r="E267" s="47">
        <v>2363.16</v>
      </c>
      <c r="F267" s="47">
        <v>0</v>
      </c>
      <c r="G267" s="47">
        <v>0</v>
      </c>
      <c r="H267" s="47">
        <v>6.8400000000001455</v>
      </c>
      <c r="I267" s="47">
        <v>2370</v>
      </c>
      <c r="J267" s="47">
        <v>6560</v>
      </c>
      <c r="K267" s="47">
        <v>56.563245823389025</v>
      </c>
    </row>
    <row r="268" spans="1:11" s="651" customFormat="1">
      <c r="A268" s="653" t="s">
        <v>796</v>
      </c>
      <c r="B268" s="47">
        <v>5100</v>
      </c>
      <c r="C268" s="47">
        <v>58.199999999999996</v>
      </c>
      <c r="D268" s="47">
        <v>73.44</v>
      </c>
      <c r="E268" s="47">
        <v>2968.2</v>
      </c>
      <c r="F268" s="47">
        <v>0</v>
      </c>
      <c r="G268" s="47">
        <v>0</v>
      </c>
      <c r="H268" s="47">
        <v>1.8000000000001819</v>
      </c>
      <c r="I268" s="47">
        <v>2970</v>
      </c>
      <c r="J268" s="47">
        <v>8070</v>
      </c>
      <c r="K268" s="47">
        <v>58.235294117647058</v>
      </c>
    </row>
    <row r="269" spans="1:11" s="651" customFormat="1">
      <c r="A269" s="653" t="s">
        <v>1076</v>
      </c>
      <c r="B269" s="47">
        <v>4100</v>
      </c>
      <c r="C269" s="47">
        <v>57</v>
      </c>
      <c r="D269" s="47">
        <v>252.56</v>
      </c>
      <c r="E269" s="47">
        <v>2337</v>
      </c>
      <c r="F269" s="47">
        <v>0</v>
      </c>
      <c r="G269" s="47">
        <v>0</v>
      </c>
      <c r="H269" s="47">
        <v>3</v>
      </c>
      <c r="I269" s="47">
        <v>2340</v>
      </c>
      <c r="J269" s="47">
        <v>6440</v>
      </c>
      <c r="K269" s="47">
        <v>57.073170731707314</v>
      </c>
    </row>
    <row r="270" spans="1:11" s="651" customFormat="1">
      <c r="A270" s="653" t="s">
        <v>468</v>
      </c>
      <c r="B270" s="47">
        <v>3000</v>
      </c>
      <c r="C270" s="47">
        <v>53.4</v>
      </c>
      <c r="D270" s="47">
        <v>64.8</v>
      </c>
      <c r="E270" s="47">
        <v>1602</v>
      </c>
      <c r="F270" s="47">
        <v>1398</v>
      </c>
      <c r="G270" s="47">
        <v>0</v>
      </c>
      <c r="H270" s="47">
        <v>0</v>
      </c>
      <c r="I270" s="47">
        <v>3000</v>
      </c>
      <c r="J270" s="47">
        <v>6000</v>
      </c>
      <c r="K270" s="47">
        <v>100</v>
      </c>
    </row>
    <row r="271" spans="1:11" s="651" customFormat="1">
      <c r="A271" s="653" t="s">
        <v>728</v>
      </c>
      <c r="B271" s="47">
        <v>4500</v>
      </c>
      <c r="C271" s="47">
        <v>57.599999999999994</v>
      </c>
      <c r="D271" s="47">
        <v>57.6</v>
      </c>
      <c r="E271" s="47">
        <v>2592</v>
      </c>
      <c r="F271" s="47">
        <v>0</v>
      </c>
      <c r="G271" s="47">
        <v>0</v>
      </c>
      <c r="H271" s="47">
        <v>8</v>
      </c>
      <c r="I271" s="47">
        <v>2600</v>
      </c>
      <c r="J271" s="47">
        <v>7100</v>
      </c>
      <c r="K271" s="47">
        <v>57.777777777777779</v>
      </c>
    </row>
    <row r="272" spans="1:11" s="651" customFormat="1">
      <c r="A272" s="653" t="s">
        <v>216</v>
      </c>
      <c r="B272" s="47">
        <v>5550</v>
      </c>
      <c r="C272" s="47">
        <v>57</v>
      </c>
      <c r="D272" s="47">
        <v>319.68</v>
      </c>
      <c r="E272" s="47">
        <v>3163.4999999999995</v>
      </c>
      <c r="F272" s="47">
        <v>0</v>
      </c>
      <c r="G272" s="47">
        <v>286.5</v>
      </c>
      <c r="H272" s="47">
        <v>0</v>
      </c>
      <c r="I272" s="47">
        <v>3450</v>
      </c>
      <c r="J272" s="47">
        <v>9000</v>
      </c>
      <c r="K272" s="47">
        <v>62.162162162162161</v>
      </c>
    </row>
    <row r="273" spans="1:11" s="651" customFormat="1">
      <c r="A273" s="663" t="s">
        <v>252</v>
      </c>
      <c r="B273" s="47">
        <v>4060</v>
      </c>
      <c r="C273" s="47">
        <v>58.199999999999996</v>
      </c>
      <c r="D273" s="47">
        <v>207.87200000000001</v>
      </c>
      <c r="E273" s="47">
        <v>2362.9199999999996</v>
      </c>
      <c r="F273" s="47">
        <v>577.07999999999993</v>
      </c>
      <c r="G273" s="47">
        <v>0</v>
      </c>
      <c r="H273" s="47">
        <v>0</v>
      </c>
      <c r="I273" s="47">
        <v>2940</v>
      </c>
      <c r="J273" s="47">
        <v>7000</v>
      </c>
      <c r="K273" s="47">
        <v>72.41379310344827</v>
      </c>
    </row>
    <row r="274" spans="1:11" s="651" customFormat="1">
      <c r="A274" s="663" t="s">
        <v>254</v>
      </c>
      <c r="B274" s="47">
        <v>4260</v>
      </c>
      <c r="C274" s="47">
        <v>57.599999999999994</v>
      </c>
      <c r="D274" s="47">
        <v>545.28</v>
      </c>
      <c r="E274" s="47">
        <v>2453.7599999999998</v>
      </c>
      <c r="F274" s="47">
        <v>0</v>
      </c>
      <c r="G274" s="47">
        <v>0</v>
      </c>
      <c r="H274" s="47">
        <v>6.2399999999997817</v>
      </c>
      <c r="I274" s="47">
        <v>2460</v>
      </c>
      <c r="J274" s="47">
        <v>6720</v>
      </c>
      <c r="K274" s="47">
        <v>57.746478873239433</v>
      </c>
    </row>
    <row r="275" spans="1:11" s="651" customFormat="1">
      <c r="A275" s="663" t="s">
        <v>217</v>
      </c>
      <c r="B275" s="47">
        <v>4850</v>
      </c>
      <c r="C275" s="47">
        <v>45.6</v>
      </c>
      <c r="D275" s="47">
        <v>733.32</v>
      </c>
      <c r="E275" s="47">
        <v>2211.6</v>
      </c>
      <c r="F275" s="47">
        <v>0</v>
      </c>
      <c r="G275" s="47">
        <v>0</v>
      </c>
      <c r="H275" s="47">
        <v>8.3999999999996362</v>
      </c>
      <c r="I275" s="47">
        <v>2220</v>
      </c>
      <c r="J275" s="47">
        <v>7070</v>
      </c>
      <c r="K275" s="47">
        <v>45.773195876288661</v>
      </c>
    </row>
    <row r="276" spans="1:11" s="651" customFormat="1">
      <c r="A276" s="653" t="s">
        <v>1077</v>
      </c>
      <c r="B276" s="47">
        <v>4220</v>
      </c>
      <c r="C276" s="47">
        <v>49.199999999999996</v>
      </c>
      <c r="D276" s="47">
        <v>482.76799999999997</v>
      </c>
      <c r="E276" s="47">
        <v>2076.2399999999998</v>
      </c>
      <c r="F276" s="47">
        <v>203.76000000000022</v>
      </c>
      <c r="G276" s="47">
        <v>0</v>
      </c>
      <c r="H276" s="47">
        <v>0</v>
      </c>
      <c r="I276" s="47">
        <v>2280</v>
      </c>
      <c r="J276" s="47">
        <v>6500</v>
      </c>
      <c r="K276" s="47">
        <v>54.028436018957343</v>
      </c>
    </row>
    <row r="277" spans="1:11" s="651" customFormat="1">
      <c r="A277" s="652" t="s">
        <v>258</v>
      </c>
      <c r="B277" s="47">
        <v>51950</v>
      </c>
      <c r="C277" s="47">
        <v>54.599999999999987</v>
      </c>
      <c r="D277" s="47">
        <v>2963.328</v>
      </c>
      <c r="E277" s="47">
        <v>28328.28</v>
      </c>
      <c r="F277" s="47">
        <v>7141.9600000000009</v>
      </c>
      <c r="G277" s="47">
        <v>0</v>
      </c>
      <c r="H277" s="47">
        <v>30.200000000000728</v>
      </c>
      <c r="I277" s="47">
        <v>35500.44</v>
      </c>
      <c r="J277" s="47">
        <v>87450.44</v>
      </c>
      <c r="K277" s="47">
        <v>71.427455286434906</v>
      </c>
    </row>
    <row r="278" spans="1:11" s="651" customFormat="1">
      <c r="A278" s="663" t="s">
        <v>1078</v>
      </c>
      <c r="B278" s="47">
        <v>4200</v>
      </c>
      <c r="C278" s="47">
        <v>57.599999999999994</v>
      </c>
      <c r="D278" s="47">
        <v>493.92</v>
      </c>
      <c r="E278" s="47">
        <v>2419.1999999999998</v>
      </c>
      <c r="F278" s="47">
        <v>0</v>
      </c>
      <c r="G278" s="47">
        <v>0</v>
      </c>
      <c r="H278" s="47">
        <v>0.8000000000001819</v>
      </c>
      <c r="I278" s="47">
        <v>2420</v>
      </c>
      <c r="J278" s="47">
        <v>6620</v>
      </c>
      <c r="K278" s="47">
        <v>57.61904761904762</v>
      </c>
    </row>
    <row r="279" spans="1:11" s="651" customFormat="1">
      <c r="A279" s="663" t="s">
        <v>259</v>
      </c>
      <c r="B279" s="47">
        <v>4050</v>
      </c>
      <c r="C279" s="47">
        <v>57.599999999999994</v>
      </c>
      <c r="D279" s="47">
        <v>187.92</v>
      </c>
      <c r="E279" s="47">
        <v>2332.7999999999997</v>
      </c>
      <c r="F279" s="47">
        <v>0</v>
      </c>
      <c r="G279" s="47">
        <v>0</v>
      </c>
      <c r="H279" s="47">
        <v>7.2000000000007276</v>
      </c>
      <c r="I279" s="47">
        <v>2340</v>
      </c>
      <c r="J279" s="47">
        <v>6390</v>
      </c>
      <c r="K279" s="47">
        <v>57.777777777777779</v>
      </c>
    </row>
    <row r="280" spans="1:11" s="651" customFormat="1">
      <c r="A280" s="663" t="s">
        <v>277</v>
      </c>
      <c r="B280" s="47">
        <v>3050</v>
      </c>
      <c r="C280" s="47">
        <v>56.4</v>
      </c>
      <c r="D280" s="47">
        <v>146.4</v>
      </c>
      <c r="E280" s="47">
        <v>1720.1999999999998</v>
      </c>
      <c r="F280" s="47">
        <v>1229.8000000000002</v>
      </c>
      <c r="G280" s="47">
        <v>0</v>
      </c>
      <c r="H280" s="47">
        <v>0</v>
      </c>
      <c r="I280" s="47">
        <v>2950</v>
      </c>
      <c r="J280" s="47">
        <v>6000</v>
      </c>
      <c r="K280" s="47">
        <v>96.721311475409834</v>
      </c>
    </row>
    <row r="281" spans="1:11" s="651" customFormat="1">
      <c r="A281" s="663" t="s">
        <v>699</v>
      </c>
      <c r="B281" s="47">
        <v>3000</v>
      </c>
      <c r="C281" s="47">
        <v>57</v>
      </c>
      <c r="D281" s="47">
        <v>52.8</v>
      </c>
      <c r="E281" s="47">
        <v>1709.9999999999998</v>
      </c>
      <c r="F281" s="47">
        <v>1290</v>
      </c>
      <c r="G281" s="47">
        <v>0</v>
      </c>
      <c r="H281" s="47">
        <v>0</v>
      </c>
      <c r="I281" s="47">
        <v>3000</v>
      </c>
      <c r="J281" s="47">
        <v>6000</v>
      </c>
      <c r="K281" s="47">
        <v>100</v>
      </c>
    </row>
    <row r="282" spans="1:11" s="651" customFormat="1">
      <c r="A282" s="663" t="s">
        <v>1079</v>
      </c>
      <c r="B282" s="47">
        <v>3000</v>
      </c>
      <c r="C282" s="47">
        <v>55.8</v>
      </c>
      <c r="D282" s="47">
        <v>14.4</v>
      </c>
      <c r="E282" s="47">
        <v>1673.9999999999998</v>
      </c>
      <c r="F282" s="47">
        <v>826</v>
      </c>
      <c r="G282" s="47">
        <v>0</v>
      </c>
      <c r="H282" s="47">
        <v>0</v>
      </c>
      <c r="I282" s="47">
        <v>2500</v>
      </c>
      <c r="J282" s="47">
        <v>5500</v>
      </c>
      <c r="K282" s="47">
        <v>83.333333333333329</v>
      </c>
    </row>
    <row r="283" spans="1:11" s="651" customFormat="1">
      <c r="A283" s="663" t="s">
        <v>268</v>
      </c>
      <c r="B283" s="47">
        <v>4500</v>
      </c>
      <c r="C283" s="47">
        <v>57.599999999999994</v>
      </c>
      <c r="D283" s="47">
        <v>230.4</v>
      </c>
      <c r="E283" s="47">
        <v>2592</v>
      </c>
      <c r="F283" s="47">
        <v>0</v>
      </c>
      <c r="G283" s="47">
        <v>0</v>
      </c>
      <c r="H283" s="47">
        <v>8</v>
      </c>
      <c r="I283" s="47">
        <v>2600</v>
      </c>
      <c r="J283" s="47">
        <v>7100</v>
      </c>
      <c r="K283" s="47">
        <v>57.777777777777779</v>
      </c>
    </row>
    <row r="284" spans="1:11" s="651" customFormat="1">
      <c r="A284" s="663" t="s">
        <v>1080</v>
      </c>
      <c r="B284" s="47">
        <v>4190</v>
      </c>
      <c r="C284" s="47">
        <v>52.199999999999996</v>
      </c>
      <c r="D284" s="47">
        <v>452.52</v>
      </c>
      <c r="E284" s="47">
        <v>2187.1799999999998</v>
      </c>
      <c r="F284" s="47">
        <v>0</v>
      </c>
      <c r="G284" s="47">
        <v>0</v>
      </c>
      <c r="H284" s="47">
        <v>2.819999999999709</v>
      </c>
      <c r="I284" s="47">
        <v>2190</v>
      </c>
      <c r="J284" s="47">
        <v>6380</v>
      </c>
      <c r="K284" s="47">
        <v>52.267303102625299</v>
      </c>
    </row>
    <row r="285" spans="1:11" s="651" customFormat="1">
      <c r="A285" s="663" t="s">
        <v>797</v>
      </c>
      <c r="B285" s="47">
        <v>4500</v>
      </c>
      <c r="C285" s="47">
        <v>57.599999999999994</v>
      </c>
      <c r="D285" s="47">
        <v>43.2</v>
      </c>
      <c r="E285" s="47">
        <v>2592</v>
      </c>
      <c r="F285" s="47">
        <v>0</v>
      </c>
      <c r="G285" s="47">
        <v>0</v>
      </c>
      <c r="H285" s="47">
        <v>8</v>
      </c>
      <c r="I285" s="47">
        <v>2600</v>
      </c>
      <c r="J285" s="47">
        <v>7100</v>
      </c>
      <c r="K285" s="47">
        <v>57.777777777777779</v>
      </c>
    </row>
    <row r="286" spans="1:11" s="651" customFormat="1">
      <c r="A286" s="663" t="s">
        <v>263</v>
      </c>
      <c r="B286" s="47">
        <v>4080</v>
      </c>
      <c r="C286" s="47">
        <v>38.4</v>
      </c>
      <c r="D286" s="47">
        <v>228.48</v>
      </c>
      <c r="E286" s="47">
        <v>1566.72</v>
      </c>
      <c r="F286" s="47">
        <v>0</v>
      </c>
      <c r="G286" s="47">
        <v>0</v>
      </c>
      <c r="H286" s="47">
        <v>3.2799999999997453</v>
      </c>
      <c r="I286" s="47">
        <v>1570</v>
      </c>
      <c r="J286" s="47">
        <v>5650</v>
      </c>
      <c r="K286" s="47">
        <v>38.480392156862749</v>
      </c>
    </row>
    <row r="287" spans="1:11" s="651" customFormat="1">
      <c r="A287" s="663" t="s">
        <v>1081</v>
      </c>
      <c r="B287" s="47">
        <v>3150</v>
      </c>
      <c r="C287" s="47">
        <v>51.6</v>
      </c>
      <c r="D287" s="47">
        <v>320.04000000000002</v>
      </c>
      <c r="E287" s="47">
        <v>1625.4</v>
      </c>
      <c r="F287" s="47">
        <v>1224.6000000000004</v>
      </c>
      <c r="G287" s="47">
        <v>0</v>
      </c>
      <c r="H287" s="47">
        <v>0</v>
      </c>
      <c r="I287" s="47">
        <v>2850</v>
      </c>
      <c r="J287" s="47">
        <v>6000</v>
      </c>
      <c r="K287" s="47">
        <v>90.476190476190482</v>
      </c>
    </row>
    <row r="288" spans="1:11" s="651" customFormat="1">
      <c r="A288" s="663" t="s">
        <v>298</v>
      </c>
      <c r="B288" s="47">
        <v>3020</v>
      </c>
      <c r="C288" s="47">
        <v>55.8</v>
      </c>
      <c r="D288" s="47">
        <v>89.391999999999996</v>
      </c>
      <c r="E288" s="47">
        <v>1685.1599999999999</v>
      </c>
      <c r="F288" s="47">
        <v>1294.8400000000001</v>
      </c>
      <c r="G288" s="47">
        <v>0</v>
      </c>
      <c r="H288" s="47">
        <v>0</v>
      </c>
      <c r="I288" s="47">
        <v>2980</v>
      </c>
      <c r="J288" s="47">
        <v>6000</v>
      </c>
      <c r="K288" s="47">
        <v>98.675496688741731</v>
      </c>
    </row>
    <row r="289" spans="1:11" s="651" customFormat="1">
      <c r="A289" s="663" t="s">
        <v>305</v>
      </c>
      <c r="B289" s="47">
        <v>3020</v>
      </c>
      <c r="C289" s="47">
        <v>56.4</v>
      </c>
      <c r="D289" s="47">
        <v>99.055999999999997</v>
      </c>
      <c r="E289" s="47">
        <v>1703.2799999999997</v>
      </c>
      <c r="F289" s="47">
        <v>1276.7200000000003</v>
      </c>
      <c r="G289" s="47">
        <v>0</v>
      </c>
      <c r="H289" s="47">
        <v>0</v>
      </c>
      <c r="I289" s="47">
        <v>2980</v>
      </c>
      <c r="J289" s="47">
        <v>6000</v>
      </c>
      <c r="K289" s="47">
        <v>98.675496688741731</v>
      </c>
    </row>
    <row r="290" spans="1:11" s="651" customFormat="1">
      <c r="A290" s="663" t="s">
        <v>265</v>
      </c>
      <c r="B290" s="47">
        <v>4140</v>
      </c>
      <c r="C290" s="47">
        <v>54.6</v>
      </c>
      <c r="D290" s="47">
        <v>397.44</v>
      </c>
      <c r="E290" s="47">
        <v>2260.44</v>
      </c>
      <c r="F290" s="47">
        <v>0</v>
      </c>
      <c r="G290" s="47">
        <v>0</v>
      </c>
      <c r="H290" s="47">
        <v>0</v>
      </c>
      <c r="I290" s="47">
        <v>2260.4400000000005</v>
      </c>
      <c r="J290" s="47">
        <v>6400.4400000000005</v>
      </c>
      <c r="K290" s="47">
        <v>54.600000000000016</v>
      </c>
    </row>
    <row r="291" spans="1:11" s="651" customFormat="1">
      <c r="A291" s="663" t="s">
        <v>266</v>
      </c>
      <c r="B291" s="47">
        <v>4050</v>
      </c>
      <c r="C291" s="47">
        <v>55.8</v>
      </c>
      <c r="D291" s="47">
        <v>207.36</v>
      </c>
      <c r="E291" s="47">
        <v>2259.8999999999996</v>
      </c>
      <c r="F291" s="47">
        <v>0</v>
      </c>
      <c r="G291" s="47">
        <v>0</v>
      </c>
      <c r="H291" s="47">
        <v>0.1000000000003638</v>
      </c>
      <c r="I291" s="47">
        <v>2260</v>
      </c>
      <c r="J291" s="47">
        <v>6310</v>
      </c>
      <c r="K291" s="47">
        <v>55.802469135802468</v>
      </c>
    </row>
    <row r="292" spans="1:11" s="651" customFormat="1">
      <c r="A292" s="656" t="s">
        <v>75</v>
      </c>
      <c r="B292" s="47">
        <v>46530</v>
      </c>
      <c r="C292" s="47">
        <v>53.399999999999991</v>
      </c>
      <c r="D292" s="47">
        <v>3842.0640000000003</v>
      </c>
      <c r="E292" s="47">
        <v>25130.579999999998</v>
      </c>
      <c r="F292" s="47">
        <v>6289.5600000000013</v>
      </c>
      <c r="G292" s="47">
        <v>0</v>
      </c>
      <c r="H292" s="47">
        <v>29.860000000000582</v>
      </c>
      <c r="I292" s="47">
        <v>31450</v>
      </c>
      <c r="J292" s="47">
        <v>77980</v>
      </c>
      <c r="K292" s="47">
        <v>67.478929727614243</v>
      </c>
    </row>
    <row r="293" spans="1:11" s="651" customFormat="1">
      <c r="A293" s="652" t="s">
        <v>314</v>
      </c>
      <c r="B293" s="47">
        <v>41230</v>
      </c>
      <c r="C293" s="47">
        <v>53.099999999999994</v>
      </c>
      <c r="D293" s="47">
        <v>3112.7840000000001</v>
      </c>
      <c r="E293" s="47">
        <v>22109.579999999998</v>
      </c>
      <c r="F293" s="47">
        <v>4610.5600000000013</v>
      </c>
      <c r="G293" s="47">
        <v>0</v>
      </c>
      <c r="H293" s="47">
        <v>29.860000000000582</v>
      </c>
      <c r="I293" s="47">
        <v>26750</v>
      </c>
      <c r="J293" s="47">
        <v>67980</v>
      </c>
      <c r="K293" s="47">
        <v>65.712236764663857</v>
      </c>
    </row>
    <row r="294" spans="1:11" s="651" customFormat="1">
      <c r="A294" s="653" t="s">
        <v>1082</v>
      </c>
      <c r="B294" s="47">
        <v>3140</v>
      </c>
      <c r="C294" s="47">
        <v>42.6</v>
      </c>
      <c r="D294" s="47">
        <v>291.392</v>
      </c>
      <c r="E294" s="47">
        <v>1337.6399999999999</v>
      </c>
      <c r="F294" s="47">
        <v>522.36000000000058</v>
      </c>
      <c r="G294" s="47">
        <v>0</v>
      </c>
      <c r="H294" s="47">
        <v>0</v>
      </c>
      <c r="I294" s="47">
        <v>1860</v>
      </c>
      <c r="J294" s="47">
        <v>5000</v>
      </c>
      <c r="K294" s="47">
        <v>59.235668789808919</v>
      </c>
    </row>
    <row r="295" spans="1:11" s="651" customFormat="1">
      <c r="A295" s="653" t="s">
        <v>315</v>
      </c>
      <c r="B295" s="47">
        <v>4230</v>
      </c>
      <c r="C295" s="47">
        <v>56.4</v>
      </c>
      <c r="D295" s="47">
        <v>561.74400000000003</v>
      </c>
      <c r="E295" s="47">
        <v>2385.7199999999998</v>
      </c>
      <c r="F295" s="47">
        <v>0</v>
      </c>
      <c r="G295" s="47">
        <v>0</v>
      </c>
      <c r="H295" s="47">
        <v>4.2800000000006548</v>
      </c>
      <c r="I295" s="47">
        <v>2390</v>
      </c>
      <c r="J295" s="47">
        <v>6620</v>
      </c>
      <c r="K295" s="47">
        <v>56.501182033096931</v>
      </c>
    </row>
    <row r="296" spans="1:11" s="651" customFormat="1">
      <c r="A296" s="653" t="s">
        <v>1083</v>
      </c>
      <c r="B296" s="47">
        <v>3060</v>
      </c>
      <c r="C296" s="47">
        <v>58.199999999999996</v>
      </c>
      <c r="D296" s="47">
        <v>166.464</v>
      </c>
      <c r="E296" s="47">
        <v>1780.9199999999998</v>
      </c>
      <c r="F296" s="47">
        <v>1159.08</v>
      </c>
      <c r="G296" s="47">
        <v>0</v>
      </c>
      <c r="H296" s="47">
        <v>0</v>
      </c>
      <c r="I296" s="47">
        <v>2940</v>
      </c>
      <c r="J296" s="47">
        <v>6000</v>
      </c>
      <c r="K296" s="47">
        <v>96.078431372549019</v>
      </c>
    </row>
    <row r="297" spans="1:11" s="651" customFormat="1">
      <c r="A297" s="653" t="s">
        <v>1084</v>
      </c>
      <c r="B297" s="47">
        <v>4240</v>
      </c>
      <c r="C297" s="47">
        <v>58.8</v>
      </c>
      <c r="D297" s="47">
        <v>576.64</v>
      </c>
      <c r="E297" s="47">
        <v>2493.12</v>
      </c>
      <c r="F297" s="47">
        <v>0</v>
      </c>
      <c r="G297" s="47">
        <v>0</v>
      </c>
      <c r="H297" s="47">
        <v>6.8800000000001091</v>
      </c>
      <c r="I297" s="47">
        <v>2500</v>
      </c>
      <c r="J297" s="47">
        <v>6740</v>
      </c>
      <c r="K297" s="47">
        <v>58.962264150943398</v>
      </c>
    </row>
    <row r="298" spans="1:11" s="651" customFormat="1">
      <c r="A298" s="653" t="s">
        <v>317</v>
      </c>
      <c r="B298" s="47">
        <v>4170</v>
      </c>
      <c r="C298" s="47">
        <v>58.8</v>
      </c>
      <c r="D298" s="47">
        <v>417</v>
      </c>
      <c r="E298" s="47">
        <v>2451.96</v>
      </c>
      <c r="F298" s="47">
        <v>0</v>
      </c>
      <c r="G298" s="47">
        <v>0</v>
      </c>
      <c r="H298" s="47">
        <v>8.0399999999999636</v>
      </c>
      <c r="I298" s="47">
        <v>2460</v>
      </c>
      <c r="J298" s="47">
        <v>6630</v>
      </c>
      <c r="K298" s="47">
        <v>58.992805755395679</v>
      </c>
    </row>
    <row r="299" spans="1:11" s="651" customFormat="1">
      <c r="A299" s="653" t="s">
        <v>1085</v>
      </c>
      <c r="B299" s="47">
        <v>3120</v>
      </c>
      <c r="C299" s="47">
        <v>54.6</v>
      </c>
      <c r="D299" s="47">
        <v>326.976</v>
      </c>
      <c r="E299" s="47">
        <v>1703.5200000000002</v>
      </c>
      <c r="F299" s="47">
        <v>176.47999999999956</v>
      </c>
      <c r="G299" s="47">
        <v>0</v>
      </c>
      <c r="H299" s="47">
        <v>0</v>
      </c>
      <c r="I299" s="47">
        <v>1880</v>
      </c>
      <c r="J299" s="47">
        <v>5000</v>
      </c>
      <c r="K299" s="47">
        <v>60.256410256410255</v>
      </c>
    </row>
    <row r="300" spans="1:11" s="651" customFormat="1">
      <c r="A300" s="653" t="s">
        <v>321</v>
      </c>
      <c r="B300" s="47">
        <v>3220</v>
      </c>
      <c r="C300" s="47">
        <v>57.599999999999994</v>
      </c>
      <c r="D300" s="47">
        <v>443.072</v>
      </c>
      <c r="E300" s="47">
        <v>1854.7199999999998</v>
      </c>
      <c r="F300" s="47">
        <v>425.28000000000065</v>
      </c>
      <c r="G300" s="47">
        <v>0</v>
      </c>
      <c r="H300" s="47">
        <v>0</v>
      </c>
      <c r="I300" s="47">
        <v>2280</v>
      </c>
      <c r="J300" s="47">
        <v>5500</v>
      </c>
      <c r="K300" s="47">
        <v>70.807453416149059</v>
      </c>
    </row>
    <row r="301" spans="1:11" s="651" customFormat="1">
      <c r="A301" s="653" t="s">
        <v>322</v>
      </c>
      <c r="B301" s="47">
        <v>3020</v>
      </c>
      <c r="C301" s="47">
        <v>43.199999999999996</v>
      </c>
      <c r="D301" s="47">
        <v>84.56</v>
      </c>
      <c r="E301" s="47">
        <v>1304.6399999999999</v>
      </c>
      <c r="F301" s="47">
        <v>1675.3600000000006</v>
      </c>
      <c r="G301" s="47">
        <v>0</v>
      </c>
      <c r="H301" s="47">
        <v>0</v>
      </c>
      <c r="I301" s="47">
        <v>2980</v>
      </c>
      <c r="J301" s="47">
        <v>6000</v>
      </c>
      <c r="K301" s="47">
        <v>98.675496688741731</v>
      </c>
    </row>
    <row r="302" spans="1:11" s="651" customFormat="1">
      <c r="A302" s="653" t="s">
        <v>323</v>
      </c>
      <c r="B302" s="47">
        <v>3030</v>
      </c>
      <c r="C302" s="47">
        <v>37.799999999999997</v>
      </c>
      <c r="D302" s="47">
        <v>94.536000000000001</v>
      </c>
      <c r="E302" s="47">
        <v>1145.3399999999999</v>
      </c>
      <c r="F302" s="47">
        <v>0</v>
      </c>
      <c r="G302" s="47">
        <v>0</v>
      </c>
      <c r="H302" s="47">
        <v>4.6599999999998545</v>
      </c>
      <c r="I302" s="47">
        <v>1150</v>
      </c>
      <c r="J302" s="47">
        <v>4180</v>
      </c>
      <c r="K302" s="47">
        <v>37.953795379537951</v>
      </c>
    </row>
    <row r="303" spans="1:11" s="651" customFormat="1">
      <c r="A303" s="653" t="s">
        <v>661</v>
      </c>
      <c r="B303" s="47">
        <v>3000</v>
      </c>
      <c r="C303" s="47">
        <v>58.8</v>
      </c>
      <c r="D303" s="47">
        <v>48</v>
      </c>
      <c r="E303" s="47">
        <v>1764</v>
      </c>
      <c r="F303" s="47">
        <v>236</v>
      </c>
      <c r="G303" s="47">
        <v>0</v>
      </c>
      <c r="H303" s="47">
        <v>0</v>
      </c>
      <c r="I303" s="47">
        <v>2000</v>
      </c>
      <c r="J303" s="47">
        <v>5000</v>
      </c>
      <c r="K303" s="47">
        <v>66.666666666666671</v>
      </c>
    </row>
    <row r="304" spans="1:11" s="651" customFormat="1">
      <c r="A304" s="653" t="s">
        <v>664</v>
      </c>
      <c r="B304" s="47">
        <v>3000</v>
      </c>
      <c r="C304" s="47">
        <v>52.8</v>
      </c>
      <c r="D304" s="47">
        <v>38.4</v>
      </c>
      <c r="E304" s="47">
        <v>1584</v>
      </c>
      <c r="F304" s="47">
        <v>416</v>
      </c>
      <c r="G304" s="47">
        <v>0</v>
      </c>
      <c r="H304" s="47">
        <v>0</v>
      </c>
      <c r="I304" s="47">
        <v>2000</v>
      </c>
      <c r="J304" s="47">
        <v>5000</v>
      </c>
      <c r="K304" s="47">
        <v>66.666666666666671</v>
      </c>
    </row>
    <row r="305" spans="1:11" s="651" customFormat="1">
      <c r="A305" s="653" t="s">
        <v>715</v>
      </c>
      <c r="B305" s="47">
        <v>4000</v>
      </c>
      <c r="C305" s="47">
        <v>57.599999999999994</v>
      </c>
      <c r="D305" s="47">
        <v>64</v>
      </c>
      <c r="E305" s="47">
        <v>2304</v>
      </c>
      <c r="F305" s="47">
        <v>0</v>
      </c>
      <c r="G305" s="47">
        <v>0</v>
      </c>
      <c r="H305" s="47">
        <v>6</v>
      </c>
      <c r="I305" s="47">
        <v>2310</v>
      </c>
      <c r="J305" s="47">
        <v>6310</v>
      </c>
      <c r="K305" s="47">
        <v>57.75</v>
      </c>
    </row>
    <row r="306" spans="1:11" s="651" customFormat="1">
      <c r="A306" s="652" t="s">
        <v>107</v>
      </c>
      <c r="B306" s="47">
        <v>5300</v>
      </c>
      <c r="C306" s="47">
        <v>57</v>
      </c>
      <c r="D306" s="47">
        <v>729.28</v>
      </c>
      <c r="E306" s="47">
        <v>3020.9999999999995</v>
      </c>
      <c r="F306" s="47">
        <v>1679</v>
      </c>
      <c r="G306" s="47">
        <v>0</v>
      </c>
      <c r="H306" s="47">
        <v>0</v>
      </c>
      <c r="I306" s="47">
        <v>4700</v>
      </c>
      <c r="J306" s="47">
        <v>10000</v>
      </c>
      <c r="K306" s="47">
        <v>88.679245283018872</v>
      </c>
    </row>
    <row r="307" spans="1:11" s="651" customFormat="1">
      <c r="A307" s="653" t="s">
        <v>1086</v>
      </c>
      <c r="B307" s="47">
        <v>5300</v>
      </c>
      <c r="C307" s="47">
        <v>57</v>
      </c>
      <c r="D307" s="47">
        <v>729.28</v>
      </c>
      <c r="E307" s="47">
        <v>3020.9999999999995</v>
      </c>
      <c r="F307" s="47">
        <v>1679</v>
      </c>
      <c r="G307" s="47">
        <v>0</v>
      </c>
      <c r="H307" s="47">
        <v>0</v>
      </c>
      <c r="I307" s="47">
        <v>4700</v>
      </c>
      <c r="J307" s="47">
        <v>10000</v>
      </c>
      <c r="K307" s="47">
        <v>88.679245283018872</v>
      </c>
    </row>
    <row r="308" spans="1:11" s="651" customFormat="1">
      <c r="A308" s="656" t="s">
        <v>76</v>
      </c>
      <c r="B308" s="47">
        <v>61020</v>
      </c>
      <c r="C308" s="47">
        <v>54.988235294117644</v>
      </c>
      <c r="D308" s="47">
        <v>5048.2000000000007</v>
      </c>
      <c r="E308" s="47">
        <v>33573.24</v>
      </c>
      <c r="F308" s="47">
        <v>0</v>
      </c>
      <c r="G308" s="47">
        <v>0</v>
      </c>
      <c r="H308" s="47">
        <v>86.760000000001128</v>
      </c>
      <c r="I308" s="47">
        <v>33660</v>
      </c>
      <c r="J308" s="47">
        <v>94680</v>
      </c>
      <c r="K308" s="47">
        <v>55.127981695067234</v>
      </c>
    </row>
    <row r="309" spans="1:11" s="651" customFormat="1">
      <c r="A309" s="652" t="s">
        <v>331</v>
      </c>
      <c r="B309" s="47">
        <v>3050</v>
      </c>
      <c r="C309" s="47">
        <v>55.8</v>
      </c>
      <c r="D309" s="47">
        <v>136.63999999999999</v>
      </c>
      <c r="E309" s="47">
        <v>1701.8999999999999</v>
      </c>
      <c r="F309" s="47">
        <v>0</v>
      </c>
      <c r="G309" s="47">
        <v>0</v>
      </c>
      <c r="H309" s="47">
        <v>8.1000000000003638</v>
      </c>
      <c r="I309" s="47">
        <v>1710</v>
      </c>
      <c r="J309" s="47">
        <v>4760</v>
      </c>
      <c r="K309" s="47">
        <v>56.065573770491802</v>
      </c>
    </row>
    <row r="310" spans="1:11" s="651" customFormat="1">
      <c r="A310" s="653" t="s">
        <v>332</v>
      </c>
      <c r="B310" s="47">
        <v>3050</v>
      </c>
      <c r="C310" s="47">
        <v>55.8</v>
      </c>
      <c r="D310" s="47">
        <v>136.63999999999999</v>
      </c>
      <c r="E310" s="47">
        <v>1701.8999999999999</v>
      </c>
      <c r="F310" s="47">
        <v>0</v>
      </c>
      <c r="G310" s="47">
        <v>0</v>
      </c>
      <c r="H310" s="47">
        <v>8.1000000000003638</v>
      </c>
      <c r="I310" s="47">
        <v>1710</v>
      </c>
      <c r="J310" s="47">
        <v>4760</v>
      </c>
      <c r="K310" s="47">
        <v>56.065573770491802</v>
      </c>
    </row>
    <row r="311" spans="1:11" s="651" customFormat="1">
      <c r="A311" s="652" t="s">
        <v>326</v>
      </c>
      <c r="B311" s="47">
        <v>4000</v>
      </c>
      <c r="C311" s="47">
        <v>54</v>
      </c>
      <c r="D311" s="47">
        <v>80</v>
      </c>
      <c r="E311" s="47">
        <v>2160</v>
      </c>
      <c r="F311" s="47">
        <v>0</v>
      </c>
      <c r="G311" s="47">
        <v>0</v>
      </c>
      <c r="H311" s="47">
        <v>0</v>
      </c>
      <c r="I311" s="47">
        <v>2160</v>
      </c>
      <c r="J311" s="47">
        <v>6160</v>
      </c>
      <c r="K311" s="47">
        <v>54</v>
      </c>
    </row>
    <row r="312" spans="1:11" s="651" customFormat="1">
      <c r="A312" s="653" t="s">
        <v>328</v>
      </c>
      <c r="B312" s="47">
        <v>4000</v>
      </c>
      <c r="C312" s="47">
        <v>54</v>
      </c>
      <c r="D312" s="47">
        <v>80</v>
      </c>
      <c r="E312" s="47">
        <v>2160</v>
      </c>
      <c r="F312" s="47">
        <v>0</v>
      </c>
      <c r="G312" s="47">
        <v>0</v>
      </c>
      <c r="H312" s="47">
        <v>0</v>
      </c>
      <c r="I312" s="47">
        <v>2160</v>
      </c>
      <c r="J312" s="47">
        <v>6160</v>
      </c>
      <c r="K312" s="47">
        <v>54</v>
      </c>
    </row>
    <row r="313" spans="1:11" s="651" customFormat="1">
      <c r="A313" s="652" t="s">
        <v>63</v>
      </c>
      <c r="B313" s="47">
        <v>39630</v>
      </c>
      <c r="C313" s="47">
        <v>55</v>
      </c>
      <c r="D313" s="47">
        <v>3824.3119999999999</v>
      </c>
      <c r="E313" s="47">
        <v>21813.539999999997</v>
      </c>
      <c r="F313" s="47">
        <v>0</v>
      </c>
      <c r="G313" s="47">
        <v>0</v>
      </c>
      <c r="H313" s="47">
        <v>56.460000000000036</v>
      </c>
      <c r="I313" s="47">
        <v>21870</v>
      </c>
      <c r="J313" s="47">
        <v>61500</v>
      </c>
      <c r="K313" s="47">
        <v>55.137411325172387</v>
      </c>
    </row>
    <row r="314" spans="1:11" s="651" customFormat="1">
      <c r="A314" s="653" t="s">
        <v>333</v>
      </c>
      <c r="B314" s="47">
        <v>3410</v>
      </c>
      <c r="C314" s="47">
        <v>58.199999999999996</v>
      </c>
      <c r="D314" s="47">
        <v>810.21600000000001</v>
      </c>
      <c r="E314" s="47">
        <v>1984.62</v>
      </c>
      <c r="F314" s="47">
        <v>0</v>
      </c>
      <c r="G314" s="47">
        <v>0</v>
      </c>
      <c r="H314" s="47">
        <v>5.3800000000001091</v>
      </c>
      <c r="I314" s="47">
        <v>1990</v>
      </c>
      <c r="J314" s="47">
        <v>5400</v>
      </c>
      <c r="K314" s="47">
        <v>58.357771260997062</v>
      </c>
    </row>
    <row r="315" spans="1:11" s="651" customFormat="1">
      <c r="A315" s="653" t="s">
        <v>732</v>
      </c>
      <c r="B315" s="47">
        <v>3000</v>
      </c>
      <c r="C315" s="47">
        <v>45.6</v>
      </c>
      <c r="D315" s="47">
        <v>33.6</v>
      </c>
      <c r="E315" s="47">
        <v>1368</v>
      </c>
      <c r="F315" s="47">
        <v>0</v>
      </c>
      <c r="G315" s="47">
        <v>0</v>
      </c>
      <c r="H315" s="47">
        <v>2</v>
      </c>
      <c r="I315" s="47">
        <v>1370</v>
      </c>
      <c r="J315" s="47">
        <v>4370</v>
      </c>
      <c r="K315" s="47">
        <v>45.666666666666664</v>
      </c>
    </row>
    <row r="316" spans="1:11" s="651" customFormat="1">
      <c r="A316" s="653" t="s">
        <v>334</v>
      </c>
      <c r="B316" s="47">
        <v>3020</v>
      </c>
      <c r="C316" s="47">
        <v>52.8</v>
      </c>
      <c r="D316" s="47">
        <v>99.055999999999997</v>
      </c>
      <c r="E316" s="47">
        <v>1594.5600000000002</v>
      </c>
      <c r="F316" s="47">
        <v>0</v>
      </c>
      <c r="G316" s="47">
        <v>0</v>
      </c>
      <c r="H316" s="47">
        <v>5.4399999999995998</v>
      </c>
      <c r="I316" s="47">
        <v>1600</v>
      </c>
      <c r="J316" s="47">
        <v>4620</v>
      </c>
      <c r="K316" s="47">
        <v>52.980132450331126</v>
      </c>
    </row>
    <row r="317" spans="1:11" s="651" customFormat="1">
      <c r="A317" s="653" t="s">
        <v>1087</v>
      </c>
      <c r="B317" s="47">
        <v>3150</v>
      </c>
      <c r="C317" s="47">
        <v>57</v>
      </c>
      <c r="D317" s="47">
        <v>320.04000000000002</v>
      </c>
      <c r="E317" s="47">
        <v>1795.4999999999998</v>
      </c>
      <c r="F317" s="47">
        <v>0</v>
      </c>
      <c r="G317" s="47">
        <v>0</v>
      </c>
      <c r="H317" s="47">
        <v>4.5</v>
      </c>
      <c r="I317" s="47">
        <v>1800</v>
      </c>
      <c r="J317" s="47">
        <v>4950</v>
      </c>
      <c r="K317" s="47">
        <v>57.142857142857146</v>
      </c>
    </row>
    <row r="318" spans="1:11" s="651" customFormat="1">
      <c r="A318" s="653" t="s">
        <v>336</v>
      </c>
      <c r="B318" s="47">
        <v>3020</v>
      </c>
      <c r="C318" s="47">
        <v>54.6</v>
      </c>
      <c r="D318" s="47">
        <v>94.224000000000004</v>
      </c>
      <c r="E318" s="47">
        <v>1648.92</v>
      </c>
      <c r="F318" s="47">
        <v>0</v>
      </c>
      <c r="G318" s="47">
        <v>0</v>
      </c>
      <c r="H318" s="47">
        <v>1.0799999999999272</v>
      </c>
      <c r="I318" s="47">
        <v>1650</v>
      </c>
      <c r="J318" s="47">
        <v>4670</v>
      </c>
      <c r="K318" s="47">
        <v>54.635761589403977</v>
      </c>
    </row>
    <row r="319" spans="1:11" s="651" customFormat="1">
      <c r="A319" s="653" t="s">
        <v>286</v>
      </c>
      <c r="B319" s="47">
        <v>3010</v>
      </c>
      <c r="C319" s="47">
        <v>54.6</v>
      </c>
      <c r="D319" s="47">
        <v>79.463999999999999</v>
      </c>
      <c r="E319" s="47">
        <v>1643.46</v>
      </c>
      <c r="F319" s="47">
        <v>0</v>
      </c>
      <c r="G319" s="47">
        <v>0</v>
      </c>
      <c r="H319" s="47">
        <v>6.5399999999999636</v>
      </c>
      <c r="I319" s="47">
        <v>1650</v>
      </c>
      <c r="J319" s="47">
        <v>4660</v>
      </c>
      <c r="K319" s="47">
        <v>54.817275747508305</v>
      </c>
    </row>
    <row r="320" spans="1:11" s="651" customFormat="1">
      <c r="A320" s="653" t="s">
        <v>329</v>
      </c>
      <c r="B320" s="47">
        <v>4440</v>
      </c>
      <c r="C320" s="47">
        <v>57</v>
      </c>
      <c r="D320" s="47">
        <v>1047.8399999999999</v>
      </c>
      <c r="E320" s="47">
        <v>2530.7999999999997</v>
      </c>
      <c r="F320" s="47">
        <v>0</v>
      </c>
      <c r="G320" s="47">
        <v>0</v>
      </c>
      <c r="H320" s="47">
        <v>9.2000000000007276</v>
      </c>
      <c r="I320" s="47">
        <v>2540</v>
      </c>
      <c r="J320" s="47">
        <v>6980</v>
      </c>
      <c r="K320" s="47">
        <v>57.207207207207212</v>
      </c>
    </row>
    <row r="321" spans="1:11" s="651" customFormat="1">
      <c r="A321" s="653" t="s">
        <v>337</v>
      </c>
      <c r="B321" s="47">
        <v>3080</v>
      </c>
      <c r="C321" s="47">
        <v>56.4</v>
      </c>
      <c r="D321" s="47">
        <v>189.72800000000001</v>
      </c>
      <c r="E321" s="47">
        <v>1737.12</v>
      </c>
      <c r="F321" s="47">
        <v>0</v>
      </c>
      <c r="G321" s="47">
        <v>0</v>
      </c>
      <c r="H321" s="47">
        <v>2.8800000000001091</v>
      </c>
      <c r="I321" s="47">
        <v>1740</v>
      </c>
      <c r="J321" s="47">
        <v>4820</v>
      </c>
      <c r="K321" s="47">
        <v>56.493506493506494</v>
      </c>
    </row>
    <row r="322" spans="1:11" s="651" customFormat="1">
      <c r="A322" s="653" t="s">
        <v>1088</v>
      </c>
      <c r="B322" s="47">
        <v>4110</v>
      </c>
      <c r="C322" s="47">
        <v>51.6</v>
      </c>
      <c r="D322" s="47">
        <v>312.36</v>
      </c>
      <c r="E322" s="47">
        <v>2120.7600000000002</v>
      </c>
      <c r="F322" s="47">
        <v>0</v>
      </c>
      <c r="G322" s="47">
        <v>0</v>
      </c>
      <c r="H322" s="47">
        <v>9.2399999999997817</v>
      </c>
      <c r="I322" s="47">
        <v>2130</v>
      </c>
      <c r="J322" s="47">
        <v>6240</v>
      </c>
      <c r="K322" s="47">
        <v>51.824817518248175</v>
      </c>
    </row>
    <row r="323" spans="1:11" s="651" customFormat="1">
      <c r="A323" s="653" t="s">
        <v>338</v>
      </c>
      <c r="B323" s="47">
        <v>3140</v>
      </c>
      <c r="C323" s="47">
        <v>57</v>
      </c>
      <c r="D323" s="47">
        <v>301.44</v>
      </c>
      <c r="E323" s="47">
        <v>1789.8</v>
      </c>
      <c r="F323" s="47">
        <v>0</v>
      </c>
      <c r="G323" s="47">
        <v>0</v>
      </c>
      <c r="H323" s="47">
        <v>0.1999999999998181</v>
      </c>
      <c r="I323" s="47">
        <v>1790</v>
      </c>
      <c r="J323" s="47">
        <v>4930</v>
      </c>
      <c r="K323" s="47">
        <v>57.006369426751597</v>
      </c>
    </row>
    <row r="324" spans="1:11" s="651" customFormat="1">
      <c r="A324" s="653" t="s">
        <v>1089</v>
      </c>
      <c r="B324" s="47">
        <v>3090</v>
      </c>
      <c r="C324" s="47">
        <v>57.599999999999994</v>
      </c>
      <c r="D324" s="47">
        <v>205.17599999999999</v>
      </c>
      <c r="E324" s="47">
        <v>1779.84</v>
      </c>
      <c r="F324" s="47">
        <v>0</v>
      </c>
      <c r="G324" s="47">
        <v>0</v>
      </c>
      <c r="H324" s="47">
        <v>0.15999999999985448</v>
      </c>
      <c r="I324" s="47">
        <v>1780</v>
      </c>
      <c r="J324" s="47">
        <v>4870</v>
      </c>
      <c r="K324" s="47">
        <v>57.605177993527512</v>
      </c>
    </row>
    <row r="325" spans="1:11" s="651" customFormat="1">
      <c r="A325" s="653" t="s">
        <v>340</v>
      </c>
      <c r="B325" s="47">
        <v>3160</v>
      </c>
      <c r="C325" s="47">
        <v>57.599999999999994</v>
      </c>
      <c r="D325" s="47">
        <v>331.16800000000001</v>
      </c>
      <c r="E325" s="47">
        <v>1820.1599999999999</v>
      </c>
      <c r="F325" s="47">
        <v>0</v>
      </c>
      <c r="G325" s="47">
        <v>0</v>
      </c>
      <c r="H325" s="47">
        <v>9.8400000000001455</v>
      </c>
      <c r="I325" s="47">
        <v>1830</v>
      </c>
      <c r="J325" s="47">
        <v>4990</v>
      </c>
      <c r="K325" s="47">
        <v>57.911392405063289</v>
      </c>
    </row>
    <row r="326" spans="1:11" s="651" customFormat="1">
      <c r="A326" s="652" t="s">
        <v>1090</v>
      </c>
      <c r="B326" s="47">
        <v>4500</v>
      </c>
      <c r="C326" s="47">
        <v>52.8</v>
      </c>
      <c r="D326" s="47">
        <v>21.6</v>
      </c>
      <c r="E326" s="47">
        <v>2376</v>
      </c>
      <c r="F326" s="47">
        <v>0</v>
      </c>
      <c r="G326" s="47">
        <v>0</v>
      </c>
      <c r="H326" s="47">
        <v>4</v>
      </c>
      <c r="I326" s="47">
        <v>2380</v>
      </c>
      <c r="J326" s="47">
        <v>6880</v>
      </c>
      <c r="K326" s="47">
        <v>52.888888888888886</v>
      </c>
    </row>
    <row r="327" spans="1:11" s="651" customFormat="1">
      <c r="A327" s="653" t="s">
        <v>749</v>
      </c>
      <c r="B327" s="47">
        <v>4500</v>
      </c>
      <c r="C327" s="47">
        <v>52.8</v>
      </c>
      <c r="D327" s="47">
        <v>21.6</v>
      </c>
      <c r="E327" s="47">
        <v>2376</v>
      </c>
      <c r="F327" s="47">
        <v>0</v>
      </c>
      <c r="G327" s="47">
        <v>0</v>
      </c>
      <c r="H327" s="47">
        <v>4</v>
      </c>
      <c r="I327" s="47">
        <v>2380</v>
      </c>
      <c r="J327" s="47">
        <v>6880</v>
      </c>
      <c r="K327" s="47">
        <v>52.888888888888886</v>
      </c>
    </row>
    <row r="328" spans="1:11" s="651" customFormat="1">
      <c r="A328" s="652" t="s">
        <v>108</v>
      </c>
      <c r="B328" s="47">
        <v>9840</v>
      </c>
      <c r="C328" s="47">
        <v>56.099999999999994</v>
      </c>
      <c r="D328" s="47">
        <v>985.64799999999991</v>
      </c>
      <c r="E328" s="47">
        <v>5521.7999999999993</v>
      </c>
      <c r="F328" s="47">
        <v>0</v>
      </c>
      <c r="G328" s="47">
        <v>0</v>
      </c>
      <c r="H328" s="47">
        <v>18.200000000000728</v>
      </c>
      <c r="I328" s="47">
        <v>5540</v>
      </c>
      <c r="J328" s="47">
        <v>15380</v>
      </c>
      <c r="K328" s="47">
        <v>56.286145127346842</v>
      </c>
    </row>
    <row r="329" spans="1:11" s="651" customFormat="1">
      <c r="A329" s="653" t="s">
        <v>1091</v>
      </c>
      <c r="B329" s="47">
        <v>5180</v>
      </c>
      <c r="C329" s="47">
        <v>56.4</v>
      </c>
      <c r="D329" s="47">
        <v>497.28</v>
      </c>
      <c r="E329" s="47">
        <v>2921.5199999999995</v>
      </c>
      <c r="F329" s="47">
        <v>0</v>
      </c>
      <c r="G329" s="47">
        <v>0</v>
      </c>
      <c r="H329" s="47">
        <v>8.4800000000004729</v>
      </c>
      <c r="I329" s="47">
        <v>2930</v>
      </c>
      <c r="J329" s="47">
        <v>8110</v>
      </c>
      <c r="K329" s="47">
        <v>56.563706563706567</v>
      </c>
    </row>
    <row r="330" spans="1:11" s="651" customFormat="1">
      <c r="A330" s="653" t="s">
        <v>1092</v>
      </c>
      <c r="B330" s="47">
        <v>4660</v>
      </c>
      <c r="C330" s="47">
        <v>55.8</v>
      </c>
      <c r="D330" s="47">
        <v>488.36799999999999</v>
      </c>
      <c r="E330" s="47">
        <v>2600.2799999999997</v>
      </c>
      <c r="F330" s="47">
        <v>0</v>
      </c>
      <c r="G330" s="47">
        <v>0</v>
      </c>
      <c r="H330" s="47">
        <v>9.7200000000002547</v>
      </c>
      <c r="I330" s="47">
        <v>2610</v>
      </c>
      <c r="J330" s="47">
        <v>7270</v>
      </c>
      <c r="K330" s="47">
        <v>56.008583690987123</v>
      </c>
    </row>
    <row r="331" spans="1:11" s="651" customFormat="1">
      <c r="A331" s="656" t="s">
        <v>77</v>
      </c>
      <c r="B331" s="47">
        <v>10220</v>
      </c>
      <c r="C331" s="47">
        <v>40.199999999999996</v>
      </c>
      <c r="D331" s="47">
        <v>1430.8</v>
      </c>
      <c r="E331" s="47">
        <v>4108.4399999999996</v>
      </c>
      <c r="F331" s="47">
        <v>0</v>
      </c>
      <c r="G331" s="47">
        <v>0</v>
      </c>
      <c r="H331" s="47">
        <v>1.5600000000013097</v>
      </c>
      <c r="I331" s="47">
        <v>4110</v>
      </c>
      <c r="J331" s="47">
        <v>14330</v>
      </c>
      <c r="K331" s="47">
        <v>40.215264187866929</v>
      </c>
    </row>
    <row r="332" spans="1:11" s="651" customFormat="1">
      <c r="A332" s="652" t="s">
        <v>109</v>
      </c>
      <c r="B332" s="47">
        <v>10220</v>
      </c>
      <c r="C332" s="47">
        <v>40.199999999999996</v>
      </c>
      <c r="D332" s="47">
        <v>1430.8</v>
      </c>
      <c r="E332" s="47">
        <v>4108.4399999999996</v>
      </c>
      <c r="F332" s="47">
        <v>0</v>
      </c>
      <c r="G332" s="47">
        <v>0</v>
      </c>
      <c r="H332" s="47">
        <v>1.5600000000013097</v>
      </c>
      <c r="I332" s="47">
        <v>4110</v>
      </c>
      <c r="J332" s="47">
        <v>14330</v>
      </c>
      <c r="K332" s="47">
        <v>40.215264187866929</v>
      </c>
    </row>
    <row r="333" spans="1:11" s="651" customFormat="1">
      <c r="A333" s="653" t="s">
        <v>1093</v>
      </c>
      <c r="B333" s="47">
        <v>10220</v>
      </c>
      <c r="C333" s="47">
        <v>40.199999999999996</v>
      </c>
      <c r="D333" s="47">
        <v>1430.8</v>
      </c>
      <c r="E333" s="47">
        <v>4108.4399999999996</v>
      </c>
      <c r="F333" s="47">
        <v>0</v>
      </c>
      <c r="G333" s="47">
        <v>0</v>
      </c>
      <c r="H333" s="47">
        <v>1.5600000000013097</v>
      </c>
      <c r="I333" s="47">
        <v>4110</v>
      </c>
      <c r="J333" s="47">
        <v>14330</v>
      </c>
      <c r="K333" s="47">
        <v>40.215264187866929</v>
      </c>
    </row>
    <row r="334" spans="1:11" s="651" customFormat="1">
      <c r="A334" s="656" t="s">
        <v>78</v>
      </c>
      <c r="B334" s="47">
        <v>5260</v>
      </c>
      <c r="C334" s="47">
        <v>56.4</v>
      </c>
      <c r="D334" s="47">
        <v>618.57600000000002</v>
      </c>
      <c r="E334" s="47">
        <v>2966.64</v>
      </c>
      <c r="F334" s="47">
        <v>1773.3600000000006</v>
      </c>
      <c r="G334" s="47">
        <v>5000</v>
      </c>
      <c r="H334" s="47">
        <v>0</v>
      </c>
      <c r="I334" s="47">
        <v>9740</v>
      </c>
      <c r="J334" s="47">
        <v>15000</v>
      </c>
      <c r="K334" s="47">
        <v>185.17110266159696</v>
      </c>
    </row>
    <row r="335" spans="1:11" s="651" customFormat="1">
      <c r="A335" s="652" t="s">
        <v>341</v>
      </c>
      <c r="B335" s="47">
        <v>5260</v>
      </c>
      <c r="C335" s="47">
        <v>56.4</v>
      </c>
      <c r="D335" s="47">
        <v>618.57600000000002</v>
      </c>
      <c r="E335" s="47">
        <v>2966.64</v>
      </c>
      <c r="F335" s="47">
        <v>1773.3600000000006</v>
      </c>
      <c r="G335" s="47">
        <v>5000</v>
      </c>
      <c r="H335" s="47">
        <v>0</v>
      </c>
      <c r="I335" s="47">
        <v>9740</v>
      </c>
      <c r="J335" s="47">
        <v>15000</v>
      </c>
      <c r="K335" s="47">
        <v>185.17110266159696</v>
      </c>
    </row>
    <row r="336" spans="1:11" s="651" customFormat="1">
      <c r="A336" s="653" t="s">
        <v>1094</v>
      </c>
      <c r="B336" s="47">
        <v>5260</v>
      </c>
      <c r="C336" s="47">
        <v>56.4</v>
      </c>
      <c r="D336" s="47">
        <v>618.57600000000002</v>
      </c>
      <c r="E336" s="47">
        <v>2966.64</v>
      </c>
      <c r="F336" s="47">
        <v>1773.3600000000006</v>
      </c>
      <c r="G336" s="47">
        <v>5000</v>
      </c>
      <c r="H336" s="47">
        <v>0</v>
      </c>
      <c r="I336" s="47">
        <v>9740</v>
      </c>
      <c r="J336" s="47">
        <v>15000</v>
      </c>
      <c r="K336" s="47">
        <v>185.17110266159696</v>
      </c>
    </row>
    <row r="337" spans="1:11" s="651" customFormat="1">
      <c r="A337" s="656" t="s">
        <v>79</v>
      </c>
      <c r="B337" s="47">
        <v>74430</v>
      </c>
      <c r="C337" s="47">
        <v>52.542857142857137</v>
      </c>
      <c r="D337" s="47">
        <v>9754.8320000000003</v>
      </c>
      <c r="E337" s="47">
        <v>39996.959999999999</v>
      </c>
      <c r="F337" s="47">
        <v>5174.9600000000009</v>
      </c>
      <c r="G337" s="47">
        <v>2316.0800000000008</v>
      </c>
      <c r="H337" s="47">
        <v>32</v>
      </c>
      <c r="I337" s="47">
        <v>47520</v>
      </c>
      <c r="J337" s="47">
        <v>121950</v>
      </c>
      <c r="K337" s="47">
        <v>60.52679513108184</v>
      </c>
    </row>
    <row r="338" spans="1:11" s="651" customFormat="1">
      <c r="A338" s="652" t="s">
        <v>345</v>
      </c>
      <c r="B338" s="47">
        <v>14960</v>
      </c>
      <c r="C338" s="47">
        <v>56.199999999999996</v>
      </c>
      <c r="D338" s="47">
        <v>1540.576</v>
      </c>
      <c r="E338" s="47">
        <v>8394.7199999999993</v>
      </c>
      <c r="F338" s="47">
        <v>1558.8400000000001</v>
      </c>
      <c r="G338" s="47">
        <v>203.1200000000008</v>
      </c>
      <c r="H338" s="47">
        <v>3.319999999999709</v>
      </c>
      <c r="I338" s="47">
        <v>10160</v>
      </c>
      <c r="J338" s="47">
        <v>25120</v>
      </c>
      <c r="K338" s="47">
        <v>67.201798890499944</v>
      </c>
    </row>
    <row r="339" spans="1:11" s="651" customFormat="1">
      <c r="A339" s="653" t="s">
        <v>346</v>
      </c>
      <c r="B339" s="47">
        <v>4630</v>
      </c>
      <c r="C339" s="47">
        <v>57.599999999999994</v>
      </c>
      <c r="D339" s="47">
        <v>329.65600000000001</v>
      </c>
      <c r="E339" s="47">
        <v>2666.8799999999997</v>
      </c>
      <c r="F339" s="47">
        <v>0</v>
      </c>
      <c r="G339" s="47">
        <v>203.1200000000008</v>
      </c>
      <c r="H339" s="47">
        <v>0</v>
      </c>
      <c r="I339" s="47">
        <v>2870</v>
      </c>
      <c r="J339" s="47">
        <v>7500</v>
      </c>
      <c r="K339" s="47">
        <v>61.987041036717066</v>
      </c>
    </row>
    <row r="340" spans="1:11" s="651" customFormat="1">
      <c r="A340" s="653" t="s">
        <v>347</v>
      </c>
      <c r="B340" s="47">
        <v>5460</v>
      </c>
      <c r="C340" s="47">
        <v>54.6</v>
      </c>
      <c r="D340" s="47">
        <v>497.952</v>
      </c>
      <c r="E340" s="47">
        <v>2981.1600000000003</v>
      </c>
      <c r="F340" s="47">
        <v>1558.8400000000001</v>
      </c>
      <c r="G340" s="47">
        <v>0</v>
      </c>
      <c r="H340" s="47">
        <v>0</v>
      </c>
      <c r="I340" s="47">
        <v>4540</v>
      </c>
      <c r="J340" s="47">
        <v>10000</v>
      </c>
      <c r="K340" s="47">
        <v>83.150183150183153</v>
      </c>
    </row>
    <row r="341" spans="1:11" s="651" customFormat="1">
      <c r="A341" s="653" t="s">
        <v>348</v>
      </c>
      <c r="B341" s="47">
        <v>4870</v>
      </c>
      <c r="C341" s="47">
        <v>56.4</v>
      </c>
      <c r="D341" s="47">
        <v>712.96799999999996</v>
      </c>
      <c r="E341" s="47">
        <v>2746.68</v>
      </c>
      <c r="F341" s="47">
        <v>0</v>
      </c>
      <c r="G341" s="47">
        <v>0</v>
      </c>
      <c r="H341" s="47">
        <v>3.319999999999709</v>
      </c>
      <c r="I341" s="47">
        <v>2750</v>
      </c>
      <c r="J341" s="47">
        <v>7620</v>
      </c>
      <c r="K341" s="47">
        <v>56.468172484599584</v>
      </c>
    </row>
    <row r="342" spans="1:11" s="651" customFormat="1">
      <c r="A342" s="652" t="s">
        <v>1095</v>
      </c>
      <c r="B342" s="47">
        <v>4000</v>
      </c>
      <c r="C342" s="47">
        <v>33.6</v>
      </c>
      <c r="D342" s="47">
        <v>64</v>
      </c>
      <c r="E342" s="47">
        <v>1344</v>
      </c>
      <c r="F342" s="47">
        <v>0</v>
      </c>
      <c r="G342" s="47">
        <v>0</v>
      </c>
      <c r="H342" s="47">
        <v>6</v>
      </c>
      <c r="I342" s="47">
        <v>1350</v>
      </c>
      <c r="J342" s="47">
        <v>5350</v>
      </c>
      <c r="K342" s="47">
        <v>33.75</v>
      </c>
    </row>
    <row r="343" spans="1:11" s="651" customFormat="1">
      <c r="A343" s="663" t="s">
        <v>720</v>
      </c>
      <c r="B343" s="47">
        <v>4000</v>
      </c>
      <c r="C343" s="47">
        <v>33.6</v>
      </c>
      <c r="D343" s="47">
        <v>64</v>
      </c>
      <c r="E343" s="47">
        <v>1344</v>
      </c>
      <c r="F343" s="47">
        <v>0</v>
      </c>
      <c r="G343" s="47">
        <v>0</v>
      </c>
      <c r="H343" s="47">
        <v>6</v>
      </c>
      <c r="I343" s="47">
        <v>1350</v>
      </c>
      <c r="J343" s="47">
        <v>5350</v>
      </c>
      <c r="K343" s="47">
        <v>33.75</v>
      </c>
    </row>
    <row r="344" spans="1:11" s="651" customFormat="1">
      <c r="A344" s="652" t="s">
        <v>351</v>
      </c>
      <c r="B344" s="47">
        <v>27310</v>
      </c>
      <c r="C344" s="47">
        <v>55.5</v>
      </c>
      <c r="D344" s="47">
        <v>3881.4400000000005</v>
      </c>
      <c r="E344" s="47">
        <v>15213.48</v>
      </c>
      <c r="F344" s="47">
        <v>514.64000000000124</v>
      </c>
      <c r="G344" s="47">
        <v>1555.88</v>
      </c>
      <c r="H344" s="47">
        <v>6</v>
      </c>
      <c r="I344" s="47">
        <v>17290</v>
      </c>
      <c r="J344" s="47">
        <v>44600</v>
      </c>
      <c r="K344" s="47">
        <v>63.172983197343136</v>
      </c>
    </row>
    <row r="345" spans="1:11" s="651" customFormat="1">
      <c r="A345" s="663" t="s">
        <v>352</v>
      </c>
      <c r="B345" s="47">
        <v>6040</v>
      </c>
      <c r="C345" s="47">
        <v>58.199999999999996</v>
      </c>
      <c r="D345" s="47">
        <v>1449.6</v>
      </c>
      <c r="E345" s="47">
        <v>3515.2799999999997</v>
      </c>
      <c r="F345" s="47">
        <v>444.72000000000116</v>
      </c>
      <c r="G345" s="47">
        <v>0</v>
      </c>
      <c r="H345" s="47">
        <v>0</v>
      </c>
      <c r="I345" s="47">
        <v>3960</v>
      </c>
      <c r="J345" s="47">
        <v>10000</v>
      </c>
      <c r="K345" s="47">
        <v>65.562913907284766</v>
      </c>
    </row>
    <row r="346" spans="1:11" s="651" customFormat="1">
      <c r="A346" s="663" t="s">
        <v>1096</v>
      </c>
      <c r="B346" s="47">
        <v>4580</v>
      </c>
      <c r="C346" s="47">
        <v>57.599999999999994</v>
      </c>
      <c r="D346" s="47">
        <v>1099.2</v>
      </c>
      <c r="E346" s="47">
        <v>2638.08</v>
      </c>
      <c r="F346" s="47">
        <v>0</v>
      </c>
      <c r="G346" s="47">
        <v>281.92000000000007</v>
      </c>
      <c r="H346" s="47">
        <v>0</v>
      </c>
      <c r="I346" s="47">
        <v>2920</v>
      </c>
      <c r="J346" s="47">
        <v>7500</v>
      </c>
      <c r="K346" s="47">
        <v>63.755458515283848</v>
      </c>
    </row>
    <row r="347" spans="1:11" s="651" customFormat="1">
      <c r="A347" s="663" t="s">
        <v>1097</v>
      </c>
      <c r="B347" s="47">
        <v>4190</v>
      </c>
      <c r="C347" s="47">
        <v>45.6</v>
      </c>
      <c r="D347" s="47">
        <v>194.416</v>
      </c>
      <c r="E347" s="47">
        <v>1910.64</v>
      </c>
      <c r="F347" s="47">
        <v>0</v>
      </c>
      <c r="G347" s="47">
        <v>399.35999999999967</v>
      </c>
      <c r="H347" s="47">
        <v>0</v>
      </c>
      <c r="I347" s="47">
        <v>2310</v>
      </c>
      <c r="J347" s="47">
        <v>6500</v>
      </c>
      <c r="K347" s="47">
        <v>55.131264916467785</v>
      </c>
    </row>
    <row r="348" spans="1:11" s="651" customFormat="1">
      <c r="A348" s="663" t="s">
        <v>355</v>
      </c>
      <c r="B348" s="47">
        <v>4080</v>
      </c>
      <c r="C348" s="47">
        <v>57.599999999999994</v>
      </c>
      <c r="D348" s="47">
        <v>215.42400000000001</v>
      </c>
      <c r="E348" s="47">
        <v>2350.08</v>
      </c>
      <c r="F348" s="47">
        <v>69.920000000000073</v>
      </c>
      <c r="G348" s="47">
        <v>500</v>
      </c>
      <c r="H348" s="47">
        <v>0</v>
      </c>
      <c r="I348" s="47">
        <v>2920</v>
      </c>
      <c r="J348" s="47">
        <v>7000</v>
      </c>
      <c r="K348" s="47">
        <v>71.568627450980401</v>
      </c>
    </row>
    <row r="349" spans="1:11" s="651" customFormat="1">
      <c r="A349" s="663" t="s">
        <v>1098</v>
      </c>
      <c r="B349" s="47">
        <v>4200</v>
      </c>
      <c r="C349" s="47">
        <v>57</v>
      </c>
      <c r="D349" s="47">
        <v>467.04</v>
      </c>
      <c r="E349" s="47">
        <v>2394</v>
      </c>
      <c r="F349" s="47">
        <v>0</v>
      </c>
      <c r="G349" s="47">
        <v>0</v>
      </c>
      <c r="H349" s="47">
        <v>6</v>
      </c>
      <c r="I349" s="47">
        <v>2400</v>
      </c>
      <c r="J349" s="47">
        <v>6600</v>
      </c>
      <c r="K349" s="47">
        <v>57.142857142857146</v>
      </c>
    </row>
    <row r="350" spans="1:11" s="651" customFormat="1">
      <c r="A350" s="663" t="s">
        <v>1099</v>
      </c>
      <c r="B350" s="47">
        <v>4220</v>
      </c>
      <c r="C350" s="47">
        <v>57</v>
      </c>
      <c r="D350" s="47">
        <v>455.76</v>
      </c>
      <c r="E350" s="47">
        <v>2405.3999999999996</v>
      </c>
      <c r="F350" s="47">
        <v>0</v>
      </c>
      <c r="G350" s="47">
        <v>374.60000000000036</v>
      </c>
      <c r="H350" s="47">
        <v>0</v>
      </c>
      <c r="I350" s="47">
        <v>2780</v>
      </c>
      <c r="J350" s="47">
        <v>7000</v>
      </c>
      <c r="K350" s="47">
        <v>65.876777251184834</v>
      </c>
    </row>
    <row r="351" spans="1:11" s="651" customFormat="1">
      <c r="A351" s="652" t="s">
        <v>349</v>
      </c>
      <c r="B351" s="47">
        <v>10280</v>
      </c>
      <c r="C351" s="47">
        <v>52.8</v>
      </c>
      <c r="D351" s="47">
        <v>730.17599999999993</v>
      </c>
      <c r="E351" s="47">
        <v>5463.84</v>
      </c>
      <c r="F351" s="47">
        <v>0</v>
      </c>
      <c r="G351" s="47">
        <v>557.07999999999993</v>
      </c>
      <c r="H351" s="47">
        <v>9.0799999999999272</v>
      </c>
      <c r="I351" s="47">
        <v>6030</v>
      </c>
      <c r="J351" s="47">
        <v>16310</v>
      </c>
      <c r="K351" s="47">
        <v>57.752613240418121</v>
      </c>
    </row>
    <row r="352" spans="1:11" s="651" customFormat="1">
      <c r="A352" s="653" t="s">
        <v>358</v>
      </c>
      <c r="B352" s="47">
        <v>5740</v>
      </c>
      <c r="C352" s="47">
        <v>55.8</v>
      </c>
      <c r="D352" s="47">
        <v>574</v>
      </c>
      <c r="E352" s="47">
        <v>3202.9199999999996</v>
      </c>
      <c r="F352" s="47">
        <v>0</v>
      </c>
      <c r="G352" s="47">
        <v>557.07999999999993</v>
      </c>
      <c r="H352" s="47">
        <v>0</v>
      </c>
      <c r="I352" s="47">
        <v>3760</v>
      </c>
      <c r="J352" s="47">
        <v>9500</v>
      </c>
      <c r="K352" s="47">
        <v>65.505226480836242</v>
      </c>
    </row>
    <row r="353" spans="1:11" s="651" customFormat="1">
      <c r="A353" s="653" t="s">
        <v>350</v>
      </c>
      <c r="B353" s="47">
        <v>4540</v>
      </c>
      <c r="C353" s="47">
        <v>49.8</v>
      </c>
      <c r="D353" s="47">
        <v>156.17599999999999</v>
      </c>
      <c r="E353" s="47">
        <v>2260.92</v>
      </c>
      <c r="F353" s="47">
        <v>0</v>
      </c>
      <c r="G353" s="47">
        <v>0</v>
      </c>
      <c r="H353" s="47">
        <v>9.0799999999999272</v>
      </c>
      <c r="I353" s="47">
        <v>2270</v>
      </c>
      <c r="J353" s="47">
        <v>6810</v>
      </c>
      <c r="K353" s="47">
        <v>50</v>
      </c>
    </row>
    <row r="354" spans="1:11" s="651" customFormat="1">
      <c r="A354" s="652" t="s">
        <v>359</v>
      </c>
      <c r="B354" s="47">
        <v>4090</v>
      </c>
      <c r="C354" s="47">
        <v>36</v>
      </c>
      <c r="D354" s="47">
        <v>229.04</v>
      </c>
      <c r="E354" s="47">
        <v>1472.3999999999999</v>
      </c>
      <c r="F354" s="47">
        <v>0</v>
      </c>
      <c r="G354" s="47">
        <v>0</v>
      </c>
      <c r="H354" s="47">
        <v>7.6000000000003638</v>
      </c>
      <c r="I354" s="47">
        <v>1480</v>
      </c>
      <c r="J354" s="47">
        <v>5570</v>
      </c>
      <c r="K354" s="47">
        <v>36.18581907090465</v>
      </c>
    </row>
    <row r="355" spans="1:11" s="651" customFormat="1">
      <c r="A355" s="653" t="s">
        <v>360</v>
      </c>
      <c r="B355" s="47">
        <v>4090</v>
      </c>
      <c r="C355" s="47">
        <v>36</v>
      </c>
      <c r="D355" s="47">
        <v>229.04</v>
      </c>
      <c r="E355" s="47">
        <v>1472.3999999999999</v>
      </c>
      <c r="F355" s="47">
        <v>0</v>
      </c>
      <c r="G355" s="47">
        <v>0</v>
      </c>
      <c r="H355" s="47">
        <v>7.6000000000003638</v>
      </c>
      <c r="I355" s="47">
        <v>1480</v>
      </c>
      <c r="J355" s="47">
        <v>5570</v>
      </c>
      <c r="K355" s="47">
        <v>36.18581907090465</v>
      </c>
    </row>
    <row r="356" spans="1:11" s="651" customFormat="1">
      <c r="A356" s="652" t="s">
        <v>110</v>
      </c>
      <c r="B356" s="47">
        <v>13790</v>
      </c>
      <c r="C356" s="47">
        <v>58.8</v>
      </c>
      <c r="D356" s="47">
        <v>3309.6</v>
      </c>
      <c r="E356" s="47">
        <v>8108.5199999999995</v>
      </c>
      <c r="F356" s="47">
        <v>3101.4799999999996</v>
      </c>
      <c r="G356" s="47">
        <v>0</v>
      </c>
      <c r="H356" s="47">
        <v>0</v>
      </c>
      <c r="I356" s="47">
        <v>11210</v>
      </c>
      <c r="J356" s="47">
        <v>25000</v>
      </c>
      <c r="K356" s="47">
        <v>81.290790427846261</v>
      </c>
    </row>
    <row r="357" spans="1:11" s="651" customFormat="1">
      <c r="A357" s="653" t="s">
        <v>98</v>
      </c>
      <c r="B357" s="47">
        <v>13790</v>
      </c>
      <c r="C357" s="47">
        <v>58.8</v>
      </c>
      <c r="D357" s="47">
        <v>3309.6</v>
      </c>
      <c r="E357" s="47">
        <v>8108.5199999999995</v>
      </c>
      <c r="F357" s="47">
        <v>3101.4799999999996</v>
      </c>
      <c r="G357" s="47">
        <v>0</v>
      </c>
      <c r="H357" s="47">
        <v>0</v>
      </c>
      <c r="I357" s="47">
        <v>11210</v>
      </c>
      <c r="J357" s="47">
        <v>25000</v>
      </c>
      <c r="K357" s="47">
        <v>81.290790427846261</v>
      </c>
    </row>
    <row r="358" spans="1:11" s="651" customFormat="1">
      <c r="A358" s="662" t="s">
        <v>80</v>
      </c>
      <c r="B358" s="47">
        <v>20970</v>
      </c>
      <c r="C358" s="47">
        <v>48</v>
      </c>
      <c r="D358" s="47">
        <v>2602.2400000000002</v>
      </c>
      <c r="E358" s="47">
        <v>10230.959999999999</v>
      </c>
      <c r="F358" s="47">
        <v>3019.2000000000007</v>
      </c>
      <c r="G358" s="47">
        <v>2779.8399999999992</v>
      </c>
      <c r="H358" s="47">
        <v>0</v>
      </c>
      <c r="I358" s="47">
        <v>16030</v>
      </c>
      <c r="J358" s="47">
        <v>37000</v>
      </c>
      <c r="K358" s="47">
        <v>74.805698551255105</v>
      </c>
    </row>
    <row r="359" spans="1:11" s="651" customFormat="1">
      <c r="A359" s="652" t="s">
        <v>111</v>
      </c>
      <c r="B359" s="47">
        <v>20970</v>
      </c>
      <c r="C359" s="47">
        <v>48</v>
      </c>
      <c r="D359" s="47">
        <v>2602.2400000000002</v>
      </c>
      <c r="E359" s="47">
        <v>10230.959999999999</v>
      </c>
      <c r="F359" s="47">
        <v>3019.2000000000007</v>
      </c>
      <c r="G359" s="47">
        <v>2779.8399999999992</v>
      </c>
      <c r="H359" s="47">
        <v>0</v>
      </c>
      <c r="I359" s="47">
        <v>16030</v>
      </c>
      <c r="J359" s="47">
        <v>37000</v>
      </c>
      <c r="K359" s="47">
        <v>74.805698551255105</v>
      </c>
    </row>
    <row r="360" spans="1:11" s="651" customFormat="1">
      <c r="A360" s="653" t="s">
        <v>361</v>
      </c>
      <c r="B360" s="47">
        <v>5430</v>
      </c>
      <c r="C360" s="47">
        <v>55.199999999999996</v>
      </c>
      <c r="D360" s="47">
        <v>886.17600000000004</v>
      </c>
      <c r="E360" s="47">
        <v>2997.3599999999997</v>
      </c>
      <c r="F360" s="47">
        <v>0</v>
      </c>
      <c r="G360" s="47">
        <v>1072.6399999999994</v>
      </c>
      <c r="H360" s="47">
        <v>0</v>
      </c>
      <c r="I360" s="47">
        <v>4070</v>
      </c>
      <c r="J360" s="47">
        <v>9500</v>
      </c>
      <c r="K360" s="47">
        <v>74.953959484346228</v>
      </c>
    </row>
    <row r="361" spans="1:11" s="651" customFormat="1">
      <c r="A361" s="653" t="s">
        <v>363</v>
      </c>
      <c r="B361" s="47">
        <v>5870</v>
      </c>
      <c r="C361" s="47">
        <v>54</v>
      </c>
      <c r="D361" s="47">
        <v>1183.3920000000001</v>
      </c>
      <c r="E361" s="47">
        <v>3169.8</v>
      </c>
      <c r="F361" s="47">
        <v>2960.2000000000007</v>
      </c>
      <c r="G361" s="47">
        <v>0</v>
      </c>
      <c r="H361" s="47">
        <v>0</v>
      </c>
      <c r="I361" s="47">
        <v>6130</v>
      </c>
      <c r="J361" s="47">
        <v>12000</v>
      </c>
      <c r="K361" s="47">
        <v>104.42930153321976</v>
      </c>
    </row>
    <row r="362" spans="1:11" s="651" customFormat="1">
      <c r="A362" s="653" t="s">
        <v>364</v>
      </c>
      <c r="B362" s="47">
        <v>4570</v>
      </c>
      <c r="C362" s="47">
        <v>30</v>
      </c>
      <c r="D362" s="47">
        <v>226.672</v>
      </c>
      <c r="E362" s="47">
        <v>1371</v>
      </c>
      <c r="F362" s="47">
        <v>59</v>
      </c>
      <c r="G362" s="47">
        <v>1000</v>
      </c>
      <c r="H362" s="47">
        <v>0</v>
      </c>
      <c r="I362" s="47">
        <v>2430</v>
      </c>
      <c r="J362" s="47">
        <v>7000</v>
      </c>
      <c r="K362" s="47">
        <v>53.172866520787743</v>
      </c>
    </row>
    <row r="363" spans="1:11" s="651" customFormat="1">
      <c r="A363" s="653" t="s">
        <v>1100</v>
      </c>
      <c r="B363" s="47">
        <v>5100</v>
      </c>
      <c r="C363" s="47">
        <v>52.8</v>
      </c>
      <c r="D363" s="47">
        <v>306</v>
      </c>
      <c r="E363" s="47">
        <v>2692.8</v>
      </c>
      <c r="F363" s="47">
        <v>0</v>
      </c>
      <c r="G363" s="47">
        <v>707.19999999999982</v>
      </c>
      <c r="H363" s="47">
        <v>0</v>
      </c>
      <c r="I363" s="47">
        <v>3400</v>
      </c>
      <c r="J363" s="47">
        <v>8500</v>
      </c>
      <c r="K363" s="47">
        <v>66.666666666666671</v>
      </c>
    </row>
    <row r="364" spans="1:11" s="651" customFormat="1">
      <c r="A364" s="656" t="s">
        <v>81</v>
      </c>
      <c r="B364" s="47">
        <v>171600</v>
      </c>
      <c r="C364" s="47">
        <v>55.31351351351352</v>
      </c>
      <c r="D364" s="47">
        <v>20670.151999999998</v>
      </c>
      <c r="E364" s="47">
        <v>95918.280000000013</v>
      </c>
      <c r="F364" s="47">
        <v>23270.980000000003</v>
      </c>
      <c r="G364" s="47">
        <v>1608.1200000000008</v>
      </c>
      <c r="H364" s="47">
        <v>112.61999999999807</v>
      </c>
      <c r="I364" s="47">
        <v>120910</v>
      </c>
      <c r="J364" s="47">
        <v>292510</v>
      </c>
      <c r="K364" s="47">
        <v>69.982951340633733</v>
      </c>
    </row>
    <row r="365" spans="1:11" s="651" customFormat="1">
      <c r="A365" s="652" t="s">
        <v>376</v>
      </c>
      <c r="B365" s="47">
        <v>31790</v>
      </c>
      <c r="C365" s="47">
        <v>55.125</v>
      </c>
      <c r="D365" s="47">
        <v>1220.6799999999998</v>
      </c>
      <c r="E365" s="47">
        <v>17535.72</v>
      </c>
      <c r="F365" s="47">
        <v>8266.2799999999988</v>
      </c>
      <c r="G365" s="47">
        <v>0</v>
      </c>
      <c r="H365" s="47">
        <v>8</v>
      </c>
      <c r="I365" s="47">
        <v>25810</v>
      </c>
      <c r="J365" s="47">
        <v>57600</v>
      </c>
      <c r="K365" s="47">
        <v>80.076488440784885</v>
      </c>
    </row>
    <row r="366" spans="1:11" s="651" customFormat="1">
      <c r="A366" s="653" t="s">
        <v>706</v>
      </c>
      <c r="B366" s="47">
        <v>4250</v>
      </c>
      <c r="C366" s="47">
        <v>56.4</v>
      </c>
      <c r="D366" s="47">
        <v>68</v>
      </c>
      <c r="E366" s="47">
        <v>2396.9999999999995</v>
      </c>
      <c r="F366" s="47">
        <v>353</v>
      </c>
      <c r="G366" s="47">
        <v>0</v>
      </c>
      <c r="H366" s="47">
        <v>0</v>
      </c>
      <c r="I366" s="47">
        <v>2750</v>
      </c>
      <c r="J366" s="47">
        <v>7000</v>
      </c>
      <c r="K366" s="47">
        <v>64.705882352941174</v>
      </c>
    </row>
    <row r="367" spans="1:11" s="651" customFormat="1">
      <c r="A367" s="653" t="s">
        <v>1004</v>
      </c>
      <c r="B367" s="47">
        <v>4170</v>
      </c>
      <c r="C367" s="47">
        <v>52.8</v>
      </c>
      <c r="D367" s="47">
        <v>417</v>
      </c>
      <c r="E367" s="47">
        <v>2201.7600000000002</v>
      </c>
      <c r="F367" s="47">
        <v>128.23999999999978</v>
      </c>
      <c r="G367" s="47">
        <v>0</v>
      </c>
      <c r="H367" s="47">
        <v>0</v>
      </c>
      <c r="I367" s="47">
        <v>2330</v>
      </c>
      <c r="J367" s="47">
        <v>6500</v>
      </c>
      <c r="K367" s="47">
        <v>55.875299760191844</v>
      </c>
    </row>
    <row r="368" spans="1:11" s="651" customFormat="1">
      <c r="A368" s="653" t="s">
        <v>402</v>
      </c>
      <c r="B368" s="47">
        <v>3530</v>
      </c>
      <c r="C368" s="47">
        <v>57</v>
      </c>
      <c r="D368" s="47">
        <v>110.136</v>
      </c>
      <c r="E368" s="47">
        <v>2012.1</v>
      </c>
      <c r="F368" s="47">
        <v>457.89999999999964</v>
      </c>
      <c r="G368" s="47">
        <v>0</v>
      </c>
      <c r="H368" s="47">
        <v>0</v>
      </c>
      <c r="I368" s="47">
        <v>2470</v>
      </c>
      <c r="J368" s="47">
        <v>6000</v>
      </c>
      <c r="K368" s="47">
        <v>69.971671388101996</v>
      </c>
    </row>
    <row r="369" spans="1:11" s="651" customFormat="1">
      <c r="A369" s="653" t="s">
        <v>1005</v>
      </c>
      <c r="B369" s="47">
        <v>4500</v>
      </c>
      <c r="C369" s="47">
        <v>57.599999999999994</v>
      </c>
      <c r="D369" s="47">
        <v>169.2</v>
      </c>
      <c r="E369" s="47">
        <v>2592</v>
      </c>
      <c r="F369" s="47">
        <v>0</v>
      </c>
      <c r="G369" s="47">
        <v>0</v>
      </c>
      <c r="H369" s="47">
        <v>8</v>
      </c>
      <c r="I369" s="47">
        <v>2600</v>
      </c>
      <c r="J369" s="47">
        <v>7100</v>
      </c>
      <c r="K369" s="47">
        <v>57.777777777777779</v>
      </c>
    </row>
    <row r="370" spans="1:11" s="651" customFormat="1">
      <c r="A370" s="653" t="s">
        <v>403</v>
      </c>
      <c r="B370" s="47">
        <v>3520</v>
      </c>
      <c r="C370" s="47">
        <v>53.4</v>
      </c>
      <c r="D370" s="47">
        <v>98.56</v>
      </c>
      <c r="E370" s="47">
        <v>1879.68</v>
      </c>
      <c r="F370" s="47">
        <v>1100.3199999999997</v>
      </c>
      <c r="G370" s="47">
        <v>0</v>
      </c>
      <c r="H370" s="47">
        <v>0</v>
      </c>
      <c r="I370" s="47">
        <v>2980</v>
      </c>
      <c r="J370" s="47">
        <v>6500</v>
      </c>
      <c r="K370" s="47">
        <v>84.659090909090907</v>
      </c>
    </row>
    <row r="371" spans="1:11" s="651" customFormat="1">
      <c r="A371" s="653" t="s">
        <v>377</v>
      </c>
      <c r="B371" s="47">
        <v>4540</v>
      </c>
      <c r="C371" s="47">
        <v>55.199999999999996</v>
      </c>
      <c r="D371" s="47">
        <v>170.70400000000001</v>
      </c>
      <c r="E371" s="47">
        <v>2506.08</v>
      </c>
      <c r="F371" s="47">
        <v>4953.92</v>
      </c>
      <c r="G371" s="47">
        <v>0</v>
      </c>
      <c r="H371" s="47">
        <v>0</v>
      </c>
      <c r="I371" s="47">
        <v>7460</v>
      </c>
      <c r="J371" s="47">
        <v>12000</v>
      </c>
      <c r="K371" s="47">
        <v>164.3171806167401</v>
      </c>
    </row>
    <row r="372" spans="1:11" s="651" customFormat="1">
      <c r="A372" s="653" t="s">
        <v>707</v>
      </c>
      <c r="B372" s="47">
        <v>3750</v>
      </c>
      <c r="C372" s="47">
        <v>51.6</v>
      </c>
      <c r="D372" s="47">
        <v>60</v>
      </c>
      <c r="E372" s="47">
        <v>1935</v>
      </c>
      <c r="F372" s="47">
        <v>815</v>
      </c>
      <c r="G372" s="47">
        <v>0</v>
      </c>
      <c r="H372" s="47">
        <v>0</v>
      </c>
      <c r="I372" s="47">
        <v>2750</v>
      </c>
      <c r="J372" s="47">
        <v>6500</v>
      </c>
      <c r="K372" s="47">
        <v>73.333333333333329</v>
      </c>
    </row>
    <row r="373" spans="1:11" s="651" customFormat="1">
      <c r="A373" s="653" t="s">
        <v>404</v>
      </c>
      <c r="B373" s="47">
        <v>3530</v>
      </c>
      <c r="C373" s="47">
        <v>57</v>
      </c>
      <c r="D373" s="47">
        <v>127.08</v>
      </c>
      <c r="E373" s="47">
        <v>2012.1</v>
      </c>
      <c r="F373" s="47">
        <v>457.89999999999964</v>
      </c>
      <c r="G373" s="47">
        <v>0</v>
      </c>
      <c r="H373" s="47">
        <v>0</v>
      </c>
      <c r="I373" s="47">
        <v>2470</v>
      </c>
      <c r="J373" s="47">
        <v>6000</v>
      </c>
      <c r="K373" s="47">
        <v>69.971671388101996</v>
      </c>
    </row>
    <row r="374" spans="1:11" s="651" customFormat="1">
      <c r="A374" s="652" t="s">
        <v>405</v>
      </c>
      <c r="B374" s="47">
        <v>10860</v>
      </c>
      <c r="C374" s="47">
        <v>53.4</v>
      </c>
      <c r="D374" s="47">
        <v>839.16</v>
      </c>
      <c r="E374" s="47">
        <v>5801.34</v>
      </c>
      <c r="F374" s="47">
        <v>1838.6599999999999</v>
      </c>
      <c r="G374" s="47">
        <v>0</v>
      </c>
      <c r="H374" s="47">
        <v>0</v>
      </c>
      <c r="I374" s="47">
        <v>7640</v>
      </c>
      <c r="J374" s="47">
        <v>18500</v>
      </c>
      <c r="K374" s="47">
        <v>70.289049529372207</v>
      </c>
    </row>
    <row r="375" spans="1:11" s="651" customFormat="1">
      <c r="A375" s="653" t="s">
        <v>406</v>
      </c>
      <c r="B375" s="47">
        <v>3580</v>
      </c>
      <c r="C375" s="47">
        <v>57.599999999999994</v>
      </c>
      <c r="D375" s="47">
        <v>220.52799999999999</v>
      </c>
      <c r="E375" s="47">
        <v>2062.08</v>
      </c>
      <c r="F375" s="47">
        <v>357.92000000000007</v>
      </c>
      <c r="G375" s="47">
        <v>0</v>
      </c>
      <c r="H375" s="47">
        <v>0</v>
      </c>
      <c r="I375" s="47">
        <v>2420</v>
      </c>
      <c r="J375" s="47">
        <v>6000</v>
      </c>
      <c r="K375" s="47">
        <v>67.597765363128502</v>
      </c>
    </row>
    <row r="376" spans="1:11" s="651" customFormat="1">
      <c r="A376" s="653" t="s">
        <v>407</v>
      </c>
      <c r="B376" s="47">
        <v>3570</v>
      </c>
      <c r="C376" s="47">
        <v>48</v>
      </c>
      <c r="D376" s="47">
        <v>194.208</v>
      </c>
      <c r="E376" s="47">
        <v>1713.6</v>
      </c>
      <c r="F376" s="47">
        <v>716.39999999999964</v>
      </c>
      <c r="G376" s="47">
        <v>0</v>
      </c>
      <c r="H376" s="47">
        <v>0</v>
      </c>
      <c r="I376" s="47">
        <v>2430</v>
      </c>
      <c r="J376" s="47">
        <v>6000</v>
      </c>
      <c r="K376" s="47">
        <v>68.067226890756302</v>
      </c>
    </row>
    <row r="377" spans="1:11">
      <c r="A377" s="653" t="s">
        <v>1006</v>
      </c>
      <c r="B377" s="47">
        <v>3710</v>
      </c>
      <c r="C377" s="47">
        <v>54.6</v>
      </c>
      <c r="D377" s="47">
        <v>424.42399999999998</v>
      </c>
      <c r="E377" s="47">
        <v>2025.66</v>
      </c>
      <c r="F377" s="47">
        <v>764.34000000000015</v>
      </c>
      <c r="G377" s="47">
        <v>0</v>
      </c>
      <c r="H377" s="47">
        <v>0</v>
      </c>
      <c r="I377" s="47">
        <v>2790</v>
      </c>
      <c r="J377" s="47">
        <v>6500</v>
      </c>
      <c r="K377" s="47">
        <v>75.202156334231802</v>
      </c>
    </row>
    <row r="378" spans="1:11">
      <c r="A378" s="652" t="s">
        <v>365</v>
      </c>
      <c r="B378" s="47">
        <v>5070</v>
      </c>
      <c r="C378" s="47">
        <v>54</v>
      </c>
      <c r="D378" s="47">
        <v>267.69600000000003</v>
      </c>
      <c r="E378" s="47">
        <v>2737.8</v>
      </c>
      <c r="F378" s="47">
        <v>0</v>
      </c>
      <c r="G378" s="47">
        <v>0</v>
      </c>
      <c r="H378" s="47">
        <v>2.1999999999998181</v>
      </c>
      <c r="I378" s="47">
        <v>2740</v>
      </c>
      <c r="J378" s="47">
        <v>7810</v>
      </c>
      <c r="K378" s="47">
        <v>54.043392504930964</v>
      </c>
    </row>
    <row r="379" spans="1:11">
      <c r="A379" s="653" t="s">
        <v>366</v>
      </c>
      <c r="B379" s="47">
        <v>5070</v>
      </c>
      <c r="C379" s="47">
        <v>54</v>
      </c>
      <c r="D379" s="47">
        <v>267.69600000000003</v>
      </c>
      <c r="E379" s="47">
        <v>2737.8</v>
      </c>
      <c r="F379" s="47">
        <v>0</v>
      </c>
      <c r="G379" s="47">
        <v>0</v>
      </c>
      <c r="H379" s="47">
        <v>2.1999999999998181</v>
      </c>
      <c r="I379" s="47">
        <v>2740</v>
      </c>
      <c r="J379" s="47">
        <v>7810</v>
      </c>
      <c r="K379" s="47">
        <v>54.043392504930964</v>
      </c>
    </row>
    <row r="380" spans="1:11">
      <c r="A380" s="661" t="s">
        <v>384</v>
      </c>
      <c r="B380" s="47">
        <v>8630</v>
      </c>
      <c r="C380" s="47">
        <v>54.599999999999994</v>
      </c>
      <c r="D380" s="47">
        <v>1286.28</v>
      </c>
      <c r="E380" s="47">
        <v>4741.32</v>
      </c>
      <c r="F380" s="47">
        <v>652</v>
      </c>
      <c r="G380" s="47">
        <v>0</v>
      </c>
      <c r="H380" s="47">
        <v>6.680000000000291</v>
      </c>
      <c r="I380" s="47">
        <v>5400</v>
      </c>
      <c r="J380" s="47">
        <v>14030</v>
      </c>
      <c r="K380" s="47">
        <v>63.979392926761349</v>
      </c>
    </row>
    <row r="381" spans="1:11">
      <c r="A381" s="653" t="s">
        <v>387</v>
      </c>
      <c r="B381" s="47">
        <v>3500</v>
      </c>
      <c r="C381" s="47">
        <v>52.8</v>
      </c>
      <c r="D381" s="47">
        <v>75.599999999999994</v>
      </c>
      <c r="E381" s="47">
        <v>1848</v>
      </c>
      <c r="F381" s="47">
        <v>652</v>
      </c>
      <c r="G381" s="47">
        <v>0</v>
      </c>
      <c r="H381" s="47">
        <v>0</v>
      </c>
      <c r="I381" s="47">
        <v>2500</v>
      </c>
      <c r="J381" s="47">
        <v>6000</v>
      </c>
      <c r="K381" s="47">
        <v>71.428571428571431</v>
      </c>
    </row>
    <row r="382" spans="1:11">
      <c r="A382" s="653" t="s">
        <v>385</v>
      </c>
      <c r="B382" s="47">
        <v>5130</v>
      </c>
      <c r="C382" s="47">
        <v>56.4</v>
      </c>
      <c r="D382" s="47">
        <v>1210.68</v>
      </c>
      <c r="E382" s="47">
        <v>2893.3199999999997</v>
      </c>
      <c r="F382" s="47">
        <v>0</v>
      </c>
      <c r="G382" s="47">
        <v>0</v>
      </c>
      <c r="H382" s="47">
        <v>6.680000000000291</v>
      </c>
      <c r="I382" s="47">
        <v>2900</v>
      </c>
      <c r="J382" s="47">
        <v>8030</v>
      </c>
      <c r="K382" s="47">
        <v>56.530214424951268</v>
      </c>
    </row>
    <row r="383" spans="1:11">
      <c r="A383" s="661" t="s">
        <v>367</v>
      </c>
      <c r="B383" s="47">
        <v>14370</v>
      </c>
      <c r="C383" s="47">
        <v>57</v>
      </c>
      <c r="D383" s="47">
        <v>1822.9279999999999</v>
      </c>
      <c r="E383" s="47">
        <v>8207.94</v>
      </c>
      <c r="F383" s="47">
        <v>6901.5400000000009</v>
      </c>
      <c r="G383" s="47">
        <v>1020.5200000000004</v>
      </c>
      <c r="H383" s="47">
        <v>0</v>
      </c>
      <c r="I383" s="47">
        <v>16130</v>
      </c>
      <c r="J383" s="47">
        <v>30500</v>
      </c>
      <c r="K383" s="47">
        <v>107.6906760475119</v>
      </c>
    </row>
    <row r="384" spans="1:11">
      <c r="A384" s="653" t="s">
        <v>1007</v>
      </c>
      <c r="B384" s="47">
        <v>4190</v>
      </c>
      <c r="C384" s="47">
        <v>54.6</v>
      </c>
      <c r="D384" s="47">
        <v>459.22399999999999</v>
      </c>
      <c r="E384" s="47">
        <v>2287.7400000000002</v>
      </c>
      <c r="F384" s="47">
        <v>522.26000000000022</v>
      </c>
      <c r="G384" s="47">
        <v>500</v>
      </c>
      <c r="H384" s="47">
        <v>0</v>
      </c>
      <c r="I384" s="47">
        <v>3310</v>
      </c>
      <c r="J384" s="47">
        <v>7500</v>
      </c>
      <c r="K384" s="47">
        <v>78.997613365155132</v>
      </c>
    </row>
    <row r="385" spans="1:11">
      <c r="A385" s="653" t="s">
        <v>1008</v>
      </c>
      <c r="B385" s="47">
        <v>5470</v>
      </c>
      <c r="C385" s="47">
        <v>57.599999999999994</v>
      </c>
      <c r="D385" s="47">
        <v>892.70399999999995</v>
      </c>
      <c r="E385" s="47">
        <v>3150.72</v>
      </c>
      <c r="F385" s="47">
        <v>6379.2800000000007</v>
      </c>
      <c r="G385" s="47">
        <v>0</v>
      </c>
      <c r="H385" s="47">
        <v>0</v>
      </c>
      <c r="I385" s="47">
        <v>9530</v>
      </c>
      <c r="J385" s="47">
        <v>15000</v>
      </c>
      <c r="K385" s="47">
        <v>174.22303473491772</v>
      </c>
    </row>
    <row r="386" spans="1:11">
      <c r="A386" s="653" t="s">
        <v>1009</v>
      </c>
      <c r="B386" s="47">
        <v>4710</v>
      </c>
      <c r="C386" s="47">
        <v>58.8</v>
      </c>
      <c r="D386" s="47">
        <v>471</v>
      </c>
      <c r="E386" s="47">
        <v>2769.48</v>
      </c>
      <c r="F386" s="47">
        <v>0</v>
      </c>
      <c r="G386" s="47">
        <v>520.52000000000044</v>
      </c>
      <c r="H386" s="47">
        <v>0</v>
      </c>
      <c r="I386" s="47">
        <v>3290</v>
      </c>
      <c r="J386" s="47">
        <v>8000</v>
      </c>
      <c r="K386" s="47">
        <v>69.85138004246285</v>
      </c>
    </row>
    <row r="387" spans="1:11">
      <c r="A387" s="661" t="s">
        <v>389</v>
      </c>
      <c r="B387" s="47">
        <v>4260</v>
      </c>
      <c r="C387" s="47">
        <v>57.599999999999994</v>
      </c>
      <c r="D387" s="47">
        <v>637.29600000000005</v>
      </c>
      <c r="E387" s="47">
        <v>2453.7599999999998</v>
      </c>
      <c r="F387" s="47">
        <v>0</v>
      </c>
      <c r="G387" s="47">
        <v>0</v>
      </c>
      <c r="H387" s="47">
        <v>6.2399999999997817</v>
      </c>
      <c r="I387" s="47">
        <v>2460</v>
      </c>
      <c r="J387" s="47">
        <v>6720</v>
      </c>
      <c r="K387" s="47">
        <v>57.746478873239433</v>
      </c>
    </row>
    <row r="388" spans="1:11">
      <c r="A388" s="653" t="s">
        <v>390</v>
      </c>
      <c r="B388" s="47">
        <v>4260</v>
      </c>
      <c r="C388" s="47">
        <v>57.599999999999994</v>
      </c>
      <c r="D388" s="47">
        <v>637.29600000000005</v>
      </c>
      <c r="E388" s="47">
        <v>2453.7599999999998</v>
      </c>
      <c r="F388" s="47">
        <v>0</v>
      </c>
      <c r="G388" s="47">
        <v>0</v>
      </c>
      <c r="H388" s="47">
        <v>6.2399999999997817</v>
      </c>
      <c r="I388" s="47">
        <v>2460</v>
      </c>
      <c r="J388" s="47">
        <v>6720</v>
      </c>
      <c r="K388" s="47">
        <v>57.746478873239433</v>
      </c>
    </row>
    <row r="389" spans="1:11">
      <c r="A389" s="661" t="s">
        <v>391</v>
      </c>
      <c r="B389" s="47">
        <v>8200</v>
      </c>
      <c r="C389" s="47">
        <v>56.699999999999996</v>
      </c>
      <c r="D389" s="47">
        <v>555.63200000000006</v>
      </c>
      <c r="E389" s="47">
        <v>4650.66</v>
      </c>
      <c r="F389" s="47">
        <v>0</v>
      </c>
      <c r="G389" s="47">
        <v>0</v>
      </c>
      <c r="H389" s="47">
        <v>9.3400000000001455</v>
      </c>
      <c r="I389" s="47">
        <v>4660</v>
      </c>
      <c r="J389" s="47">
        <v>12860</v>
      </c>
      <c r="K389" s="47">
        <v>56.812515248347225</v>
      </c>
    </row>
    <row r="390" spans="1:11">
      <c r="A390" s="653" t="s">
        <v>392</v>
      </c>
      <c r="B390" s="47">
        <v>4170</v>
      </c>
      <c r="C390" s="47">
        <v>57.599999999999994</v>
      </c>
      <c r="D390" s="47">
        <v>417</v>
      </c>
      <c r="E390" s="47">
        <v>2401.9199999999996</v>
      </c>
      <c r="F390" s="47">
        <v>0</v>
      </c>
      <c r="G390" s="47">
        <v>0</v>
      </c>
      <c r="H390" s="47">
        <v>8.0799999999999272</v>
      </c>
      <c r="I390" s="47">
        <v>2410</v>
      </c>
      <c r="J390" s="47">
        <v>6580</v>
      </c>
      <c r="K390" s="47">
        <v>57.793764988009592</v>
      </c>
    </row>
    <row r="391" spans="1:11">
      <c r="A391" s="653" t="s">
        <v>393</v>
      </c>
      <c r="B391" s="47">
        <v>4030</v>
      </c>
      <c r="C391" s="47">
        <v>55.8</v>
      </c>
      <c r="D391" s="47">
        <v>138.63200000000001</v>
      </c>
      <c r="E391" s="47">
        <v>2248.7399999999998</v>
      </c>
      <c r="F391" s="47">
        <v>0</v>
      </c>
      <c r="G391" s="47">
        <v>0</v>
      </c>
      <c r="H391" s="47">
        <v>1.2600000000002183</v>
      </c>
      <c r="I391" s="47">
        <v>2250</v>
      </c>
      <c r="J391" s="47">
        <v>6280</v>
      </c>
      <c r="K391" s="47">
        <v>55.831265508684865</v>
      </c>
    </row>
    <row r="392" spans="1:11">
      <c r="A392" s="661" t="s">
        <v>63</v>
      </c>
      <c r="B392" s="47">
        <v>15200</v>
      </c>
      <c r="C392" s="47">
        <v>55.8</v>
      </c>
      <c r="D392" s="47">
        <v>594.27199999999993</v>
      </c>
      <c r="E392" s="47">
        <v>8479.68</v>
      </c>
      <c r="F392" s="47">
        <v>1308</v>
      </c>
      <c r="G392" s="47">
        <v>0</v>
      </c>
      <c r="H392" s="47">
        <v>22.319999999999709</v>
      </c>
      <c r="I392" s="47">
        <v>9810</v>
      </c>
      <c r="J392" s="47">
        <v>25010</v>
      </c>
      <c r="K392" s="47">
        <v>64.666910948256714</v>
      </c>
    </row>
    <row r="393" spans="1:11">
      <c r="A393" s="653" t="s">
        <v>409</v>
      </c>
      <c r="B393" s="47">
        <v>3040</v>
      </c>
      <c r="C393" s="47">
        <v>55.8</v>
      </c>
      <c r="D393" s="47">
        <v>114.304</v>
      </c>
      <c r="E393" s="47">
        <v>1696.3199999999997</v>
      </c>
      <c r="F393" s="47">
        <v>0</v>
      </c>
      <c r="G393" s="47">
        <v>0</v>
      </c>
      <c r="H393" s="47">
        <v>3.680000000000291</v>
      </c>
      <c r="I393" s="47">
        <v>1700</v>
      </c>
      <c r="J393" s="47">
        <v>4740</v>
      </c>
      <c r="K393" s="47">
        <v>55.921052631578952</v>
      </c>
    </row>
    <row r="394" spans="1:11">
      <c r="A394" s="653" t="s">
        <v>700</v>
      </c>
      <c r="B394" s="47">
        <v>3000</v>
      </c>
      <c r="C394" s="47">
        <v>58.8</v>
      </c>
      <c r="D394" s="47">
        <v>52.8</v>
      </c>
      <c r="E394" s="47">
        <v>1764</v>
      </c>
      <c r="F394" s="47">
        <v>0</v>
      </c>
      <c r="G394" s="47">
        <v>0</v>
      </c>
      <c r="H394" s="47">
        <v>6</v>
      </c>
      <c r="I394" s="47">
        <v>1770</v>
      </c>
      <c r="J394" s="47">
        <v>4770</v>
      </c>
      <c r="K394" s="47">
        <v>59</v>
      </c>
    </row>
    <row r="395" spans="1:11">
      <c r="A395" s="653" t="s">
        <v>704</v>
      </c>
      <c r="B395" s="47">
        <v>3000</v>
      </c>
      <c r="C395" s="47">
        <v>53.4</v>
      </c>
      <c r="D395" s="47">
        <v>48</v>
      </c>
      <c r="E395" s="47">
        <v>1602</v>
      </c>
      <c r="F395" s="47">
        <v>0</v>
      </c>
      <c r="G395" s="47">
        <v>0</v>
      </c>
      <c r="H395" s="47">
        <v>8</v>
      </c>
      <c r="I395" s="47">
        <v>1610</v>
      </c>
      <c r="J395" s="47">
        <v>4610</v>
      </c>
      <c r="K395" s="47">
        <v>53.666666666666664</v>
      </c>
    </row>
    <row r="396" spans="1:11">
      <c r="A396" s="653" t="s">
        <v>709</v>
      </c>
      <c r="B396" s="47">
        <v>3000</v>
      </c>
      <c r="C396" s="47">
        <v>56.4</v>
      </c>
      <c r="D396" s="47">
        <v>48</v>
      </c>
      <c r="E396" s="47">
        <v>1691.9999999999998</v>
      </c>
      <c r="F396" s="47">
        <v>1308</v>
      </c>
      <c r="G396" s="47">
        <v>0</v>
      </c>
      <c r="H396" s="47">
        <v>0</v>
      </c>
      <c r="I396" s="47">
        <v>3000</v>
      </c>
      <c r="J396" s="47">
        <v>6000</v>
      </c>
      <c r="K396" s="47">
        <v>100</v>
      </c>
    </row>
    <row r="397" spans="1:11">
      <c r="A397" s="653" t="s">
        <v>1010</v>
      </c>
      <c r="B397" s="47">
        <v>3160</v>
      </c>
      <c r="C397" s="47">
        <v>54.6</v>
      </c>
      <c r="D397" s="47">
        <v>331.16800000000001</v>
      </c>
      <c r="E397" s="47">
        <v>1725.3600000000001</v>
      </c>
      <c r="F397" s="47">
        <v>0</v>
      </c>
      <c r="G397" s="47">
        <v>0</v>
      </c>
      <c r="H397" s="47">
        <v>4.6399999999994179</v>
      </c>
      <c r="I397" s="47">
        <v>1730</v>
      </c>
      <c r="J397" s="47">
        <v>4890</v>
      </c>
      <c r="K397" s="47">
        <v>54.746835443037973</v>
      </c>
    </row>
    <row r="398" spans="1:11">
      <c r="A398" s="661" t="s">
        <v>224</v>
      </c>
      <c r="B398" s="47">
        <v>4100</v>
      </c>
      <c r="C398" s="47">
        <v>56.4</v>
      </c>
      <c r="D398" s="47">
        <v>272.24</v>
      </c>
      <c r="E398" s="47">
        <v>2312.3999999999996</v>
      </c>
      <c r="F398" s="47">
        <v>0</v>
      </c>
      <c r="G398" s="47">
        <v>587.60000000000036</v>
      </c>
      <c r="H398" s="47">
        <v>0</v>
      </c>
      <c r="I398" s="47">
        <v>2900</v>
      </c>
      <c r="J398" s="47">
        <v>7000</v>
      </c>
      <c r="K398" s="47">
        <v>70.731707317073173</v>
      </c>
    </row>
    <row r="399" spans="1:11">
      <c r="A399" s="653" t="s">
        <v>394</v>
      </c>
      <c r="B399" s="47">
        <v>4100</v>
      </c>
      <c r="C399" s="47">
        <v>56.4</v>
      </c>
      <c r="D399" s="47">
        <v>272.24</v>
      </c>
      <c r="E399" s="47">
        <v>2312.3999999999996</v>
      </c>
      <c r="F399" s="47">
        <v>0</v>
      </c>
      <c r="G399" s="47">
        <v>587.60000000000036</v>
      </c>
      <c r="H399" s="47">
        <v>0</v>
      </c>
      <c r="I399" s="47">
        <v>2900</v>
      </c>
      <c r="J399" s="47">
        <v>7000</v>
      </c>
      <c r="K399" s="47">
        <v>70.731707317073173</v>
      </c>
    </row>
    <row r="400" spans="1:11">
      <c r="A400" s="661" t="s">
        <v>115</v>
      </c>
      <c r="B400" s="47">
        <v>19440</v>
      </c>
      <c r="C400" s="47">
        <v>59.4</v>
      </c>
      <c r="D400" s="47">
        <v>4618.9440000000004</v>
      </c>
      <c r="E400" s="47">
        <v>11547.359999999999</v>
      </c>
      <c r="F400" s="47">
        <v>0</v>
      </c>
      <c r="G400" s="47">
        <v>0</v>
      </c>
      <c r="H400" s="47">
        <v>12.639999999999418</v>
      </c>
      <c r="I400" s="47">
        <v>11560</v>
      </c>
      <c r="J400" s="47">
        <v>31000</v>
      </c>
      <c r="K400" s="47">
        <v>59.465020576131685</v>
      </c>
    </row>
    <row r="401" spans="1:11">
      <c r="A401" s="653" t="s">
        <v>101</v>
      </c>
      <c r="B401" s="47">
        <v>19440</v>
      </c>
      <c r="C401" s="47">
        <v>59.4</v>
      </c>
      <c r="D401" s="47">
        <v>4618.9440000000004</v>
      </c>
      <c r="E401" s="47">
        <v>11547.359999999999</v>
      </c>
      <c r="F401" s="47">
        <v>0</v>
      </c>
      <c r="G401" s="47">
        <v>0</v>
      </c>
      <c r="H401" s="47">
        <v>12.639999999999418</v>
      </c>
      <c r="I401" s="47">
        <v>11560</v>
      </c>
      <c r="J401" s="47">
        <v>31000</v>
      </c>
      <c r="K401" s="47">
        <v>59.465020576131685</v>
      </c>
    </row>
    <row r="402" spans="1:11">
      <c r="A402" s="661" t="s">
        <v>396</v>
      </c>
      <c r="B402" s="47">
        <v>4340</v>
      </c>
      <c r="C402" s="47">
        <v>56.4</v>
      </c>
      <c r="D402" s="47">
        <v>822.86400000000003</v>
      </c>
      <c r="E402" s="47">
        <v>2447.7599999999998</v>
      </c>
      <c r="F402" s="47">
        <v>0</v>
      </c>
      <c r="G402" s="47">
        <v>0</v>
      </c>
      <c r="H402" s="47">
        <v>2.2399999999997817</v>
      </c>
      <c r="I402" s="47">
        <v>2450</v>
      </c>
      <c r="J402" s="47">
        <v>6790</v>
      </c>
      <c r="K402" s="47">
        <v>56.451612903225808</v>
      </c>
    </row>
    <row r="403" spans="1:11">
      <c r="A403" s="653" t="s">
        <v>397</v>
      </c>
      <c r="B403" s="47">
        <v>4340</v>
      </c>
      <c r="C403" s="47">
        <v>56.4</v>
      </c>
      <c r="D403" s="47">
        <v>822.86400000000003</v>
      </c>
      <c r="E403" s="47">
        <v>2447.7599999999998</v>
      </c>
      <c r="F403" s="47">
        <v>0</v>
      </c>
      <c r="G403" s="47">
        <v>0</v>
      </c>
      <c r="H403" s="47">
        <v>2.2399999999997817</v>
      </c>
      <c r="I403" s="47">
        <v>2450</v>
      </c>
      <c r="J403" s="47">
        <v>6790</v>
      </c>
      <c r="K403" s="47">
        <v>56.451612903225808</v>
      </c>
    </row>
    <row r="404" spans="1:11">
      <c r="A404" s="661" t="s">
        <v>370</v>
      </c>
      <c r="B404" s="47">
        <v>6370</v>
      </c>
      <c r="C404" s="47">
        <v>59.4</v>
      </c>
      <c r="D404" s="47">
        <v>1503.32</v>
      </c>
      <c r="E404" s="47">
        <v>3783.7799999999997</v>
      </c>
      <c r="F404" s="47">
        <v>1846.2200000000012</v>
      </c>
      <c r="G404" s="47">
        <v>0</v>
      </c>
      <c r="H404" s="47">
        <v>0</v>
      </c>
      <c r="I404" s="47">
        <v>5630</v>
      </c>
      <c r="J404" s="47">
        <v>12000</v>
      </c>
      <c r="K404" s="47">
        <v>88.383045525902659</v>
      </c>
    </row>
    <row r="405" spans="1:11">
      <c r="A405" s="653" t="s">
        <v>1011</v>
      </c>
      <c r="B405" s="47">
        <v>6370</v>
      </c>
      <c r="C405" s="47">
        <v>59.4</v>
      </c>
      <c r="D405" s="47">
        <v>1503.32</v>
      </c>
      <c r="E405" s="47">
        <v>3783.7799999999997</v>
      </c>
      <c r="F405" s="47">
        <v>1846.2200000000012</v>
      </c>
      <c r="G405" s="47">
        <v>0</v>
      </c>
      <c r="H405" s="47">
        <v>0</v>
      </c>
      <c r="I405" s="47">
        <v>5630</v>
      </c>
      <c r="J405" s="47">
        <v>12000</v>
      </c>
      <c r="K405" s="47">
        <v>88.383045525902659</v>
      </c>
    </row>
    <row r="406" spans="1:11">
      <c r="A406" s="661" t="s">
        <v>372</v>
      </c>
      <c r="B406" s="47">
        <v>8000</v>
      </c>
      <c r="C406" s="47">
        <v>60</v>
      </c>
      <c r="D406" s="47">
        <v>1465.6</v>
      </c>
      <c r="E406" s="47">
        <v>4800</v>
      </c>
      <c r="F406" s="47">
        <v>2200</v>
      </c>
      <c r="G406" s="47">
        <v>0</v>
      </c>
      <c r="H406" s="47">
        <v>0</v>
      </c>
      <c r="I406" s="47">
        <v>7000</v>
      </c>
      <c r="J406" s="47">
        <v>15000</v>
      </c>
      <c r="K406" s="47">
        <v>87.5</v>
      </c>
    </row>
    <row r="407" spans="1:11">
      <c r="A407" s="653" t="s">
        <v>373</v>
      </c>
      <c r="B407" s="47">
        <v>8000</v>
      </c>
      <c r="C407" s="47">
        <v>60</v>
      </c>
      <c r="D407" s="47">
        <v>1465.6</v>
      </c>
      <c r="E407" s="47">
        <v>4800</v>
      </c>
      <c r="F407" s="47">
        <v>2200</v>
      </c>
      <c r="G407" s="47">
        <v>0</v>
      </c>
      <c r="H407" s="47">
        <v>0</v>
      </c>
      <c r="I407" s="47">
        <v>7000</v>
      </c>
      <c r="J407" s="47">
        <v>15000</v>
      </c>
      <c r="K407" s="47">
        <v>87.5</v>
      </c>
    </row>
    <row r="408" spans="1:11">
      <c r="A408" s="661" t="s">
        <v>374</v>
      </c>
      <c r="B408" s="47">
        <v>5190</v>
      </c>
      <c r="C408" s="47">
        <v>58.8</v>
      </c>
      <c r="D408" s="47">
        <v>498.24</v>
      </c>
      <c r="E408" s="47">
        <v>3051.72</v>
      </c>
      <c r="F408" s="47">
        <v>258.28000000000065</v>
      </c>
      <c r="G408" s="47">
        <v>0</v>
      </c>
      <c r="H408" s="47">
        <v>0</v>
      </c>
      <c r="I408" s="47">
        <v>3310</v>
      </c>
      <c r="J408" s="47">
        <v>8500</v>
      </c>
      <c r="K408" s="47">
        <v>63.776493256262043</v>
      </c>
    </row>
    <row r="409" spans="1:11">
      <c r="A409" s="653" t="s">
        <v>375</v>
      </c>
      <c r="B409" s="47">
        <v>5190</v>
      </c>
      <c r="C409" s="47">
        <v>58.8</v>
      </c>
      <c r="D409" s="47">
        <v>498.24</v>
      </c>
      <c r="E409" s="47">
        <v>3051.72</v>
      </c>
      <c r="F409" s="47">
        <v>258.28000000000065</v>
      </c>
      <c r="G409" s="47">
        <v>0</v>
      </c>
      <c r="H409" s="47">
        <v>0</v>
      </c>
      <c r="I409" s="47">
        <v>3310</v>
      </c>
      <c r="J409" s="47">
        <v>8500</v>
      </c>
      <c r="K409" s="47">
        <v>63.776493256262043</v>
      </c>
    </row>
    <row r="410" spans="1:11">
      <c r="A410" s="661" t="s">
        <v>258</v>
      </c>
      <c r="B410" s="47">
        <v>25780</v>
      </c>
      <c r="C410" s="47">
        <v>51.800000000000004</v>
      </c>
      <c r="D410" s="47">
        <v>4265</v>
      </c>
      <c r="E410" s="47">
        <v>13367.04</v>
      </c>
      <c r="F410" s="47">
        <v>0</v>
      </c>
      <c r="G410" s="47">
        <v>0</v>
      </c>
      <c r="H410" s="47">
        <v>42.959999999999127</v>
      </c>
      <c r="I410" s="47">
        <v>13410</v>
      </c>
      <c r="J410" s="47">
        <v>39190</v>
      </c>
      <c r="K410" s="47">
        <v>51.966998883041576</v>
      </c>
    </row>
    <row r="411" spans="1:11">
      <c r="A411" s="653" t="s">
        <v>380</v>
      </c>
      <c r="B411" s="47">
        <v>4280</v>
      </c>
      <c r="C411" s="47">
        <v>49.8</v>
      </c>
      <c r="D411" s="47">
        <v>667.68</v>
      </c>
      <c r="E411" s="47">
        <v>2131.44</v>
      </c>
      <c r="F411" s="47">
        <v>0</v>
      </c>
      <c r="G411" s="47">
        <v>0</v>
      </c>
      <c r="H411" s="47">
        <v>8.5599999999994907</v>
      </c>
      <c r="I411" s="47">
        <v>2140</v>
      </c>
      <c r="J411" s="47">
        <v>6420</v>
      </c>
      <c r="K411" s="47">
        <v>50</v>
      </c>
    </row>
    <row r="412" spans="1:11">
      <c r="A412" s="653" t="s">
        <v>1012</v>
      </c>
      <c r="B412" s="47">
        <v>4280</v>
      </c>
      <c r="C412" s="47">
        <v>52.8</v>
      </c>
      <c r="D412" s="47">
        <v>674.52800000000002</v>
      </c>
      <c r="E412" s="47">
        <v>2259.84</v>
      </c>
      <c r="F412" s="47">
        <v>0</v>
      </c>
      <c r="G412" s="47">
        <v>0</v>
      </c>
      <c r="H412" s="47">
        <v>0.15999999999985448</v>
      </c>
      <c r="I412" s="47">
        <v>2260</v>
      </c>
      <c r="J412" s="47">
        <v>6540</v>
      </c>
      <c r="K412" s="47">
        <v>52.803738317757016</v>
      </c>
    </row>
    <row r="413" spans="1:11">
      <c r="A413" s="653" t="s">
        <v>399</v>
      </c>
      <c r="B413" s="47">
        <v>4230</v>
      </c>
      <c r="C413" s="47">
        <v>40.199999999999996</v>
      </c>
      <c r="D413" s="47">
        <v>568.51199999999994</v>
      </c>
      <c r="E413" s="47">
        <v>1700.4599999999998</v>
      </c>
      <c r="F413" s="47">
        <v>0</v>
      </c>
      <c r="G413" s="47">
        <v>0</v>
      </c>
      <c r="H413" s="47">
        <v>9.5399999999999636</v>
      </c>
      <c r="I413" s="47">
        <v>1710</v>
      </c>
      <c r="J413" s="47">
        <v>5940</v>
      </c>
      <c r="K413" s="47">
        <v>40.425531914893618</v>
      </c>
    </row>
    <row r="414" spans="1:11">
      <c r="A414" s="653" t="s">
        <v>381</v>
      </c>
      <c r="B414" s="47">
        <v>4270</v>
      </c>
      <c r="C414" s="47">
        <v>53.4</v>
      </c>
      <c r="D414" s="47">
        <v>652.45600000000002</v>
      </c>
      <c r="E414" s="47">
        <v>2280.1800000000003</v>
      </c>
      <c r="F414" s="47">
        <v>0</v>
      </c>
      <c r="G414" s="47">
        <v>0</v>
      </c>
      <c r="H414" s="47">
        <v>9.819999999999709</v>
      </c>
      <c r="I414" s="47">
        <v>2290</v>
      </c>
      <c r="J414" s="47">
        <v>6560</v>
      </c>
      <c r="K414" s="47">
        <v>53.629976580796246</v>
      </c>
    </row>
    <row r="415" spans="1:11">
      <c r="A415" s="653" t="s">
        <v>400</v>
      </c>
      <c r="B415" s="47">
        <v>4440</v>
      </c>
      <c r="C415" s="47">
        <v>56.4</v>
      </c>
      <c r="D415" s="47">
        <v>1047.8399999999999</v>
      </c>
      <c r="E415" s="47">
        <v>2504.16</v>
      </c>
      <c r="F415" s="47">
        <v>0</v>
      </c>
      <c r="G415" s="47">
        <v>0</v>
      </c>
      <c r="H415" s="47">
        <v>5.8400000000001455</v>
      </c>
      <c r="I415" s="47">
        <v>2510</v>
      </c>
      <c r="J415" s="47">
        <v>6950</v>
      </c>
      <c r="K415" s="47">
        <v>56.531531531531535</v>
      </c>
    </row>
    <row r="416" spans="1:11">
      <c r="A416" s="653" t="s">
        <v>401</v>
      </c>
      <c r="B416" s="47">
        <v>4280</v>
      </c>
      <c r="C416" s="47">
        <v>58.199999999999996</v>
      </c>
      <c r="D416" s="47">
        <v>653.98400000000004</v>
      </c>
      <c r="E416" s="47">
        <v>2490.96</v>
      </c>
      <c r="F416" s="47">
        <v>0</v>
      </c>
      <c r="G416" s="47">
        <v>0</v>
      </c>
      <c r="H416" s="47">
        <v>9.0399999999999636</v>
      </c>
      <c r="I416" s="47">
        <v>2500</v>
      </c>
      <c r="J416" s="47">
        <v>6780</v>
      </c>
      <c r="K416" s="47">
        <v>58.411214953271035</v>
      </c>
    </row>
    <row r="417" spans="1:11">
      <c r="A417" s="656" t="s">
        <v>82</v>
      </c>
      <c r="B417" s="47">
        <v>23950</v>
      </c>
      <c r="C417" s="47">
        <v>58.8</v>
      </c>
      <c r="D417" s="47">
        <v>3024.192</v>
      </c>
      <c r="E417" s="47">
        <v>14116.44</v>
      </c>
      <c r="F417" s="47">
        <v>14933.56</v>
      </c>
      <c r="G417" s="47">
        <v>3000</v>
      </c>
      <c r="H417" s="47">
        <v>0</v>
      </c>
      <c r="I417" s="47">
        <v>32050</v>
      </c>
      <c r="J417" s="47">
        <v>56000</v>
      </c>
      <c r="K417" s="47">
        <v>129.60089940700419</v>
      </c>
    </row>
    <row r="418" spans="1:11">
      <c r="A418" s="652" t="s">
        <v>112</v>
      </c>
      <c r="B418" s="47">
        <v>13950</v>
      </c>
      <c r="C418" s="47">
        <v>58.599999999999994</v>
      </c>
      <c r="D418" s="47">
        <v>1144.192</v>
      </c>
      <c r="E418" s="47">
        <v>8176.4400000000005</v>
      </c>
      <c r="F418" s="47">
        <v>5873.5599999999995</v>
      </c>
      <c r="G418" s="47">
        <v>3000</v>
      </c>
      <c r="H418" s="47">
        <v>0</v>
      </c>
      <c r="I418" s="47">
        <v>17050</v>
      </c>
      <c r="J418" s="47">
        <v>31000</v>
      </c>
      <c r="K418" s="47">
        <v>122.80119920933892</v>
      </c>
    </row>
    <row r="419" spans="1:11">
      <c r="A419" s="653" t="s">
        <v>413</v>
      </c>
      <c r="B419" s="47">
        <v>4500</v>
      </c>
      <c r="C419" s="47">
        <v>58.8</v>
      </c>
      <c r="D419" s="47">
        <v>147.6</v>
      </c>
      <c r="E419" s="47">
        <v>2646</v>
      </c>
      <c r="F419" s="47">
        <v>854</v>
      </c>
      <c r="G419" s="47">
        <v>1000</v>
      </c>
      <c r="H419" s="47">
        <v>0</v>
      </c>
      <c r="I419" s="47">
        <v>4500</v>
      </c>
      <c r="J419" s="47">
        <v>9000</v>
      </c>
      <c r="K419" s="47">
        <v>100</v>
      </c>
    </row>
    <row r="420" spans="1:11">
      <c r="A420" s="653" t="s">
        <v>411</v>
      </c>
      <c r="B420" s="47">
        <v>5090</v>
      </c>
      <c r="C420" s="47">
        <v>58.8</v>
      </c>
      <c r="D420" s="47">
        <v>285.04000000000002</v>
      </c>
      <c r="E420" s="47">
        <v>2992.9199999999996</v>
      </c>
      <c r="F420" s="47">
        <v>1917.08</v>
      </c>
      <c r="G420" s="47">
        <v>1000</v>
      </c>
      <c r="H420" s="47">
        <v>0</v>
      </c>
      <c r="I420" s="47">
        <v>5910</v>
      </c>
      <c r="J420" s="47">
        <v>11000</v>
      </c>
      <c r="K420" s="47">
        <v>116.11001964636543</v>
      </c>
    </row>
    <row r="421" spans="1:11">
      <c r="A421" s="663" t="s">
        <v>412</v>
      </c>
      <c r="B421" s="47">
        <v>4360</v>
      </c>
      <c r="C421" s="47">
        <v>58.199999999999996</v>
      </c>
      <c r="D421" s="47">
        <v>711.55200000000002</v>
      </c>
      <c r="E421" s="47">
        <v>2537.52</v>
      </c>
      <c r="F421" s="47">
        <v>3102.4799999999996</v>
      </c>
      <c r="G421" s="47">
        <v>1000</v>
      </c>
      <c r="H421" s="47">
        <v>0</v>
      </c>
      <c r="I421" s="47">
        <v>6640</v>
      </c>
      <c r="J421" s="47">
        <v>11000</v>
      </c>
      <c r="K421" s="47">
        <v>152.29357798165137</v>
      </c>
    </row>
    <row r="422" spans="1:11">
      <c r="A422" s="652" t="s">
        <v>113</v>
      </c>
      <c r="B422" s="47">
        <v>10000</v>
      </c>
      <c r="C422" s="47">
        <v>59.4</v>
      </c>
      <c r="D422" s="47">
        <v>1880</v>
      </c>
      <c r="E422" s="47">
        <v>5940</v>
      </c>
      <c r="F422" s="47">
        <v>9060</v>
      </c>
      <c r="G422" s="47">
        <v>0</v>
      </c>
      <c r="H422" s="47">
        <v>0</v>
      </c>
      <c r="I422" s="47">
        <v>15000</v>
      </c>
      <c r="J422" s="47">
        <v>25000</v>
      </c>
      <c r="K422" s="47">
        <v>150</v>
      </c>
    </row>
    <row r="423" spans="1:11">
      <c r="A423" s="663" t="s">
        <v>99</v>
      </c>
      <c r="B423" s="47">
        <v>10000</v>
      </c>
      <c r="C423" s="47">
        <v>59.4</v>
      </c>
      <c r="D423" s="47">
        <v>1880</v>
      </c>
      <c r="E423" s="47">
        <v>5940</v>
      </c>
      <c r="F423" s="47">
        <v>9060</v>
      </c>
      <c r="G423" s="47">
        <v>0</v>
      </c>
      <c r="H423" s="47">
        <v>0</v>
      </c>
      <c r="I423" s="47">
        <v>15000</v>
      </c>
      <c r="J423" s="47">
        <v>25000</v>
      </c>
      <c r="K423" s="47">
        <v>150</v>
      </c>
    </row>
    <row r="424" spans="1:11">
      <c r="A424" s="656" t="s">
        <v>83</v>
      </c>
      <c r="B424" s="47">
        <v>115610</v>
      </c>
      <c r="C424" s="47">
        <v>54.790909090909096</v>
      </c>
      <c r="D424" s="47">
        <v>13397.640000000001</v>
      </c>
      <c r="E424" s="47">
        <v>63771.42</v>
      </c>
      <c r="F424" s="47">
        <v>7749.0800000000036</v>
      </c>
      <c r="G424" s="47">
        <v>4263.1600000000017</v>
      </c>
      <c r="H424" s="47">
        <v>76.340000000001055</v>
      </c>
      <c r="I424" s="47">
        <v>75860</v>
      </c>
      <c r="J424" s="47">
        <v>191470</v>
      </c>
      <c r="K424" s="47">
        <v>63.291646436719617</v>
      </c>
    </row>
    <row r="425" spans="1:11">
      <c r="A425" s="652" t="s">
        <v>312</v>
      </c>
      <c r="B425" s="47">
        <v>4530</v>
      </c>
      <c r="C425" s="47">
        <v>52.8</v>
      </c>
      <c r="D425" s="47">
        <v>155.83199999999999</v>
      </c>
      <c r="E425" s="47">
        <v>2391.84</v>
      </c>
      <c r="F425" s="47">
        <v>0</v>
      </c>
      <c r="G425" s="47">
        <v>0</v>
      </c>
      <c r="H425" s="47">
        <v>8.1599999999998545</v>
      </c>
      <c r="I425" s="47">
        <v>2400</v>
      </c>
      <c r="J425" s="47">
        <v>6930</v>
      </c>
      <c r="K425" s="47">
        <v>52.980132450331126</v>
      </c>
    </row>
    <row r="426" spans="1:11">
      <c r="A426" s="653" t="s">
        <v>313</v>
      </c>
      <c r="B426" s="47">
        <v>4530</v>
      </c>
      <c r="C426" s="47">
        <v>52.8</v>
      </c>
      <c r="D426" s="47">
        <v>155.83199999999999</v>
      </c>
      <c r="E426" s="47">
        <v>2391.84</v>
      </c>
      <c r="F426" s="47">
        <v>0</v>
      </c>
      <c r="G426" s="47">
        <v>0</v>
      </c>
      <c r="H426" s="47">
        <v>8.1599999999998545</v>
      </c>
      <c r="I426" s="47">
        <v>2400</v>
      </c>
      <c r="J426" s="47">
        <v>6930</v>
      </c>
      <c r="K426" s="47">
        <v>52.980132450331126</v>
      </c>
    </row>
    <row r="427" spans="1:11">
      <c r="A427" s="652" t="s">
        <v>995</v>
      </c>
      <c r="B427" s="47">
        <v>4250</v>
      </c>
      <c r="C427" s="47">
        <v>54</v>
      </c>
      <c r="D427" s="47">
        <v>68</v>
      </c>
      <c r="E427" s="47">
        <v>2295</v>
      </c>
      <c r="F427" s="47">
        <v>0</v>
      </c>
      <c r="G427" s="47">
        <v>0</v>
      </c>
      <c r="H427" s="47">
        <v>5</v>
      </c>
      <c r="I427" s="47">
        <v>2300</v>
      </c>
      <c r="J427" s="47">
        <v>6550</v>
      </c>
      <c r="K427" s="47">
        <v>54.117647058823529</v>
      </c>
    </row>
    <row r="428" spans="1:11">
      <c r="A428" s="653" t="s">
        <v>680</v>
      </c>
      <c r="B428" s="47">
        <v>4250</v>
      </c>
      <c r="C428" s="47">
        <v>54</v>
      </c>
      <c r="D428" s="47">
        <v>68</v>
      </c>
      <c r="E428" s="47">
        <v>2295</v>
      </c>
      <c r="F428" s="47">
        <v>0</v>
      </c>
      <c r="G428" s="47">
        <v>0</v>
      </c>
      <c r="H428" s="47">
        <v>5</v>
      </c>
      <c r="I428" s="47">
        <v>2300</v>
      </c>
      <c r="J428" s="47">
        <v>6550</v>
      </c>
      <c r="K428" s="47">
        <v>54.117647058823529</v>
      </c>
    </row>
    <row r="429" spans="1:11">
      <c r="A429" s="652" t="s">
        <v>418</v>
      </c>
      <c r="B429" s="47">
        <v>21060</v>
      </c>
      <c r="C429" s="47">
        <v>53.4</v>
      </c>
      <c r="D429" s="47">
        <v>2747.4079999999999</v>
      </c>
      <c r="E429" s="47">
        <v>11324.76</v>
      </c>
      <c r="F429" s="47">
        <v>11.040000000000873</v>
      </c>
      <c r="G429" s="47">
        <v>1000</v>
      </c>
      <c r="H429" s="47">
        <v>14.199999999998909</v>
      </c>
      <c r="I429" s="47">
        <v>12350</v>
      </c>
      <c r="J429" s="47">
        <v>33410</v>
      </c>
      <c r="K429" s="47">
        <v>56.770292041100831</v>
      </c>
    </row>
    <row r="430" spans="1:11">
      <c r="A430" s="653" t="s">
        <v>419</v>
      </c>
      <c r="B430" s="47">
        <v>7730</v>
      </c>
      <c r="C430" s="47">
        <v>55.199999999999996</v>
      </c>
      <c r="D430" s="47">
        <v>1836.6479999999999</v>
      </c>
      <c r="E430" s="47">
        <v>4266.9599999999991</v>
      </c>
      <c r="F430" s="47">
        <v>3.0400000000008731</v>
      </c>
      <c r="G430" s="47">
        <v>1000</v>
      </c>
      <c r="H430" s="47">
        <v>0</v>
      </c>
      <c r="I430" s="47">
        <v>5270</v>
      </c>
      <c r="J430" s="47">
        <v>13000</v>
      </c>
      <c r="K430" s="47">
        <v>68.175937904269091</v>
      </c>
    </row>
    <row r="431" spans="1:11">
      <c r="A431" s="653" t="s">
        <v>996</v>
      </c>
      <c r="B431" s="47">
        <v>4730</v>
      </c>
      <c r="C431" s="47">
        <v>54</v>
      </c>
      <c r="D431" s="47">
        <v>548.67999999999995</v>
      </c>
      <c r="E431" s="47">
        <v>2554.2000000000003</v>
      </c>
      <c r="F431" s="47">
        <v>0</v>
      </c>
      <c r="G431" s="47">
        <v>0</v>
      </c>
      <c r="H431" s="47">
        <v>5.7999999999992724</v>
      </c>
      <c r="I431" s="47">
        <v>2560</v>
      </c>
      <c r="J431" s="47">
        <v>7290</v>
      </c>
      <c r="K431" s="47">
        <v>54.122621564482031</v>
      </c>
    </row>
    <row r="432" spans="1:11">
      <c r="A432" s="653" t="s">
        <v>997</v>
      </c>
      <c r="B432" s="47">
        <v>4000</v>
      </c>
      <c r="C432" s="47">
        <v>49.8</v>
      </c>
      <c r="D432" s="47">
        <v>64</v>
      </c>
      <c r="E432" s="47">
        <v>1992</v>
      </c>
      <c r="F432" s="47">
        <v>8</v>
      </c>
      <c r="G432" s="47">
        <v>0</v>
      </c>
      <c r="H432" s="47">
        <v>0</v>
      </c>
      <c r="I432" s="47">
        <v>2000</v>
      </c>
      <c r="J432" s="47">
        <v>6000</v>
      </c>
      <c r="K432" s="47">
        <v>50</v>
      </c>
    </row>
    <row r="433" spans="1:11">
      <c r="A433" s="653" t="s">
        <v>998</v>
      </c>
      <c r="B433" s="47">
        <v>4600</v>
      </c>
      <c r="C433" s="47">
        <v>54.6</v>
      </c>
      <c r="D433" s="47">
        <v>298.08</v>
      </c>
      <c r="E433" s="47">
        <v>2511.6000000000004</v>
      </c>
      <c r="F433" s="47">
        <v>0</v>
      </c>
      <c r="G433" s="47">
        <v>0</v>
      </c>
      <c r="H433" s="47">
        <v>8.3999999999996362</v>
      </c>
      <c r="I433" s="47">
        <v>2520</v>
      </c>
      <c r="J433" s="47">
        <v>7120</v>
      </c>
      <c r="K433" s="47">
        <v>54.782608695652172</v>
      </c>
    </row>
    <row r="434" spans="1:11">
      <c r="A434" s="652" t="s">
        <v>423</v>
      </c>
      <c r="B434" s="47">
        <v>17390</v>
      </c>
      <c r="C434" s="47">
        <v>54.9</v>
      </c>
      <c r="D434" s="47">
        <v>1043.3119999999999</v>
      </c>
      <c r="E434" s="47">
        <v>9562.14</v>
      </c>
      <c r="F434" s="47">
        <v>0</v>
      </c>
      <c r="G434" s="47">
        <v>1146.6400000000012</v>
      </c>
      <c r="H434" s="47">
        <v>11.220000000000255</v>
      </c>
      <c r="I434" s="47">
        <v>10720</v>
      </c>
      <c r="J434" s="47">
        <v>28110</v>
      </c>
      <c r="K434" s="47">
        <v>61.275732143951934</v>
      </c>
    </row>
    <row r="435" spans="1:11">
      <c r="A435" s="653" t="s">
        <v>430</v>
      </c>
      <c r="B435" s="47">
        <v>4070</v>
      </c>
      <c r="C435" s="47">
        <v>54.6</v>
      </c>
      <c r="D435" s="47">
        <v>201.87200000000001</v>
      </c>
      <c r="E435" s="47">
        <v>2222.2200000000003</v>
      </c>
      <c r="F435" s="47">
        <v>0</v>
      </c>
      <c r="G435" s="47">
        <v>0</v>
      </c>
      <c r="H435" s="47">
        <v>7.7799999999997453</v>
      </c>
      <c r="I435" s="47">
        <v>2230</v>
      </c>
      <c r="J435" s="47">
        <v>6300</v>
      </c>
      <c r="K435" s="47">
        <v>54.791154791154788</v>
      </c>
    </row>
    <row r="436" spans="1:11">
      <c r="A436" s="653" t="s">
        <v>999</v>
      </c>
      <c r="B436" s="47">
        <v>4160</v>
      </c>
      <c r="C436" s="47">
        <v>51.6</v>
      </c>
      <c r="D436" s="47">
        <v>399.36</v>
      </c>
      <c r="E436" s="47">
        <v>2146.56</v>
      </c>
      <c r="F436" s="47">
        <v>0</v>
      </c>
      <c r="G436" s="47">
        <v>0</v>
      </c>
      <c r="H436" s="47">
        <v>3.4400000000005093</v>
      </c>
      <c r="I436" s="47">
        <v>2150</v>
      </c>
      <c r="J436" s="47">
        <v>6310</v>
      </c>
      <c r="K436" s="47">
        <v>51.682692307692307</v>
      </c>
    </row>
    <row r="437" spans="1:11">
      <c r="A437" s="653" t="s">
        <v>424</v>
      </c>
      <c r="B437" s="47">
        <v>4520</v>
      </c>
      <c r="C437" s="47">
        <v>57</v>
      </c>
      <c r="D437" s="47">
        <v>126.56</v>
      </c>
      <c r="E437" s="47">
        <v>2576.3999999999996</v>
      </c>
      <c r="F437" s="47">
        <v>0</v>
      </c>
      <c r="G437" s="47">
        <v>903.60000000000036</v>
      </c>
      <c r="H437" s="47">
        <v>0</v>
      </c>
      <c r="I437" s="47">
        <v>3480</v>
      </c>
      <c r="J437" s="47">
        <v>8000</v>
      </c>
      <c r="K437" s="47">
        <v>76.991150442477874</v>
      </c>
    </row>
    <row r="438" spans="1:11">
      <c r="A438" s="653" t="s">
        <v>1000</v>
      </c>
      <c r="B438" s="47">
        <v>4640</v>
      </c>
      <c r="C438" s="47">
        <v>56.4</v>
      </c>
      <c r="D438" s="47">
        <v>315.52</v>
      </c>
      <c r="E438" s="47">
        <v>2616.9599999999996</v>
      </c>
      <c r="F438" s="47">
        <v>0</v>
      </c>
      <c r="G438" s="47">
        <v>243.04000000000087</v>
      </c>
      <c r="H438" s="47">
        <v>0</v>
      </c>
      <c r="I438" s="47">
        <v>2860</v>
      </c>
      <c r="J438" s="47">
        <v>7500</v>
      </c>
      <c r="K438" s="47">
        <v>61.637931034482762</v>
      </c>
    </row>
    <row r="439" spans="1:11">
      <c r="A439" s="652" t="s">
        <v>426</v>
      </c>
      <c r="B439" s="47">
        <v>13950</v>
      </c>
      <c r="C439" s="47">
        <v>54</v>
      </c>
      <c r="D439" s="47">
        <v>1937.2239999999999</v>
      </c>
      <c r="E439" s="47">
        <v>7542.36</v>
      </c>
      <c r="F439" s="47">
        <v>0</v>
      </c>
      <c r="G439" s="47">
        <v>0</v>
      </c>
      <c r="H439" s="47">
        <v>17.640000000001237</v>
      </c>
      <c r="I439" s="47">
        <v>7560</v>
      </c>
      <c r="J439" s="47">
        <v>21510</v>
      </c>
      <c r="K439" s="47">
        <v>54.132299755157383</v>
      </c>
    </row>
    <row r="440" spans="1:11">
      <c r="A440" s="653" t="s">
        <v>432</v>
      </c>
      <c r="B440" s="47">
        <v>4060</v>
      </c>
      <c r="C440" s="47">
        <v>54</v>
      </c>
      <c r="D440" s="47">
        <v>188.38399999999999</v>
      </c>
      <c r="E440" s="47">
        <v>2192.4</v>
      </c>
      <c r="F440" s="47">
        <v>0</v>
      </c>
      <c r="G440" s="47">
        <v>0</v>
      </c>
      <c r="H440" s="47">
        <v>7.6000000000003638</v>
      </c>
      <c r="I440" s="47">
        <v>2200</v>
      </c>
      <c r="J440" s="47">
        <v>6260</v>
      </c>
      <c r="K440" s="47">
        <v>54.187192118226598</v>
      </c>
    </row>
    <row r="441" spans="1:11">
      <c r="A441" s="653" t="s">
        <v>1001</v>
      </c>
      <c r="B441" s="47">
        <v>5140</v>
      </c>
      <c r="C441" s="47">
        <v>56.4</v>
      </c>
      <c r="D441" s="47">
        <v>1213.04</v>
      </c>
      <c r="E441" s="47">
        <v>2898.9599999999996</v>
      </c>
      <c r="F441" s="47">
        <v>0</v>
      </c>
      <c r="G441" s="47">
        <v>0</v>
      </c>
      <c r="H441" s="47">
        <v>1.0400000000008731</v>
      </c>
      <c r="I441" s="47">
        <v>2900</v>
      </c>
      <c r="J441" s="47">
        <v>8040</v>
      </c>
      <c r="K441" s="47">
        <v>56.420233463035018</v>
      </c>
    </row>
    <row r="442" spans="1:11">
      <c r="A442" s="653" t="s">
        <v>429</v>
      </c>
      <c r="B442" s="47">
        <v>4750</v>
      </c>
      <c r="C442" s="47">
        <v>51.6</v>
      </c>
      <c r="D442" s="47">
        <v>535.79999999999995</v>
      </c>
      <c r="E442" s="47">
        <v>2451</v>
      </c>
      <c r="F442" s="47">
        <v>0</v>
      </c>
      <c r="G442" s="47">
        <v>0</v>
      </c>
      <c r="H442" s="47">
        <v>9</v>
      </c>
      <c r="I442" s="47">
        <v>2460</v>
      </c>
      <c r="J442" s="47">
        <v>7210</v>
      </c>
      <c r="K442" s="47">
        <v>51.789473684210527</v>
      </c>
    </row>
    <row r="443" spans="1:11">
      <c r="A443" s="652" t="s">
        <v>433</v>
      </c>
      <c r="B443" s="47">
        <v>4060</v>
      </c>
      <c r="C443" s="47">
        <v>54.6</v>
      </c>
      <c r="D443" s="47">
        <v>188.38399999999999</v>
      </c>
      <c r="E443" s="47">
        <v>2216.7600000000002</v>
      </c>
      <c r="F443" s="47">
        <v>0</v>
      </c>
      <c r="G443" s="47">
        <v>0</v>
      </c>
      <c r="H443" s="47">
        <v>3.2399999999997817</v>
      </c>
      <c r="I443" s="47">
        <v>2220</v>
      </c>
      <c r="J443" s="47">
        <v>6280</v>
      </c>
      <c r="K443" s="47">
        <v>54.679802955665025</v>
      </c>
    </row>
    <row r="444" spans="1:11">
      <c r="A444" s="653" t="s">
        <v>434</v>
      </c>
      <c r="B444" s="47">
        <v>4060</v>
      </c>
      <c r="C444" s="47">
        <v>54.6</v>
      </c>
      <c r="D444" s="47">
        <v>188.38399999999999</v>
      </c>
      <c r="E444" s="47">
        <v>2216.7600000000002</v>
      </c>
      <c r="F444" s="47">
        <v>0</v>
      </c>
      <c r="G444" s="47">
        <v>0</v>
      </c>
      <c r="H444" s="47">
        <v>3.2399999999997817</v>
      </c>
      <c r="I444" s="47">
        <v>2220</v>
      </c>
      <c r="J444" s="47">
        <v>6280</v>
      </c>
      <c r="K444" s="47">
        <v>54.679802955665025</v>
      </c>
    </row>
    <row r="445" spans="1:11">
      <c r="A445" s="652" t="s">
        <v>435</v>
      </c>
      <c r="B445" s="47">
        <v>14590</v>
      </c>
      <c r="C445" s="47">
        <v>56.599999999999994</v>
      </c>
      <c r="D445" s="47">
        <v>2631.8320000000003</v>
      </c>
      <c r="E445" s="47">
        <v>8283.24</v>
      </c>
      <c r="F445" s="47">
        <v>559.76000000000022</v>
      </c>
      <c r="G445" s="47">
        <v>1000</v>
      </c>
      <c r="H445" s="47">
        <v>7</v>
      </c>
      <c r="I445" s="47">
        <v>9850</v>
      </c>
      <c r="J445" s="47">
        <v>24440</v>
      </c>
      <c r="K445" s="47">
        <v>65.335896184971489</v>
      </c>
    </row>
    <row r="446" spans="1:11">
      <c r="A446" s="653" t="s">
        <v>1002</v>
      </c>
      <c r="B446" s="47">
        <v>4580</v>
      </c>
      <c r="C446" s="47">
        <v>57.599999999999994</v>
      </c>
      <c r="D446" s="47">
        <v>1099.2</v>
      </c>
      <c r="E446" s="47">
        <v>2638.08</v>
      </c>
      <c r="F446" s="47">
        <v>0</v>
      </c>
      <c r="G446" s="47">
        <v>0</v>
      </c>
      <c r="H446" s="47">
        <v>1.9200000000000728</v>
      </c>
      <c r="I446" s="47">
        <v>2640</v>
      </c>
      <c r="J446" s="47">
        <v>7220</v>
      </c>
      <c r="K446" s="47">
        <v>57.641921397379917</v>
      </c>
    </row>
    <row r="447" spans="1:11">
      <c r="A447" s="653" t="s">
        <v>437</v>
      </c>
      <c r="B447" s="47">
        <v>4020</v>
      </c>
      <c r="C447" s="47">
        <v>54.6</v>
      </c>
      <c r="D447" s="47">
        <v>118.992</v>
      </c>
      <c r="E447" s="47">
        <v>2194.92</v>
      </c>
      <c r="F447" s="47">
        <v>0</v>
      </c>
      <c r="G447" s="47">
        <v>0</v>
      </c>
      <c r="H447" s="47">
        <v>5.0799999999999272</v>
      </c>
      <c r="I447" s="47">
        <v>2200</v>
      </c>
      <c r="J447" s="47">
        <v>6220</v>
      </c>
      <c r="K447" s="47">
        <v>54.726368159203979</v>
      </c>
    </row>
    <row r="448" spans="1:11">
      <c r="A448" s="653" t="s">
        <v>438</v>
      </c>
      <c r="B448" s="47">
        <v>5990</v>
      </c>
      <c r="C448" s="47">
        <v>57.599999999999994</v>
      </c>
      <c r="D448" s="47">
        <v>1413.64</v>
      </c>
      <c r="E448" s="47">
        <v>3450.24</v>
      </c>
      <c r="F448" s="47">
        <v>559.76000000000022</v>
      </c>
      <c r="G448" s="47">
        <v>1000</v>
      </c>
      <c r="H448" s="47">
        <v>0</v>
      </c>
      <c r="I448" s="47">
        <v>5010</v>
      </c>
      <c r="J448" s="47">
        <v>11000</v>
      </c>
      <c r="K448" s="47">
        <v>83.639398998330549</v>
      </c>
    </row>
    <row r="449" spans="1:11">
      <c r="A449" s="652" t="s">
        <v>416</v>
      </c>
      <c r="B449" s="47">
        <v>5140</v>
      </c>
      <c r="C449" s="47">
        <v>59.4</v>
      </c>
      <c r="D449" s="47">
        <v>341.29599999999999</v>
      </c>
      <c r="E449" s="47">
        <v>3053.16</v>
      </c>
      <c r="F449" s="47">
        <v>3806.84</v>
      </c>
      <c r="G449" s="47">
        <v>0</v>
      </c>
      <c r="H449" s="47">
        <v>0</v>
      </c>
      <c r="I449" s="47">
        <v>6860</v>
      </c>
      <c r="J449" s="47">
        <v>12000</v>
      </c>
      <c r="K449" s="47">
        <v>133.46303501945525</v>
      </c>
    </row>
    <row r="450" spans="1:11">
      <c r="A450" s="653" t="s">
        <v>417</v>
      </c>
      <c r="B450" s="47">
        <v>5140</v>
      </c>
      <c r="C450" s="47">
        <v>59.4</v>
      </c>
      <c r="D450" s="47">
        <v>341.29599999999999</v>
      </c>
      <c r="E450" s="47">
        <v>3053.16</v>
      </c>
      <c r="F450" s="47">
        <v>3806.84</v>
      </c>
      <c r="G450" s="47">
        <v>0</v>
      </c>
      <c r="H450" s="47">
        <v>0</v>
      </c>
      <c r="I450" s="47">
        <v>6860</v>
      </c>
      <c r="J450" s="47">
        <v>12000</v>
      </c>
      <c r="K450" s="47">
        <v>133.46303501945525</v>
      </c>
    </row>
    <row r="451" spans="1:11">
      <c r="A451" s="652" t="s">
        <v>114</v>
      </c>
      <c r="B451" s="47">
        <v>13620</v>
      </c>
      <c r="C451" s="47">
        <v>58.8</v>
      </c>
      <c r="D451" s="47">
        <v>3192.5279999999998</v>
      </c>
      <c r="E451" s="47">
        <v>8008.5599999999995</v>
      </c>
      <c r="F451" s="47">
        <v>3371.4400000000023</v>
      </c>
      <c r="G451" s="47">
        <v>0</v>
      </c>
      <c r="H451" s="47">
        <v>0</v>
      </c>
      <c r="I451" s="47">
        <v>11380</v>
      </c>
      <c r="J451" s="47">
        <v>25000</v>
      </c>
      <c r="K451" s="47">
        <v>83.55359765051395</v>
      </c>
    </row>
    <row r="452" spans="1:11">
      <c r="A452" s="653" t="s">
        <v>100</v>
      </c>
      <c r="B452" s="47">
        <v>13620</v>
      </c>
      <c r="C452" s="47">
        <v>58.8</v>
      </c>
      <c r="D452" s="47">
        <v>3192.5279999999998</v>
      </c>
      <c r="E452" s="47">
        <v>8008.5599999999995</v>
      </c>
      <c r="F452" s="47">
        <v>3371.4400000000023</v>
      </c>
      <c r="G452" s="47">
        <v>0</v>
      </c>
      <c r="H452" s="47">
        <v>0</v>
      </c>
      <c r="I452" s="47">
        <v>11380</v>
      </c>
      <c r="J452" s="47">
        <v>25000</v>
      </c>
      <c r="K452" s="47">
        <v>83.55359765051395</v>
      </c>
    </row>
    <row r="453" spans="1:11">
      <c r="A453" s="652" t="s">
        <v>439</v>
      </c>
      <c r="B453" s="47">
        <v>7460</v>
      </c>
      <c r="C453" s="47">
        <v>52.199999999999996</v>
      </c>
      <c r="D453" s="47">
        <v>853.42399999999998</v>
      </c>
      <c r="E453" s="47">
        <v>3894.1199999999994</v>
      </c>
      <c r="F453" s="47">
        <v>0</v>
      </c>
      <c r="G453" s="47">
        <v>0</v>
      </c>
      <c r="H453" s="47">
        <v>5.8800000000010186</v>
      </c>
      <c r="I453" s="47">
        <v>3900</v>
      </c>
      <c r="J453" s="47">
        <v>11360</v>
      </c>
      <c r="K453" s="47">
        <v>52.278820375335123</v>
      </c>
    </row>
    <row r="454" spans="1:11">
      <c r="A454" s="653" t="s">
        <v>1003</v>
      </c>
      <c r="B454" s="47">
        <v>7460</v>
      </c>
      <c r="C454" s="47">
        <v>52.199999999999996</v>
      </c>
      <c r="D454" s="47">
        <v>853.42399999999998</v>
      </c>
      <c r="E454" s="47">
        <v>3894.1199999999994</v>
      </c>
      <c r="F454" s="47">
        <v>0</v>
      </c>
      <c r="G454" s="47">
        <v>0</v>
      </c>
      <c r="H454" s="47">
        <v>5.8800000000010186</v>
      </c>
      <c r="I454" s="47">
        <v>3900</v>
      </c>
      <c r="J454" s="47">
        <v>11360</v>
      </c>
      <c r="K454" s="47">
        <v>52.278820375335123</v>
      </c>
    </row>
    <row r="455" spans="1:11">
      <c r="A455" s="652" t="s">
        <v>414</v>
      </c>
      <c r="B455" s="47">
        <v>5060</v>
      </c>
      <c r="C455" s="47">
        <v>55.8</v>
      </c>
      <c r="D455" s="47">
        <v>202.4</v>
      </c>
      <c r="E455" s="47">
        <v>2823.4799999999996</v>
      </c>
      <c r="F455" s="47">
        <v>0</v>
      </c>
      <c r="G455" s="47">
        <v>1116.5200000000004</v>
      </c>
      <c r="H455" s="47">
        <v>0</v>
      </c>
      <c r="I455" s="47">
        <v>3940</v>
      </c>
      <c r="J455" s="47">
        <v>9000</v>
      </c>
      <c r="K455" s="47">
        <v>77.865612648221344</v>
      </c>
    </row>
    <row r="456" spans="1:11">
      <c r="A456" s="653" t="s">
        <v>415</v>
      </c>
      <c r="B456" s="47">
        <v>5060</v>
      </c>
      <c r="C456" s="47">
        <v>55.8</v>
      </c>
      <c r="D456" s="47">
        <v>202.4</v>
      </c>
      <c r="E456" s="47">
        <v>2823.4799999999996</v>
      </c>
      <c r="F456" s="47">
        <v>0</v>
      </c>
      <c r="G456" s="47">
        <v>1116.5200000000004</v>
      </c>
      <c r="H456" s="47">
        <v>0</v>
      </c>
      <c r="I456" s="47">
        <v>3940</v>
      </c>
      <c r="J456" s="47">
        <v>9000</v>
      </c>
      <c r="K456" s="47">
        <v>77.865612648221344</v>
      </c>
    </row>
    <row r="457" spans="1:11">
      <c r="A457" s="652" t="s">
        <v>739</v>
      </c>
      <c r="B457" s="47">
        <v>4500</v>
      </c>
      <c r="C457" s="47">
        <v>52.8</v>
      </c>
      <c r="D457" s="47">
        <v>36</v>
      </c>
      <c r="E457" s="47">
        <v>2376</v>
      </c>
      <c r="F457" s="47">
        <v>0</v>
      </c>
      <c r="G457" s="47">
        <v>0</v>
      </c>
      <c r="H457" s="47">
        <v>4</v>
      </c>
      <c r="I457" s="47">
        <v>2380</v>
      </c>
      <c r="J457" s="47">
        <v>6880</v>
      </c>
      <c r="K457" s="47">
        <v>52.888888888888886</v>
      </c>
    </row>
    <row r="458" spans="1:11">
      <c r="A458" s="653" t="s">
        <v>738</v>
      </c>
      <c r="B458" s="47">
        <v>4500</v>
      </c>
      <c r="C458" s="47">
        <v>52.8</v>
      </c>
      <c r="D458" s="47">
        <v>36</v>
      </c>
      <c r="E458" s="47">
        <v>2376</v>
      </c>
      <c r="F458" s="47">
        <v>0</v>
      </c>
      <c r="G458" s="47">
        <v>0</v>
      </c>
      <c r="H458" s="47">
        <v>4</v>
      </c>
      <c r="I458" s="47">
        <v>2380</v>
      </c>
      <c r="J458" s="47">
        <v>6880</v>
      </c>
      <c r="K458" s="47">
        <v>52.888888888888886</v>
      </c>
    </row>
    <row r="459" spans="1:11">
      <c r="A459" s="656" t="s">
        <v>84</v>
      </c>
      <c r="B459" s="47">
        <v>21320</v>
      </c>
      <c r="C459" s="47">
        <v>56.760000000000005</v>
      </c>
      <c r="D459" s="47">
        <v>1459.288</v>
      </c>
      <c r="E459" s="47">
        <v>12106.199999999999</v>
      </c>
      <c r="F459" s="47">
        <v>248</v>
      </c>
      <c r="G459" s="47">
        <v>844.96</v>
      </c>
      <c r="H459" s="47">
        <v>20.840000000000146</v>
      </c>
      <c r="I459" s="47">
        <v>13220</v>
      </c>
      <c r="J459" s="47">
        <v>34540</v>
      </c>
      <c r="K459" s="47">
        <v>61.757059190712695</v>
      </c>
    </row>
    <row r="460" spans="1:11">
      <c r="A460" s="652" t="s">
        <v>441</v>
      </c>
      <c r="B460" s="47">
        <v>4540</v>
      </c>
      <c r="C460" s="47">
        <v>57.599999999999994</v>
      </c>
      <c r="D460" s="47">
        <v>156.17599999999999</v>
      </c>
      <c r="E460" s="47">
        <v>2615.04</v>
      </c>
      <c r="F460" s="47">
        <v>0</v>
      </c>
      <c r="G460" s="47">
        <v>844.96</v>
      </c>
      <c r="H460" s="47">
        <v>0</v>
      </c>
      <c r="I460" s="47">
        <v>3460</v>
      </c>
      <c r="J460" s="47">
        <v>8000</v>
      </c>
      <c r="K460" s="47">
        <v>76.211453744493397</v>
      </c>
    </row>
    <row r="461" spans="1:11">
      <c r="A461" s="653" t="s">
        <v>442</v>
      </c>
      <c r="B461" s="47">
        <v>4540</v>
      </c>
      <c r="C461" s="47">
        <v>57.599999999999994</v>
      </c>
      <c r="D461" s="47">
        <v>156.17599999999999</v>
      </c>
      <c r="E461" s="47">
        <v>2615.04</v>
      </c>
      <c r="F461" s="47">
        <v>0</v>
      </c>
      <c r="G461" s="47">
        <v>844.96</v>
      </c>
      <c r="H461" s="47">
        <v>0</v>
      </c>
      <c r="I461" s="47">
        <v>3460</v>
      </c>
      <c r="J461" s="47">
        <v>8000</v>
      </c>
      <c r="K461" s="47">
        <v>76.211453744493397</v>
      </c>
    </row>
    <row r="462" spans="1:11">
      <c r="A462" s="652" t="s">
        <v>1101</v>
      </c>
      <c r="B462" s="47">
        <v>4220</v>
      </c>
      <c r="C462" s="47">
        <v>60</v>
      </c>
      <c r="D462" s="47">
        <v>6.7519999999999998</v>
      </c>
      <c r="E462" s="47">
        <v>2532</v>
      </c>
      <c r="F462" s="47">
        <v>248</v>
      </c>
      <c r="G462" s="47">
        <v>0</v>
      </c>
      <c r="H462" s="47">
        <v>0</v>
      </c>
      <c r="I462" s="47">
        <v>2780</v>
      </c>
      <c r="J462" s="47">
        <v>7000</v>
      </c>
      <c r="K462" s="47">
        <v>65.876777251184834</v>
      </c>
    </row>
    <row r="463" spans="1:11">
      <c r="A463" s="653" t="s">
        <v>1102</v>
      </c>
      <c r="B463" s="47">
        <v>4220</v>
      </c>
      <c r="C463" s="47">
        <v>60</v>
      </c>
      <c r="D463" s="47">
        <v>6.7519999999999998</v>
      </c>
      <c r="E463" s="47">
        <v>2532</v>
      </c>
      <c r="F463" s="47">
        <v>248</v>
      </c>
      <c r="G463" s="47">
        <v>0</v>
      </c>
      <c r="H463" s="47">
        <v>0</v>
      </c>
      <c r="I463" s="47">
        <v>2780</v>
      </c>
      <c r="J463" s="47">
        <v>7000</v>
      </c>
      <c r="K463" s="47">
        <v>65.876777251184834</v>
      </c>
    </row>
    <row r="464" spans="1:11">
      <c r="A464" s="652" t="s">
        <v>443</v>
      </c>
      <c r="B464" s="47">
        <v>12560</v>
      </c>
      <c r="C464" s="47">
        <v>55.4</v>
      </c>
      <c r="D464" s="47">
        <v>1296.3600000000001</v>
      </c>
      <c r="E464" s="47">
        <v>6959.16</v>
      </c>
      <c r="F464" s="47">
        <v>0</v>
      </c>
      <c r="G464" s="47">
        <v>0</v>
      </c>
      <c r="H464" s="47">
        <v>20.840000000000146</v>
      </c>
      <c r="I464" s="47">
        <v>6980</v>
      </c>
      <c r="J464" s="47">
        <v>19540</v>
      </c>
      <c r="K464" s="47">
        <v>55.565688319295077</v>
      </c>
    </row>
    <row r="465" spans="1:11">
      <c r="A465" s="653" t="s">
        <v>444</v>
      </c>
      <c r="B465" s="47">
        <v>4230</v>
      </c>
      <c r="C465" s="47">
        <v>55.8</v>
      </c>
      <c r="D465" s="47">
        <v>521.13599999999997</v>
      </c>
      <c r="E465" s="47">
        <v>2360.3399999999997</v>
      </c>
      <c r="F465" s="47">
        <v>0</v>
      </c>
      <c r="G465" s="47">
        <v>0</v>
      </c>
      <c r="H465" s="47">
        <v>9.6599999999998545</v>
      </c>
      <c r="I465" s="47">
        <v>2370</v>
      </c>
      <c r="J465" s="47">
        <v>6600</v>
      </c>
      <c r="K465" s="47">
        <v>56.028368794326248</v>
      </c>
    </row>
    <row r="466" spans="1:11">
      <c r="A466" s="653" t="s">
        <v>1103</v>
      </c>
      <c r="B466" s="47">
        <v>4220</v>
      </c>
      <c r="C466" s="47">
        <v>55.8</v>
      </c>
      <c r="D466" s="47">
        <v>476.01600000000002</v>
      </c>
      <c r="E466" s="47">
        <v>2354.7599999999998</v>
      </c>
      <c r="F466" s="47">
        <v>0</v>
      </c>
      <c r="G466" s="47">
        <v>0</v>
      </c>
      <c r="H466" s="47">
        <v>5.2399999999997817</v>
      </c>
      <c r="I466" s="47">
        <v>2360</v>
      </c>
      <c r="J466" s="47">
        <v>6580</v>
      </c>
      <c r="K466" s="47">
        <v>55.924170616113742</v>
      </c>
    </row>
    <row r="467" spans="1:11">
      <c r="A467" s="653" t="s">
        <v>1104</v>
      </c>
      <c r="B467" s="47">
        <v>4110</v>
      </c>
      <c r="C467" s="47">
        <v>54.6</v>
      </c>
      <c r="D467" s="47">
        <v>299.20800000000003</v>
      </c>
      <c r="E467" s="47">
        <v>2244.06</v>
      </c>
      <c r="F467" s="47">
        <v>0</v>
      </c>
      <c r="G467" s="47">
        <v>0</v>
      </c>
      <c r="H467" s="47">
        <v>5.9400000000005093</v>
      </c>
      <c r="I467" s="47">
        <v>2250</v>
      </c>
      <c r="J467" s="47">
        <v>6360</v>
      </c>
      <c r="K467" s="47">
        <v>54.744525547445257</v>
      </c>
    </row>
    <row r="468" spans="1:11">
      <c r="A468" s="650" t="s">
        <v>1105</v>
      </c>
      <c r="B468" s="47">
        <v>34960</v>
      </c>
      <c r="C468" s="47">
        <v>37.799999999999997</v>
      </c>
      <c r="D468" s="47">
        <v>8390.4</v>
      </c>
      <c r="E468" s="47">
        <v>13214.879999999997</v>
      </c>
      <c r="F468" s="47">
        <v>1825.1200000000026</v>
      </c>
      <c r="G468" s="47">
        <v>0</v>
      </c>
      <c r="H468" s="47">
        <v>0</v>
      </c>
      <c r="I468" s="47">
        <v>15040</v>
      </c>
      <c r="J468" s="47">
        <v>50000</v>
      </c>
      <c r="K468" s="47">
        <v>43.020594965675052</v>
      </c>
    </row>
    <row r="469" spans="1:11">
      <c r="A469" s="656" t="s">
        <v>70</v>
      </c>
      <c r="B469" s="47">
        <v>34960</v>
      </c>
      <c r="C469" s="47">
        <v>37.799999999999997</v>
      </c>
      <c r="D469" s="47">
        <v>8390.4</v>
      </c>
      <c r="E469" s="47">
        <v>13214.879999999997</v>
      </c>
      <c r="F469" s="47">
        <v>1825.1200000000026</v>
      </c>
      <c r="G469" s="47">
        <v>0</v>
      </c>
      <c r="H469" s="47">
        <v>0</v>
      </c>
      <c r="I469" s="47">
        <v>15040</v>
      </c>
      <c r="J469" s="47">
        <v>50000</v>
      </c>
      <c r="K469" s="47">
        <v>43.020594965675052</v>
      </c>
    </row>
    <row r="470" spans="1:11">
      <c r="A470" s="652">
        <v>0</v>
      </c>
      <c r="B470" s="47">
        <v>34960</v>
      </c>
      <c r="C470" s="47">
        <v>37.799999999999997</v>
      </c>
      <c r="D470" s="47">
        <v>8390.4</v>
      </c>
      <c r="E470" s="47">
        <v>13214.879999999997</v>
      </c>
      <c r="F470" s="47">
        <v>1825.1200000000026</v>
      </c>
      <c r="G470" s="47">
        <v>0</v>
      </c>
      <c r="H470" s="47">
        <v>0</v>
      </c>
      <c r="I470" s="47">
        <v>15040</v>
      </c>
      <c r="J470" s="47">
        <v>50000</v>
      </c>
      <c r="K470" s="47">
        <v>43.020594965675052</v>
      </c>
    </row>
    <row r="471" spans="1:11">
      <c r="A471" s="653" t="s">
        <v>1106</v>
      </c>
      <c r="B471" s="47">
        <v>34960</v>
      </c>
      <c r="C471" s="47">
        <v>37.799999999999997</v>
      </c>
      <c r="D471" s="47">
        <v>8390.4</v>
      </c>
      <c r="E471" s="47">
        <v>13214.879999999997</v>
      </c>
      <c r="F471" s="47">
        <v>1825.1200000000026</v>
      </c>
      <c r="G471" s="47">
        <v>0</v>
      </c>
      <c r="H471" s="47">
        <v>0</v>
      </c>
      <c r="I471" s="47">
        <v>15040</v>
      </c>
      <c r="J471" s="47">
        <v>50000</v>
      </c>
      <c r="K471" s="47">
        <v>43.020594965675052</v>
      </c>
    </row>
    <row r="472" spans="1:11">
      <c r="A472" s="650" t="s">
        <v>991</v>
      </c>
      <c r="B472" s="47">
        <v>35000</v>
      </c>
      <c r="C472" s="47">
        <v>57.599999999999994</v>
      </c>
      <c r="D472" s="47">
        <v>8148</v>
      </c>
      <c r="E472" s="47">
        <v>20160</v>
      </c>
      <c r="F472" s="47">
        <v>0</v>
      </c>
      <c r="G472" s="47">
        <v>0</v>
      </c>
      <c r="H472" s="47">
        <v>0</v>
      </c>
      <c r="I472" s="47">
        <v>20160</v>
      </c>
      <c r="J472" s="47">
        <v>55160</v>
      </c>
      <c r="K472" s="47">
        <v>57.6</v>
      </c>
    </row>
    <row r="473" spans="1:11">
      <c r="A473" s="662" t="s">
        <v>80</v>
      </c>
      <c r="B473" s="47">
        <v>35000</v>
      </c>
      <c r="C473" s="47">
        <v>57.599999999999994</v>
      </c>
      <c r="D473" s="47">
        <v>8148</v>
      </c>
      <c r="E473" s="47">
        <v>20160</v>
      </c>
      <c r="F473" s="47">
        <v>0</v>
      </c>
      <c r="G473" s="47">
        <v>0</v>
      </c>
      <c r="H473" s="47">
        <v>0</v>
      </c>
      <c r="I473" s="47">
        <v>20160</v>
      </c>
      <c r="J473" s="47">
        <v>55160</v>
      </c>
      <c r="K473" s="47">
        <v>57.6</v>
      </c>
    </row>
    <row r="474" spans="1:11">
      <c r="A474" s="652" t="s">
        <v>474</v>
      </c>
      <c r="B474" s="47">
        <v>35000</v>
      </c>
      <c r="C474" s="47">
        <v>57.599999999999994</v>
      </c>
      <c r="D474" s="47">
        <v>8148</v>
      </c>
      <c r="E474" s="47">
        <v>20160</v>
      </c>
      <c r="F474" s="47">
        <v>0</v>
      </c>
      <c r="G474" s="47">
        <v>0</v>
      </c>
      <c r="H474" s="47">
        <v>0</v>
      </c>
      <c r="I474" s="47">
        <v>20160</v>
      </c>
      <c r="J474" s="47">
        <v>55160</v>
      </c>
      <c r="K474" s="47">
        <v>57.6</v>
      </c>
    </row>
    <row r="475" spans="1:11">
      <c r="A475" s="653" t="s">
        <v>992</v>
      </c>
      <c r="B475" s="47">
        <v>35000</v>
      </c>
      <c r="C475" s="47">
        <v>57.599999999999994</v>
      </c>
      <c r="D475" s="47">
        <v>8148</v>
      </c>
      <c r="E475" s="47">
        <v>20160</v>
      </c>
      <c r="F475" s="47">
        <v>0</v>
      </c>
      <c r="G475" s="47">
        <v>0</v>
      </c>
      <c r="H475" s="47">
        <v>0</v>
      </c>
      <c r="I475" s="47">
        <v>20160</v>
      </c>
      <c r="J475" s="47">
        <v>55160</v>
      </c>
      <c r="K475" s="47">
        <v>57.6</v>
      </c>
    </row>
    <row r="476" spans="1:11">
      <c r="A476" s="650" t="s">
        <v>69</v>
      </c>
      <c r="B476" s="47">
        <v>1696240</v>
      </c>
      <c r="C476" s="47">
        <v>53.297560975609699</v>
      </c>
      <c r="D476" s="47">
        <v>223066.00799999986</v>
      </c>
      <c r="E476" s="47">
        <v>904329.66000000015</v>
      </c>
      <c r="F476" s="47">
        <v>151382.92000000001</v>
      </c>
      <c r="G476" s="47">
        <v>59641.839999999989</v>
      </c>
      <c r="H476" s="47">
        <v>926.02000000001044</v>
      </c>
      <c r="I476" s="47">
        <v>1116280.44</v>
      </c>
      <c r="J476" s="47">
        <v>2812520.44</v>
      </c>
      <c r="K476" s="47">
        <v>64.660887753257839</v>
      </c>
    </row>
    <row r="477" spans="1:11">
      <c r="B477"/>
      <c r="C477"/>
      <c r="D477"/>
      <c r="E477"/>
      <c r="F477"/>
      <c r="G477"/>
      <c r="H477"/>
    </row>
    <row r="478" spans="1:11">
      <c r="B478"/>
      <c r="C478"/>
      <c r="D478"/>
      <c r="E478"/>
      <c r="F478"/>
      <c r="G478"/>
      <c r="H478"/>
    </row>
    <row r="479" spans="1:11">
      <c r="B479"/>
      <c r="C479"/>
      <c r="D479"/>
      <c r="E479"/>
      <c r="F479"/>
      <c r="G479"/>
      <c r="H479"/>
    </row>
    <row r="480" spans="1:11">
      <c r="B480"/>
      <c r="C480"/>
      <c r="D480"/>
      <c r="E480"/>
      <c r="F480"/>
      <c r="G480"/>
      <c r="H480"/>
    </row>
    <row r="481" spans="2:8">
      <c r="B481"/>
      <c r="C481"/>
      <c r="D481"/>
      <c r="E481"/>
      <c r="F481"/>
      <c r="G481"/>
      <c r="H481"/>
    </row>
    <row r="482" spans="2:8">
      <c r="B482"/>
      <c r="C482"/>
      <c r="D482"/>
      <c r="E482"/>
      <c r="F482"/>
      <c r="G482"/>
      <c r="H482"/>
    </row>
    <row r="483" spans="2:8">
      <c r="B483"/>
      <c r="C483"/>
      <c r="D483"/>
      <c r="E483"/>
      <c r="F483"/>
      <c r="G483"/>
      <c r="H483"/>
    </row>
    <row r="484" spans="2:8">
      <c r="B484"/>
      <c r="C484"/>
      <c r="D484"/>
      <c r="E484"/>
      <c r="F484"/>
      <c r="G484"/>
      <c r="H484"/>
    </row>
    <row r="485" spans="2:8">
      <c r="B485"/>
      <c r="C485"/>
      <c r="D485"/>
      <c r="E485"/>
      <c r="F485"/>
      <c r="G485"/>
      <c r="H485"/>
    </row>
    <row r="486" spans="2:8">
      <c r="B486"/>
      <c r="C486"/>
      <c r="D486"/>
      <c r="E486"/>
      <c r="F486"/>
      <c r="G486"/>
      <c r="H486"/>
    </row>
    <row r="487" spans="2:8">
      <c r="B487"/>
      <c r="C487"/>
      <c r="D487"/>
      <c r="E487"/>
      <c r="F487"/>
      <c r="G487"/>
      <c r="H487"/>
    </row>
    <row r="488" spans="2:8">
      <c r="B488"/>
      <c r="C488"/>
      <c r="D488"/>
      <c r="E488"/>
      <c r="F488"/>
      <c r="G488"/>
      <c r="H488"/>
    </row>
    <row r="489" spans="2:8">
      <c r="B489"/>
      <c r="C489"/>
      <c r="D489"/>
      <c r="E489"/>
      <c r="F489"/>
      <c r="G489"/>
      <c r="H489"/>
    </row>
    <row r="490" spans="2:8">
      <c r="B490"/>
      <c r="C490"/>
      <c r="D490"/>
      <c r="E490"/>
      <c r="F490"/>
      <c r="G490"/>
      <c r="H490"/>
    </row>
    <row r="491" spans="2:8">
      <c r="B491"/>
      <c r="C491"/>
      <c r="D491"/>
      <c r="E491"/>
      <c r="F491"/>
      <c r="G491"/>
      <c r="H491"/>
    </row>
    <row r="492" spans="2:8">
      <c r="B492"/>
      <c r="C492"/>
      <c r="D492"/>
      <c r="E492"/>
      <c r="F492"/>
      <c r="G492"/>
      <c r="H492"/>
    </row>
    <row r="493" spans="2:8">
      <c r="B493"/>
      <c r="C493"/>
      <c r="D493"/>
      <c r="E493"/>
      <c r="F493"/>
      <c r="G493"/>
      <c r="H493"/>
    </row>
    <row r="494" spans="2:8">
      <c r="B494"/>
      <c r="C494"/>
      <c r="D494"/>
      <c r="E494"/>
      <c r="F494"/>
      <c r="G494"/>
      <c r="H494"/>
    </row>
    <row r="495" spans="2:8">
      <c r="B495"/>
      <c r="C495"/>
      <c r="D495"/>
      <c r="E495"/>
      <c r="F495"/>
      <c r="G495"/>
      <c r="H495"/>
    </row>
    <row r="496" spans="2:8">
      <c r="B496"/>
      <c r="C496"/>
      <c r="D496"/>
      <c r="E496"/>
      <c r="F496"/>
      <c r="G496"/>
      <c r="H496"/>
    </row>
    <row r="497" spans="2:8">
      <c r="B497"/>
      <c r="C497"/>
      <c r="D497"/>
      <c r="E497"/>
      <c r="F497"/>
      <c r="G497"/>
      <c r="H497"/>
    </row>
    <row r="498" spans="2:8">
      <c r="B498"/>
      <c r="C498"/>
      <c r="D498"/>
      <c r="E498"/>
      <c r="F498"/>
      <c r="G498"/>
      <c r="H498"/>
    </row>
    <row r="499" spans="2:8">
      <c r="B499"/>
      <c r="C499"/>
      <c r="D499"/>
      <c r="E499"/>
      <c r="F499"/>
      <c r="G499"/>
      <c r="H499"/>
    </row>
    <row r="500" spans="2:8">
      <c r="B500"/>
      <c r="C500"/>
      <c r="D500"/>
      <c r="E500"/>
      <c r="F500"/>
      <c r="G500"/>
      <c r="H500"/>
    </row>
    <row r="501" spans="2:8">
      <c r="B501"/>
      <c r="C501"/>
      <c r="D501"/>
      <c r="E501"/>
      <c r="F501"/>
      <c r="G501"/>
      <c r="H501"/>
    </row>
    <row r="502" spans="2:8">
      <c r="B502"/>
      <c r="C502"/>
      <c r="D502"/>
      <c r="E502"/>
      <c r="F502"/>
      <c r="G502"/>
      <c r="H502"/>
    </row>
    <row r="503" spans="2:8">
      <c r="B503"/>
      <c r="C503"/>
      <c r="D503"/>
      <c r="E503"/>
      <c r="F503"/>
      <c r="G503"/>
      <c r="H503"/>
    </row>
    <row r="504" spans="2:8">
      <c r="B504"/>
      <c r="C504"/>
      <c r="D504"/>
      <c r="E504"/>
      <c r="F504"/>
      <c r="G504"/>
      <c r="H504"/>
    </row>
    <row r="505" spans="2:8">
      <c r="B505"/>
      <c r="C505"/>
      <c r="D505"/>
      <c r="E505"/>
      <c r="F505"/>
      <c r="G505"/>
      <c r="H505"/>
    </row>
    <row r="506" spans="2:8">
      <c r="B506"/>
      <c r="C506"/>
      <c r="D506"/>
      <c r="E506"/>
      <c r="F506"/>
      <c r="G506"/>
      <c r="H506"/>
    </row>
    <row r="507" spans="2:8">
      <c r="B507"/>
      <c r="C507"/>
      <c r="D507"/>
      <c r="E507"/>
      <c r="F507"/>
      <c r="G507"/>
      <c r="H507"/>
    </row>
    <row r="508" spans="2:8">
      <c r="B508"/>
      <c r="C508"/>
      <c r="D508"/>
      <c r="E508"/>
      <c r="F508"/>
      <c r="G508"/>
      <c r="H508"/>
    </row>
    <row r="509" spans="2:8">
      <c r="B509"/>
      <c r="C509"/>
      <c r="D509"/>
      <c r="E509"/>
      <c r="F509"/>
      <c r="G509"/>
      <c r="H509"/>
    </row>
    <row r="510" spans="2:8">
      <c r="B510"/>
      <c r="C510"/>
      <c r="D510"/>
      <c r="E510"/>
      <c r="F510"/>
      <c r="G510"/>
      <c r="H510"/>
    </row>
    <row r="511" spans="2:8">
      <c r="B511"/>
      <c r="C511"/>
      <c r="D511"/>
      <c r="E511"/>
      <c r="F511"/>
      <c r="G511"/>
      <c r="H511"/>
    </row>
    <row r="512" spans="2:8">
      <c r="B512"/>
      <c r="C512"/>
      <c r="D512"/>
      <c r="E512"/>
      <c r="F512"/>
      <c r="G512"/>
      <c r="H512"/>
    </row>
    <row r="513" spans="2:8">
      <c r="B513"/>
      <c r="C513"/>
      <c r="D513"/>
      <c r="E513"/>
      <c r="F513"/>
      <c r="G513"/>
      <c r="H513"/>
    </row>
    <row r="514" spans="2:8">
      <c r="B514"/>
      <c r="C514"/>
      <c r="D514"/>
      <c r="E514"/>
      <c r="F514"/>
      <c r="G514"/>
      <c r="H514"/>
    </row>
    <row r="515" spans="2:8">
      <c r="B515"/>
      <c r="C515"/>
      <c r="D515"/>
      <c r="E515"/>
      <c r="F515"/>
      <c r="G515"/>
      <c r="H515"/>
    </row>
    <row r="516" spans="2:8">
      <c r="B516"/>
      <c r="C516"/>
      <c r="D516"/>
      <c r="E516"/>
      <c r="F516"/>
      <c r="G516"/>
      <c r="H516"/>
    </row>
    <row r="517" spans="2:8">
      <c r="B517"/>
      <c r="C517"/>
      <c r="D517"/>
      <c r="E517"/>
      <c r="F517"/>
      <c r="G517"/>
      <c r="H517"/>
    </row>
    <row r="518" spans="2:8">
      <c r="B518"/>
      <c r="C518"/>
      <c r="D518"/>
      <c r="E518"/>
      <c r="F518"/>
      <c r="G518"/>
      <c r="H518"/>
    </row>
    <row r="519" spans="2:8">
      <c r="B519"/>
      <c r="C519"/>
      <c r="D519"/>
      <c r="E519"/>
      <c r="F519"/>
      <c r="G519"/>
      <c r="H519"/>
    </row>
    <row r="520" spans="2:8">
      <c r="B520"/>
      <c r="C520"/>
      <c r="D520"/>
      <c r="E520"/>
      <c r="F520"/>
      <c r="G520"/>
      <c r="H520"/>
    </row>
    <row r="521" spans="2:8">
      <c r="B521"/>
      <c r="C521"/>
      <c r="D521"/>
      <c r="E521"/>
      <c r="F521"/>
      <c r="G521"/>
      <c r="H521"/>
    </row>
    <row r="522" spans="2:8">
      <c r="B522"/>
      <c r="C522"/>
      <c r="D522"/>
      <c r="E522"/>
      <c r="F522"/>
      <c r="G522"/>
      <c r="H522"/>
    </row>
    <row r="523" spans="2:8">
      <c r="B523"/>
      <c r="C523"/>
      <c r="D523"/>
      <c r="E523"/>
      <c r="F523"/>
      <c r="G523"/>
      <c r="H523"/>
    </row>
    <row r="524" spans="2:8">
      <c r="B524"/>
      <c r="C524"/>
      <c r="D524"/>
      <c r="E524"/>
      <c r="F524"/>
      <c r="G524"/>
      <c r="H524"/>
    </row>
    <row r="525" spans="2:8">
      <c r="B525"/>
      <c r="C525"/>
      <c r="D525"/>
      <c r="E525"/>
      <c r="F525"/>
      <c r="G525"/>
      <c r="H525"/>
    </row>
    <row r="526" spans="2:8">
      <c r="B526"/>
      <c r="C526"/>
      <c r="D526"/>
      <c r="E526"/>
      <c r="F526"/>
      <c r="G526"/>
      <c r="H526"/>
    </row>
    <row r="527" spans="2:8">
      <c r="B527"/>
      <c r="C527"/>
      <c r="D527"/>
      <c r="E527"/>
      <c r="F527"/>
      <c r="G527"/>
      <c r="H527"/>
    </row>
    <row r="528" spans="2:8">
      <c r="B528"/>
      <c r="C528"/>
      <c r="D528"/>
      <c r="E528"/>
      <c r="F528"/>
      <c r="G528"/>
      <c r="H528"/>
    </row>
    <row r="529" spans="2:8">
      <c r="B529"/>
      <c r="C529"/>
      <c r="D529"/>
      <c r="E529"/>
      <c r="F529"/>
      <c r="G529"/>
      <c r="H529"/>
    </row>
    <row r="530" spans="2:8">
      <c r="B530"/>
      <c r="C530"/>
      <c r="D530"/>
      <c r="E530"/>
      <c r="F530"/>
      <c r="G530"/>
      <c r="H530"/>
    </row>
    <row r="531" spans="2:8">
      <c r="B531"/>
      <c r="C531"/>
      <c r="D531"/>
      <c r="E531"/>
      <c r="F531"/>
      <c r="G531"/>
      <c r="H531"/>
    </row>
    <row r="532" spans="2:8">
      <c r="B532"/>
      <c r="C532"/>
      <c r="D532"/>
      <c r="E532"/>
      <c r="F532"/>
      <c r="G532"/>
      <c r="H532"/>
    </row>
    <row r="533" spans="2:8">
      <c r="B533"/>
      <c r="C533"/>
      <c r="D533"/>
      <c r="E533"/>
      <c r="F533"/>
      <c r="G533"/>
      <c r="H533"/>
    </row>
    <row r="534" spans="2:8">
      <c r="B534"/>
      <c r="C534"/>
      <c r="D534"/>
      <c r="E534"/>
      <c r="F534"/>
      <c r="G534"/>
      <c r="H534"/>
    </row>
    <row r="535" spans="2:8">
      <c r="B535"/>
      <c r="C535"/>
      <c r="D535"/>
      <c r="E535"/>
      <c r="F535"/>
      <c r="G535"/>
      <c r="H535"/>
    </row>
    <row r="536" spans="2:8">
      <c r="B536"/>
      <c r="C536"/>
      <c r="D536"/>
      <c r="E536"/>
      <c r="F536"/>
      <c r="G536"/>
      <c r="H536"/>
    </row>
    <row r="537" spans="2:8">
      <c r="B537"/>
      <c r="C537"/>
      <c r="D537"/>
      <c r="E537"/>
      <c r="F537"/>
      <c r="G537"/>
      <c r="H537"/>
    </row>
    <row r="538" spans="2:8">
      <c r="B538"/>
      <c r="C538"/>
      <c r="D538"/>
      <c r="E538"/>
      <c r="F538"/>
      <c r="G538"/>
      <c r="H538"/>
    </row>
    <row r="539" spans="2:8">
      <c r="B539"/>
      <c r="C539"/>
      <c r="D539"/>
      <c r="E539"/>
      <c r="F539"/>
      <c r="G539"/>
      <c r="H539"/>
    </row>
    <row r="540" spans="2:8">
      <c r="B540"/>
      <c r="C540"/>
      <c r="D540"/>
      <c r="E540"/>
      <c r="F540"/>
      <c r="G540"/>
      <c r="H540"/>
    </row>
    <row r="541" spans="2:8">
      <c r="B541"/>
      <c r="C541"/>
      <c r="D541"/>
      <c r="E541"/>
      <c r="F541"/>
      <c r="G541"/>
      <c r="H541"/>
    </row>
    <row r="542" spans="2:8">
      <c r="B542"/>
      <c r="C542"/>
      <c r="D542"/>
      <c r="E542"/>
      <c r="F542"/>
      <c r="G542"/>
      <c r="H542"/>
    </row>
    <row r="543" spans="2:8">
      <c r="B543"/>
      <c r="C543"/>
      <c r="D543"/>
      <c r="E543"/>
      <c r="F543"/>
      <c r="G543"/>
      <c r="H543"/>
    </row>
    <row r="544" spans="2:8">
      <c r="B544"/>
      <c r="C544"/>
      <c r="D544"/>
      <c r="E544"/>
      <c r="F544"/>
      <c r="G544"/>
      <c r="H544"/>
    </row>
    <row r="545" spans="2:8">
      <c r="B545"/>
      <c r="C545"/>
      <c r="D545"/>
      <c r="E545"/>
      <c r="F545"/>
      <c r="G545"/>
      <c r="H545"/>
    </row>
    <row r="546" spans="2:8">
      <c r="B546"/>
      <c r="C546"/>
      <c r="D546"/>
      <c r="E546"/>
      <c r="F546"/>
      <c r="G546"/>
      <c r="H546"/>
    </row>
    <row r="547" spans="2:8">
      <c r="B547"/>
      <c r="C547"/>
      <c r="D547"/>
      <c r="E547"/>
      <c r="F547"/>
      <c r="G547"/>
      <c r="H547"/>
    </row>
    <row r="548" spans="2:8">
      <c r="B548"/>
      <c r="C548"/>
      <c r="D548"/>
      <c r="E548"/>
      <c r="F548"/>
      <c r="G548"/>
      <c r="H548"/>
    </row>
    <row r="549" spans="2:8">
      <c r="B549"/>
      <c r="C549"/>
      <c r="D549"/>
      <c r="E549"/>
      <c r="F549"/>
      <c r="G549"/>
      <c r="H549"/>
    </row>
    <row r="550" spans="2:8">
      <c r="B550"/>
      <c r="C550"/>
      <c r="D550"/>
      <c r="E550"/>
      <c r="F550"/>
      <c r="G550"/>
      <c r="H550"/>
    </row>
    <row r="551" spans="2:8">
      <c r="B551"/>
      <c r="C551"/>
      <c r="D551"/>
      <c r="E551"/>
      <c r="F551"/>
      <c r="G551"/>
      <c r="H551"/>
    </row>
    <row r="552" spans="2:8">
      <c r="B552"/>
      <c r="C552"/>
      <c r="D552"/>
      <c r="E552"/>
      <c r="F552"/>
      <c r="G552"/>
      <c r="H552"/>
    </row>
    <row r="553" spans="2:8">
      <c r="B553"/>
      <c r="C553"/>
      <c r="D553"/>
      <c r="E553"/>
      <c r="F553"/>
      <c r="G553"/>
      <c r="H553"/>
    </row>
    <row r="554" spans="2:8">
      <c r="B554"/>
      <c r="C554"/>
      <c r="D554"/>
      <c r="E554"/>
      <c r="F554"/>
      <c r="G554"/>
      <c r="H554"/>
    </row>
    <row r="555" spans="2:8">
      <c r="B555"/>
      <c r="C555"/>
      <c r="D555"/>
      <c r="E555"/>
      <c r="F555"/>
      <c r="G555"/>
      <c r="H555"/>
    </row>
    <row r="556" spans="2:8">
      <c r="B556"/>
      <c r="C556"/>
      <c r="D556"/>
      <c r="E556"/>
      <c r="F556"/>
      <c r="G556"/>
      <c r="H556"/>
    </row>
    <row r="557" spans="2:8">
      <c r="B557"/>
      <c r="C557"/>
      <c r="D557"/>
      <c r="E557"/>
      <c r="F557"/>
      <c r="G557"/>
      <c r="H557"/>
    </row>
    <row r="558" spans="2:8">
      <c r="B558"/>
      <c r="C558"/>
      <c r="D558"/>
      <c r="E558"/>
      <c r="F558"/>
      <c r="G558"/>
      <c r="H558"/>
    </row>
    <row r="559" spans="2:8">
      <c r="B559"/>
      <c r="C559"/>
      <c r="D559"/>
      <c r="E559"/>
      <c r="F559"/>
      <c r="G559"/>
      <c r="H559"/>
    </row>
    <row r="560" spans="2:8">
      <c r="B560"/>
      <c r="C560"/>
      <c r="D560"/>
      <c r="E560"/>
      <c r="F560"/>
      <c r="G560"/>
      <c r="H560"/>
    </row>
    <row r="561" spans="2:8">
      <c r="B561"/>
      <c r="C561"/>
      <c r="D561"/>
      <c r="E561"/>
      <c r="F561"/>
      <c r="G561"/>
      <c r="H561"/>
    </row>
    <row r="562" spans="2:8">
      <c r="B562"/>
      <c r="C562"/>
      <c r="D562"/>
      <c r="E562"/>
      <c r="F562"/>
      <c r="G562"/>
      <c r="H562"/>
    </row>
    <row r="563" spans="2:8">
      <c r="B563"/>
      <c r="C563"/>
      <c r="D563"/>
      <c r="E563"/>
      <c r="F563"/>
      <c r="G563"/>
      <c r="H563"/>
    </row>
    <row r="564" spans="2:8">
      <c r="B564"/>
      <c r="C564"/>
      <c r="D564"/>
      <c r="E564"/>
      <c r="F564"/>
      <c r="G564"/>
      <c r="H564"/>
    </row>
    <row r="565" spans="2:8">
      <c r="B565"/>
      <c r="C565"/>
      <c r="D565"/>
      <c r="E565"/>
      <c r="F565"/>
      <c r="G565"/>
      <c r="H565"/>
    </row>
    <row r="566" spans="2:8">
      <c r="B566"/>
      <c r="C566"/>
      <c r="D566"/>
      <c r="E566"/>
      <c r="F566"/>
      <c r="G566"/>
      <c r="H566"/>
    </row>
    <row r="567" spans="2:8">
      <c r="B567"/>
      <c r="C567"/>
      <c r="D567"/>
      <c r="E567"/>
      <c r="F567"/>
      <c r="G567"/>
      <c r="H567"/>
    </row>
    <row r="568" spans="2:8">
      <c r="B568"/>
      <c r="C568"/>
      <c r="D568"/>
      <c r="E568"/>
      <c r="F568"/>
      <c r="G568"/>
      <c r="H568"/>
    </row>
    <row r="569" spans="2:8">
      <c r="B569"/>
      <c r="C569"/>
      <c r="D569"/>
      <c r="E569"/>
      <c r="F569"/>
      <c r="G569"/>
      <c r="H569"/>
    </row>
    <row r="570" spans="2:8">
      <c r="B570"/>
      <c r="C570"/>
      <c r="D570"/>
      <c r="E570"/>
      <c r="F570"/>
      <c r="G570"/>
      <c r="H570"/>
    </row>
    <row r="571" spans="2:8">
      <c r="B571"/>
      <c r="C571"/>
      <c r="D571"/>
      <c r="E571"/>
      <c r="F571"/>
      <c r="G571"/>
      <c r="H571"/>
    </row>
    <row r="572" spans="2:8">
      <c r="B572"/>
      <c r="C572"/>
      <c r="D572"/>
      <c r="E572"/>
      <c r="F572"/>
      <c r="G572"/>
      <c r="H572"/>
    </row>
    <row r="573" spans="2:8">
      <c r="B573"/>
      <c r="C573"/>
      <c r="D573"/>
      <c r="E573"/>
      <c r="F573"/>
      <c r="G573"/>
      <c r="H573"/>
    </row>
    <row r="574" spans="2:8">
      <c r="B574"/>
      <c r="C574"/>
      <c r="D574"/>
      <c r="E574"/>
      <c r="F574"/>
      <c r="G574"/>
      <c r="H574"/>
    </row>
    <row r="575" spans="2:8">
      <c r="B575"/>
      <c r="C575"/>
      <c r="D575"/>
      <c r="E575"/>
      <c r="F575"/>
      <c r="G575"/>
      <c r="H575"/>
    </row>
    <row r="576" spans="2:8">
      <c r="B576"/>
      <c r="C576"/>
      <c r="D576"/>
      <c r="E576"/>
      <c r="F576"/>
      <c r="G576"/>
      <c r="H576"/>
    </row>
    <row r="577" spans="2:8">
      <c r="B577"/>
      <c r="C577"/>
      <c r="D577"/>
      <c r="E577"/>
      <c r="F577"/>
      <c r="G577"/>
      <c r="H577"/>
    </row>
    <row r="578" spans="2:8">
      <c r="B578"/>
      <c r="C578"/>
      <c r="D578"/>
      <c r="E578"/>
      <c r="F578"/>
      <c r="G578"/>
      <c r="H578"/>
    </row>
    <row r="579" spans="2:8">
      <c r="B579"/>
      <c r="C579"/>
      <c r="D579"/>
      <c r="E579"/>
      <c r="F579"/>
      <c r="G579"/>
      <c r="H579"/>
    </row>
    <row r="580" spans="2:8">
      <c r="B580"/>
      <c r="C580"/>
      <c r="D580"/>
      <c r="E580"/>
      <c r="F580"/>
      <c r="G580"/>
      <c r="H580"/>
    </row>
    <row r="581" spans="2:8">
      <c r="B581"/>
      <c r="C581"/>
      <c r="D581"/>
      <c r="E581"/>
      <c r="F581"/>
      <c r="G581"/>
      <c r="H581"/>
    </row>
    <row r="582" spans="2:8">
      <c r="B582"/>
      <c r="C582"/>
      <c r="D582"/>
      <c r="E582"/>
      <c r="F582"/>
      <c r="G582"/>
      <c r="H582"/>
    </row>
    <row r="583" spans="2:8">
      <c r="B583"/>
      <c r="C583"/>
      <c r="D583"/>
      <c r="E583"/>
      <c r="F583"/>
      <c r="G583"/>
      <c r="H583"/>
    </row>
    <row r="584" spans="2:8">
      <c r="B584"/>
      <c r="C584"/>
      <c r="D584"/>
      <c r="E584"/>
      <c r="F584"/>
      <c r="G584"/>
      <c r="H584"/>
    </row>
    <row r="585" spans="2:8">
      <c r="B585"/>
      <c r="C585"/>
      <c r="D585"/>
      <c r="E585"/>
      <c r="F585"/>
      <c r="G585"/>
      <c r="H585"/>
    </row>
    <row r="586" spans="2:8">
      <c r="B586"/>
      <c r="C586"/>
      <c r="D586"/>
      <c r="E586"/>
      <c r="F586"/>
      <c r="G586"/>
      <c r="H586"/>
    </row>
    <row r="587" spans="2:8">
      <c r="B587"/>
      <c r="C587"/>
      <c r="D587"/>
      <c r="E587"/>
      <c r="F587"/>
      <c r="G587"/>
      <c r="H587"/>
    </row>
    <row r="588" spans="2:8">
      <c r="B588"/>
      <c r="C588"/>
      <c r="D588"/>
      <c r="E588"/>
      <c r="F588"/>
      <c r="G588"/>
      <c r="H588"/>
    </row>
    <row r="589" spans="2:8">
      <c r="B589"/>
      <c r="C589"/>
      <c r="D589"/>
      <c r="E589"/>
      <c r="F589"/>
      <c r="G589"/>
      <c r="H589"/>
    </row>
    <row r="590" spans="2:8">
      <c r="B590"/>
      <c r="C590"/>
      <c r="D590"/>
      <c r="E590"/>
      <c r="F590"/>
      <c r="G590"/>
      <c r="H590"/>
    </row>
    <row r="591" spans="2:8">
      <c r="B591"/>
      <c r="C591"/>
      <c r="D591"/>
      <c r="E591"/>
      <c r="F591"/>
      <c r="G591"/>
      <c r="H591"/>
    </row>
    <row r="592" spans="2:8">
      <c r="B592"/>
      <c r="C592"/>
      <c r="D592"/>
      <c r="E592"/>
      <c r="F592"/>
      <c r="G592"/>
      <c r="H592"/>
    </row>
    <row r="593" spans="2:8">
      <c r="B593"/>
      <c r="C593"/>
      <c r="D593"/>
      <c r="E593"/>
      <c r="F593"/>
      <c r="G593"/>
      <c r="H593"/>
    </row>
    <row r="594" spans="2:8">
      <c r="B594"/>
      <c r="C594"/>
      <c r="D594"/>
      <c r="E594"/>
      <c r="F594"/>
      <c r="G594"/>
      <c r="H594"/>
    </row>
    <row r="595" spans="2:8">
      <c r="B595"/>
      <c r="C595"/>
      <c r="D595"/>
      <c r="E595"/>
      <c r="F595"/>
      <c r="G595"/>
      <c r="H595"/>
    </row>
    <row r="596" spans="2:8">
      <c r="B596"/>
      <c r="C596"/>
      <c r="D596"/>
      <c r="E596"/>
      <c r="F596"/>
      <c r="G596"/>
      <c r="H596"/>
    </row>
    <row r="597" spans="2:8">
      <c r="B597"/>
      <c r="C597"/>
      <c r="D597"/>
      <c r="E597"/>
      <c r="F597"/>
      <c r="G597"/>
      <c r="H597"/>
    </row>
    <row r="598" spans="2:8">
      <c r="B598"/>
      <c r="C598"/>
      <c r="D598"/>
      <c r="E598"/>
      <c r="F598"/>
      <c r="G598"/>
      <c r="H598"/>
    </row>
    <row r="599" spans="2:8">
      <c r="B599"/>
      <c r="C599"/>
      <c r="D599"/>
      <c r="E599"/>
      <c r="F599"/>
      <c r="G599"/>
      <c r="H599"/>
    </row>
    <row r="600" spans="2:8">
      <c r="B600"/>
      <c r="C600"/>
      <c r="D600"/>
      <c r="E600"/>
      <c r="F600"/>
      <c r="G600"/>
      <c r="H600"/>
    </row>
    <row r="601" spans="2:8">
      <c r="B601"/>
      <c r="C601"/>
      <c r="D601"/>
      <c r="E601"/>
      <c r="F601"/>
      <c r="G601"/>
      <c r="H601"/>
    </row>
    <row r="602" spans="2:8">
      <c r="B602"/>
      <c r="C602"/>
      <c r="D602"/>
      <c r="E602"/>
      <c r="F602"/>
      <c r="G602"/>
      <c r="H602"/>
    </row>
    <row r="603" spans="2:8">
      <c r="B603"/>
      <c r="C603"/>
      <c r="D603"/>
      <c r="E603"/>
      <c r="F603"/>
      <c r="G603"/>
      <c r="H603"/>
    </row>
    <row r="604" spans="2:8">
      <c r="B604"/>
      <c r="C604"/>
      <c r="D604"/>
      <c r="E604"/>
      <c r="F604"/>
      <c r="G604"/>
      <c r="H604"/>
    </row>
    <row r="605" spans="2:8">
      <c r="B605"/>
      <c r="C605"/>
      <c r="D605"/>
      <c r="E605"/>
      <c r="F605"/>
      <c r="G605"/>
      <c r="H605"/>
    </row>
    <row r="606" spans="2:8">
      <c r="B606"/>
      <c r="C606"/>
      <c r="D606"/>
      <c r="E606"/>
      <c r="F606"/>
      <c r="G606"/>
      <c r="H606"/>
    </row>
    <row r="607" spans="2:8">
      <c r="B607"/>
      <c r="C607"/>
      <c r="D607"/>
      <c r="E607"/>
      <c r="F607"/>
      <c r="G607"/>
      <c r="H607"/>
    </row>
    <row r="608" spans="2:8">
      <c r="B608"/>
      <c r="C608"/>
      <c r="D608"/>
      <c r="E608"/>
      <c r="F608"/>
      <c r="G608"/>
      <c r="H608"/>
    </row>
    <row r="609" spans="2:8">
      <c r="B609"/>
      <c r="C609"/>
      <c r="D609"/>
      <c r="E609"/>
      <c r="F609"/>
      <c r="G609"/>
      <c r="H609"/>
    </row>
    <row r="610" spans="2:8">
      <c r="B610"/>
      <c r="C610"/>
      <c r="D610"/>
      <c r="E610"/>
      <c r="F610"/>
      <c r="G610"/>
      <c r="H610"/>
    </row>
    <row r="611" spans="2:8">
      <c r="B611"/>
      <c r="C611"/>
      <c r="D611"/>
      <c r="E611"/>
      <c r="F611"/>
      <c r="G611"/>
      <c r="H611"/>
    </row>
    <row r="612" spans="2:8">
      <c r="B612"/>
      <c r="C612"/>
      <c r="D612"/>
      <c r="E612"/>
      <c r="F612"/>
      <c r="G612"/>
      <c r="H612"/>
    </row>
    <row r="613" spans="2:8">
      <c r="B613"/>
      <c r="C613"/>
      <c r="D613"/>
      <c r="E613"/>
      <c r="F613"/>
      <c r="G613"/>
      <c r="H613"/>
    </row>
    <row r="614" spans="2:8">
      <c r="B614"/>
      <c r="C614"/>
      <c r="D614"/>
      <c r="E614"/>
      <c r="F614"/>
      <c r="G614"/>
      <c r="H614"/>
    </row>
    <row r="615" spans="2:8">
      <c r="B615"/>
      <c r="C615"/>
      <c r="D615"/>
      <c r="E615"/>
      <c r="F615"/>
      <c r="G615"/>
      <c r="H615"/>
    </row>
    <row r="616" spans="2:8">
      <c r="B616"/>
      <c r="C616"/>
      <c r="D616"/>
      <c r="E616"/>
      <c r="F616"/>
      <c r="G616"/>
      <c r="H616"/>
    </row>
    <row r="617" spans="2:8">
      <c r="B617"/>
      <c r="C617"/>
      <c r="D617"/>
      <c r="E617"/>
      <c r="F617"/>
      <c r="G617"/>
      <c r="H617"/>
    </row>
    <row r="618" spans="2:8">
      <c r="B618"/>
      <c r="C618"/>
      <c r="D618"/>
      <c r="E618"/>
      <c r="F618"/>
      <c r="G618"/>
      <c r="H618"/>
    </row>
    <row r="619" spans="2:8">
      <c r="B619"/>
      <c r="C619"/>
      <c r="D619"/>
      <c r="E619"/>
      <c r="F619"/>
      <c r="G619"/>
      <c r="H619"/>
    </row>
    <row r="620" spans="2:8">
      <c r="B620"/>
      <c r="C620"/>
      <c r="D620"/>
      <c r="E620"/>
      <c r="F620"/>
      <c r="G620"/>
      <c r="H620"/>
    </row>
    <row r="621" spans="2:8">
      <c r="B621"/>
      <c r="C621"/>
      <c r="D621"/>
      <c r="E621"/>
      <c r="F621"/>
      <c r="G621"/>
      <c r="H621"/>
    </row>
    <row r="622" spans="2:8">
      <c r="B622"/>
      <c r="C622"/>
      <c r="D622"/>
      <c r="E622"/>
      <c r="F622"/>
      <c r="G622"/>
      <c r="H622"/>
    </row>
    <row r="623" spans="2:8">
      <c r="B623"/>
      <c r="C623"/>
      <c r="D623"/>
      <c r="E623"/>
      <c r="F623"/>
      <c r="G623"/>
      <c r="H623"/>
    </row>
    <row r="624" spans="2:8">
      <c r="B624"/>
      <c r="C624"/>
      <c r="D624"/>
      <c r="E624"/>
      <c r="F624"/>
      <c r="G624"/>
      <c r="H624"/>
    </row>
    <row r="625" spans="2:8">
      <c r="B625"/>
      <c r="C625"/>
      <c r="D625"/>
      <c r="E625"/>
      <c r="F625"/>
      <c r="G625"/>
      <c r="H625"/>
    </row>
    <row r="626" spans="2:8">
      <c r="B626"/>
      <c r="C626"/>
      <c r="D626"/>
      <c r="E626"/>
      <c r="F626"/>
      <c r="G626"/>
      <c r="H626"/>
    </row>
    <row r="627" spans="2:8">
      <c r="B627"/>
      <c r="C627"/>
      <c r="D627"/>
      <c r="E627"/>
      <c r="F627"/>
      <c r="G627"/>
      <c r="H627"/>
    </row>
    <row r="628" spans="2:8">
      <c r="B628"/>
      <c r="C628"/>
      <c r="D628"/>
      <c r="E628"/>
      <c r="F628"/>
      <c r="G628"/>
      <c r="H628"/>
    </row>
    <row r="629" spans="2:8">
      <c r="B629"/>
      <c r="C629"/>
      <c r="D629"/>
      <c r="E629"/>
      <c r="F629"/>
      <c r="G629"/>
      <c r="H629"/>
    </row>
    <row r="630" spans="2:8">
      <c r="B630"/>
      <c r="C630"/>
      <c r="D630"/>
      <c r="E630"/>
      <c r="F630"/>
      <c r="G630"/>
      <c r="H630"/>
    </row>
    <row r="631" spans="2:8">
      <c r="B631"/>
      <c r="C631"/>
      <c r="D631"/>
      <c r="E631"/>
      <c r="F631"/>
      <c r="G631"/>
      <c r="H631"/>
    </row>
    <row r="632" spans="2:8">
      <c r="B632"/>
      <c r="C632"/>
      <c r="D632"/>
      <c r="E632"/>
      <c r="F632"/>
      <c r="G632"/>
      <c r="H632"/>
    </row>
    <row r="633" spans="2:8">
      <c r="B633"/>
      <c r="C633"/>
      <c r="D633"/>
      <c r="E633"/>
      <c r="F633"/>
      <c r="G633"/>
      <c r="H633"/>
    </row>
    <row r="634" spans="2:8">
      <c r="B634"/>
      <c r="C634"/>
      <c r="D634"/>
      <c r="E634"/>
      <c r="F634"/>
      <c r="G634"/>
      <c r="H634"/>
    </row>
    <row r="635" spans="2:8">
      <c r="B635"/>
      <c r="C635"/>
      <c r="D635"/>
      <c r="E635"/>
      <c r="F635"/>
      <c r="G635"/>
      <c r="H635"/>
    </row>
    <row r="636" spans="2:8">
      <c r="B636"/>
      <c r="C636"/>
      <c r="D636"/>
      <c r="E636"/>
      <c r="F636"/>
      <c r="G636"/>
      <c r="H636"/>
    </row>
    <row r="637" spans="2:8">
      <c r="B637"/>
      <c r="C637"/>
      <c r="D637"/>
      <c r="E637"/>
      <c r="F637"/>
      <c r="G637"/>
      <c r="H637"/>
    </row>
    <row r="638" spans="2:8">
      <c r="B638"/>
      <c r="C638"/>
      <c r="D638"/>
      <c r="E638"/>
      <c r="F638"/>
      <c r="G638"/>
      <c r="H638"/>
    </row>
    <row r="639" spans="2:8">
      <c r="B639"/>
      <c r="C639"/>
      <c r="D639"/>
      <c r="E639"/>
      <c r="F639"/>
      <c r="G639"/>
      <c r="H639"/>
    </row>
    <row r="640" spans="2:8">
      <c r="B640"/>
      <c r="C640"/>
      <c r="D640"/>
      <c r="E640"/>
      <c r="F640"/>
      <c r="G640"/>
      <c r="H640"/>
    </row>
    <row r="641" spans="2:8">
      <c r="B641"/>
      <c r="C641"/>
      <c r="D641"/>
      <c r="E641"/>
      <c r="F641"/>
      <c r="G641"/>
      <c r="H641"/>
    </row>
    <row r="642" spans="2:8">
      <c r="B642"/>
      <c r="C642"/>
      <c r="D642"/>
      <c r="E642"/>
      <c r="F642"/>
      <c r="G642"/>
      <c r="H642"/>
    </row>
    <row r="643" spans="2:8">
      <c r="B643"/>
      <c r="C643"/>
      <c r="D643"/>
      <c r="E643"/>
      <c r="F643"/>
      <c r="G643"/>
      <c r="H643"/>
    </row>
    <row r="644" spans="2:8">
      <c r="B644"/>
      <c r="C644"/>
      <c r="D644"/>
      <c r="E644"/>
      <c r="F644"/>
      <c r="G644"/>
      <c r="H644"/>
    </row>
    <row r="645" spans="2:8">
      <c r="B645"/>
      <c r="C645"/>
      <c r="D645"/>
      <c r="E645"/>
      <c r="F645"/>
      <c r="G645"/>
      <c r="H645"/>
    </row>
    <row r="646" spans="2:8">
      <c r="B646"/>
      <c r="C646"/>
      <c r="D646"/>
      <c r="E646"/>
      <c r="F646"/>
      <c r="G646"/>
      <c r="H646"/>
    </row>
    <row r="647" spans="2:8">
      <c r="B647"/>
      <c r="C647"/>
      <c r="D647"/>
      <c r="E647"/>
      <c r="F647"/>
      <c r="G647"/>
      <c r="H647"/>
    </row>
    <row r="648" spans="2:8">
      <c r="B648"/>
      <c r="C648"/>
      <c r="D648"/>
      <c r="E648"/>
      <c r="F648"/>
      <c r="G648"/>
      <c r="H648"/>
    </row>
    <row r="649" spans="2:8">
      <c r="B649"/>
      <c r="C649"/>
      <c r="D649"/>
      <c r="E649"/>
      <c r="F649"/>
      <c r="G649"/>
      <c r="H649"/>
    </row>
    <row r="650" spans="2:8">
      <c r="B650"/>
      <c r="C650"/>
      <c r="D650"/>
      <c r="E650"/>
      <c r="F650"/>
      <c r="G650"/>
      <c r="H650"/>
    </row>
    <row r="651" spans="2:8">
      <c r="B651"/>
      <c r="C651"/>
      <c r="D651"/>
      <c r="E651"/>
      <c r="F651"/>
      <c r="G651"/>
      <c r="H651"/>
    </row>
    <row r="652" spans="2:8">
      <c r="B652"/>
      <c r="C652"/>
      <c r="D652"/>
      <c r="E652"/>
      <c r="F652"/>
      <c r="G652"/>
      <c r="H652"/>
    </row>
    <row r="653" spans="2:8">
      <c r="B653"/>
      <c r="C653"/>
      <c r="D653"/>
      <c r="E653"/>
      <c r="F653"/>
      <c r="G653"/>
      <c r="H653"/>
    </row>
    <row r="654" spans="2:8">
      <c r="B654"/>
      <c r="C654"/>
      <c r="D654"/>
      <c r="E654"/>
      <c r="F654"/>
      <c r="G654"/>
      <c r="H654"/>
    </row>
    <row r="655" spans="2:8">
      <c r="B655"/>
      <c r="C655"/>
      <c r="D655"/>
      <c r="E655"/>
      <c r="F655"/>
      <c r="G655"/>
      <c r="H655"/>
    </row>
    <row r="656" spans="2:8">
      <c r="B656"/>
      <c r="C656"/>
      <c r="D656"/>
      <c r="E656"/>
      <c r="F656"/>
      <c r="G656"/>
      <c r="H656"/>
    </row>
    <row r="657" spans="2:8">
      <c r="B657"/>
      <c r="C657"/>
      <c r="D657"/>
      <c r="E657"/>
      <c r="F657"/>
      <c r="G657"/>
      <c r="H657"/>
    </row>
    <row r="658" spans="2:8">
      <c r="B658"/>
      <c r="C658"/>
      <c r="D658"/>
      <c r="E658"/>
      <c r="F658"/>
      <c r="G658"/>
      <c r="H658"/>
    </row>
    <row r="659" spans="2:8">
      <c r="B659"/>
      <c r="C659"/>
      <c r="D659"/>
      <c r="E659"/>
      <c r="F659"/>
      <c r="G659"/>
      <c r="H659"/>
    </row>
    <row r="660" spans="2:8">
      <c r="B660"/>
      <c r="C660"/>
      <c r="D660"/>
      <c r="E660"/>
      <c r="F660"/>
      <c r="G660"/>
      <c r="H660"/>
    </row>
    <row r="661" spans="2:8">
      <c r="B661"/>
      <c r="C661"/>
      <c r="D661"/>
      <c r="E661"/>
      <c r="F661"/>
      <c r="G661"/>
      <c r="H661"/>
    </row>
    <row r="662" spans="2:8">
      <c r="B662"/>
      <c r="C662"/>
      <c r="D662"/>
      <c r="E662"/>
      <c r="F662"/>
      <c r="G662"/>
      <c r="H662"/>
    </row>
    <row r="663" spans="2:8">
      <c r="B663"/>
      <c r="C663"/>
      <c r="D663"/>
      <c r="E663"/>
      <c r="F663"/>
      <c r="G663"/>
      <c r="H663"/>
    </row>
    <row r="664" spans="2:8">
      <c r="B664"/>
      <c r="C664"/>
      <c r="D664"/>
      <c r="E664"/>
      <c r="F664"/>
      <c r="G664"/>
      <c r="H664"/>
    </row>
    <row r="665" spans="2:8">
      <c r="B665"/>
      <c r="C665"/>
      <c r="D665"/>
      <c r="E665"/>
      <c r="F665"/>
      <c r="G665"/>
      <c r="H665"/>
    </row>
    <row r="666" spans="2:8">
      <c r="B666"/>
      <c r="C666"/>
      <c r="D666"/>
      <c r="E666"/>
      <c r="F666"/>
      <c r="G666"/>
      <c r="H666"/>
    </row>
    <row r="667" spans="2:8">
      <c r="B667"/>
      <c r="C667"/>
      <c r="D667"/>
      <c r="E667"/>
      <c r="F667"/>
      <c r="G667"/>
      <c r="H667"/>
    </row>
    <row r="668" spans="2:8">
      <c r="B668"/>
      <c r="C668"/>
      <c r="D668"/>
      <c r="E668"/>
      <c r="F668"/>
      <c r="G668"/>
      <c r="H668"/>
    </row>
    <row r="669" spans="2:8">
      <c r="B669"/>
      <c r="C669"/>
      <c r="D669"/>
      <c r="E669"/>
      <c r="F669"/>
      <c r="G669"/>
      <c r="H669"/>
    </row>
    <row r="670" spans="2:8">
      <c r="B670"/>
      <c r="C670"/>
      <c r="D670"/>
      <c r="E670"/>
      <c r="F670"/>
      <c r="G670"/>
      <c r="H670"/>
    </row>
    <row r="671" spans="2:8">
      <c r="B671"/>
      <c r="C671"/>
      <c r="D671"/>
      <c r="E671"/>
      <c r="F671"/>
      <c r="G671"/>
      <c r="H671"/>
    </row>
    <row r="672" spans="2:8">
      <c r="B672"/>
      <c r="C672"/>
      <c r="D672"/>
      <c r="E672"/>
      <c r="F672"/>
      <c r="G672"/>
      <c r="H672"/>
    </row>
    <row r="673" spans="2:8">
      <c r="B673"/>
      <c r="C673"/>
      <c r="D673"/>
      <c r="E673"/>
      <c r="F673"/>
      <c r="G673"/>
      <c r="H673"/>
    </row>
    <row r="674" spans="2:8">
      <c r="B674"/>
      <c r="C674"/>
      <c r="D674"/>
      <c r="E674"/>
      <c r="F674"/>
      <c r="G674"/>
      <c r="H674"/>
    </row>
    <row r="675" spans="2:8">
      <c r="B675"/>
      <c r="C675"/>
      <c r="D675"/>
      <c r="E675"/>
      <c r="F675"/>
      <c r="G675"/>
      <c r="H675"/>
    </row>
    <row r="676" spans="2:8">
      <c r="B676"/>
      <c r="C676"/>
      <c r="D676"/>
      <c r="E676"/>
      <c r="F676"/>
      <c r="G676"/>
      <c r="H676"/>
    </row>
    <row r="677" spans="2:8">
      <c r="B677"/>
      <c r="C677"/>
      <c r="D677"/>
      <c r="E677"/>
      <c r="F677"/>
      <c r="G677"/>
      <c r="H677"/>
    </row>
    <row r="678" spans="2:8">
      <c r="B678"/>
      <c r="C678"/>
      <c r="D678"/>
      <c r="E678"/>
      <c r="F678"/>
      <c r="G678"/>
      <c r="H678"/>
    </row>
    <row r="679" spans="2:8">
      <c r="B679"/>
      <c r="C679"/>
      <c r="D679"/>
      <c r="E679"/>
      <c r="F679"/>
      <c r="G679"/>
      <c r="H679"/>
    </row>
    <row r="680" spans="2:8">
      <c r="B680"/>
      <c r="C680"/>
      <c r="D680"/>
      <c r="E680"/>
      <c r="F680"/>
      <c r="G680"/>
      <c r="H680"/>
    </row>
    <row r="681" spans="2:8">
      <c r="B681"/>
      <c r="C681"/>
      <c r="D681"/>
      <c r="E681"/>
      <c r="F681"/>
      <c r="G681"/>
      <c r="H681"/>
    </row>
    <row r="682" spans="2:8">
      <c r="B682"/>
      <c r="C682"/>
      <c r="D682"/>
      <c r="E682"/>
      <c r="F682"/>
      <c r="G682"/>
      <c r="H682"/>
    </row>
    <row r="683" spans="2:8">
      <c r="B683"/>
      <c r="C683"/>
      <c r="D683"/>
      <c r="E683"/>
      <c r="F683"/>
      <c r="G683"/>
      <c r="H683"/>
    </row>
    <row r="684" spans="2:8">
      <c r="B684"/>
      <c r="C684"/>
      <c r="D684"/>
      <c r="E684"/>
      <c r="F684"/>
      <c r="G684"/>
      <c r="H684"/>
    </row>
    <row r="685" spans="2:8">
      <c r="B685"/>
      <c r="C685"/>
      <c r="D685"/>
      <c r="E685"/>
      <c r="F685"/>
      <c r="G685"/>
      <c r="H685"/>
    </row>
    <row r="686" spans="2:8">
      <c r="B686"/>
      <c r="C686"/>
      <c r="D686"/>
      <c r="E686"/>
      <c r="F686"/>
      <c r="G686"/>
      <c r="H686"/>
    </row>
    <row r="687" spans="2:8">
      <c r="B687"/>
      <c r="C687"/>
      <c r="D687"/>
      <c r="E687"/>
      <c r="F687"/>
      <c r="G687"/>
      <c r="H687"/>
    </row>
    <row r="688" spans="2:8">
      <c r="B688"/>
      <c r="C688"/>
      <c r="D688"/>
      <c r="E688"/>
      <c r="F688"/>
      <c r="G688"/>
      <c r="H688"/>
    </row>
    <row r="689" spans="2:8">
      <c r="B689"/>
      <c r="C689"/>
      <c r="D689"/>
      <c r="E689"/>
      <c r="F689"/>
      <c r="G689"/>
      <c r="H689"/>
    </row>
    <row r="690" spans="2:8">
      <c r="B690"/>
      <c r="C690"/>
      <c r="D690"/>
      <c r="E690"/>
      <c r="F690"/>
      <c r="G690"/>
      <c r="H690"/>
    </row>
    <row r="691" spans="2:8">
      <c r="B691"/>
      <c r="C691"/>
      <c r="D691"/>
      <c r="E691"/>
      <c r="F691"/>
      <c r="G691"/>
      <c r="H691"/>
    </row>
    <row r="692" spans="2:8">
      <c r="B692"/>
      <c r="C692"/>
      <c r="D692"/>
      <c r="E692"/>
      <c r="F692"/>
      <c r="G692"/>
      <c r="H692"/>
    </row>
    <row r="693" spans="2:8">
      <c r="B693"/>
      <c r="C693"/>
      <c r="D693"/>
      <c r="E693"/>
      <c r="F693"/>
      <c r="G693"/>
      <c r="H693"/>
    </row>
    <row r="694" spans="2:8">
      <c r="B694"/>
      <c r="C694"/>
      <c r="D694"/>
      <c r="E694"/>
      <c r="F694"/>
      <c r="G694"/>
      <c r="H694"/>
    </row>
    <row r="695" spans="2:8">
      <c r="B695"/>
      <c r="C695"/>
      <c r="D695"/>
      <c r="E695"/>
      <c r="F695"/>
      <c r="G695"/>
      <c r="H695"/>
    </row>
    <row r="696" spans="2:8">
      <c r="B696"/>
      <c r="C696"/>
      <c r="D696"/>
      <c r="E696"/>
      <c r="F696"/>
      <c r="G696"/>
      <c r="H696"/>
    </row>
    <row r="697" spans="2:8">
      <c r="B697"/>
      <c r="C697"/>
      <c r="D697"/>
      <c r="E697"/>
      <c r="F697"/>
      <c r="G697"/>
      <c r="H697"/>
    </row>
    <row r="698" spans="2:8">
      <c r="B698"/>
      <c r="C698"/>
      <c r="D698"/>
      <c r="E698"/>
      <c r="F698"/>
      <c r="G698"/>
      <c r="H698"/>
    </row>
    <row r="699" spans="2:8">
      <c r="B699"/>
      <c r="C699"/>
      <c r="D699"/>
      <c r="E699"/>
      <c r="F699"/>
      <c r="G699"/>
      <c r="H699"/>
    </row>
    <row r="700" spans="2:8">
      <c r="B700"/>
      <c r="C700"/>
      <c r="D700"/>
      <c r="E700"/>
      <c r="F700"/>
      <c r="G700"/>
      <c r="H700"/>
    </row>
    <row r="701" spans="2:8">
      <c r="B701"/>
      <c r="C701"/>
      <c r="D701"/>
      <c r="E701"/>
      <c r="F701"/>
      <c r="G701"/>
      <c r="H701"/>
    </row>
    <row r="702" spans="2:8">
      <c r="B702"/>
      <c r="C702"/>
      <c r="D702"/>
      <c r="E702"/>
      <c r="F702"/>
      <c r="G702"/>
      <c r="H702"/>
    </row>
    <row r="703" spans="2:8">
      <c r="B703"/>
      <c r="C703"/>
      <c r="D703"/>
      <c r="E703"/>
      <c r="F703"/>
      <c r="G703"/>
      <c r="H703"/>
    </row>
    <row r="704" spans="2:8">
      <c r="B704"/>
      <c r="C704"/>
      <c r="D704"/>
      <c r="E704"/>
      <c r="F704"/>
      <c r="G704"/>
      <c r="H704"/>
    </row>
    <row r="705" spans="2:8">
      <c r="B705"/>
      <c r="C705"/>
      <c r="D705"/>
      <c r="E705"/>
      <c r="F705"/>
      <c r="G705"/>
      <c r="H705"/>
    </row>
    <row r="706" spans="2:8">
      <c r="B706"/>
      <c r="C706"/>
      <c r="D706"/>
      <c r="E706"/>
      <c r="F706"/>
      <c r="G706"/>
      <c r="H706"/>
    </row>
    <row r="707" spans="2:8">
      <c r="B707"/>
      <c r="C707"/>
      <c r="D707"/>
      <c r="E707"/>
      <c r="F707"/>
      <c r="G707"/>
      <c r="H707"/>
    </row>
    <row r="708" spans="2:8">
      <c r="B708"/>
      <c r="C708"/>
      <c r="D708"/>
      <c r="E708"/>
      <c r="F708"/>
      <c r="G708"/>
      <c r="H708"/>
    </row>
    <row r="709" spans="2:8">
      <c r="B709"/>
      <c r="C709"/>
      <c r="D709"/>
      <c r="E709"/>
      <c r="F709"/>
      <c r="G709"/>
      <c r="H709"/>
    </row>
    <row r="710" spans="2:8">
      <c r="B710"/>
      <c r="C710"/>
      <c r="D710"/>
      <c r="E710"/>
      <c r="F710"/>
      <c r="G710"/>
      <c r="H710"/>
    </row>
    <row r="711" spans="2:8">
      <c r="B711"/>
      <c r="C711"/>
      <c r="D711"/>
      <c r="E711"/>
      <c r="F711"/>
      <c r="G711"/>
      <c r="H711"/>
    </row>
    <row r="712" spans="2:8">
      <c r="B712"/>
      <c r="C712"/>
      <c r="D712"/>
      <c r="E712"/>
      <c r="F712"/>
      <c r="G712"/>
      <c r="H712"/>
    </row>
    <row r="713" spans="2:8">
      <c r="B713"/>
      <c r="C713"/>
      <c r="D713"/>
      <c r="E713"/>
      <c r="F713"/>
      <c r="G713"/>
      <c r="H713"/>
    </row>
    <row r="714" spans="2:8">
      <c r="B714"/>
      <c r="C714"/>
      <c r="D714"/>
      <c r="E714"/>
      <c r="F714"/>
      <c r="G714"/>
      <c r="H714"/>
    </row>
    <row r="715" spans="2:8">
      <c r="B715"/>
      <c r="C715"/>
      <c r="D715"/>
      <c r="E715"/>
      <c r="F715"/>
      <c r="G715"/>
      <c r="H715"/>
    </row>
    <row r="716" spans="2:8">
      <c r="B716"/>
      <c r="C716"/>
      <c r="D716"/>
      <c r="E716"/>
      <c r="F716"/>
      <c r="G716"/>
      <c r="H716"/>
    </row>
    <row r="717" spans="2:8">
      <c r="B717"/>
      <c r="C717"/>
      <c r="D717"/>
      <c r="E717"/>
      <c r="F717"/>
      <c r="G717"/>
      <c r="H717"/>
    </row>
    <row r="718" spans="2:8">
      <c r="B718"/>
      <c r="C718"/>
      <c r="D718"/>
      <c r="E718"/>
      <c r="F718"/>
      <c r="G718"/>
      <c r="H718"/>
    </row>
    <row r="719" spans="2:8">
      <c r="B719"/>
      <c r="C719"/>
      <c r="D719"/>
      <c r="E719"/>
      <c r="F719"/>
      <c r="G719"/>
      <c r="H719"/>
    </row>
    <row r="720" spans="2:8">
      <c r="B720"/>
      <c r="C720"/>
      <c r="D720"/>
      <c r="E720"/>
      <c r="F720"/>
      <c r="G720"/>
      <c r="H720"/>
    </row>
    <row r="721" spans="2:8">
      <c r="B721"/>
      <c r="C721"/>
      <c r="D721"/>
      <c r="E721"/>
      <c r="F721"/>
      <c r="G721"/>
      <c r="H721"/>
    </row>
    <row r="722" spans="2:8">
      <c r="B722"/>
      <c r="C722"/>
      <c r="D722"/>
      <c r="E722"/>
      <c r="F722"/>
      <c r="G722"/>
      <c r="H722"/>
    </row>
    <row r="723" spans="2:8">
      <c r="B723"/>
      <c r="C723"/>
      <c r="D723"/>
      <c r="E723"/>
      <c r="F723"/>
      <c r="G723"/>
      <c r="H723"/>
    </row>
    <row r="724" spans="2:8">
      <c r="B724"/>
      <c r="C724"/>
      <c r="D724"/>
      <c r="E724"/>
      <c r="F724"/>
      <c r="G724"/>
      <c r="H724"/>
    </row>
    <row r="725" spans="2:8">
      <c r="B725"/>
      <c r="C725"/>
      <c r="D725"/>
      <c r="E725"/>
      <c r="F725"/>
      <c r="G725"/>
      <c r="H725"/>
    </row>
    <row r="726" spans="2:8">
      <c r="B726"/>
      <c r="C726"/>
      <c r="D726"/>
      <c r="E726"/>
      <c r="F726"/>
      <c r="G726"/>
      <c r="H726"/>
    </row>
    <row r="727" spans="2:8">
      <c r="B727"/>
      <c r="C727"/>
      <c r="D727"/>
      <c r="E727"/>
      <c r="F727"/>
      <c r="G727"/>
      <c r="H727"/>
    </row>
    <row r="728" spans="2:8">
      <c r="B728"/>
      <c r="C728"/>
      <c r="D728"/>
      <c r="E728"/>
      <c r="F728"/>
      <c r="G728"/>
      <c r="H728"/>
    </row>
    <row r="729" spans="2:8">
      <c r="B729"/>
      <c r="C729"/>
      <c r="D729"/>
      <c r="E729"/>
      <c r="F729"/>
      <c r="G729"/>
      <c r="H729"/>
    </row>
    <row r="730" spans="2:8">
      <c r="B730"/>
      <c r="C730"/>
      <c r="D730"/>
      <c r="E730"/>
      <c r="F730"/>
      <c r="G730"/>
      <c r="H730"/>
    </row>
    <row r="731" spans="2:8">
      <c r="B731"/>
      <c r="C731"/>
      <c r="D731"/>
      <c r="E731"/>
      <c r="F731"/>
      <c r="G731"/>
      <c r="H731"/>
    </row>
    <row r="732" spans="2:8">
      <c r="B732"/>
      <c r="C732"/>
      <c r="D732"/>
      <c r="E732"/>
      <c r="F732"/>
      <c r="G732"/>
      <c r="H732"/>
    </row>
    <row r="733" spans="2:8">
      <c r="B733"/>
      <c r="C733"/>
      <c r="D733"/>
      <c r="E733"/>
      <c r="F733"/>
      <c r="G733"/>
      <c r="H733"/>
    </row>
    <row r="734" spans="2:8">
      <c r="B734"/>
      <c r="C734"/>
      <c r="D734"/>
      <c r="E734"/>
      <c r="F734"/>
      <c r="G734"/>
      <c r="H734"/>
    </row>
    <row r="735" spans="2:8">
      <c r="B735"/>
      <c r="C735"/>
      <c r="D735"/>
      <c r="E735"/>
      <c r="F735"/>
      <c r="G735"/>
      <c r="H735"/>
    </row>
    <row r="736" spans="2:8">
      <c r="B736"/>
      <c r="C736"/>
      <c r="D736"/>
      <c r="E736"/>
      <c r="F736"/>
      <c r="G736"/>
      <c r="H736"/>
    </row>
    <row r="737" spans="2:8">
      <c r="B737"/>
      <c r="C737"/>
      <c r="D737"/>
      <c r="E737"/>
      <c r="F737"/>
      <c r="G737"/>
      <c r="H737"/>
    </row>
    <row r="738" spans="2:8">
      <c r="B738"/>
      <c r="C738"/>
      <c r="D738"/>
      <c r="E738"/>
      <c r="F738"/>
      <c r="G738"/>
      <c r="H738"/>
    </row>
    <row r="739" spans="2:8">
      <c r="B739"/>
      <c r="C739"/>
      <c r="D739"/>
      <c r="E739"/>
      <c r="F739"/>
      <c r="G739"/>
      <c r="H739"/>
    </row>
    <row r="740" spans="2:8">
      <c r="B740"/>
      <c r="C740"/>
      <c r="D740"/>
      <c r="E740"/>
      <c r="F740"/>
      <c r="G740"/>
      <c r="H740"/>
    </row>
    <row r="741" spans="2:8">
      <c r="B741"/>
      <c r="C741"/>
      <c r="D741"/>
      <c r="E741"/>
      <c r="F741"/>
      <c r="G741"/>
      <c r="H741"/>
    </row>
    <row r="742" spans="2:8">
      <c r="B742"/>
      <c r="C742"/>
      <c r="D742"/>
      <c r="E742"/>
      <c r="F742"/>
      <c r="G742"/>
      <c r="H742"/>
    </row>
    <row r="743" spans="2:8">
      <c r="B743"/>
      <c r="C743"/>
      <c r="D743"/>
      <c r="E743"/>
      <c r="F743"/>
      <c r="G743"/>
      <c r="H743"/>
    </row>
    <row r="744" spans="2:8">
      <c r="B744"/>
      <c r="C744"/>
      <c r="D744"/>
      <c r="E744"/>
      <c r="F744"/>
      <c r="G744"/>
      <c r="H744"/>
    </row>
    <row r="745" spans="2:8">
      <c r="B745"/>
      <c r="C745"/>
      <c r="D745"/>
      <c r="E745"/>
      <c r="F745"/>
      <c r="G745"/>
      <c r="H745"/>
    </row>
    <row r="746" spans="2:8">
      <c r="B746"/>
      <c r="C746"/>
      <c r="D746"/>
      <c r="E746"/>
      <c r="F746"/>
      <c r="G746"/>
      <c r="H746"/>
    </row>
    <row r="747" spans="2:8">
      <c r="B747"/>
      <c r="C747"/>
      <c r="D747"/>
      <c r="E747"/>
      <c r="F747"/>
      <c r="G747"/>
      <c r="H747"/>
    </row>
    <row r="748" spans="2:8">
      <c r="B748"/>
      <c r="C748"/>
      <c r="D748"/>
      <c r="E748"/>
      <c r="F748"/>
      <c r="G748"/>
      <c r="H748"/>
    </row>
    <row r="749" spans="2:8">
      <c r="B749"/>
      <c r="C749"/>
      <c r="D749"/>
      <c r="E749"/>
      <c r="F749"/>
      <c r="G749"/>
      <c r="H749"/>
    </row>
    <row r="750" spans="2:8">
      <c r="B750"/>
      <c r="C750"/>
      <c r="D750"/>
      <c r="E750"/>
      <c r="F750"/>
      <c r="G750"/>
      <c r="H750"/>
    </row>
    <row r="751" spans="2:8">
      <c r="B751"/>
      <c r="C751"/>
      <c r="D751"/>
      <c r="E751"/>
      <c r="F751"/>
      <c r="G751"/>
      <c r="H751"/>
    </row>
    <row r="752" spans="2:8">
      <c r="B752"/>
      <c r="C752"/>
      <c r="D752"/>
      <c r="E752"/>
      <c r="F752"/>
      <c r="G752"/>
      <c r="H752"/>
    </row>
    <row r="753" spans="2:8">
      <c r="B753"/>
      <c r="C753"/>
      <c r="D753"/>
      <c r="E753"/>
      <c r="F753"/>
      <c r="G753"/>
      <c r="H753"/>
    </row>
    <row r="754" spans="2:8">
      <c r="B754"/>
      <c r="C754"/>
      <c r="D754"/>
      <c r="E754"/>
      <c r="F754"/>
      <c r="G754"/>
      <c r="H754"/>
    </row>
    <row r="755" spans="2:8">
      <c r="B755"/>
      <c r="C755"/>
      <c r="D755"/>
      <c r="E755"/>
      <c r="F755"/>
      <c r="G755"/>
      <c r="H755"/>
    </row>
    <row r="756" spans="2:8">
      <c r="B756"/>
      <c r="C756"/>
      <c r="D756"/>
      <c r="E756"/>
      <c r="F756"/>
      <c r="G756"/>
      <c r="H756"/>
    </row>
    <row r="757" spans="2:8">
      <c r="B757"/>
      <c r="C757"/>
      <c r="D757"/>
      <c r="E757"/>
      <c r="F757"/>
      <c r="G757"/>
      <c r="H757"/>
    </row>
    <row r="758" spans="2:8">
      <c r="B758"/>
      <c r="C758"/>
      <c r="D758"/>
      <c r="E758"/>
      <c r="F758"/>
      <c r="G758"/>
      <c r="H758"/>
    </row>
    <row r="759" spans="2:8">
      <c r="B759"/>
      <c r="C759"/>
      <c r="D759"/>
      <c r="E759"/>
      <c r="F759"/>
      <c r="G759"/>
      <c r="H759"/>
    </row>
    <row r="760" spans="2:8">
      <c r="B760"/>
      <c r="C760"/>
      <c r="D760"/>
      <c r="E760"/>
      <c r="F760"/>
      <c r="G760"/>
      <c r="H760"/>
    </row>
    <row r="761" spans="2:8">
      <c r="B761"/>
      <c r="C761"/>
      <c r="D761"/>
      <c r="E761"/>
      <c r="F761"/>
      <c r="G761"/>
      <c r="H761"/>
    </row>
    <row r="762" spans="2:8">
      <c r="B762"/>
      <c r="C762"/>
      <c r="D762"/>
      <c r="E762"/>
      <c r="F762"/>
      <c r="G762"/>
      <c r="H762"/>
    </row>
    <row r="763" spans="2:8">
      <c r="B763"/>
      <c r="C763"/>
      <c r="D763"/>
      <c r="E763"/>
      <c r="F763"/>
      <c r="G763"/>
      <c r="H763"/>
    </row>
    <row r="764" spans="2:8">
      <c r="B764"/>
      <c r="C764"/>
      <c r="D764"/>
      <c r="E764"/>
      <c r="F764"/>
      <c r="G764"/>
      <c r="H764"/>
    </row>
    <row r="765" spans="2:8">
      <c r="B765"/>
      <c r="C765"/>
      <c r="D765"/>
      <c r="E765"/>
      <c r="F765"/>
      <c r="G765"/>
      <c r="H765"/>
    </row>
    <row r="766" spans="2:8">
      <c r="B766"/>
      <c r="C766"/>
      <c r="D766"/>
      <c r="E766"/>
      <c r="F766"/>
      <c r="G766"/>
      <c r="H766"/>
    </row>
    <row r="767" spans="2:8">
      <c r="B767"/>
      <c r="C767"/>
      <c r="D767"/>
      <c r="E767"/>
      <c r="F767"/>
      <c r="G767"/>
      <c r="H767"/>
    </row>
    <row r="768" spans="2:8">
      <c r="B768"/>
      <c r="C768"/>
      <c r="D768"/>
      <c r="E768"/>
      <c r="F768"/>
      <c r="G768"/>
      <c r="H768"/>
    </row>
    <row r="769" spans="2:8">
      <c r="B769"/>
      <c r="C769"/>
      <c r="D769"/>
      <c r="E769"/>
      <c r="F769"/>
      <c r="G769"/>
      <c r="H769"/>
    </row>
    <row r="770" spans="2:8">
      <c r="B770"/>
      <c r="C770"/>
      <c r="D770"/>
      <c r="E770"/>
      <c r="F770"/>
      <c r="G770"/>
      <c r="H770"/>
    </row>
    <row r="771" spans="2:8">
      <c r="B771"/>
      <c r="C771"/>
      <c r="D771"/>
      <c r="E771"/>
      <c r="F771"/>
      <c r="G771"/>
      <c r="H771"/>
    </row>
    <row r="772" spans="2:8">
      <c r="B772"/>
      <c r="C772"/>
      <c r="D772"/>
      <c r="E772"/>
      <c r="F772"/>
      <c r="G772"/>
      <c r="H772"/>
    </row>
    <row r="773" spans="2:8">
      <c r="B773"/>
      <c r="C773"/>
      <c r="D773"/>
      <c r="E773"/>
      <c r="F773"/>
      <c r="G773"/>
      <c r="H773"/>
    </row>
    <row r="774" spans="2:8">
      <c r="B774"/>
      <c r="C774"/>
      <c r="D774"/>
      <c r="E774"/>
      <c r="F774"/>
      <c r="G774"/>
      <c r="H774"/>
    </row>
    <row r="775" spans="2:8">
      <c r="B775"/>
      <c r="C775"/>
      <c r="D775"/>
      <c r="E775"/>
      <c r="F775"/>
      <c r="G775"/>
      <c r="H775"/>
    </row>
    <row r="776" spans="2:8">
      <c r="B776"/>
      <c r="C776"/>
      <c r="D776"/>
      <c r="E776"/>
      <c r="F776"/>
      <c r="G776"/>
      <c r="H776"/>
    </row>
    <row r="777" spans="2:8">
      <c r="B777"/>
      <c r="C777"/>
      <c r="D777"/>
      <c r="E777"/>
      <c r="F777"/>
      <c r="G777"/>
      <c r="H777"/>
    </row>
    <row r="778" spans="2:8">
      <c r="B778"/>
      <c r="C778"/>
      <c r="D778"/>
      <c r="E778"/>
      <c r="F778"/>
      <c r="G778"/>
      <c r="H778"/>
    </row>
    <row r="779" spans="2:8">
      <c r="B779"/>
      <c r="C779"/>
      <c r="D779"/>
      <c r="E779"/>
      <c r="F779"/>
      <c r="G779"/>
      <c r="H779"/>
    </row>
    <row r="780" spans="2:8">
      <c r="B780"/>
      <c r="C780"/>
      <c r="D780"/>
      <c r="E780"/>
      <c r="F780"/>
      <c r="G780"/>
      <c r="H780"/>
    </row>
    <row r="781" spans="2:8">
      <c r="B781"/>
      <c r="C781"/>
      <c r="D781"/>
      <c r="E781"/>
      <c r="F781"/>
      <c r="G781"/>
      <c r="H781"/>
    </row>
    <row r="782" spans="2:8">
      <c r="B782"/>
      <c r="C782"/>
      <c r="D782"/>
      <c r="E782"/>
      <c r="F782"/>
      <c r="G782"/>
      <c r="H782"/>
    </row>
    <row r="783" spans="2:8">
      <c r="B783"/>
      <c r="C783"/>
      <c r="D783"/>
      <c r="E783"/>
      <c r="F783"/>
      <c r="G783"/>
      <c r="H783"/>
    </row>
    <row r="784" spans="2:8">
      <c r="B784"/>
      <c r="C784"/>
      <c r="D784"/>
      <c r="E784"/>
      <c r="F784"/>
      <c r="G784"/>
      <c r="H784"/>
    </row>
    <row r="785" spans="2:8">
      <c r="B785"/>
      <c r="C785"/>
      <c r="D785"/>
      <c r="E785"/>
      <c r="F785"/>
      <c r="G785"/>
      <c r="H785"/>
    </row>
    <row r="786" spans="2:8">
      <c r="B786"/>
      <c r="C786"/>
      <c r="D786"/>
      <c r="E786"/>
      <c r="F786"/>
      <c r="G786"/>
      <c r="H786"/>
    </row>
    <row r="787" spans="2:8">
      <c r="B787"/>
      <c r="C787"/>
      <c r="D787"/>
      <c r="E787"/>
      <c r="F787"/>
      <c r="G787"/>
      <c r="H787"/>
    </row>
    <row r="788" spans="2:8">
      <c r="B788"/>
      <c r="C788"/>
      <c r="D788"/>
      <c r="E788"/>
      <c r="F788"/>
      <c r="G788"/>
      <c r="H788"/>
    </row>
    <row r="789" spans="2:8">
      <c r="B789"/>
      <c r="C789"/>
      <c r="D789"/>
      <c r="E789"/>
      <c r="F789"/>
      <c r="G789"/>
      <c r="H789"/>
    </row>
    <row r="790" spans="2:8">
      <c r="B790"/>
      <c r="C790"/>
      <c r="D790"/>
      <c r="E790"/>
      <c r="F790"/>
      <c r="G790"/>
      <c r="H790"/>
    </row>
    <row r="791" spans="2:8">
      <c r="B791"/>
      <c r="C791"/>
      <c r="D791"/>
      <c r="E791"/>
      <c r="F791"/>
      <c r="G791"/>
      <c r="H791"/>
    </row>
    <row r="792" spans="2:8">
      <c r="B792"/>
      <c r="C792"/>
      <c r="D792"/>
      <c r="E792"/>
      <c r="F792"/>
      <c r="G792"/>
      <c r="H792"/>
    </row>
    <row r="793" spans="2:8">
      <c r="B793"/>
      <c r="C793"/>
      <c r="D793"/>
      <c r="E793"/>
      <c r="F793"/>
      <c r="G793"/>
      <c r="H793"/>
    </row>
    <row r="794" spans="2:8">
      <c r="B794"/>
      <c r="C794"/>
      <c r="D794"/>
      <c r="E794"/>
      <c r="F794"/>
      <c r="G794"/>
      <c r="H794"/>
    </row>
    <row r="795" spans="2:8">
      <c r="B795"/>
      <c r="C795"/>
      <c r="D795"/>
      <c r="E795"/>
      <c r="F795"/>
      <c r="G795"/>
      <c r="H795"/>
    </row>
    <row r="796" spans="2:8">
      <c r="B796"/>
      <c r="C796"/>
      <c r="D796"/>
      <c r="E796"/>
      <c r="F796"/>
      <c r="G796"/>
      <c r="H796"/>
    </row>
    <row r="797" spans="2:8">
      <c r="B797"/>
      <c r="C797"/>
      <c r="D797"/>
      <c r="E797"/>
      <c r="F797"/>
      <c r="G797"/>
      <c r="H797"/>
    </row>
    <row r="798" spans="2:8">
      <c r="B798"/>
      <c r="C798"/>
      <c r="D798"/>
      <c r="E798"/>
      <c r="F798"/>
      <c r="G798"/>
      <c r="H798"/>
    </row>
    <row r="799" spans="2:8">
      <c r="B799"/>
      <c r="C799"/>
      <c r="D799"/>
      <c r="E799"/>
      <c r="F799"/>
      <c r="G799"/>
      <c r="H799"/>
    </row>
    <row r="800" spans="2:8">
      <c r="B800"/>
      <c r="C800"/>
      <c r="D800"/>
      <c r="E800"/>
      <c r="F800"/>
      <c r="G800"/>
      <c r="H800"/>
    </row>
    <row r="801" spans="2:8">
      <c r="B801"/>
      <c r="C801"/>
      <c r="D801"/>
      <c r="E801"/>
      <c r="F801"/>
      <c r="G801"/>
      <c r="H801"/>
    </row>
    <row r="802" spans="2:8">
      <c r="B802"/>
      <c r="C802"/>
      <c r="D802"/>
      <c r="E802"/>
      <c r="F802"/>
      <c r="G802"/>
      <c r="H802"/>
    </row>
    <row r="803" spans="2:8">
      <c r="B803"/>
      <c r="C803"/>
      <c r="D803"/>
      <c r="E803"/>
      <c r="F803"/>
      <c r="G803"/>
      <c r="H803"/>
    </row>
    <row r="804" spans="2:8">
      <c r="B804"/>
      <c r="C804"/>
      <c r="D804"/>
      <c r="E804"/>
      <c r="F804"/>
      <c r="G804"/>
      <c r="H804"/>
    </row>
    <row r="805" spans="2:8">
      <c r="B805"/>
      <c r="C805"/>
      <c r="D805"/>
      <c r="E805"/>
      <c r="F805"/>
      <c r="G805"/>
      <c r="H805"/>
    </row>
    <row r="806" spans="2:8">
      <c r="B806"/>
      <c r="C806"/>
      <c r="D806"/>
      <c r="E806"/>
      <c r="F806"/>
      <c r="G806"/>
      <c r="H806"/>
    </row>
    <row r="807" spans="2:8">
      <c r="B807"/>
      <c r="C807"/>
      <c r="D807"/>
      <c r="E807"/>
      <c r="F807"/>
      <c r="G807"/>
      <c r="H807"/>
    </row>
    <row r="808" spans="2:8">
      <c r="B808"/>
      <c r="C808"/>
      <c r="D808"/>
      <c r="E808"/>
      <c r="F808"/>
      <c r="G808"/>
      <c r="H808"/>
    </row>
    <row r="809" spans="2:8">
      <c r="B809"/>
      <c r="C809"/>
      <c r="D809"/>
      <c r="E809"/>
      <c r="F809"/>
      <c r="G809"/>
      <c r="H809"/>
    </row>
    <row r="810" spans="2:8">
      <c r="B810"/>
      <c r="C810"/>
      <c r="D810"/>
      <c r="E810"/>
      <c r="F810"/>
      <c r="G810"/>
      <c r="H810"/>
    </row>
    <row r="811" spans="2:8">
      <c r="B811"/>
      <c r="C811"/>
      <c r="D811"/>
      <c r="E811"/>
      <c r="F811"/>
      <c r="G811"/>
      <c r="H811"/>
    </row>
    <row r="812" spans="2:8">
      <c r="B812"/>
      <c r="C812"/>
      <c r="D812"/>
      <c r="E812"/>
      <c r="F812"/>
      <c r="G812"/>
      <c r="H812"/>
    </row>
    <row r="813" spans="2:8">
      <c r="B813"/>
      <c r="C813"/>
      <c r="D813"/>
      <c r="E813"/>
      <c r="F813"/>
      <c r="G813"/>
      <c r="H813"/>
    </row>
    <row r="814" spans="2:8">
      <c r="B814"/>
      <c r="C814"/>
      <c r="D814"/>
      <c r="E814"/>
      <c r="F814"/>
      <c r="G814"/>
      <c r="H814"/>
    </row>
    <row r="815" spans="2:8">
      <c r="B815"/>
      <c r="C815"/>
      <c r="D815"/>
      <c r="E815"/>
      <c r="F815"/>
      <c r="G815"/>
      <c r="H815"/>
    </row>
    <row r="816" spans="2:8">
      <c r="B816"/>
      <c r="C816"/>
      <c r="D816"/>
      <c r="E816"/>
      <c r="F816"/>
      <c r="G816"/>
      <c r="H816"/>
    </row>
    <row r="817" spans="2:8">
      <c r="B817"/>
      <c r="C817"/>
      <c r="D817"/>
      <c r="E817"/>
      <c r="F817"/>
      <c r="G817"/>
      <c r="H817"/>
    </row>
    <row r="818" spans="2:8">
      <c r="B818"/>
      <c r="C818"/>
      <c r="D818"/>
      <c r="E818"/>
      <c r="F818"/>
      <c r="G818"/>
      <c r="H818"/>
    </row>
    <row r="819" spans="2:8">
      <c r="B819"/>
      <c r="C819"/>
      <c r="D819"/>
      <c r="E819"/>
      <c r="F819"/>
      <c r="G819"/>
      <c r="H819"/>
    </row>
    <row r="820" spans="2:8">
      <c r="B820"/>
      <c r="C820"/>
      <c r="D820"/>
      <c r="E820"/>
      <c r="F820"/>
      <c r="G820"/>
      <c r="H820"/>
    </row>
    <row r="821" spans="2:8">
      <c r="B821"/>
      <c r="C821"/>
      <c r="D821"/>
      <c r="E821"/>
      <c r="F821"/>
      <c r="G821"/>
      <c r="H821"/>
    </row>
    <row r="822" spans="2:8">
      <c r="B822"/>
      <c r="C822"/>
      <c r="D822"/>
      <c r="E822"/>
      <c r="F822"/>
      <c r="G822"/>
      <c r="H822"/>
    </row>
    <row r="823" spans="2:8">
      <c r="B823"/>
      <c r="C823"/>
      <c r="D823"/>
      <c r="E823"/>
      <c r="F823"/>
      <c r="G823"/>
      <c r="H823"/>
    </row>
    <row r="824" spans="2:8">
      <c r="B824"/>
      <c r="C824"/>
      <c r="D824"/>
      <c r="E824"/>
      <c r="F824"/>
      <c r="G824"/>
      <c r="H824"/>
    </row>
    <row r="825" spans="2:8">
      <c r="B825"/>
      <c r="C825"/>
      <c r="D825"/>
      <c r="E825"/>
      <c r="F825"/>
      <c r="G825"/>
      <c r="H825"/>
    </row>
    <row r="826" spans="2:8">
      <c r="B826"/>
      <c r="C826"/>
      <c r="D826"/>
      <c r="E826"/>
      <c r="F826"/>
      <c r="G826"/>
      <c r="H826"/>
    </row>
    <row r="827" spans="2:8">
      <c r="B827"/>
      <c r="C827"/>
      <c r="D827"/>
      <c r="E827"/>
      <c r="F827"/>
      <c r="G827"/>
      <c r="H827"/>
    </row>
    <row r="828" spans="2:8">
      <c r="B828"/>
      <c r="C828"/>
      <c r="D828"/>
      <c r="E828"/>
      <c r="F828"/>
      <c r="G828"/>
      <c r="H828"/>
    </row>
    <row r="829" spans="2:8">
      <c r="B829"/>
      <c r="C829"/>
      <c r="D829"/>
      <c r="E829"/>
      <c r="F829"/>
      <c r="G829"/>
      <c r="H829"/>
    </row>
    <row r="830" spans="2:8">
      <c r="B830"/>
      <c r="C830"/>
      <c r="D830"/>
      <c r="E830"/>
      <c r="F830"/>
      <c r="G830"/>
      <c r="H830"/>
    </row>
    <row r="831" spans="2:8">
      <c r="B831"/>
      <c r="C831"/>
      <c r="D831"/>
      <c r="E831"/>
      <c r="F831"/>
      <c r="G831"/>
      <c r="H831"/>
    </row>
    <row r="832" spans="2:8">
      <c r="B832"/>
      <c r="C832"/>
      <c r="D832"/>
      <c r="E832"/>
      <c r="F832"/>
      <c r="G832"/>
      <c r="H832"/>
    </row>
    <row r="833" spans="2:8">
      <c r="B833"/>
      <c r="C833"/>
      <c r="D833"/>
      <c r="E833"/>
      <c r="F833"/>
      <c r="G833"/>
      <c r="H833"/>
    </row>
    <row r="834" spans="2:8">
      <c r="B834"/>
      <c r="C834"/>
      <c r="D834"/>
      <c r="E834"/>
      <c r="F834"/>
      <c r="G834"/>
      <c r="H834"/>
    </row>
    <row r="835" spans="2:8">
      <c r="B835"/>
      <c r="C835"/>
      <c r="D835"/>
      <c r="E835"/>
      <c r="F835"/>
      <c r="G835"/>
      <c r="H835"/>
    </row>
    <row r="836" spans="2:8">
      <c r="B836"/>
      <c r="C836"/>
      <c r="D836"/>
      <c r="E836"/>
      <c r="F836"/>
      <c r="G836"/>
      <c r="H836"/>
    </row>
    <row r="837" spans="2:8">
      <c r="B837"/>
      <c r="C837"/>
      <c r="D837"/>
      <c r="E837"/>
      <c r="F837"/>
      <c r="G837"/>
      <c r="H837"/>
    </row>
    <row r="838" spans="2:8">
      <c r="B838"/>
      <c r="C838"/>
      <c r="D838"/>
      <c r="E838"/>
      <c r="F838"/>
      <c r="G838"/>
      <c r="H838"/>
    </row>
    <row r="839" spans="2:8">
      <c r="B839"/>
      <c r="C839"/>
      <c r="D839"/>
      <c r="E839"/>
      <c r="F839"/>
      <c r="G839"/>
      <c r="H839"/>
    </row>
    <row r="840" spans="2:8">
      <c r="B840"/>
      <c r="C840"/>
      <c r="D840"/>
      <c r="E840"/>
      <c r="F840"/>
      <c r="G840"/>
      <c r="H840"/>
    </row>
    <row r="841" spans="2:8">
      <c r="B841"/>
      <c r="C841"/>
      <c r="D841"/>
      <c r="E841"/>
      <c r="F841"/>
      <c r="G841"/>
      <c r="H841"/>
    </row>
    <row r="842" spans="2:8">
      <c r="B842"/>
      <c r="C842"/>
      <c r="D842"/>
      <c r="E842"/>
      <c r="F842"/>
      <c r="G842"/>
      <c r="H842"/>
    </row>
    <row r="843" spans="2:8">
      <c r="B843"/>
      <c r="C843"/>
      <c r="D843"/>
      <c r="E843"/>
      <c r="F843"/>
      <c r="G843"/>
      <c r="H843"/>
    </row>
    <row r="844" spans="2:8">
      <c r="B844"/>
      <c r="C844"/>
      <c r="D844"/>
      <c r="E844"/>
      <c r="F844"/>
      <c r="G844"/>
      <c r="H844"/>
    </row>
    <row r="845" spans="2:8">
      <c r="B845"/>
      <c r="C845"/>
      <c r="D845"/>
      <c r="E845"/>
      <c r="F845"/>
      <c r="G845"/>
      <c r="H845"/>
    </row>
    <row r="846" spans="2:8">
      <c r="B846"/>
      <c r="C846"/>
      <c r="D846"/>
      <c r="E846"/>
      <c r="F846"/>
      <c r="G846"/>
      <c r="H846"/>
    </row>
    <row r="847" spans="2:8">
      <c r="B847"/>
      <c r="C847"/>
      <c r="D847"/>
      <c r="E847"/>
      <c r="F847"/>
      <c r="G847"/>
      <c r="H847"/>
    </row>
    <row r="848" spans="2:8">
      <c r="B848"/>
      <c r="C848"/>
      <c r="D848"/>
      <c r="E848"/>
      <c r="F848"/>
      <c r="G848"/>
      <c r="H848"/>
    </row>
    <row r="849" spans="2:8">
      <c r="B849"/>
      <c r="C849"/>
      <c r="D849"/>
      <c r="E849"/>
      <c r="F849"/>
      <c r="G849"/>
      <c r="H849"/>
    </row>
    <row r="850" spans="2:8">
      <c r="B850"/>
      <c r="C850"/>
      <c r="D850"/>
      <c r="E850"/>
      <c r="F850"/>
      <c r="G850"/>
      <c r="H850"/>
    </row>
    <row r="851" spans="2:8">
      <c r="B851"/>
      <c r="C851"/>
      <c r="D851"/>
      <c r="E851"/>
      <c r="F851"/>
      <c r="G851"/>
      <c r="H851"/>
    </row>
    <row r="852" spans="2:8">
      <c r="B852"/>
      <c r="C852"/>
      <c r="D852"/>
      <c r="E852"/>
      <c r="F852"/>
      <c r="G852"/>
      <c r="H852"/>
    </row>
    <row r="853" spans="2:8">
      <c r="B853"/>
      <c r="C853"/>
      <c r="D853"/>
      <c r="E853"/>
      <c r="F853"/>
      <c r="G853"/>
      <c r="H853"/>
    </row>
    <row r="854" spans="2:8">
      <c r="B854"/>
      <c r="C854"/>
      <c r="D854"/>
      <c r="E854"/>
      <c r="F854"/>
      <c r="G854"/>
      <c r="H854"/>
    </row>
    <row r="855" spans="2:8">
      <c r="B855"/>
      <c r="C855"/>
      <c r="D855"/>
      <c r="E855"/>
      <c r="F855"/>
      <c r="G855"/>
      <c r="H855"/>
    </row>
    <row r="856" spans="2:8">
      <c r="B856"/>
      <c r="C856"/>
      <c r="D856"/>
      <c r="E856"/>
      <c r="F856"/>
      <c r="G856"/>
      <c r="H856"/>
    </row>
    <row r="857" spans="2:8">
      <c r="B857"/>
      <c r="C857"/>
      <c r="D857"/>
      <c r="E857"/>
      <c r="F857"/>
      <c r="G857"/>
      <c r="H857"/>
    </row>
    <row r="858" spans="2:8">
      <c r="B858"/>
      <c r="C858"/>
      <c r="D858"/>
      <c r="E858"/>
      <c r="F858"/>
      <c r="G858"/>
      <c r="H858"/>
    </row>
    <row r="859" spans="2:8">
      <c r="B859"/>
      <c r="C859"/>
      <c r="D859"/>
      <c r="E859"/>
      <c r="F859"/>
      <c r="G859"/>
      <c r="H859"/>
    </row>
    <row r="860" spans="2:8">
      <c r="B860"/>
      <c r="C860"/>
      <c r="D860"/>
      <c r="E860"/>
      <c r="F860"/>
      <c r="G860"/>
      <c r="H860"/>
    </row>
    <row r="861" spans="2:8">
      <c r="B861"/>
      <c r="C861"/>
      <c r="D861"/>
      <c r="E861"/>
      <c r="F861"/>
      <c r="G861"/>
      <c r="H861"/>
    </row>
    <row r="862" spans="2:8">
      <c r="B862"/>
      <c r="C862"/>
      <c r="D862"/>
      <c r="E862"/>
      <c r="F862"/>
      <c r="G862"/>
      <c r="H862"/>
    </row>
  </sheetData>
  <pageMargins left="0.44722222222222202" right="0.25763888888888897" top="0.51041666666666663" bottom="0.44791666666666669" header="0.3" footer="0.3"/>
  <pageSetup scale="65" orientation="portrait" r:id="rId2"/>
  <headerFooter>
    <oddHeader>&amp;C&amp;KFF0000المقترح للعام 2019</oddHead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BI354"/>
  <sheetViews>
    <sheetView rightToLeft="1" topLeftCell="F1" zoomScale="90" zoomScaleNormal="90" workbookViewId="0">
      <selection activeCell="U7" sqref="U7"/>
    </sheetView>
  </sheetViews>
  <sheetFormatPr defaultColWidth="9.1796875" defaultRowHeight="18.5" outlineLevelCol="2"/>
  <cols>
    <col min="1" max="1" width="9.7265625" style="18" customWidth="1"/>
    <col min="2" max="2" width="35.1796875" style="28" bestFit="1" customWidth="1"/>
    <col min="3" max="3" width="15.453125" style="28" bestFit="1" customWidth="1"/>
    <col min="4" max="4" width="13.6328125" style="28" bestFit="1" customWidth="1"/>
    <col min="5" max="5" width="13.7265625" style="28" customWidth="1" outlineLevel="2"/>
    <col min="6" max="7" width="22.26953125" style="28" customWidth="1" outlineLevel="2"/>
    <col min="8" max="8" width="32.90625" style="28" customWidth="1" outlineLevel="2"/>
    <col min="9" max="10" width="12.453125" style="28" customWidth="1" outlineLevel="2"/>
    <col min="11" max="11" width="13.7265625" style="26" customWidth="1" outlineLevel="2"/>
    <col min="12" max="12" width="13.7265625" style="28" customWidth="1" outlineLevel="2"/>
    <col min="13" max="13" width="12.6328125" style="30" customWidth="1" outlineLevel="2"/>
    <col min="14" max="14" width="12.453125" style="29" customWidth="1" outlineLevel="2"/>
    <col min="15" max="15" width="10.54296875" style="29" customWidth="1" outlineLevel="1"/>
    <col min="16" max="16" width="13.54296875" style="29" customWidth="1" outlineLevel="1"/>
    <col min="17" max="17" width="16.36328125" style="16" customWidth="1" outlineLevel="1"/>
    <col min="18" max="26" width="12" style="18" customWidth="1" outlineLevel="2"/>
    <col min="27" max="27" width="12" style="28" customWidth="1" outlineLevel="1"/>
    <col min="28" max="28" width="12" style="30" customWidth="1" outlineLevel="2"/>
    <col min="29" max="29" width="8.81640625" style="30" customWidth="1" outlineLevel="2"/>
    <col min="30" max="30" width="9.7265625" style="30" customWidth="1" outlineLevel="2"/>
    <col min="31" max="31" width="10.7265625" style="30" customWidth="1" outlineLevel="2"/>
    <col min="32" max="32" width="12" style="30" customWidth="1" outlineLevel="2"/>
    <col min="33" max="33" width="11.1796875" style="30" customWidth="1" outlineLevel="2"/>
    <col min="34" max="34" width="11" style="18" customWidth="1" outlineLevel="1"/>
    <col min="35" max="35" width="12" style="31" customWidth="1" outlineLevel="1"/>
    <col min="36" max="36" width="14" style="18" hidden="1" customWidth="1" outlineLevel="2"/>
    <col min="37" max="39" width="9.1796875" style="18" hidden="1" customWidth="1" outlineLevel="2"/>
    <col min="40" max="40" width="8.81640625" style="18" customWidth="1" outlineLevel="1" collapsed="1"/>
    <col min="41" max="41" width="11" style="38" customWidth="1"/>
    <col min="42" max="42" width="16.453125" style="14" bestFit="1" customWidth="1"/>
    <col min="43" max="43" width="15" style="14" customWidth="1"/>
    <col min="44" max="44" width="11.453125" style="16" customWidth="1"/>
    <col min="45" max="45" width="9.1796875" style="16" customWidth="1" outlineLevel="1"/>
    <col min="46" max="46" width="19.36328125" style="17" bestFit="1" customWidth="1" outlineLevel="1"/>
    <col min="47" max="47" width="13.08984375" style="36" bestFit="1" customWidth="1" outlineLevel="1"/>
    <col min="48" max="48" width="13.08984375" style="37" bestFit="1" customWidth="1" outlineLevel="1"/>
    <col min="49" max="49" width="13.81640625" style="55" customWidth="1"/>
    <col min="50" max="50" width="10.7265625" style="53" customWidth="1"/>
    <col min="51" max="51" width="17" style="53" bestFit="1" customWidth="1"/>
    <col min="52" max="52" width="13.81640625" style="33" customWidth="1"/>
    <col min="53" max="53" width="14.36328125" style="18" bestFit="1" customWidth="1"/>
    <col min="54" max="54" width="15.54296875" style="18" bestFit="1" customWidth="1"/>
    <col min="55" max="56" width="14.36328125" style="18" customWidth="1"/>
    <col min="57" max="57" width="13.90625" style="18" customWidth="1"/>
    <col min="58" max="58" width="13.54296875" style="18" bestFit="1" customWidth="1"/>
    <col min="59" max="60" width="11.6328125" style="18" bestFit="1" customWidth="1"/>
    <col min="61" max="16384" width="9.1796875" style="18"/>
  </cols>
  <sheetData>
    <row r="1" spans="1:61" s="19" customFormat="1" ht="54" customHeight="1">
      <c r="A1" s="19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35</v>
      </c>
      <c r="H1" s="20" t="s">
        <v>37</v>
      </c>
      <c r="I1" s="20" t="s">
        <v>954</v>
      </c>
      <c r="J1" s="20" t="s">
        <v>955</v>
      </c>
      <c r="K1" s="21" t="s">
        <v>6</v>
      </c>
      <c r="L1" s="20" t="s">
        <v>7</v>
      </c>
      <c r="M1" s="19" t="s">
        <v>8</v>
      </c>
      <c r="N1" s="22" t="s">
        <v>31</v>
      </c>
      <c r="O1" s="22" t="s">
        <v>32</v>
      </c>
      <c r="P1" s="22" t="s">
        <v>1114</v>
      </c>
      <c r="Q1" s="23" t="s">
        <v>64</v>
      </c>
      <c r="R1" s="19" t="s">
        <v>36</v>
      </c>
      <c r="S1" s="19" t="s">
        <v>9</v>
      </c>
      <c r="T1" s="19" t="s">
        <v>10</v>
      </c>
      <c r="U1" s="19" t="s">
        <v>11</v>
      </c>
      <c r="V1" s="19" t="s">
        <v>12</v>
      </c>
      <c r="W1" s="19" t="s">
        <v>13</v>
      </c>
      <c r="X1" s="19" t="s">
        <v>14</v>
      </c>
      <c r="Y1" s="19" t="s">
        <v>15</v>
      </c>
      <c r="Z1" s="19" t="s">
        <v>16</v>
      </c>
      <c r="AA1" s="597" t="s">
        <v>17</v>
      </c>
      <c r="AB1" s="19" t="s">
        <v>18</v>
      </c>
      <c r="AC1" s="19" t="s">
        <v>19</v>
      </c>
      <c r="AD1" s="19" t="s">
        <v>20</v>
      </c>
      <c r="AE1" s="19" t="s">
        <v>21</v>
      </c>
      <c r="AF1" s="19" t="s">
        <v>22</v>
      </c>
      <c r="AG1" s="19" t="s">
        <v>23</v>
      </c>
      <c r="AH1" s="597" t="s">
        <v>24</v>
      </c>
      <c r="AI1" s="598" t="s">
        <v>26</v>
      </c>
      <c r="AJ1" s="19" t="s">
        <v>27</v>
      </c>
      <c r="AK1" s="19" t="s">
        <v>28</v>
      </c>
      <c r="AL1" s="19" t="s">
        <v>29</v>
      </c>
      <c r="AM1" s="19" t="s">
        <v>30</v>
      </c>
      <c r="AN1" s="19" t="s">
        <v>25</v>
      </c>
      <c r="AO1" s="39" t="s">
        <v>801</v>
      </c>
      <c r="AP1" s="13" t="s">
        <v>510</v>
      </c>
      <c r="AQ1" s="13" t="s">
        <v>511</v>
      </c>
      <c r="AR1" s="15" t="s">
        <v>34</v>
      </c>
      <c r="AS1" s="15" t="s">
        <v>62</v>
      </c>
      <c r="AT1" s="607" t="s">
        <v>512</v>
      </c>
      <c r="AU1" s="15" t="s">
        <v>65</v>
      </c>
      <c r="AV1" s="24" t="s">
        <v>66</v>
      </c>
      <c r="AW1" s="54" t="s">
        <v>124</v>
      </c>
      <c r="AX1" s="23" t="s">
        <v>123</v>
      </c>
      <c r="AY1" s="23" t="s">
        <v>893</v>
      </c>
      <c r="AZ1" s="23" t="s">
        <v>67</v>
      </c>
      <c r="BA1" s="19" t="s">
        <v>892</v>
      </c>
      <c r="BB1" s="19" t="s">
        <v>56</v>
      </c>
      <c r="BC1" s="19" t="s">
        <v>987</v>
      </c>
      <c r="BD1" s="19" t="s">
        <v>989</v>
      </c>
      <c r="BE1" s="19" t="s">
        <v>990</v>
      </c>
      <c r="BF1" s="19" t="s">
        <v>57</v>
      </c>
      <c r="BG1" s="19" t="s">
        <v>58</v>
      </c>
      <c r="BH1" s="19" t="s">
        <v>988</v>
      </c>
      <c r="BI1" s="19" t="s">
        <v>498</v>
      </c>
    </row>
    <row r="2" spans="1:61" s="25" customFormat="1" ht="21" customHeight="1">
      <c r="A2" s="623">
        <v>-1</v>
      </c>
      <c r="B2" s="599" t="e">
        <f>VLOOKUP(Table1[[#This Row],[الرقم الوظيفي]],[1]Sheet2!$1:$1048576,2,)</f>
        <v>#N/A</v>
      </c>
      <c r="C2" s="599" t="e">
        <f>VLOOKUP(Table1[[#This Row],[الرقم الوظيفي]],[1]Sheet2!$1:$1048576,7,)</f>
        <v>#N/A</v>
      </c>
      <c r="D2" s="599" t="e">
        <f>VLOOKUP(Table1[[#This Row],[الرقم الوظيفي]],[1]Sheet2!$1:$1048576,8,)</f>
        <v>#N/A</v>
      </c>
      <c r="E2" s="599" t="e">
        <f>VLOOKUP(Table1[[#This Row],[الرقم الوظيفي]],[1]Sheet2!$1:$1048576,9,)</f>
        <v>#N/A</v>
      </c>
      <c r="F2" s="599" t="e">
        <f>VLOOKUP(Table1[[#This Row],[الرقم الوظيفي]],[1]Sheet2!$1:$1048576,12,)</f>
        <v>#N/A</v>
      </c>
      <c r="G2" s="599" t="e">
        <f>VLOOKUP(Table1[[#This Row],[الرقم الوظيفي]],[1]Sheet2!$1:$1048576,72,)</f>
        <v>#N/A</v>
      </c>
      <c r="H2" s="599" t="e">
        <f>VLOOKUP(Table1[[#This Row],[الرقم الوظيفي]],[1]Sheet2!$1:$1048576,71,)</f>
        <v>#N/A</v>
      </c>
      <c r="I2" s="599" t="e">
        <f>VLOOKUP(Table1[[#This Row],[المؤهل الرئيسي]],Table4[],3,)</f>
        <v>#N/A</v>
      </c>
      <c r="J2" s="599"/>
      <c r="K2" s="615">
        <v>43830</v>
      </c>
      <c r="L2" s="615">
        <v>43830</v>
      </c>
      <c r="M2" s="599">
        <f>DATEDIF(Table1[[#This Row],[تاريخ التعيين]],Table1[[#This Row],[اخر العام]],"y")</f>
        <v>0</v>
      </c>
      <c r="N2" s="599">
        <f>DATEDIF(Table1[[#This Row],[تاريخ التعيين]],Table1[[#This Row],[اخر العام]],"ym")</f>
        <v>0</v>
      </c>
      <c r="O2" s="610">
        <f>Table1[[#This Row],[سنوات الخدمه]]*1+Table1[[#This Row],[الشهور اقل من سنه]]*0.08</f>
        <v>0</v>
      </c>
      <c r="P2" s="616">
        <f>VLOOKUP(Table1[[#This Row],[الرقم الوظيفي]],Table6[],8,)</f>
        <v>0</v>
      </c>
      <c r="Q2" s="617">
        <f>Table1[[#This Row],[راتب ديسمبر 2019]]*Table1[[#This Row],[نسبه سنين الخدمه]]%</f>
        <v>0</v>
      </c>
      <c r="R2" s="600" t="s">
        <v>38</v>
      </c>
      <c r="S2" s="624" t="s">
        <v>39</v>
      </c>
      <c r="T2" s="624" t="s">
        <v>40</v>
      </c>
      <c r="U2" s="624" t="s">
        <v>41</v>
      </c>
      <c r="V2" s="624" t="s">
        <v>42</v>
      </c>
      <c r="W2" s="624" t="s">
        <v>43</v>
      </c>
      <c r="X2" s="624" t="s">
        <v>46</v>
      </c>
      <c r="Y2" s="624" t="s">
        <v>44</v>
      </c>
      <c r="Z2" s="624" t="s">
        <v>45</v>
      </c>
      <c r="AA2" s="619" t="s">
        <v>49</v>
      </c>
      <c r="AB2" s="600" t="s">
        <v>38</v>
      </c>
      <c r="AC2" s="624" t="s">
        <v>39</v>
      </c>
      <c r="AD2" s="624" t="s">
        <v>40</v>
      </c>
      <c r="AE2" s="624" t="s">
        <v>41</v>
      </c>
      <c r="AF2" s="624" t="s">
        <v>42</v>
      </c>
      <c r="AG2" s="624" t="s">
        <v>43</v>
      </c>
      <c r="AH2" s="619" t="s">
        <v>50</v>
      </c>
      <c r="AI2" s="625" t="s">
        <v>51</v>
      </c>
      <c r="AJ2" s="600" t="s">
        <v>38</v>
      </c>
      <c r="AK2" s="600" t="s">
        <v>39</v>
      </c>
      <c r="AL2" s="600" t="s">
        <v>40</v>
      </c>
      <c r="AM2" s="600" t="s">
        <v>41</v>
      </c>
      <c r="AN2" s="619" t="s">
        <v>53</v>
      </c>
      <c r="AO2" s="626">
        <v>0.6</v>
      </c>
      <c r="AP2" s="648">
        <f>Table1[[#This Row],[راتب ديسمبر 2019]]*Table1[[#This Row],[نسبه التقييم الرئيسي 2018]]%</f>
        <v>0</v>
      </c>
      <c r="AQ2" s="627">
        <f>Table1[[#This Row],[مبلغ التقييم النسبي 2018]]+Table1[[#This Row],[راتب ديسمبر 2019]]</f>
        <v>0</v>
      </c>
      <c r="AR2" s="10" t="e">
        <f>IF(Table1[[#This Row],[Column3]]&lt;0,0,Table1[[#This Row],[Column3]])</f>
        <v>#N/A</v>
      </c>
      <c r="AS2" s="599" t="e">
        <f>VLOOKUP(Table1[[#This Row],[درجه التوسيط]],Table10[],3,)</f>
        <v>#N/A</v>
      </c>
      <c r="AT2" s="628" t="e">
        <f>Table1[[#This Row],[الراتب 2018+النسبه]]+Table1[[#This Row],[فروقات الحد الادني]]</f>
        <v>#N/A</v>
      </c>
      <c r="AU2" s="629" t="e">
        <f>Table1[[#This Row],[الراتب 2018 + النسبه + الفرق]]-Table1[[#This Row],[راتب ديسمبر 2019]]</f>
        <v>#N/A</v>
      </c>
      <c r="AV2" s="628" t="e">
        <f>Table1[[#This Row],[الزياده]]/Table1[[#This Row],[راتب ديسمبر 2019]]%</f>
        <v>#N/A</v>
      </c>
      <c r="AW2" s="659" t="e">
        <f>IF(Table1[[#This Row],[Column4]]&lt;0,0,Table1[[#This Row],[Column4]])</f>
        <v>#N/A</v>
      </c>
      <c r="AX2" s="611" t="e">
        <f>Table1[[#This Row],[الجبر حتي]]-Table1[[#This Row],[رن]]</f>
        <v>#N/A</v>
      </c>
      <c r="AY2" s="611" t="e">
        <f>Table1[[#This Row],[الزياده]]+Table1[[#This Row],[التعديل]]+Table1[[#This Row],[جبر الرقم]]</f>
        <v>#N/A</v>
      </c>
      <c r="AZ2" s="611" t="e">
        <f>Table1[[#This Row],[الراتب 2018 + النسبه + الفرق]]+Table1[[#This Row],[جبر الرقم]]+Table1[[#This Row],[التعديل]]</f>
        <v>#N/A</v>
      </c>
      <c r="BA2" s="609" t="e">
        <f>Table1[[#This Row],[الزياده النهائيه]]/Table1[[#This Row],[راتب ديسمبر 2019]]%</f>
        <v>#N/A</v>
      </c>
      <c r="BB2" s="612">
        <f>VLOOKUP(Table1[[#This Row],[الرقم الوظيفي]],Table6[],8,)</f>
        <v>0</v>
      </c>
      <c r="BC2" s="7"/>
      <c r="BD2" s="7" t="e">
        <v>#N/A</v>
      </c>
      <c r="BE2" s="7" t="e">
        <v>#N/A</v>
      </c>
      <c r="BF2" s="5" t="e">
        <f>Table1[[#This Row],[الحد الادني]]-Table1[[#This Row],[الراتب 2018+النسبه]]</f>
        <v>#N/A</v>
      </c>
      <c r="BG2" s="20" t="e">
        <f>Table1[[#This Row],[التعديل حتي]]-Table1[[#This Row],[kkk]]</f>
        <v>#N/A</v>
      </c>
      <c r="BH2" s="20" t="e">
        <v>#N/A</v>
      </c>
      <c r="BI2" s="5" t="e">
        <f>IF(Table1[[#This Row],[Column4]]&lt;0,0,Table1[[#This Row],[Column4]])</f>
        <v>#N/A</v>
      </c>
    </row>
    <row r="3" spans="1:61" s="27" customFormat="1" ht="21" customHeight="1">
      <c r="A3" s="623">
        <v>0</v>
      </c>
      <c r="B3" s="599" t="e">
        <f>VLOOKUP(Table1[[#This Row],[الرقم الوظيفي]],[1]Sheet2!$1:$1048576,2,)</f>
        <v>#N/A</v>
      </c>
      <c r="C3" s="599" t="e">
        <f>VLOOKUP(Table1[[#This Row],[الرقم الوظيفي]],[1]Sheet2!$1:$1048576,7,)</f>
        <v>#N/A</v>
      </c>
      <c r="D3" s="599" t="e">
        <f>VLOOKUP(Table1[[#This Row],[الرقم الوظيفي]],[1]Sheet2!$1:$1048576,8,)</f>
        <v>#N/A</v>
      </c>
      <c r="E3" s="599" t="e">
        <f>VLOOKUP(Table1[[#This Row],[الرقم الوظيفي]],[1]Sheet2!$1:$1048576,9,)</f>
        <v>#N/A</v>
      </c>
      <c r="F3" s="599" t="e">
        <f>VLOOKUP(Table1[[#This Row],[الرقم الوظيفي]],[1]Sheet2!$1:$1048576,12,)</f>
        <v>#N/A</v>
      </c>
      <c r="G3" s="599" t="e">
        <f>VLOOKUP(Table1[[#This Row],[الرقم الوظيفي]],[1]Sheet2!$1:$1048576,72,)</f>
        <v>#N/A</v>
      </c>
      <c r="H3" s="599" t="e">
        <f>VLOOKUP(Table1[[#This Row],[الرقم الوظيفي]],[1]Sheet2!$1:$1048576,71,)</f>
        <v>#N/A</v>
      </c>
      <c r="I3" s="599" t="e">
        <f>VLOOKUP(Table1[[#This Row],[المؤهل الرئيسي]],Table4[],3,)</f>
        <v>#N/A</v>
      </c>
      <c r="J3" s="599"/>
      <c r="K3" s="615">
        <v>43830</v>
      </c>
      <c r="L3" s="615">
        <v>43830</v>
      </c>
      <c r="M3" s="599">
        <f>DATEDIF(Table1[[#This Row],[تاريخ التعيين]],Table1[[#This Row],[اخر العام]],"y")</f>
        <v>0</v>
      </c>
      <c r="N3" s="599">
        <f>DATEDIF(Table1[[#This Row],[تاريخ التعيين]],Table1[[#This Row],[اخر العام]],"ym")</f>
        <v>0</v>
      </c>
      <c r="O3" s="610">
        <f>Table1[[#This Row],[سنوات الخدمه]]*1+Table1[[#This Row],[الشهور اقل من سنه]]*0.08</f>
        <v>0</v>
      </c>
      <c r="P3" s="616">
        <f>VLOOKUP(Table1[[#This Row],[الرقم الوظيفي]],Table6[],8,)</f>
        <v>0</v>
      </c>
      <c r="Q3" s="617">
        <f>Table1[[#This Row],[راتب ديسمبر 2019]]*Table1[[#This Row],[نسبه سنين الخدمه]]%</f>
        <v>0</v>
      </c>
      <c r="R3" s="600" t="s">
        <v>43</v>
      </c>
      <c r="S3" s="624" t="s">
        <v>42</v>
      </c>
      <c r="T3" s="600" t="s">
        <v>42</v>
      </c>
      <c r="U3" s="600" t="s">
        <v>42</v>
      </c>
      <c r="V3" s="600" t="s">
        <v>41</v>
      </c>
      <c r="W3" s="600" t="s">
        <v>41</v>
      </c>
      <c r="X3" s="600" t="s">
        <v>43</v>
      </c>
      <c r="Y3" s="600" t="s">
        <v>41</v>
      </c>
      <c r="Z3" s="600" t="s">
        <v>43</v>
      </c>
      <c r="AA3" s="619" t="s">
        <v>894</v>
      </c>
      <c r="AB3" s="600" t="s">
        <v>52</v>
      </c>
      <c r="AC3" s="624" t="s">
        <v>47</v>
      </c>
      <c r="AD3" s="600" t="s">
        <v>47</v>
      </c>
      <c r="AE3" s="600" t="s">
        <v>46</v>
      </c>
      <c r="AF3" s="600" t="s">
        <v>42</v>
      </c>
      <c r="AG3" s="600" t="s">
        <v>40</v>
      </c>
      <c r="AH3" s="619" t="s">
        <v>895</v>
      </c>
      <c r="AI3" s="625" t="s">
        <v>48</v>
      </c>
      <c r="AJ3" s="600" t="s">
        <v>52</v>
      </c>
      <c r="AK3" s="600" t="s">
        <v>52</v>
      </c>
      <c r="AL3" s="600" t="s">
        <v>52</v>
      </c>
      <c r="AM3" s="600" t="s">
        <v>52</v>
      </c>
      <c r="AN3" s="619" t="s">
        <v>896</v>
      </c>
      <c r="AO3" s="630"/>
      <c r="AP3" s="648">
        <f>Table1[[#This Row],[راتب ديسمبر 2019]]*Table1[[#This Row],[نسبه التقييم الرئيسي 2018]]%</f>
        <v>0</v>
      </c>
      <c r="AQ3" s="627">
        <f>Table1[[#This Row],[مبلغ التقييم النسبي 2018]]+Table1[[#This Row],[راتب ديسمبر 2019]]</f>
        <v>0</v>
      </c>
      <c r="AR3" s="10" t="e">
        <f>IF(Table1[[#This Row],[Column3]]&lt;0,0,Table1[[#This Row],[Column3]])</f>
        <v>#N/A</v>
      </c>
      <c r="AS3" s="599" t="e">
        <f>VLOOKUP(Table1[[#This Row],[درجه التوسيط]],Table10[],3,)</f>
        <v>#N/A</v>
      </c>
      <c r="AT3" s="628" t="e">
        <f>Table1[[#This Row],[الراتب 2018+النسبه]]+Table1[[#This Row],[فروقات الحد الادني]]</f>
        <v>#N/A</v>
      </c>
      <c r="AU3" s="629" t="e">
        <f>Table1[[#This Row],[الراتب 2018 + النسبه + الفرق]]-Table1[[#This Row],[راتب ديسمبر 2019]]</f>
        <v>#N/A</v>
      </c>
      <c r="AV3" s="628" t="e">
        <f>Table1[[#This Row],[الزياده]]/Table1[[#This Row],[راتب ديسمبر 2019]]%</f>
        <v>#N/A</v>
      </c>
      <c r="AW3" s="659" t="e">
        <f>IF(Table1[[#This Row],[Column4]]&lt;0,0,Table1[[#This Row],[Column4]])</f>
        <v>#N/A</v>
      </c>
      <c r="AX3" s="611" t="e">
        <f>Table1[[#This Row],[الجبر حتي]]-Table1[[#This Row],[رن]]</f>
        <v>#N/A</v>
      </c>
      <c r="AY3" s="611" t="e">
        <f>Table1[[#This Row],[الزياده]]+Table1[[#This Row],[التعديل]]+Table1[[#This Row],[جبر الرقم]]</f>
        <v>#N/A</v>
      </c>
      <c r="AZ3" s="611" t="e">
        <f>Table1[[#This Row],[الراتب 2018 + النسبه + الفرق]]+Table1[[#This Row],[جبر الرقم]]+Table1[[#This Row],[التعديل]]</f>
        <v>#N/A</v>
      </c>
      <c r="BA3" s="609" t="e">
        <f>Table1[[#This Row],[الزياده النهائيه]]/Table1[[#This Row],[راتب ديسمبر 2019]]%</f>
        <v>#N/A</v>
      </c>
      <c r="BB3" s="612">
        <f>VLOOKUP(Table1[[#This Row],[الرقم الوظيفي]],Table6[],8,)</f>
        <v>0</v>
      </c>
      <c r="BC3" s="7"/>
      <c r="BD3" s="7" t="e">
        <v>#N/A</v>
      </c>
      <c r="BE3" s="7" t="e">
        <v>#N/A</v>
      </c>
      <c r="BF3" s="5" t="e">
        <f>Table1[[#This Row],[الحد الادني]]-Table1[[#This Row],[الراتب 2018+النسبه]]</f>
        <v>#N/A</v>
      </c>
      <c r="BG3" s="5" t="e">
        <f>Table1[[#This Row],[التعديل حتي]]-Table1[[#This Row],[kkk]]</f>
        <v>#N/A</v>
      </c>
      <c r="BH3" s="5" t="e">
        <v>#N/A</v>
      </c>
      <c r="BI3" s="5" t="e">
        <f>IF(Table1[[#This Row],[Column4]]&lt;0,0,Table1[[#This Row],[Column4]])</f>
        <v>#N/A</v>
      </c>
    </row>
    <row r="4" spans="1:61" ht="21" customHeight="1">
      <c r="A4" s="602">
        <v>1</v>
      </c>
      <c r="B4" s="618" t="str">
        <f>VLOOKUP(Table1[[#This Row],[الرقم الوظيفي]],[1]Sheet2!$1:$1048576,2,)</f>
        <v>احمد عبدالرحيم ابوبكر محمد</v>
      </c>
      <c r="C4" s="618" t="str">
        <f>VLOOKUP(Table1[[#This Row],[الرقم الوظيفي]],[1]Sheet2!$1:$1048576,7,)</f>
        <v>المصنع</v>
      </c>
      <c r="D4" s="618" t="str">
        <f>VLOOKUP(Table1[[#This Row],[الرقم الوظيفي]],[1]Sheet2!$1:$1048576,8,)</f>
        <v>الاداره</v>
      </c>
      <c r="E4" s="599" t="str">
        <f>VLOOKUP(Table1[[#This Row],[الرقم الوظيفي]],[1]Sheet2!$1:$1048576,9,)</f>
        <v>الاداره</v>
      </c>
      <c r="F4" s="599" t="str">
        <f>VLOOKUP(Table1[[#This Row],[الرقم الوظيفي]],[1]Sheet2!$1:$1048576,12,)</f>
        <v>المدير الادارى</v>
      </c>
      <c r="G4" s="599">
        <f>VLOOKUP(Table1[[#This Row],[الرقم الوظيفي]],[1]Sheet2!$1:$1048576,72,)</f>
        <v>0</v>
      </c>
      <c r="H4" s="599">
        <f>VLOOKUP(Table1[[#This Row],[الرقم الوظيفي]],[1]Sheet2!$1:$1048576,71,)</f>
        <v>0</v>
      </c>
      <c r="I4" s="599" t="str">
        <f>VLOOKUP(Table1[[#This Row],[المؤهل الرئيسي]],Table4[],3,)</f>
        <v>H</v>
      </c>
      <c r="J4" s="599" t="s">
        <v>50</v>
      </c>
      <c r="K4" s="615">
        <f>VLOOKUP(Table1[[#This Row],[الرقم الوظيفي]],[1]Sheet2!$1:$1048576,13,)</f>
        <v>39083</v>
      </c>
      <c r="L4" s="615">
        <v>43830</v>
      </c>
      <c r="M4" s="599">
        <f>DATEDIF(Table1[[#This Row],[تاريخ التعيين]],Table1[[#This Row],[اخر العام]],"y")</f>
        <v>12</v>
      </c>
      <c r="N4" s="599">
        <f>DATEDIF(Table1[[#This Row],[تاريخ التعيين]],Table1[[#This Row],[اخر العام]],"ym")</f>
        <v>11</v>
      </c>
      <c r="O4" s="610">
        <f>Table1[[#This Row],[سنوات الخدمه]]*1+Table1[[#This Row],[الشهور اقل من سنه]]*0.08</f>
        <v>12.88</v>
      </c>
      <c r="P4" s="616">
        <v>34960</v>
      </c>
      <c r="Q4" s="617">
        <v>8306.4959999999992</v>
      </c>
      <c r="R4" s="612"/>
      <c r="S4" s="599"/>
      <c r="T4" s="612"/>
      <c r="U4" s="612"/>
      <c r="V4" s="612"/>
      <c r="W4" s="612"/>
      <c r="X4" s="612"/>
      <c r="Y4" s="612"/>
      <c r="Z4" s="612"/>
      <c r="AA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" s="612"/>
      <c r="AC4" s="612"/>
      <c r="AD4" s="612"/>
      <c r="AE4" s="612"/>
      <c r="AF4" s="612"/>
      <c r="AG4" s="612"/>
      <c r="AH4" s="619">
        <f>SUM(Table1[[#This Row],[التقييد  باللوائح و تنفيذالتوجيه]:[اتباع اجراءات السلامه]])</f>
        <v>0</v>
      </c>
      <c r="AI4" s="619">
        <f>Table1[[#This Row],[المجموع]]+Table1[[#This Row],[المجموع2]]</f>
        <v>0</v>
      </c>
      <c r="AJ4" s="612">
        <v>1</v>
      </c>
      <c r="AK4" s="612">
        <v>2</v>
      </c>
      <c r="AL4" s="612">
        <v>3</v>
      </c>
      <c r="AM4" s="612">
        <v>4</v>
      </c>
      <c r="AN4" s="612"/>
      <c r="AO4" s="606">
        <f>Table1[[#This Row],[المجموع 1+2]]*$AO$2</f>
        <v>0</v>
      </c>
      <c r="AP4" s="648">
        <f>Table1[[#This Row],[راتب ديسمبر 2019]]*Table1[[#This Row],[نسبه التقييم الرئيسي 2018]]%</f>
        <v>0</v>
      </c>
      <c r="AQ4" s="627">
        <f>Table1[[#This Row],[مبلغ التقييم النسبي 2018]]+Table1[[#This Row],[راتب ديسمبر 2019]]</f>
        <v>34960</v>
      </c>
      <c r="AR4" s="611">
        <f>IF(Table1[[#This Row],[Column3]]&lt;0,0,Table1[[#This Row],[Column3]])</f>
        <v>45040</v>
      </c>
      <c r="AS4" s="599">
        <f>VLOOKUP(Table1[[#This Row],[درجه التوسيط]],Table10[],3,)</f>
        <v>80000</v>
      </c>
      <c r="AT4" s="608">
        <f>Table1[[#This Row],[الراتب 2018+النسبه]]+Table1[[#This Row],[فروقات الحد الادني]]</f>
        <v>80000</v>
      </c>
      <c r="AU4" s="629">
        <f>Table1[[#This Row],[الراتب 2018 + النسبه + الفرق]]-Table1[[#This Row],[راتب ديسمبر 2019]]</f>
        <v>45040</v>
      </c>
      <c r="AV4" s="628">
        <f>Table1[[#This Row],[الزياده]]/Table1[[#This Row],[راتب ديسمبر 2019]]%</f>
        <v>128.83295194508008</v>
      </c>
      <c r="AW4" s="659">
        <f>IF(Table1[[#This Row],[Column4]]&lt;0,0,Table1[[#This Row],[Column4]])</f>
        <v>0</v>
      </c>
      <c r="AX4" s="611">
        <f>Table1[[#This Row],[الجبر حتي]]-Table1[[#This Row],[رن]]</f>
        <v>0</v>
      </c>
      <c r="AY4" s="611">
        <f>Table1[[#This Row],[الزياده]]+Table1[[#This Row],[التعديل]]+Table1[[#This Row],[جبر الرقم]]</f>
        <v>45040</v>
      </c>
      <c r="AZ4" s="611">
        <f>Table1[[#This Row],[الراتب 2018 + النسبه + الفرق]]+Table1[[#This Row],[جبر الرقم]]+Table1[[#This Row],[التعديل]]</f>
        <v>80000</v>
      </c>
      <c r="BA4" s="631">
        <f>Table1[[#This Row],[الزياده النهائيه]]/Table1[[#This Row],[راتب ديسمبر 2019]]%</f>
        <v>128.83295194508008</v>
      </c>
      <c r="BB4" s="612">
        <f>VLOOKUP(Table1[[#This Row],[الرقم الوظيفي]],Table6[],8,)</f>
        <v>34960</v>
      </c>
      <c r="BC4" s="7"/>
      <c r="BD4" s="7">
        <v>55950</v>
      </c>
      <c r="BE4" s="7">
        <v>55950</v>
      </c>
      <c r="BF4" s="5">
        <f>Table1[[#This Row],[الحد الادني]]-Table1[[#This Row],[الراتب 2018+النسبه]]</f>
        <v>45040</v>
      </c>
      <c r="BG4" s="5">
        <f>Table1[[#This Row],[التعديل حتي]]-Table1[[#This Row],[kkk]]</f>
        <v>-55936</v>
      </c>
      <c r="BH4" s="5">
        <v>55936</v>
      </c>
      <c r="BI4" s="5">
        <f>IF(Table1[[#This Row],[Column4]]&lt;0,0,Table1[[#This Row],[Column4]])</f>
        <v>0</v>
      </c>
    </row>
    <row r="5" spans="1:61" ht="21" customHeight="1">
      <c r="A5" s="602">
        <v>6</v>
      </c>
      <c r="B5" s="618" t="str">
        <f>VLOOKUP(Table1[[#This Row],[الرقم الوظيفي]],[1]Sheet2!$1:$1048576,2,)</f>
        <v>كمال عبدالمجيد عبدون طه</v>
      </c>
      <c r="C5" s="618" t="str">
        <f>VLOOKUP(Table1[[#This Row],[الرقم الوظيفي]],[1]Sheet2!$1:$1048576,7,)</f>
        <v>المصنع</v>
      </c>
      <c r="D5" s="618" t="str">
        <f>VLOOKUP(Table1[[#This Row],[الرقم الوظيفي]],[1]Sheet2!$1:$1048576,8,)</f>
        <v>المستودعات</v>
      </c>
      <c r="E5" s="599" t="str">
        <f>VLOOKUP(Table1[[#This Row],[الرقم الوظيفي]],[1]Sheet2!$1:$1048576,9,)</f>
        <v>قطع الغيار</v>
      </c>
      <c r="F5" s="599" t="str">
        <f>VLOOKUP(Table1[[#This Row],[الرقم الوظيفي]],[1]Sheet2!$1:$1048576,12,)</f>
        <v>امين مستودع ق غ</v>
      </c>
      <c r="G5" s="599">
        <f>VLOOKUP(Table1[[#This Row],[الرقم الوظيفي]],[1]Sheet2!$1:$1048576,72,)</f>
        <v>0</v>
      </c>
      <c r="H5" s="599">
        <f>VLOOKUP(Table1[[#This Row],[الرقم الوظيفي]],[1]Sheet2!$1:$1048576,71,)</f>
        <v>0</v>
      </c>
      <c r="I5" s="599" t="str">
        <f>VLOOKUP(Table1[[#This Row],[المؤهل الرئيسي]],Table4[],3,)</f>
        <v>H</v>
      </c>
      <c r="J5" s="599" t="s">
        <v>922</v>
      </c>
      <c r="K5" s="615">
        <f>VLOOKUP(Table1[[#This Row],[الرقم الوظيفي]],[1]Sheet2!$1:$1048576,13,)</f>
        <v>39114</v>
      </c>
      <c r="L5" s="615">
        <v>43830</v>
      </c>
      <c r="M5" s="599">
        <f>DATEDIF(Table1[[#This Row],[تاريخ التعيين]],Table1[[#This Row],[اخر العام]],"y")</f>
        <v>12</v>
      </c>
      <c r="N5" s="599">
        <f>DATEDIF(Table1[[#This Row],[تاريخ التعيين]],Table1[[#This Row],[اخر العام]],"ym")</f>
        <v>10</v>
      </c>
      <c r="O5" s="610">
        <f>Table1[[#This Row],[سنوات الخدمه]]*1+Table1[[#This Row],[الشهور اقل من سنه]]*0.08</f>
        <v>12.8</v>
      </c>
      <c r="P5" s="616">
        <v>5130</v>
      </c>
      <c r="Q5" s="617">
        <v>1210.68</v>
      </c>
      <c r="R5" s="612"/>
      <c r="S5" s="599"/>
      <c r="T5" s="612"/>
      <c r="U5" s="612"/>
      <c r="V5" s="612"/>
      <c r="W5" s="612"/>
      <c r="X5" s="612"/>
      <c r="Y5" s="612"/>
      <c r="Z5" s="612"/>
      <c r="AA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" s="612"/>
      <c r="AC5" s="599"/>
      <c r="AD5" s="612"/>
      <c r="AE5" s="612"/>
      <c r="AF5" s="612"/>
      <c r="AG5" s="612"/>
      <c r="AH5" s="619">
        <f>SUM(Table1[[#This Row],[التقييد  باللوائح و تنفيذالتوجيه]:[اتباع اجراءات السلامه]])</f>
        <v>0</v>
      </c>
      <c r="AI5" s="619">
        <f>Table1[[#This Row],[المجموع]]+Table1[[#This Row],[المجموع2]]</f>
        <v>0</v>
      </c>
      <c r="AJ5" s="612"/>
      <c r="AK5" s="612"/>
      <c r="AL5" s="612"/>
      <c r="AM5" s="612"/>
      <c r="AN5" s="612"/>
      <c r="AO5" s="606">
        <f>Table1[[#This Row],[المجموع 1+2]]*$AO$2</f>
        <v>0</v>
      </c>
      <c r="AP5" s="648">
        <f>Table1[[#This Row],[راتب ديسمبر 2019]]*Table1[[#This Row],[نسبه التقييم الرئيسي 2018]]%</f>
        <v>0</v>
      </c>
      <c r="AQ5" s="627">
        <f>Table1[[#This Row],[مبلغ التقييم النسبي 2018]]+Table1[[#This Row],[راتب ديسمبر 2019]]</f>
        <v>5130</v>
      </c>
      <c r="AR5" s="611">
        <f>IF(Table1[[#This Row],[Column3]]&lt;0,0,Table1[[#This Row],[Column3]])</f>
        <v>5870</v>
      </c>
      <c r="AS5" s="599">
        <f>VLOOKUP(Table1[[#This Row],[درجه التوسيط]],Table10[],3,)</f>
        <v>11000</v>
      </c>
      <c r="AT5" s="608">
        <f>Table1[[#This Row],[الراتب 2018+النسبه]]+Table1[[#This Row],[فروقات الحد الادني]]</f>
        <v>11000</v>
      </c>
      <c r="AU5" s="629">
        <f>Table1[[#This Row],[الراتب 2018 + النسبه + الفرق]]-Table1[[#This Row],[راتب ديسمبر 2019]]</f>
        <v>5870</v>
      </c>
      <c r="AV5" s="628">
        <f>Table1[[#This Row],[الزياده]]/Table1[[#This Row],[راتب ديسمبر 2019]]%</f>
        <v>114.42495126705654</v>
      </c>
      <c r="AW5" s="659">
        <f>IF(Table1[[#This Row],[Column4]]&lt;0,0,Table1[[#This Row],[Column4]])</f>
        <v>476.68000000000029</v>
      </c>
      <c r="AX5" s="611">
        <f>Table1[[#This Row],[الجبر حتي]]-Table1[[#This Row],[رن]]</f>
        <v>0</v>
      </c>
      <c r="AY5" s="611">
        <f>Table1[[#This Row],[الزياده]]+Table1[[#This Row],[التعديل]]+Table1[[#This Row],[جبر الرقم]]</f>
        <v>6346.68</v>
      </c>
      <c r="AZ5" s="611">
        <f>Table1[[#This Row],[الراتب 2018 + النسبه + الفرق]]+Table1[[#This Row],[جبر الرقم]]+Table1[[#This Row],[التعديل]]</f>
        <v>11476.68</v>
      </c>
      <c r="BA5" s="631">
        <f>Table1[[#This Row],[الزياده النهائيه]]/Table1[[#This Row],[راتب ديسمبر 2019]]%</f>
        <v>123.7169590643275</v>
      </c>
      <c r="BB5" s="612">
        <f>VLOOKUP(Table1[[#This Row],[الرقم الوظيفي]],Table6[],8,)</f>
        <v>5130</v>
      </c>
      <c r="BC5" s="7">
        <v>8500</v>
      </c>
      <c r="BD5" s="7">
        <v>8030</v>
      </c>
      <c r="BE5" s="7">
        <v>8030</v>
      </c>
      <c r="BF5" s="5">
        <f>Table1[[#This Row],[الحد الادني]]-Table1[[#This Row],[الراتب 2018+النسبه]]</f>
        <v>5870</v>
      </c>
      <c r="BG5" s="5">
        <f>Table1[[#This Row],[التعديل حتي]]-Table1[[#This Row],[kkk]]</f>
        <v>476.68000000000029</v>
      </c>
      <c r="BH5" s="5">
        <v>8023.32</v>
      </c>
      <c r="BI5" s="5">
        <f>IF(Table1[[#This Row],[Column4]]&lt;0,0,Table1[[#This Row],[Column4]])</f>
        <v>476.68000000000029</v>
      </c>
    </row>
    <row r="6" spans="1:61" ht="21" customHeight="1">
      <c r="A6" s="602">
        <v>8</v>
      </c>
      <c r="B6" s="618" t="str">
        <f>VLOOKUP(Table1[[#This Row],[الرقم الوظيفي]],[1]Sheet2!$1:$1048576,2,)</f>
        <v>مصطفى قمرالدوله ابراهيم إدريس</v>
      </c>
      <c r="C6" s="618" t="str">
        <f>VLOOKUP(Table1[[#This Row],[الرقم الوظيفي]],[1]Sheet2!$1:$1048576,7,)</f>
        <v>المصنع</v>
      </c>
      <c r="D6" s="618" t="str">
        <f>VLOOKUP(Table1[[#This Row],[الرقم الوظيفي]],[1]Sheet2!$1:$1048576,8,)</f>
        <v>المستودعات</v>
      </c>
      <c r="E6" s="599" t="str">
        <f>VLOOKUP(Table1[[#This Row],[الرقم الوظيفي]],[1]Sheet2!$1:$1048576,9,)</f>
        <v>الخام</v>
      </c>
      <c r="F6" s="599" t="str">
        <f>VLOOKUP(Table1[[#This Row],[الرقم الوظيفي]],[1]Sheet2!$1:$1048576,12,)</f>
        <v>مسئول مستودع الخام</v>
      </c>
      <c r="G6" s="599" t="str">
        <f>VLOOKUP(Table1[[#This Row],[الرقم الوظيفي]],[1]Sheet2!$1:$1048576,72,)</f>
        <v>بكلاريوس</v>
      </c>
      <c r="H6" s="599" t="str">
        <f>VLOOKUP(Table1[[#This Row],[الرقم الوظيفي]],[1]Sheet2!$1:$1048576,71,)</f>
        <v>محاسبة</v>
      </c>
      <c r="I6" s="599" t="str">
        <f>VLOOKUP(Table1[[#This Row],[المؤهل الرئيسي]],Table4[],3,)</f>
        <v>C</v>
      </c>
      <c r="J6" s="599" t="s">
        <v>38</v>
      </c>
      <c r="K6" s="615">
        <f>VLOOKUP(Table1[[#This Row],[الرقم الوظيفي]],[1]Sheet2!$1:$1048576,13,)</f>
        <v>39130</v>
      </c>
      <c r="L6" s="615">
        <v>43830</v>
      </c>
      <c r="M6" s="599">
        <f>DATEDIF(Table1[[#This Row],[تاريخ التعيين]],Table1[[#This Row],[اخر العام]],"y")</f>
        <v>12</v>
      </c>
      <c r="N6" s="599">
        <f>DATEDIF(Table1[[#This Row],[تاريخ التعيين]],Table1[[#This Row],[اخر العام]],"ym")</f>
        <v>10</v>
      </c>
      <c r="O6" s="610">
        <f>Table1[[#This Row],[سنوات الخدمه]]*1+Table1[[#This Row],[الشهور اقل من سنه]]*0.08</f>
        <v>12.8</v>
      </c>
      <c r="P6" s="616">
        <v>6370</v>
      </c>
      <c r="Q6" s="617">
        <v>1503.32</v>
      </c>
      <c r="R6" s="612"/>
      <c r="S6" s="599"/>
      <c r="T6" s="612"/>
      <c r="U6" s="612"/>
      <c r="V6" s="612"/>
      <c r="W6" s="612"/>
      <c r="X6" s="612"/>
      <c r="Y6" s="612"/>
      <c r="Z6" s="612"/>
      <c r="AA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" s="612"/>
      <c r="AC6" s="599"/>
      <c r="AD6" s="612"/>
      <c r="AE6" s="612"/>
      <c r="AF6" s="612"/>
      <c r="AG6" s="612"/>
      <c r="AH6" s="619">
        <f>SUM(Table1[[#This Row],[التقييد  باللوائح و تنفيذالتوجيه]:[اتباع اجراءات السلامه]])</f>
        <v>0</v>
      </c>
      <c r="AI6" s="619">
        <f>Table1[[#This Row],[المجموع]]+Table1[[#This Row],[المجموع2]]</f>
        <v>0</v>
      </c>
      <c r="AJ6" s="612"/>
      <c r="AK6" s="612"/>
      <c r="AL6" s="612"/>
      <c r="AM6" s="612"/>
      <c r="AN6" s="612"/>
      <c r="AO6" s="606">
        <f>Table1[[#This Row],[المجموع 1+2]]*$AO$2</f>
        <v>0</v>
      </c>
      <c r="AP6" s="648">
        <f>Table1[[#This Row],[راتب ديسمبر 2019]]*Table1[[#This Row],[نسبه التقييم الرئيسي 2018]]%</f>
        <v>0</v>
      </c>
      <c r="AQ6" s="627">
        <f>Table1[[#This Row],[مبلغ التقييم النسبي 2018]]+Table1[[#This Row],[راتب ديسمبر 2019]]</f>
        <v>6370</v>
      </c>
      <c r="AR6" s="611">
        <f>IF(Table1[[#This Row],[Column3]]&lt;0,0,Table1[[#This Row],[Column3]])</f>
        <v>10630</v>
      </c>
      <c r="AS6" s="599">
        <f>VLOOKUP(Table1[[#This Row],[درجه التوسيط]],Table10[],3,)</f>
        <v>17000</v>
      </c>
      <c r="AT6" s="608">
        <f>Table1[[#This Row],[الراتب 2018+النسبه]]+Table1[[#This Row],[فروقات الحد الادني]]</f>
        <v>17000</v>
      </c>
      <c r="AU6" s="629">
        <f>Table1[[#This Row],[الراتب 2018 + النسبه + الفرق]]-Table1[[#This Row],[راتب ديسمبر 2019]]</f>
        <v>10630</v>
      </c>
      <c r="AV6" s="628">
        <f>Table1[[#This Row],[الزياده]]/Table1[[#This Row],[راتب ديسمبر 2019]]%</f>
        <v>166.87598116169545</v>
      </c>
      <c r="AW6" s="659">
        <f>IF(Table1[[#This Row],[Column4]]&lt;0,0,Table1[[#This Row],[Column4]])</f>
        <v>0</v>
      </c>
      <c r="AX6" s="611">
        <f>Table1[[#This Row],[الجبر حتي]]-Table1[[#This Row],[رن]]</f>
        <v>0</v>
      </c>
      <c r="AY6" s="611">
        <f>Table1[[#This Row],[الزياده]]+Table1[[#This Row],[التعديل]]+Table1[[#This Row],[جبر الرقم]]</f>
        <v>10630</v>
      </c>
      <c r="AZ6" s="611">
        <f>Table1[[#This Row],[الراتب 2018 + النسبه + الفرق]]+Table1[[#This Row],[جبر الرقم]]+Table1[[#This Row],[التعديل]]</f>
        <v>17000</v>
      </c>
      <c r="BA6" s="631">
        <f>Table1[[#This Row],[الزياده النهائيه]]/Table1[[#This Row],[راتب ديسمبر 2019]]%</f>
        <v>166.87598116169545</v>
      </c>
      <c r="BB6" s="612">
        <f>VLOOKUP(Table1[[#This Row],[الرقم الوظيفي]],Table6[],8,)</f>
        <v>6370</v>
      </c>
      <c r="BC6" s="7"/>
      <c r="BD6" s="7">
        <v>12000</v>
      </c>
      <c r="BE6" s="7">
        <v>12000</v>
      </c>
      <c r="BF6" s="5">
        <f>Table1[[#This Row],[الحد الادني]]-Table1[[#This Row],[الراتب 2018+النسبه]]</f>
        <v>10630</v>
      </c>
      <c r="BG6" s="5">
        <f>Table1[[#This Row],[التعديل حتي]]-Table1[[#This Row],[kkk]]</f>
        <v>-12000</v>
      </c>
      <c r="BH6" s="5">
        <v>12000</v>
      </c>
      <c r="BI6" s="5">
        <f>IF(Table1[[#This Row],[Column4]]&lt;0,0,Table1[[#This Row],[Column4]])</f>
        <v>0</v>
      </c>
    </row>
    <row r="7" spans="1:61" ht="21" customHeight="1">
      <c r="A7" s="602">
        <v>9</v>
      </c>
      <c r="B7" s="618" t="str">
        <f>VLOOKUP(Table1[[#This Row],[الرقم الوظيفي]],[1]Sheet2!$1:$1048576,2,)</f>
        <v>على احمد على بابكر</v>
      </c>
      <c r="C7" s="618" t="str">
        <f>VLOOKUP(Table1[[#This Row],[الرقم الوظيفي]],[1]Sheet2!$1:$1048576,7,)</f>
        <v>المصنع</v>
      </c>
      <c r="D7" s="618" t="str">
        <f>VLOOKUP(Table1[[#This Row],[الرقم الوظيفي]],[1]Sheet2!$1:$1048576,8,)</f>
        <v>المستودعات</v>
      </c>
      <c r="E7" s="599" t="str">
        <f>VLOOKUP(Table1[[#This Row],[الرقم الوظيفي]],[1]Sheet2!$1:$1048576,9,)</f>
        <v>مدير قسم</v>
      </c>
      <c r="F7" s="599" t="str">
        <f>VLOOKUP(Table1[[#This Row],[الرقم الوظيفي]],[1]Sheet2!$1:$1048576,12,)</f>
        <v>مدير المستودعات</v>
      </c>
      <c r="G7" s="599" t="str">
        <f>VLOOKUP(Table1[[#This Row],[الرقم الوظيفي]],[1]Sheet2!$1:$1048576,72,)</f>
        <v>دبلوم تقني</v>
      </c>
      <c r="H7" s="599" t="str">
        <f>VLOOKUP(Table1[[#This Row],[الرقم الوظيفي]],[1]Sheet2!$1:$1048576,71,)</f>
        <v>محاسبة</v>
      </c>
      <c r="I7" s="599" t="str">
        <f>VLOOKUP(Table1[[#This Row],[المؤهل الرئيسي]],Table4[],3,)</f>
        <v>D</v>
      </c>
      <c r="J7" s="599" t="s">
        <v>59</v>
      </c>
      <c r="K7" s="615">
        <f>VLOOKUP(Table1[[#This Row],[الرقم الوظيفي]],[1]Sheet2!$1:$1048576,13,)</f>
        <v>39097</v>
      </c>
      <c r="L7" s="615">
        <v>43830</v>
      </c>
      <c r="M7" s="599">
        <f>DATEDIF(Table1[[#This Row],[تاريخ التعيين]],Table1[[#This Row],[اخر العام]],"y")</f>
        <v>12</v>
      </c>
      <c r="N7" s="599">
        <f>DATEDIF(Table1[[#This Row],[تاريخ التعيين]],Table1[[#This Row],[اخر العام]],"ym")</f>
        <v>11</v>
      </c>
      <c r="O7" s="610">
        <f>Table1[[#This Row],[سنوات الخدمه]]*1+Table1[[#This Row],[الشهور اقل من سنه]]*0.08</f>
        <v>12.88</v>
      </c>
      <c r="P7" s="616">
        <v>19440</v>
      </c>
      <c r="Q7" s="617">
        <v>4618.9440000000004</v>
      </c>
      <c r="R7" s="612"/>
      <c r="S7" s="599"/>
      <c r="T7" s="612"/>
      <c r="U7" s="612"/>
      <c r="V7" s="612"/>
      <c r="W7" s="612"/>
      <c r="X7" s="612"/>
      <c r="Y7" s="612"/>
      <c r="Z7" s="612"/>
      <c r="AA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" s="612"/>
      <c r="AC7" s="599"/>
      <c r="AD7" s="612"/>
      <c r="AE7" s="612"/>
      <c r="AF7" s="612"/>
      <c r="AG7" s="612"/>
      <c r="AH7" s="619">
        <f>SUM(Table1[[#This Row],[التقييد  باللوائح و تنفيذالتوجيه]:[اتباع اجراءات السلامه]])</f>
        <v>0</v>
      </c>
      <c r="AI7" s="619">
        <f>Table1[[#This Row],[المجموع]]+Table1[[#This Row],[المجموع2]]</f>
        <v>0</v>
      </c>
      <c r="AJ7" s="612"/>
      <c r="AK7" s="612"/>
      <c r="AL7" s="612"/>
      <c r="AM7" s="612"/>
      <c r="AN7" s="612"/>
      <c r="AO7" s="606">
        <f>Table1[[#This Row],[المجموع 1+2]]*$AO$2</f>
        <v>0</v>
      </c>
      <c r="AP7" s="648">
        <f>Table1[[#This Row],[راتب ديسمبر 2019]]*Table1[[#This Row],[نسبه التقييم الرئيسي 2018]]%</f>
        <v>0</v>
      </c>
      <c r="AQ7" s="627">
        <f>Table1[[#This Row],[مبلغ التقييم النسبي 2018]]+Table1[[#This Row],[راتب ديسمبر 2019]]</f>
        <v>19440</v>
      </c>
      <c r="AR7" s="611">
        <f>IF(Table1[[#This Row],[Column3]]&lt;0,0,Table1[[#This Row],[Column3]])</f>
        <v>30560</v>
      </c>
      <c r="AS7" s="599">
        <f>VLOOKUP(Table1[[#This Row],[درجه التوسيط]],Table10[],3,)</f>
        <v>50000</v>
      </c>
      <c r="AT7" s="608">
        <f>Table1[[#This Row],[الراتب 2018+النسبه]]+Table1[[#This Row],[فروقات الحد الادني]]</f>
        <v>50000</v>
      </c>
      <c r="AU7" s="629">
        <f>Table1[[#This Row],[الراتب 2018 + النسبه + الفرق]]-Table1[[#This Row],[راتب ديسمبر 2019]]</f>
        <v>30560</v>
      </c>
      <c r="AV7" s="628">
        <f>Table1[[#This Row],[الزياده]]/Table1[[#This Row],[راتب ديسمبر 2019]]%</f>
        <v>157.20164609053498</v>
      </c>
      <c r="AW7" s="659">
        <f>IF(Table1[[#This Row],[Column4]]&lt;0,0,Table1[[#This Row],[Column4]])</f>
        <v>0</v>
      </c>
      <c r="AX7" s="611">
        <f>Table1[[#This Row],[الجبر حتي]]-Table1[[#This Row],[رن]]</f>
        <v>12.639999999999418</v>
      </c>
      <c r="AY7" s="611">
        <f>Table1[[#This Row],[الزياده]]+Table1[[#This Row],[التعديل]]+Table1[[#This Row],[جبر الرقم]]</f>
        <v>30572.639999999999</v>
      </c>
      <c r="AZ7" s="611">
        <f>Table1[[#This Row],[الراتب 2018 + النسبه + الفرق]]+Table1[[#This Row],[جبر الرقم]]+Table1[[#This Row],[التعديل]]</f>
        <v>50012.639999999999</v>
      </c>
      <c r="BA7" s="631">
        <f>Table1[[#This Row],[الزياده النهائيه]]/Table1[[#This Row],[راتب ديسمبر 2019]]%</f>
        <v>157.26666666666665</v>
      </c>
      <c r="BB7" s="612">
        <f>VLOOKUP(Table1[[#This Row],[الرقم الوظيفي]],Table6[],8,)</f>
        <v>19440</v>
      </c>
      <c r="BC7" s="7"/>
      <c r="BD7" s="7">
        <v>31000</v>
      </c>
      <c r="BE7" s="7">
        <v>30987.360000000001</v>
      </c>
      <c r="BF7" s="5">
        <f>Table1[[#This Row],[الحد الادني]]-Table1[[#This Row],[الراتب 2018+النسبه]]</f>
        <v>30560</v>
      </c>
      <c r="BG7" s="5">
        <f>Table1[[#This Row],[التعديل حتي]]-Table1[[#This Row],[kkk]]</f>
        <v>-30987.360000000001</v>
      </c>
      <c r="BH7" s="5">
        <v>30987.360000000001</v>
      </c>
      <c r="BI7" s="5">
        <f>IF(Table1[[#This Row],[Column4]]&lt;0,0,Table1[[#This Row],[Column4]])</f>
        <v>0</v>
      </c>
    </row>
    <row r="8" spans="1:61" ht="21" customHeight="1">
      <c r="A8" s="602">
        <v>16</v>
      </c>
      <c r="B8" s="618" t="str">
        <f>VLOOKUP(Table1[[#This Row],[الرقم الوظيفي]],[1]Sheet2!$1:$1048576,2,)</f>
        <v>هشام عيسى محمد عبدالكريم</v>
      </c>
      <c r="C8" s="618" t="str">
        <f>VLOOKUP(Table1[[#This Row],[الرقم الوظيفي]],[1]Sheet2!$1:$1048576,7,)</f>
        <v>المصنع</v>
      </c>
      <c r="D8" s="618" t="str">
        <f>VLOOKUP(Table1[[#This Row],[الرقم الوظيفي]],[1]Sheet2!$1:$1048576,8,)</f>
        <v>الانتاج</v>
      </c>
      <c r="E8" s="599" t="str">
        <f>VLOOKUP(Table1[[#This Row],[الرقم الوظيفي]],[1]Sheet2!$1:$1048576,9,)</f>
        <v>مدير قسم</v>
      </c>
      <c r="F8" s="599" t="str">
        <f>VLOOKUP(Table1[[#This Row],[الرقم الوظيفي]],[1]Sheet2!$1:$1048576,12,)</f>
        <v xml:space="preserve"> مدير الانتاج</v>
      </c>
      <c r="G8" s="599" t="str">
        <f>VLOOKUP(Table1[[#This Row],[الرقم الوظيفي]],[1]Sheet2!$1:$1048576,72,)</f>
        <v>دبلوم تقني</v>
      </c>
      <c r="H8" s="599" t="str">
        <f>VLOOKUP(Table1[[#This Row],[الرقم الوظيفي]],[1]Sheet2!$1:$1048576,71,)</f>
        <v>هندسة ميكانيكية ( قوى )</v>
      </c>
      <c r="I8" s="599" t="str">
        <f>VLOOKUP(Table1[[#This Row],[المؤهل الرئيسي]],Table4[],3,)</f>
        <v>D</v>
      </c>
      <c r="J8" s="599" t="s">
        <v>53</v>
      </c>
      <c r="K8" s="615">
        <f>VLOOKUP(Table1[[#This Row],[الرقم الوظيفي]],[1]Sheet2!$1:$1048576,13,)</f>
        <v>39063</v>
      </c>
      <c r="L8" s="615">
        <v>43830</v>
      </c>
      <c r="M8" s="599">
        <f>DATEDIF(Table1[[#This Row],[تاريخ التعيين]],Table1[[#This Row],[اخر العام]],"y")</f>
        <v>13</v>
      </c>
      <c r="N8" s="599">
        <f>DATEDIF(Table1[[#This Row],[تاريخ التعيين]],Table1[[#This Row],[اخر العام]],"ym")</f>
        <v>0</v>
      </c>
      <c r="O8" s="610">
        <f>Table1[[#This Row],[سنوات الخدمه]]*1+Table1[[#This Row],[الشهور اقل من سنه]]*0.08</f>
        <v>13</v>
      </c>
      <c r="P8" s="616">
        <v>25860</v>
      </c>
      <c r="Q8" s="617">
        <v>6206.4</v>
      </c>
      <c r="R8" s="612"/>
      <c r="S8" s="599"/>
      <c r="T8" s="612"/>
      <c r="U8" s="612"/>
      <c r="V8" s="612"/>
      <c r="W8" s="612"/>
      <c r="X8" s="612"/>
      <c r="Y8" s="612"/>
      <c r="Z8" s="612"/>
      <c r="AA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" s="612"/>
      <c r="AC8" s="599"/>
      <c r="AD8" s="612"/>
      <c r="AE8" s="612"/>
      <c r="AF8" s="612"/>
      <c r="AG8" s="612"/>
      <c r="AH8" s="619">
        <f>SUM(Table1[[#This Row],[التقييد  باللوائح و تنفيذالتوجيه]:[اتباع اجراءات السلامه]])</f>
        <v>0</v>
      </c>
      <c r="AI8" s="619">
        <f>Table1[[#This Row],[المجموع]]+Table1[[#This Row],[المجموع2]]</f>
        <v>0</v>
      </c>
      <c r="AJ8" s="612"/>
      <c r="AK8" s="612"/>
      <c r="AL8" s="612"/>
      <c r="AM8" s="612"/>
      <c r="AN8" s="612"/>
      <c r="AO8" s="606">
        <f>Table1[[#This Row],[المجموع 1+2]]*$AO$2</f>
        <v>0</v>
      </c>
      <c r="AP8" s="648">
        <f>Table1[[#This Row],[راتب ديسمبر 2019]]*Table1[[#This Row],[نسبه التقييم الرئيسي 2018]]%</f>
        <v>0</v>
      </c>
      <c r="AQ8" s="627">
        <f>Table1[[#This Row],[مبلغ التقييم النسبي 2018]]+Table1[[#This Row],[راتب ديسمبر 2019]]</f>
        <v>25860</v>
      </c>
      <c r="AR8" s="611">
        <f>IF(Table1[[#This Row],[Column3]]&lt;0,0,Table1[[#This Row],[Column3]])</f>
        <v>49140</v>
      </c>
      <c r="AS8" s="599">
        <f>VLOOKUP(Table1[[#This Row],[درجه التوسيط]],Table10[],3,)</f>
        <v>75000</v>
      </c>
      <c r="AT8" s="608">
        <f>Table1[[#This Row],[الراتب 2018+النسبه]]+Table1[[#This Row],[فروقات الحد الادني]]</f>
        <v>75000</v>
      </c>
      <c r="AU8" s="629">
        <f>Table1[[#This Row],[الراتب 2018 + النسبه + الفرق]]-Table1[[#This Row],[راتب ديسمبر 2019]]</f>
        <v>49140</v>
      </c>
      <c r="AV8" s="628">
        <f>Table1[[#This Row],[الزياده]]/Table1[[#This Row],[راتب ديسمبر 2019]]%</f>
        <v>190.02320185614849</v>
      </c>
      <c r="AW8" s="659">
        <f>IF(Table1[[#This Row],[Column4]]&lt;0,0,Table1[[#This Row],[Column4]])</f>
        <v>0</v>
      </c>
      <c r="AX8" s="611">
        <f>Table1[[#This Row],[الجبر حتي]]-Table1[[#This Row],[رن]]</f>
        <v>0</v>
      </c>
      <c r="AY8" s="611">
        <f>Table1[[#This Row],[الزياده]]+Table1[[#This Row],[التعديل]]+Table1[[#This Row],[جبر الرقم]]</f>
        <v>49140</v>
      </c>
      <c r="AZ8" s="611">
        <f>Table1[[#This Row],[الراتب 2018 + النسبه + الفرق]]+Table1[[#This Row],[جبر الرقم]]+Table1[[#This Row],[التعديل]]</f>
        <v>75000</v>
      </c>
      <c r="BA8" s="631">
        <f>Table1[[#This Row],[الزياده النهائيه]]/Table1[[#This Row],[راتب ديسمبر 2019]]%</f>
        <v>190.02320185614849</v>
      </c>
      <c r="BB8" s="612">
        <f>VLOOKUP(Table1[[#This Row],[الرقم الوظيفي]],Table6[],8,)</f>
        <v>25860</v>
      </c>
      <c r="BC8" s="7"/>
      <c r="BD8" s="7">
        <v>50000</v>
      </c>
      <c r="BE8" s="7">
        <v>50000</v>
      </c>
      <c r="BF8" s="5">
        <f>Table1[[#This Row],[الحد الادني]]-Table1[[#This Row],[الراتب 2018+النسبه]]</f>
        <v>49140</v>
      </c>
      <c r="BG8" s="5">
        <f>Table1[[#This Row],[التعديل حتي]]-Table1[[#This Row],[kkk]]</f>
        <v>-50000</v>
      </c>
      <c r="BH8" s="5">
        <v>50000</v>
      </c>
      <c r="BI8" s="5">
        <f>IF(Table1[[#This Row],[Column4]]&lt;0,0,Table1[[#This Row],[Column4]])</f>
        <v>0</v>
      </c>
    </row>
    <row r="9" spans="1:61" ht="21" customHeight="1">
      <c r="A9" s="602">
        <v>17</v>
      </c>
      <c r="B9" s="618" t="str">
        <f>VLOOKUP(Table1[[#This Row],[الرقم الوظيفي]],[1]Sheet2!$1:$1048576,2,)</f>
        <v>محمد الياس حسين فضل</v>
      </c>
      <c r="C9" s="618" t="str">
        <f>VLOOKUP(Table1[[#This Row],[الرقم الوظيفي]],[1]Sheet2!$1:$1048576,7,)</f>
        <v>المصنع</v>
      </c>
      <c r="D9" s="618" t="str">
        <f>VLOOKUP(Table1[[#This Row],[الرقم الوظيفي]],[1]Sheet2!$1:$1048576,8,)</f>
        <v>الانتاج</v>
      </c>
      <c r="E9" s="599" t="str">
        <f>VLOOKUP(Table1[[#This Row],[الرقم الوظيفي]],[1]Sheet2!$1:$1048576,9,)</f>
        <v>الاشراف</v>
      </c>
      <c r="F9" s="599" t="str">
        <f>VLOOKUP(Table1[[#This Row],[الرقم الوظيفي]],[1]Sheet2!$1:$1048576,12,)</f>
        <v>مشرف ورديه</v>
      </c>
      <c r="G9" s="599">
        <f>VLOOKUP(Table1[[#This Row],[الرقم الوظيفي]],[1]Sheet2!$1:$1048576,72,)</f>
        <v>0</v>
      </c>
      <c r="H9" s="599">
        <f>VLOOKUP(Table1[[#This Row],[الرقم الوظيفي]],[1]Sheet2!$1:$1048576,71,)</f>
        <v>0</v>
      </c>
      <c r="I9" s="599" t="str">
        <f>VLOOKUP(Table1[[#This Row],[المؤهل الرئيسي]],Table4[],3,)</f>
        <v>H</v>
      </c>
      <c r="J9" s="599" t="s">
        <v>492</v>
      </c>
      <c r="K9" s="615">
        <f>VLOOKUP(Table1[[#This Row],[الرقم الوظيفي]],[1]Sheet2!$1:$1048576,13,)</f>
        <v>39052</v>
      </c>
      <c r="L9" s="615">
        <v>43830</v>
      </c>
      <c r="M9" s="599">
        <f>DATEDIF(Table1[[#This Row],[تاريخ التعيين]],Table1[[#This Row],[اخر العام]],"y")</f>
        <v>13</v>
      </c>
      <c r="N9" s="599">
        <f>DATEDIF(Table1[[#This Row],[تاريخ التعيين]],Table1[[#This Row],[اخر العام]],"ym")</f>
        <v>0</v>
      </c>
      <c r="O9" s="610">
        <f>Table1[[#This Row],[سنوات الخدمه]]*1+Table1[[#This Row],[الشهور اقل من سنه]]*0.08</f>
        <v>13</v>
      </c>
      <c r="P9" s="616">
        <v>12970</v>
      </c>
      <c r="Q9" s="617">
        <v>3112.8</v>
      </c>
      <c r="R9" s="612"/>
      <c r="S9" s="599"/>
      <c r="T9" s="612"/>
      <c r="U9" s="612"/>
      <c r="V9" s="612"/>
      <c r="W9" s="612"/>
      <c r="X9" s="612"/>
      <c r="Y9" s="612"/>
      <c r="Z9" s="612"/>
      <c r="AA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" s="612"/>
      <c r="AC9" s="599"/>
      <c r="AD9" s="612"/>
      <c r="AE9" s="612"/>
      <c r="AF9" s="612"/>
      <c r="AG9" s="612"/>
      <c r="AH9" s="619">
        <f>SUM(Table1[[#This Row],[التقييد  باللوائح و تنفيذالتوجيه]:[اتباع اجراءات السلامه]])</f>
        <v>0</v>
      </c>
      <c r="AI9" s="619">
        <f>Table1[[#This Row],[المجموع]]+Table1[[#This Row],[المجموع2]]</f>
        <v>0</v>
      </c>
      <c r="AJ9" s="612"/>
      <c r="AK9" s="612"/>
      <c r="AL9" s="612"/>
      <c r="AM9" s="612"/>
      <c r="AN9" s="612"/>
      <c r="AO9" s="606">
        <f>Table1[[#This Row],[المجموع 1+2]]*$AO$2</f>
        <v>0</v>
      </c>
      <c r="AP9" s="648">
        <f>Table1[[#This Row],[راتب ديسمبر 2019]]*Table1[[#This Row],[نسبه التقييم الرئيسي 2018]]%</f>
        <v>0</v>
      </c>
      <c r="AQ9" s="627">
        <f>Table1[[#This Row],[مبلغ التقييم النسبي 2018]]+Table1[[#This Row],[راتب ديسمبر 2019]]</f>
        <v>12970</v>
      </c>
      <c r="AR9" s="611">
        <f>IF(Table1[[#This Row],[Column3]]&lt;0,0,Table1[[#This Row],[Column3]])</f>
        <v>17030</v>
      </c>
      <c r="AS9" s="599">
        <f>VLOOKUP(Table1[[#This Row],[درجه التوسيط]],Table10[],3,)</f>
        <v>30000</v>
      </c>
      <c r="AT9" s="608">
        <f>Table1[[#This Row],[الراتب 2018+النسبه]]+Table1[[#This Row],[فروقات الحد الادني]]</f>
        <v>30000</v>
      </c>
      <c r="AU9" s="629">
        <f>Table1[[#This Row],[الراتب 2018 + النسبه + الفرق]]-Table1[[#This Row],[راتب ديسمبر 2019]]</f>
        <v>17030</v>
      </c>
      <c r="AV9" s="628">
        <f>Table1[[#This Row],[الزياده]]/Table1[[#This Row],[راتب ديسمبر 2019]]%</f>
        <v>131.30300693909021</v>
      </c>
      <c r="AW9" s="659">
        <f>IF(Table1[[#This Row],[Column4]]&lt;0,0,Table1[[#This Row],[Column4]])</f>
        <v>0</v>
      </c>
      <c r="AX9" s="611">
        <f>Table1[[#This Row],[الجبر حتي]]-Table1[[#This Row],[رن]]</f>
        <v>9.2799999999988358</v>
      </c>
      <c r="AY9" s="611">
        <f>Table1[[#This Row],[الزياده]]+Table1[[#This Row],[التعديل]]+Table1[[#This Row],[جبر الرقم]]</f>
        <v>17039.28</v>
      </c>
      <c r="AZ9" s="611">
        <f>Table1[[#This Row],[الراتب 2018 + النسبه + الفرق]]+Table1[[#This Row],[جبر الرقم]]+Table1[[#This Row],[التعديل]]</f>
        <v>30009.279999999999</v>
      </c>
      <c r="BA9" s="631">
        <f>Table1[[#This Row],[الزياده النهائيه]]/Table1[[#This Row],[راتب ديسمبر 2019]]%</f>
        <v>131.37455666923671</v>
      </c>
      <c r="BB9" s="612">
        <f>VLOOKUP(Table1[[#This Row],[الرقم الوظيفي]],Table6[],8,)</f>
        <v>12970</v>
      </c>
      <c r="BC9" s="7"/>
      <c r="BD9" s="7">
        <v>20450</v>
      </c>
      <c r="BE9" s="7">
        <v>20440.72</v>
      </c>
      <c r="BF9" s="5">
        <f>Table1[[#This Row],[الحد الادني]]-Table1[[#This Row],[الراتب 2018+النسبه]]</f>
        <v>17030</v>
      </c>
      <c r="BG9" s="5">
        <f>Table1[[#This Row],[التعديل حتي]]-Table1[[#This Row],[kkk]]</f>
        <v>-20440.72</v>
      </c>
      <c r="BH9" s="5">
        <v>20440.72</v>
      </c>
      <c r="BI9" s="5">
        <f>IF(Table1[[#This Row],[Column4]]&lt;0,0,Table1[[#This Row],[Column4]])</f>
        <v>0</v>
      </c>
    </row>
    <row r="10" spans="1:61" ht="21" customHeight="1">
      <c r="A10" s="602">
        <v>18</v>
      </c>
      <c r="B10" s="618" t="str">
        <f>VLOOKUP(Table1[[#This Row],[الرقم الوظيفي]],[1]Sheet2!$1:$1048576,2,)</f>
        <v>على يحى بن يحى عبدالله</v>
      </c>
      <c r="C10" s="618" t="str">
        <f>VLOOKUP(Table1[[#This Row],[الرقم الوظيفي]],[1]Sheet2!$1:$1048576,7,)</f>
        <v>المصنع</v>
      </c>
      <c r="D10" s="618" t="str">
        <f>VLOOKUP(Table1[[#This Row],[الرقم الوظيفي]],[1]Sheet2!$1:$1048576,8,)</f>
        <v>الانتاج</v>
      </c>
      <c r="E10" s="599" t="str">
        <f>VLOOKUP(Table1[[#This Row],[الرقم الوظيفي]],[1]Sheet2!$1:$1048576,9,)</f>
        <v>المواسير</v>
      </c>
      <c r="F10" s="599" t="str">
        <f>VLOOKUP(Table1[[#This Row],[الرقم الوظيفي]],[1]Sheet2!$1:$1048576,12,)</f>
        <v>مشغل</v>
      </c>
      <c r="G10" s="599">
        <f>VLOOKUP(Table1[[#This Row],[الرقم الوظيفي]],[1]Sheet2!$1:$1048576,72,)</f>
        <v>0</v>
      </c>
      <c r="H10" s="599">
        <f>VLOOKUP(Table1[[#This Row],[الرقم الوظيفي]],[1]Sheet2!$1:$1048576,71,)</f>
        <v>0</v>
      </c>
      <c r="I10" s="599" t="str">
        <f>VLOOKUP(Table1[[#This Row],[المؤهل الرئيسي]],Table4[],3,)</f>
        <v>H</v>
      </c>
      <c r="J10" s="599" t="s">
        <v>48</v>
      </c>
      <c r="K10" s="615">
        <f>VLOOKUP(Table1[[#This Row],[الرقم الوظيفي]],[1]Sheet2!$1:$1048576,13,)</f>
        <v>39052</v>
      </c>
      <c r="L10" s="615">
        <v>43830</v>
      </c>
      <c r="M10" s="599">
        <f>DATEDIF(Table1[[#This Row],[تاريخ التعيين]],Table1[[#This Row],[اخر العام]],"y")</f>
        <v>13</v>
      </c>
      <c r="N10" s="599">
        <f>DATEDIF(Table1[[#This Row],[تاريخ التعيين]],Table1[[#This Row],[اخر العام]],"ym")</f>
        <v>0</v>
      </c>
      <c r="O10" s="610">
        <f>Table1[[#This Row],[سنوات الخدمه]]*1+Table1[[#This Row],[الشهور اقل من سنه]]*0.08</f>
        <v>13</v>
      </c>
      <c r="P10" s="616">
        <v>6000</v>
      </c>
      <c r="Q10" s="617">
        <v>1440</v>
      </c>
      <c r="R10" s="612"/>
      <c r="S10" s="599"/>
      <c r="T10" s="612"/>
      <c r="U10" s="612"/>
      <c r="V10" s="612"/>
      <c r="W10" s="612"/>
      <c r="X10" s="612"/>
      <c r="Y10" s="612"/>
      <c r="Z10" s="612"/>
      <c r="AA1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" s="612"/>
      <c r="AC10" s="599"/>
      <c r="AD10" s="612"/>
      <c r="AE10" s="612"/>
      <c r="AF10" s="612"/>
      <c r="AG10" s="612"/>
      <c r="AH10" s="619">
        <f>SUM(Table1[[#This Row],[التقييد  باللوائح و تنفيذالتوجيه]:[اتباع اجراءات السلامه]])</f>
        <v>0</v>
      </c>
      <c r="AI10" s="619">
        <f>Table1[[#This Row],[المجموع]]+Table1[[#This Row],[المجموع2]]</f>
        <v>0</v>
      </c>
      <c r="AJ10" s="612"/>
      <c r="AK10" s="612"/>
      <c r="AL10" s="612"/>
      <c r="AM10" s="612"/>
      <c r="AN10" s="612"/>
      <c r="AO10" s="606">
        <f>Table1[[#This Row],[المجموع 1+2]]*$AO$2</f>
        <v>0</v>
      </c>
      <c r="AP10" s="648">
        <f>Table1[[#This Row],[راتب ديسمبر 2019]]*Table1[[#This Row],[نسبه التقييم الرئيسي 2018]]%</f>
        <v>0</v>
      </c>
      <c r="AQ10" s="627">
        <f>Table1[[#This Row],[مبلغ التقييم النسبي 2018]]+Table1[[#This Row],[راتب ديسمبر 2019]]</f>
        <v>6000</v>
      </c>
      <c r="AR10" s="611">
        <f>IF(Table1[[#This Row],[Column3]]&lt;0,0,Table1[[#This Row],[Column3]])</f>
        <v>7000</v>
      </c>
      <c r="AS10" s="599">
        <f>VLOOKUP(Table1[[#This Row],[درجه التوسيط]],Table10[],3,)</f>
        <v>13000</v>
      </c>
      <c r="AT10" s="608">
        <f>Table1[[#This Row],[الراتب 2018+النسبه]]+Table1[[#This Row],[فروقات الحد الادني]]</f>
        <v>13000</v>
      </c>
      <c r="AU10" s="629">
        <f>Table1[[#This Row],[الراتب 2018 + النسبه + الفرق]]-Table1[[#This Row],[راتب ديسمبر 2019]]</f>
        <v>7000</v>
      </c>
      <c r="AV10" s="628">
        <f>Table1[[#This Row],[الزياده]]/Table1[[#This Row],[راتب ديسمبر 2019]]%</f>
        <v>116.66666666666667</v>
      </c>
      <c r="AW10" s="659">
        <f>IF(Table1[[#This Row],[Column4]]&lt;0,0,Table1[[#This Row],[Column4]])</f>
        <v>2508</v>
      </c>
      <c r="AX10" s="611">
        <f>Table1[[#This Row],[الجبر حتي]]-Table1[[#This Row],[رن]]</f>
        <v>0</v>
      </c>
      <c r="AY10" s="611">
        <f>Table1[[#This Row],[الزياده]]+Table1[[#This Row],[التعديل]]+Table1[[#This Row],[جبر الرقم]]</f>
        <v>9508</v>
      </c>
      <c r="AZ10" s="611">
        <f>Table1[[#This Row],[الراتب 2018 + النسبه + الفرق]]+Table1[[#This Row],[جبر الرقم]]+Table1[[#This Row],[التعديل]]</f>
        <v>15508</v>
      </c>
      <c r="BA10" s="631">
        <f>Table1[[#This Row],[الزياده النهائيه]]/Table1[[#This Row],[راتب ديسمبر 2019]]%</f>
        <v>158.46666666666667</v>
      </c>
      <c r="BB10" s="612">
        <f>VLOOKUP(Table1[[#This Row],[الرقم الوظيفي]],Table6[],8,)</f>
        <v>6000</v>
      </c>
      <c r="BC10" s="7">
        <v>12000</v>
      </c>
      <c r="BD10" s="7">
        <v>12000</v>
      </c>
      <c r="BE10" s="7">
        <v>12000</v>
      </c>
      <c r="BF10" s="5">
        <f>Table1[[#This Row],[الحد الادني]]-Table1[[#This Row],[الراتب 2018+النسبه]]</f>
        <v>7000</v>
      </c>
      <c r="BG10" s="5">
        <f>Table1[[#This Row],[التعديل حتي]]-Table1[[#This Row],[kkk]]</f>
        <v>2508</v>
      </c>
      <c r="BH10" s="5">
        <v>9492</v>
      </c>
      <c r="BI10" s="5">
        <f>IF(Table1[[#This Row],[Column4]]&lt;0,0,Table1[[#This Row],[Column4]])</f>
        <v>2508</v>
      </c>
    </row>
    <row r="11" spans="1:61" ht="21" customHeight="1">
      <c r="A11" s="602">
        <v>19</v>
      </c>
      <c r="B11" s="618" t="str">
        <f>VLOOKUP(Table1[[#This Row],[الرقم الوظيفي]],[1]Sheet2!$1:$1048576,2,)</f>
        <v xml:space="preserve">زهير محمد محمد صالح </v>
      </c>
      <c r="C11" s="618" t="str">
        <f>VLOOKUP(Table1[[#This Row],[الرقم الوظيفي]],[1]Sheet2!$1:$1048576,7,)</f>
        <v>المصنع</v>
      </c>
      <c r="D11" s="618" t="str">
        <f>VLOOKUP(Table1[[#This Row],[الرقم الوظيفي]],[1]Sheet2!$1:$1048576,8,)</f>
        <v>الانتاج</v>
      </c>
      <c r="E11" s="599" t="str">
        <f>VLOOKUP(Table1[[#This Row],[الرقم الوظيفي]],[1]Sheet2!$1:$1048576,9,)</f>
        <v>المواسير</v>
      </c>
      <c r="F11" s="599" t="str">
        <f>VLOOKUP(Table1[[#This Row],[الرقم الوظيفي]],[1]Sheet2!$1:$1048576,12,)</f>
        <v>فورمان</v>
      </c>
      <c r="G11" s="599" t="str">
        <f>VLOOKUP(Table1[[#This Row],[الرقم الوظيفي]],[1]Sheet2!$1:$1048576,72,)</f>
        <v>دبلوم تقني</v>
      </c>
      <c r="H11" s="599" t="str">
        <f>VLOOKUP(Table1[[#This Row],[الرقم الوظيفي]],[1]Sheet2!$1:$1048576,71,)</f>
        <v>هندسة ميكانيكية ( إنتاج )</v>
      </c>
      <c r="I11" s="599" t="str">
        <f>VLOOKUP(Table1[[#This Row],[المؤهل الرئيسي]],Table4[],3,)</f>
        <v>D</v>
      </c>
      <c r="J11" s="599" t="s">
        <v>38</v>
      </c>
      <c r="K11" s="615">
        <f>VLOOKUP(Table1[[#This Row],[الرقم الوظيفي]],[1]Sheet2!$1:$1048576,13,)</f>
        <v>39063</v>
      </c>
      <c r="L11" s="615">
        <v>43830</v>
      </c>
      <c r="M11" s="599">
        <f>DATEDIF(Table1[[#This Row],[تاريخ التعيين]],Table1[[#This Row],[اخر العام]],"y")</f>
        <v>13</v>
      </c>
      <c r="N11" s="599">
        <f>DATEDIF(Table1[[#This Row],[تاريخ التعيين]],Table1[[#This Row],[اخر العام]],"ym")</f>
        <v>0</v>
      </c>
      <c r="O11" s="610">
        <f>Table1[[#This Row],[سنوات الخدمه]]*1+Table1[[#This Row],[الشهور اقل من سنه]]*0.08</f>
        <v>13</v>
      </c>
      <c r="P11" s="616">
        <v>8000</v>
      </c>
      <c r="Q11" s="617">
        <v>1920</v>
      </c>
      <c r="R11" s="612"/>
      <c r="S11" s="599"/>
      <c r="T11" s="612"/>
      <c r="U11" s="612"/>
      <c r="V11" s="612"/>
      <c r="W11" s="612"/>
      <c r="X11" s="612"/>
      <c r="Y11" s="612"/>
      <c r="Z11" s="612"/>
      <c r="AA1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" s="612"/>
      <c r="AC11" s="599"/>
      <c r="AD11" s="612"/>
      <c r="AE11" s="612"/>
      <c r="AF11" s="612"/>
      <c r="AG11" s="612"/>
      <c r="AH11" s="619">
        <f>SUM(Table1[[#This Row],[التقييد  باللوائح و تنفيذالتوجيه]:[اتباع اجراءات السلامه]])</f>
        <v>0</v>
      </c>
      <c r="AI11" s="619">
        <f>Table1[[#This Row],[المجموع]]+Table1[[#This Row],[المجموع2]]</f>
        <v>0</v>
      </c>
      <c r="AJ11" s="612"/>
      <c r="AK11" s="612"/>
      <c r="AL11" s="612"/>
      <c r="AM11" s="612"/>
      <c r="AN11" s="612"/>
      <c r="AO11" s="606">
        <f>Table1[[#This Row],[المجموع 1+2]]*$AO$2</f>
        <v>0</v>
      </c>
      <c r="AP11" s="648">
        <f>Table1[[#This Row],[راتب ديسمبر 2019]]*Table1[[#This Row],[نسبه التقييم الرئيسي 2018]]%</f>
        <v>0</v>
      </c>
      <c r="AQ11" s="627">
        <f>Table1[[#This Row],[مبلغ التقييم النسبي 2018]]+Table1[[#This Row],[راتب ديسمبر 2019]]</f>
        <v>8000</v>
      </c>
      <c r="AR11" s="611">
        <f>IF(Table1[[#This Row],[Column3]]&lt;0,0,Table1[[#This Row],[Column3]])</f>
        <v>9000</v>
      </c>
      <c r="AS11" s="599">
        <f>VLOOKUP(Table1[[#This Row],[درجه التوسيط]],Table10[],3,)</f>
        <v>17000</v>
      </c>
      <c r="AT11" s="608">
        <f>Table1[[#This Row],[الراتب 2018+النسبه]]+Table1[[#This Row],[فروقات الحد الادني]]</f>
        <v>17000</v>
      </c>
      <c r="AU11" s="629">
        <f>Table1[[#This Row],[الراتب 2018 + النسبه + الفرق]]-Table1[[#This Row],[راتب ديسمبر 2019]]</f>
        <v>9000</v>
      </c>
      <c r="AV11" s="628">
        <f>Table1[[#This Row],[الزياده]]/Table1[[#This Row],[راتب ديسمبر 2019]]%</f>
        <v>112.5</v>
      </c>
      <c r="AW11" s="659">
        <f>IF(Table1[[#This Row],[Column4]]&lt;0,0,Table1[[#This Row],[Column4]])</f>
        <v>2000</v>
      </c>
      <c r="AX11" s="611">
        <f>Table1[[#This Row],[الجبر حتي]]-Table1[[#This Row],[رن]]</f>
        <v>0</v>
      </c>
      <c r="AY11" s="611">
        <f>Table1[[#This Row],[الزياده]]+Table1[[#This Row],[التعديل]]+Table1[[#This Row],[جبر الرقم]]</f>
        <v>11000</v>
      </c>
      <c r="AZ11" s="611">
        <f>Table1[[#This Row],[الراتب 2018 + النسبه + الفرق]]+Table1[[#This Row],[جبر الرقم]]+Table1[[#This Row],[التعديل]]</f>
        <v>19000</v>
      </c>
      <c r="BA11" s="631">
        <f>Table1[[#This Row],[الزياده النهائيه]]/Table1[[#This Row],[راتب ديسمبر 2019]]%</f>
        <v>137.5</v>
      </c>
      <c r="BB11" s="612">
        <f>VLOOKUP(Table1[[#This Row],[الرقم الوظيفي]],Table6[],8,)</f>
        <v>8000</v>
      </c>
      <c r="BC11" s="7">
        <v>14000</v>
      </c>
      <c r="BD11" s="7">
        <v>14000</v>
      </c>
      <c r="BE11" s="7">
        <v>14000</v>
      </c>
      <c r="BF11" s="5">
        <f>Table1[[#This Row],[الحد الادني]]-Table1[[#This Row],[الراتب 2018+النسبه]]</f>
        <v>9000</v>
      </c>
      <c r="BG11" s="5">
        <f>Table1[[#This Row],[التعديل حتي]]-Table1[[#This Row],[kkk]]</f>
        <v>2000</v>
      </c>
      <c r="BH11" s="5">
        <v>12000</v>
      </c>
      <c r="BI11" s="5">
        <f>IF(Table1[[#This Row],[Column4]]&lt;0,0,Table1[[#This Row],[Column4]])</f>
        <v>2000</v>
      </c>
    </row>
    <row r="12" spans="1:61" ht="21" customHeight="1">
      <c r="A12" s="602">
        <v>20</v>
      </c>
      <c r="B12" s="618" t="str">
        <f>VLOOKUP(Table1[[#This Row],[الرقم الوظيفي]],[1]Sheet2!$1:$1048576,2,)</f>
        <v>حسن سند احمد بليله</v>
      </c>
      <c r="C12" s="618" t="str">
        <f>VLOOKUP(Table1[[#This Row],[الرقم الوظيفي]],[1]Sheet2!$1:$1048576,7,)</f>
        <v>المصنع</v>
      </c>
      <c r="D12" s="618" t="str">
        <f>VLOOKUP(Table1[[#This Row],[الرقم الوظيفي]],[1]Sheet2!$1:$1048576,8,)</f>
        <v>الانتاج</v>
      </c>
      <c r="E12" s="599" t="str">
        <f>VLOOKUP(Table1[[#This Row],[الرقم الوظيفي]],[1]Sheet2!$1:$1048576,9,)</f>
        <v>المواسير</v>
      </c>
      <c r="F12" s="599" t="str">
        <f>VLOOKUP(Table1[[#This Row],[الرقم الوظيفي]],[1]Sheet2!$1:$1048576,12,)</f>
        <v>مشغل</v>
      </c>
      <c r="G12" s="599">
        <f>VLOOKUP(Table1[[#This Row],[الرقم الوظيفي]],[1]Sheet2!$1:$1048576,72,)</f>
        <v>0</v>
      </c>
      <c r="H12" s="599">
        <f>VLOOKUP(Table1[[#This Row],[الرقم الوظيفي]],[1]Sheet2!$1:$1048576,71,)</f>
        <v>0</v>
      </c>
      <c r="I12" s="599" t="str">
        <f>VLOOKUP(Table1[[#This Row],[المؤهل الرئيسي]],Table4[],3,)</f>
        <v>H</v>
      </c>
      <c r="J12" s="599" t="s">
        <v>922</v>
      </c>
      <c r="K12" s="615">
        <f>VLOOKUP(Table1[[#This Row],[الرقم الوظيفي]],[1]Sheet2!$1:$1048576,13,)</f>
        <v>39052</v>
      </c>
      <c r="L12" s="615">
        <v>43830</v>
      </c>
      <c r="M12" s="599">
        <f>DATEDIF(Table1[[#This Row],[تاريخ التعيين]],Table1[[#This Row],[اخر العام]],"y")</f>
        <v>13</v>
      </c>
      <c r="N12" s="599">
        <f>DATEDIF(Table1[[#This Row],[تاريخ التعيين]],Table1[[#This Row],[اخر العام]],"ym")</f>
        <v>0</v>
      </c>
      <c r="O12" s="610">
        <f>Table1[[#This Row],[سنوات الخدمه]]*1+Table1[[#This Row],[الشهور اقل من سنه]]*0.08</f>
        <v>13</v>
      </c>
      <c r="P12" s="616">
        <v>5050</v>
      </c>
      <c r="Q12" s="617">
        <v>1212</v>
      </c>
      <c r="R12" s="612"/>
      <c r="S12" s="599"/>
      <c r="T12" s="612"/>
      <c r="U12" s="612"/>
      <c r="V12" s="612"/>
      <c r="W12" s="612"/>
      <c r="X12" s="612"/>
      <c r="Y12" s="612"/>
      <c r="Z12" s="612"/>
      <c r="AA1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" s="612"/>
      <c r="AC12" s="599"/>
      <c r="AD12" s="612"/>
      <c r="AE12" s="612"/>
      <c r="AF12" s="612"/>
      <c r="AG12" s="612"/>
      <c r="AH12" s="619">
        <f>SUM(Table1[[#This Row],[التقييد  باللوائح و تنفيذالتوجيه]:[اتباع اجراءات السلامه]])</f>
        <v>0</v>
      </c>
      <c r="AI12" s="619">
        <f>Table1[[#This Row],[المجموع]]+Table1[[#This Row],[المجموع2]]</f>
        <v>0</v>
      </c>
      <c r="AJ12" s="612"/>
      <c r="AK12" s="612"/>
      <c r="AL12" s="612"/>
      <c r="AM12" s="612"/>
      <c r="AN12" s="612"/>
      <c r="AO12" s="606">
        <f>Table1[[#This Row],[المجموع 1+2]]*$AO$2</f>
        <v>0</v>
      </c>
      <c r="AP12" s="648">
        <f>Table1[[#This Row],[راتب ديسمبر 2019]]*Table1[[#This Row],[نسبه التقييم الرئيسي 2018]]%</f>
        <v>0</v>
      </c>
      <c r="AQ12" s="627">
        <f>Table1[[#This Row],[مبلغ التقييم النسبي 2018]]+Table1[[#This Row],[راتب ديسمبر 2019]]</f>
        <v>5050</v>
      </c>
      <c r="AR12" s="611">
        <f>IF(Table1[[#This Row],[Column3]]&lt;0,0,Table1[[#This Row],[Column3]])</f>
        <v>5950</v>
      </c>
      <c r="AS12" s="599">
        <f>VLOOKUP(Table1[[#This Row],[درجه التوسيط]],Table10[],3,)</f>
        <v>11000</v>
      </c>
      <c r="AT12" s="608">
        <f>Table1[[#This Row],[الراتب 2018+النسبه]]+Table1[[#This Row],[فروقات الحد الادني]]</f>
        <v>11000</v>
      </c>
      <c r="AU12" s="629">
        <f>Table1[[#This Row],[الراتب 2018 + النسبه + الفرق]]-Table1[[#This Row],[راتب ديسمبر 2019]]</f>
        <v>5950</v>
      </c>
      <c r="AV12" s="628">
        <f>Table1[[#This Row],[الزياده]]/Table1[[#This Row],[راتب ديسمبر 2019]]%</f>
        <v>117.82178217821782</v>
      </c>
      <c r="AW12" s="659">
        <f>IF(Table1[[#This Row],[Column4]]&lt;0,0,Table1[[#This Row],[Column4]])</f>
        <v>0</v>
      </c>
      <c r="AX12" s="611">
        <f>Table1[[#This Row],[الجبر حتي]]-Table1[[#This Row],[رن]]</f>
        <v>0.3000000000001819</v>
      </c>
      <c r="AY12" s="611">
        <f>Table1[[#This Row],[الزياده]]+Table1[[#This Row],[التعديل]]+Table1[[#This Row],[جبر الرقم]]</f>
        <v>5950.3</v>
      </c>
      <c r="AZ12" s="611">
        <f>Table1[[#This Row],[الراتب 2018 + النسبه + الفرق]]+Table1[[#This Row],[جبر الرقم]]+Table1[[#This Row],[التعديل]]</f>
        <v>11000.3</v>
      </c>
      <c r="BA12" s="631">
        <f>Table1[[#This Row],[الزياده النهائيه]]/Table1[[#This Row],[راتب ديسمبر 2019]]%</f>
        <v>117.82772277227723</v>
      </c>
      <c r="BB12" s="612">
        <f>VLOOKUP(Table1[[#This Row],[الرقم الوظيفي]],Table6[],8,)</f>
        <v>5050</v>
      </c>
      <c r="BC12" s="7"/>
      <c r="BD12" s="7">
        <v>8050</v>
      </c>
      <c r="BE12" s="7">
        <v>8049.7</v>
      </c>
      <c r="BF12" s="5">
        <f>Table1[[#This Row],[الحد الادني]]-Table1[[#This Row],[الراتب 2018+النسبه]]</f>
        <v>5950</v>
      </c>
      <c r="BG12" s="5">
        <f>Table1[[#This Row],[التعديل حتي]]-Table1[[#This Row],[kkk]]</f>
        <v>-8049.7</v>
      </c>
      <c r="BH12" s="5">
        <v>8049.7</v>
      </c>
      <c r="BI12" s="5">
        <f>IF(Table1[[#This Row],[Column4]]&lt;0,0,Table1[[#This Row],[Column4]])</f>
        <v>0</v>
      </c>
    </row>
    <row r="13" spans="1:61" ht="21" customHeight="1">
      <c r="A13" s="602">
        <v>21</v>
      </c>
      <c r="B13" s="618" t="str">
        <f>VLOOKUP(Table1[[#This Row],[الرقم الوظيفي]],[1]Sheet2!$1:$1048576,2,)</f>
        <v>اسحق محمد عبدالله محمد</v>
      </c>
      <c r="C13" s="618" t="str">
        <f>VLOOKUP(Table1[[#This Row],[الرقم الوظيفي]],[1]Sheet2!$1:$1048576,7,)</f>
        <v>المصنع</v>
      </c>
      <c r="D13" s="618" t="str">
        <f>VLOOKUP(Table1[[#This Row],[الرقم الوظيفي]],[1]Sheet2!$1:$1048576,8,)</f>
        <v>الميكانيكا</v>
      </c>
      <c r="E13" s="599" t="str">
        <f>VLOOKUP(Table1[[#This Row],[الرقم الوظيفي]],[1]Sheet2!$1:$1048576,9,)</f>
        <v>صيانه عامه</v>
      </c>
      <c r="F13" s="599" t="str">
        <f>VLOOKUP(Table1[[#This Row],[الرقم الوظيفي]],[1]Sheet2!$1:$1048576,12,)</f>
        <v>فنى ميكانيكا</v>
      </c>
      <c r="G13" s="599">
        <f>VLOOKUP(Table1[[#This Row],[الرقم الوظيفي]],[1]Sheet2!$1:$1048576,72,)</f>
        <v>0</v>
      </c>
      <c r="H13" s="599">
        <f>VLOOKUP(Table1[[#This Row],[الرقم الوظيفي]],[1]Sheet2!$1:$1048576,71,)</f>
        <v>0</v>
      </c>
      <c r="I13" s="599" t="str">
        <f>VLOOKUP(Table1[[#This Row],[المؤهل الرئيسي]],Table4[],3,)</f>
        <v>H</v>
      </c>
      <c r="J13" s="599" t="s">
        <v>922</v>
      </c>
      <c r="K13" s="615">
        <f>VLOOKUP(Table1[[#This Row],[الرقم الوظيفي]],[1]Sheet2!$1:$1048576,13,)</f>
        <v>39064</v>
      </c>
      <c r="L13" s="615">
        <v>43830</v>
      </c>
      <c r="M13" s="599">
        <f>DATEDIF(Table1[[#This Row],[تاريخ التعيين]],Table1[[#This Row],[اخر العام]],"y")</f>
        <v>13</v>
      </c>
      <c r="N13" s="599">
        <f>DATEDIF(Table1[[#This Row],[تاريخ التعيين]],Table1[[#This Row],[اخر العام]],"ym")</f>
        <v>0</v>
      </c>
      <c r="O13" s="610">
        <f>Table1[[#This Row],[سنوات الخدمه]]*1+Table1[[#This Row],[الشهور اقل من سنه]]*0.08</f>
        <v>13</v>
      </c>
      <c r="P13" s="616">
        <v>4580</v>
      </c>
      <c r="Q13" s="617">
        <v>1099.2</v>
      </c>
      <c r="R13" s="612"/>
      <c r="S13" s="599"/>
      <c r="T13" s="612"/>
      <c r="U13" s="612"/>
      <c r="V13" s="612"/>
      <c r="W13" s="612"/>
      <c r="X13" s="612"/>
      <c r="Y13" s="612"/>
      <c r="Z13" s="612"/>
      <c r="AA1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" s="612"/>
      <c r="AC13" s="599"/>
      <c r="AD13" s="612"/>
      <c r="AE13" s="612"/>
      <c r="AF13" s="612"/>
      <c r="AG13" s="612"/>
      <c r="AH13" s="619">
        <f>SUM(Table1[[#This Row],[التقييد  باللوائح و تنفيذالتوجيه]:[اتباع اجراءات السلامه]])</f>
        <v>0</v>
      </c>
      <c r="AI13" s="619">
        <f>Table1[[#This Row],[المجموع]]+Table1[[#This Row],[المجموع2]]</f>
        <v>0</v>
      </c>
      <c r="AJ13" s="612">
        <v>10</v>
      </c>
      <c r="AK13" s="612"/>
      <c r="AL13" s="612"/>
      <c r="AM13" s="612"/>
      <c r="AN13" s="612"/>
      <c r="AO13" s="606">
        <f>Table1[[#This Row],[المجموع 1+2]]*$AO$2</f>
        <v>0</v>
      </c>
      <c r="AP13" s="648">
        <f>Table1[[#This Row],[راتب ديسمبر 2019]]*Table1[[#This Row],[نسبه التقييم الرئيسي 2018]]%</f>
        <v>0</v>
      </c>
      <c r="AQ13" s="627">
        <f>Table1[[#This Row],[مبلغ التقييم النسبي 2018]]+Table1[[#This Row],[راتب ديسمبر 2019]]</f>
        <v>4580</v>
      </c>
      <c r="AR13" s="611">
        <f>IF(Table1[[#This Row],[Column3]]&lt;0,0,Table1[[#This Row],[Column3]])</f>
        <v>6420</v>
      </c>
      <c r="AS13" s="599">
        <f>VLOOKUP(Table1[[#This Row],[درجه التوسيط]],Table10[],3,)</f>
        <v>11000</v>
      </c>
      <c r="AT13" s="608">
        <f>Table1[[#This Row],[الراتب 2018+النسبه]]+Table1[[#This Row],[فروقات الحد الادني]]</f>
        <v>11000</v>
      </c>
      <c r="AU13" s="629">
        <f>Table1[[#This Row],[الراتب 2018 + النسبه + الفرق]]-Table1[[#This Row],[راتب ديسمبر 2019]]</f>
        <v>6420</v>
      </c>
      <c r="AV13" s="628">
        <f>Table1[[#This Row],[الزياده]]/Table1[[#This Row],[راتب ديسمبر 2019]]%</f>
        <v>140.17467248908298</v>
      </c>
      <c r="AW13" s="659">
        <f>IF(Table1[[#This Row],[Column4]]&lt;0,0,Table1[[#This Row],[Column4]])</f>
        <v>0</v>
      </c>
      <c r="AX13" s="611">
        <f>Table1[[#This Row],[الجبر حتي]]-Table1[[#This Row],[رن]]</f>
        <v>1.9200000000000728</v>
      </c>
      <c r="AY13" s="611">
        <f>Table1[[#This Row],[الزياده]]+Table1[[#This Row],[التعديل]]+Table1[[#This Row],[جبر الرقم]]</f>
        <v>6421.92</v>
      </c>
      <c r="AZ13" s="611">
        <f>Table1[[#This Row],[الراتب 2018 + النسبه + الفرق]]+Table1[[#This Row],[جبر الرقم]]+Table1[[#This Row],[التعديل]]</f>
        <v>11001.92</v>
      </c>
      <c r="BA13" s="631">
        <f>Table1[[#This Row],[الزياده النهائيه]]/Table1[[#This Row],[راتب ديسمبر 2019]]%</f>
        <v>140.2165938864629</v>
      </c>
      <c r="BB13" s="612">
        <f>VLOOKUP(Table1[[#This Row],[الرقم الوظيفي]],Table6[],8,)</f>
        <v>4580</v>
      </c>
      <c r="BC13" s="7"/>
      <c r="BD13" s="7">
        <v>7220</v>
      </c>
      <c r="BE13" s="7">
        <v>7218.08</v>
      </c>
      <c r="BF13" s="5">
        <f>Table1[[#This Row],[الحد الادني]]-Table1[[#This Row],[الراتب 2018+النسبه]]</f>
        <v>6420</v>
      </c>
      <c r="BG13" s="5">
        <f>Table1[[#This Row],[التعديل حتي]]-Table1[[#This Row],[kkk]]</f>
        <v>-7218.08</v>
      </c>
      <c r="BH13" s="5">
        <v>7218.08</v>
      </c>
      <c r="BI13" s="5">
        <f>IF(Table1[[#This Row],[Column4]]&lt;0,0,Table1[[#This Row],[Column4]])</f>
        <v>0</v>
      </c>
    </row>
    <row r="14" spans="1:61" ht="21" customHeight="1">
      <c r="A14" s="602">
        <v>22</v>
      </c>
      <c r="B14" s="618" t="str">
        <f>VLOOKUP(Table1[[#This Row],[الرقم الوظيفي]],[1]Sheet2!$1:$1048576,2,)</f>
        <v>عبدالجبار ابكر عبدالله احمد</v>
      </c>
      <c r="C14" s="618" t="str">
        <f>VLOOKUP(Table1[[#This Row],[الرقم الوظيفي]],[1]Sheet2!$1:$1048576,7,)</f>
        <v>المصنع</v>
      </c>
      <c r="D14" s="618" t="str">
        <f>VLOOKUP(Table1[[#This Row],[الرقم الوظيفي]],[1]Sheet2!$1:$1048576,8,)</f>
        <v>الانتاج</v>
      </c>
      <c r="E14" s="599" t="str">
        <f>VLOOKUP(Table1[[#This Row],[الرقم الوظيفي]],[1]Sheet2!$1:$1048576,9,)</f>
        <v>الزوايا</v>
      </c>
      <c r="F14" s="599" t="str">
        <f>VLOOKUP(Table1[[#This Row],[الرقم الوظيفي]],[1]Sheet2!$1:$1048576,12,)</f>
        <v>مشغل</v>
      </c>
      <c r="G14" s="599">
        <f>VLOOKUP(Table1[[#This Row],[الرقم الوظيفي]],[1]Sheet2!$1:$1048576,72,)</f>
        <v>0</v>
      </c>
      <c r="H14" s="599">
        <f>VLOOKUP(Table1[[#This Row],[الرقم الوظيفي]],[1]Sheet2!$1:$1048576,71,)</f>
        <v>0</v>
      </c>
      <c r="I14" s="599" t="str">
        <f>VLOOKUP(Table1[[#This Row],[المؤهل الرئيسي]],Table4[],3,)</f>
        <v>H</v>
      </c>
      <c r="J14" s="599" t="s">
        <v>922</v>
      </c>
      <c r="K14" s="615">
        <f>VLOOKUP(Table1[[#This Row],[الرقم الوظيفي]],[1]Sheet2!$1:$1048576,13,)</f>
        <v>39052</v>
      </c>
      <c r="L14" s="615">
        <v>43830</v>
      </c>
      <c r="M14" s="599">
        <f>DATEDIF(Table1[[#This Row],[تاريخ التعيين]],Table1[[#This Row],[اخر العام]],"y")</f>
        <v>13</v>
      </c>
      <c r="N14" s="599">
        <f>DATEDIF(Table1[[#This Row],[تاريخ التعيين]],Table1[[#This Row],[اخر العام]],"ym")</f>
        <v>0</v>
      </c>
      <c r="O14" s="610">
        <f>Table1[[#This Row],[سنوات الخدمه]]*1+Table1[[#This Row],[الشهور اقل من سنه]]*0.08</f>
        <v>13</v>
      </c>
      <c r="P14" s="616">
        <v>5090</v>
      </c>
      <c r="Q14" s="617">
        <v>1221.5999999999999</v>
      </c>
      <c r="R14" s="612"/>
      <c r="S14" s="599"/>
      <c r="T14" s="612"/>
      <c r="U14" s="612"/>
      <c r="V14" s="612"/>
      <c r="W14" s="612"/>
      <c r="X14" s="612"/>
      <c r="Y14" s="612"/>
      <c r="Z14" s="612"/>
      <c r="AA1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" s="612"/>
      <c r="AC14" s="599"/>
      <c r="AD14" s="612"/>
      <c r="AE14" s="612"/>
      <c r="AF14" s="612"/>
      <c r="AG14" s="612"/>
      <c r="AH14" s="619">
        <f>SUM(Table1[[#This Row],[التقييد  باللوائح و تنفيذالتوجيه]:[اتباع اجراءات السلامه]])</f>
        <v>0</v>
      </c>
      <c r="AI14" s="619">
        <f>Table1[[#This Row],[المجموع]]+Table1[[#This Row],[المجموع2]]</f>
        <v>0</v>
      </c>
      <c r="AJ14" s="612"/>
      <c r="AK14" s="612"/>
      <c r="AL14" s="612"/>
      <c r="AM14" s="612"/>
      <c r="AN14" s="612"/>
      <c r="AO14" s="606">
        <f>Table1[[#This Row],[المجموع 1+2]]*$AO$2</f>
        <v>0</v>
      </c>
      <c r="AP14" s="648">
        <f>Table1[[#This Row],[راتب ديسمبر 2019]]*Table1[[#This Row],[نسبه التقييم الرئيسي 2018]]%</f>
        <v>0</v>
      </c>
      <c r="AQ14" s="627">
        <f>Table1[[#This Row],[مبلغ التقييم النسبي 2018]]+Table1[[#This Row],[راتب ديسمبر 2019]]</f>
        <v>5090</v>
      </c>
      <c r="AR14" s="611">
        <f>IF(Table1[[#This Row],[Column3]]&lt;0,0,Table1[[#This Row],[Column3]])</f>
        <v>5910</v>
      </c>
      <c r="AS14" s="599">
        <f>VLOOKUP(Table1[[#This Row],[درجه التوسيط]],Table10[],3,)</f>
        <v>11000</v>
      </c>
      <c r="AT14" s="608">
        <f>Table1[[#This Row],[الراتب 2018+النسبه]]+Table1[[#This Row],[فروقات الحد الادني]]</f>
        <v>11000</v>
      </c>
      <c r="AU14" s="629">
        <f>Table1[[#This Row],[الراتب 2018 + النسبه + الفرق]]-Table1[[#This Row],[راتب ديسمبر 2019]]</f>
        <v>5910</v>
      </c>
      <c r="AV14" s="628">
        <f>Table1[[#This Row],[الزياده]]/Table1[[#This Row],[راتب ديسمبر 2019]]%</f>
        <v>116.11001964636543</v>
      </c>
      <c r="AW14" s="659">
        <f>IF(Table1[[#This Row],[Column4]]&lt;0,0,Table1[[#This Row],[Column4]])</f>
        <v>0</v>
      </c>
      <c r="AX14" s="611">
        <f>Table1[[#This Row],[الجبر حتي]]-Table1[[#This Row],[رن]]</f>
        <v>7.6200000000008004</v>
      </c>
      <c r="AY14" s="611">
        <f>Table1[[#This Row],[الزياده]]+Table1[[#This Row],[التعديل]]+Table1[[#This Row],[جبر الرقم]]</f>
        <v>5917.6200000000008</v>
      </c>
      <c r="AZ14" s="611">
        <f>Table1[[#This Row],[الراتب 2018 + النسبه + الفرق]]+Table1[[#This Row],[جبر الرقم]]+Table1[[#This Row],[التعديل]]</f>
        <v>11007.62</v>
      </c>
      <c r="BA14" s="631">
        <f>Table1[[#This Row],[الزياده النهائيه]]/Table1[[#This Row],[راتب ديسمبر 2019]]%</f>
        <v>116.25972495088411</v>
      </c>
      <c r="BB14" s="612">
        <f>VLOOKUP(Table1[[#This Row],[الرقم الوظيفي]],Table6[],8,)</f>
        <v>5090</v>
      </c>
      <c r="BC14" s="7"/>
      <c r="BD14" s="7">
        <v>8060</v>
      </c>
      <c r="BE14" s="7">
        <v>8052.3799999999992</v>
      </c>
      <c r="BF14" s="5">
        <f>Table1[[#This Row],[الحد الادني]]-Table1[[#This Row],[الراتب 2018+النسبه]]</f>
        <v>5910</v>
      </c>
      <c r="BG14" s="5">
        <f>Table1[[#This Row],[التعديل حتي]]-Table1[[#This Row],[kkk]]</f>
        <v>-8052.3799999999992</v>
      </c>
      <c r="BH14" s="5">
        <v>8052.3799999999992</v>
      </c>
      <c r="BI14" s="5">
        <f>IF(Table1[[#This Row],[Column4]]&lt;0,0,Table1[[#This Row],[Column4]])</f>
        <v>0</v>
      </c>
    </row>
    <row r="15" spans="1:61" ht="21" customHeight="1">
      <c r="A15" s="602">
        <v>25</v>
      </c>
      <c r="B15" s="618" t="str">
        <f>VLOOKUP(Table1[[#This Row],[الرقم الوظيفي]],[1]Sheet2!$1:$1048576,2,)</f>
        <v>صبرى الهادى الامين محمد</v>
      </c>
      <c r="C15" s="618" t="str">
        <f>VLOOKUP(Table1[[#This Row],[الرقم الوظيفي]],[1]Sheet2!$1:$1048576,7,)</f>
        <v>المصنع</v>
      </c>
      <c r="D15" s="618" t="str">
        <f>VLOOKUP(Table1[[#This Row],[الرقم الوظيفي]],[1]Sheet2!$1:$1048576,8,)</f>
        <v>الاداره</v>
      </c>
      <c r="E15" s="599" t="str">
        <f>VLOOKUP(Table1[[#This Row],[الرقم الوظيفي]],[1]Sheet2!$1:$1048576,9,)</f>
        <v>مكلف</v>
      </c>
      <c r="F15" s="599" t="str">
        <f>VLOOKUP(Table1[[#This Row],[الرقم الوظيفي]],[1]Sheet2!$1:$1048576,12,)</f>
        <v>علاقات عامه</v>
      </c>
      <c r="G15" s="599" t="str">
        <f>VLOOKUP(Table1[[#This Row],[الرقم الوظيفي]],[1]Sheet2!$1:$1048576,72,)</f>
        <v>تدريب مهني</v>
      </c>
      <c r="H15" s="599">
        <f>VLOOKUP(Table1[[#This Row],[الرقم الوظيفي]],[1]Sheet2!$1:$1048576,71,)</f>
        <v>0</v>
      </c>
      <c r="I15" s="599" t="str">
        <f>VLOOKUP(Table1[[#This Row],[المؤهل الرئيسي]],Table4[],3,)</f>
        <v>F</v>
      </c>
      <c r="J15" s="599" t="s">
        <v>923</v>
      </c>
      <c r="K15" s="615">
        <f>VLOOKUP(Table1[[#This Row],[الرقم الوظيفي]],[1]Sheet2!$1:$1048576,13,)</f>
        <v>38729</v>
      </c>
      <c r="L15" s="615">
        <v>43830</v>
      </c>
      <c r="M15" s="599">
        <f>DATEDIF(Table1[[#This Row],[تاريخ التعيين]],Table1[[#This Row],[اخر العام]],"y")</f>
        <v>13</v>
      </c>
      <c r="N15" s="599">
        <f>DATEDIF(Table1[[#This Row],[تاريخ التعيين]],Table1[[#This Row],[اخر العام]],"ym")</f>
        <v>11</v>
      </c>
      <c r="O15" s="610">
        <f>Table1[[#This Row],[سنوات الخدمه]]*1+Table1[[#This Row],[الشهور اقل من سنه]]*0.08</f>
        <v>13.88</v>
      </c>
      <c r="P15" s="616">
        <v>4590</v>
      </c>
      <c r="Q15" s="617">
        <v>1182.384</v>
      </c>
      <c r="R15" s="612"/>
      <c r="S15" s="599"/>
      <c r="T15" s="612"/>
      <c r="U15" s="612"/>
      <c r="V15" s="612"/>
      <c r="W15" s="612"/>
      <c r="X15" s="612"/>
      <c r="Y15" s="612"/>
      <c r="Z15" s="612"/>
      <c r="AA1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" s="612"/>
      <c r="AC15" s="599"/>
      <c r="AD15" s="612"/>
      <c r="AE15" s="612"/>
      <c r="AF15" s="612"/>
      <c r="AG15" s="612"/>
      <c r="AH15" s="619">
        <f>SUM(Table1[[#This Row],[التقييد  باللوائح و تنفيذالتوجيه]:[اتباع اجراءات السلامه]])</f>
        <v>0</v>
      </c>
      <c r="AI15" s="619">
        <f>Table1[[#This Row],[المجموع]]+Table1[[#This Row],[المجموع2]]</f>
        <v>0</v>
      </c>
      <c r="AJ15" s="612"/>
      <c r="AK15" s="612"/>
      <c r="AL15" s="612"/>
      <c r="AM15" s="612"/>
      <c r="AN15" s="612"/>
      <c r="AO15" s="606">
        <f>Table1[[#This Row],[المجموع 1+2]]*$AO$2</f>
        <v>0</v>
      </c>
      <c r="AP15" s="648">
        <f>Table1[[#This Row],[راتب ديسمبر 2019]]*Table1[[#This Row],[نسبه التقييم الرئيسي 2018]]%</f>
        <v>0</v>
      </c>
      <c r="AQ15" s="627">
        <f>Table1[[#This Row],[مبلغ التقييم النسبي 2018]]+Table1[[#This Row],[راتب ديسمبر 2019]]</f>
        <v>4590</v>
      </c>
      <c r="AR15" s="611">
        <f>IF(Table1[[#This Row],[Column3]]&lt;0,0,Table1[[#This Row],[Column3]])</f>
        <v>5410</v>
      </c>
      <c r="AS15" s="599">
        <f>VLOOKUP(Table1[[#This Row],[درجه التوسيط]],Table10[],3,)</f>
        <v>10000</v>
      </c>
      <c r="AT15" s="608">
        <f>Table1[[#This Row],[الراتب 2018+النسبه]]+Table1[[#This Row],[فروقات الحد الادني]]</f>
        <v>10000</v>
      </c>
      <c r="AU15" s="629">
        <f>Table1[[#This Row],[الراتب 2018 + النسبه + الفرق]]-Table1[[#This Row],[راتب ديسمبر 2019]]</f>
        <v>5410</v>
      </c>
      <c r="AV15" s="628">
        <f>Table1[[#This Row],[الزياده]]/Table1[[#This Row],[راتب ديسمبر 2019]]%</f>
        <v>117.86492374727669</v>
      </c>
      <c r="AW15" s="659">
        <f>IF(Table1[[#This Row],[Column4]]&lt;0,0,Table1[[#This Row],[Column4]])</f>
        <v>0</v>
      </c>
      <c r="AX15" s="611">
        <f>Table1[[#This Row],[الجبر حتي]]-Table1[[#This Row],[رن]]</f>
        <v>9.1000000000003638</v>
      </c>
      <c r="AY15" s="611">
        <f>Table1[[#This Row],[الزياده]]+Table1[[#This Row],[التعديل]]+Table1[[#This Row],[جبر الرقم]]</f>
        <v>5419.1</v>
      </c>
      <c r="AZ15" s="611">
        <f>Table1[[#This Row],[الراتب 2018 + النسبه + الفرق]]+Table1[[#This Row],[جبر الرقم]]+Table1[[#This Row],[التعديل]]</f>
        <v>10009.1</v>
      </c>
      <c r="BA15" s="631">
        <f>Table1[[#This Row],[الزياده النهائيه]]/Table1[[#This Row],[راتب ديسمبر 2019]]%</f>
        <v>118.06318082788673</v>
      </c>
      <c r="BB15" s="612">
        <f>VLOOKUP(Table1[[#This Row],[الرقم الوظيفي]],Table6[],8,)</f>
        <v>4590</v>
      </c>
      <c r="BC15" s="7"/>
      <c r="BD15" s="7">
        <v>6940</v>
      </c>
      <c r="BE15" s="7">
        <v>6930.9</v>
      </c>
      <c r="BF15" s="5">
        <f>Table1[[#This Row],[الحد الادني]]-Table1[[#This Row],[الراتب 2018+النسبه]]</f>
        <v>5410</v>
      </c>
      <c r="BG15" s="5">
        <f>Table1[[#This Row],[التعديل حتي]]-Table1[[#This Row],[kkk]]</f>
        <v>-6930.9</v>
      </c>
      <c r="BH15" s="5">
        <v>6930.9</v>
      </c>
      <c r="BI15" s="5">
        <f>IF(Table1[[#This Row],[Column4]]&lt;0,0,Table1[[#This Row],[Column4]])</f>
        <v>0</v>
      </c>
    </row>
    <row r="16" spans="1:61" ht="21" customHeight="1">
      <c r="A16" s="602">
        <v>28</v>
      </c>
      <c r="B16" s="618" t="str">
        <f>VLOOKUP(Table1[[#This Row],[الرقم الوظيفي]],[1]Sheet2!$1:$1048576,2,)</f>
        <v>عبدالظاهر الرشيد محمد عثمان</v>
      </c>
      <c r="C16" s="618" t="str">
        <f>VLOOKUP(Table1[[#This Row],[الرقم الوظيفي]],[1]Sheet2!$1:$1048576,7,)</f>
        <v>المصنع</v>
      </c>
      <c r="D16" s="618" t="str">
        <f>VLOOKUP(Table1[[#This Row],[الرقم الوظيفي]],[1]Sheet2!$1:$1048576,8,)</f>
        <v>الانتاج</v>
      </c>
      <c r="E16" s="599" t="str">
        <f>VLOOKUP(Table1[[#This Row],[الرقم الوظيفي]],[1]Sheet2!$1:$1048576,9,)</f>
        <v>المواسير</v>
      </c>
      <c r="F16" s="599" t="str">
        <f>VLOOKUP(Table1[[#This Row],[الرقم الوظيفي]],[1]Sheet2!$1:$1048576,12,)</f>
        <v>مساعد مشغل</v>
      </c>
      <c r="G16" s="599" t="str">
        <f>VLOOKUP(Table1[[#This Row],[الرقم الوظيفي]],[1]Sheet2!$1:$1048576,72,)</f>
        <v>شهاده ثانويه</v>
      </c>
      <c r="H16" s="599">
        <f>VLOOKUP(Table1[[#This Row],[الرقم الوظيفي]],[1]Sheet2!$1:$1048576,71,)</f>
        <v>0</v>
      </c>
      <c r="I16" s="599" t="str">
        <f>VLOOKUP(Table1[[#This Row],[المؤهل الرئيسي]],Table4[],3,)</f>
        <v>F</v>
      </c>
      <c r="J16" s="599" t="s">
        <v>926</v>
      </c>
      <c r="K16" s="615">
        <f>VLOOKUP(Table1[[#This Row],[الرقم الوظيفي]],[1]Sheet2!$1:$1048576,13,)</f>
        <v>39052</v>
      </c>
      <c r="L16" s="615">
        <v>43830</v>
      </c>
      <c r="M16" s="599">
        <f>DATEDIF(Table1[[#This Row],[تاريخ التعيين]],Table1[[#This Row],[اخر العام]],"y")</f>
        <v>13</v>
      </c>
      <c r="N16" s="599">
        <f>DATEDIF(Table1[[#This Row],[تاريخ التعيين]],Table1[[#This Row],[اخر العام]],"ym")</f>
        <v>0</v>
      </c>
      <c r="O16" s="610">
        <f>Table1[[#This Row],[سنوات الخدمه]]*1+Table1[[#This Row],[الشهور اقل من سنه]]*0.08</f>
        <v>13</v>
      </c>
      <c r="P16" s="616">
        <v>4490</v>
      </c>
      <c r="Q16" s="617">
        <v>1077.5999999999999</v>
      </c>
      <c r="R16" s="612"/>
      <c r="S16" s="599"/>
      <c r="T16" s="612"/>
      <c r="U16" s="612"/>
      <c r="V16" s="612"/>
      <c r="W16" s="612"/>
      <c r="X16" s="612"/>
      <c r="Y16" s="612"/>
      <c r="Z16" s="612"/>
      <c r="AA1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" s="612"/>
      <c r="AC16" s="599"/>
      <c r="AD16" s="612"/>
      <c r="AE16" s="612"/>
      <c r="AF16" s="612"/>
      <c r="AG16" s="612"/>
      <c r="AH16" s="619">
        <f>SUM(Table1[[#This Row],[التقييد  باللوائح و تنفيذالتوجيه]:[اتباع اجراءات السلامه]])</f>
        <v>0</v>
      </c>
      <c r="AI16" s="619">
        <f>Table1[[#This Row],[المجموع]]+Table1[[#This Row],[المجموع2]]</f>
        <v>0</v>
      </c>
      <c r="AJ16" s="612"/>
      <c r="AK16" s="612"/>
      <c r="AL16" s="612"/>
      <c r="AM16" s="612"/>
      <c r="AN16" s="612"/>
      <c r="AO16" s="606">
        <f>Table1[[#This Row],[المجموع 1+2]]*$AO$2</f>
        <v>0</v>
      </c>
      <c r="AP16" s="648">
        <f>Table1[[#This Row],[راتب ديسمبر 2019]]*Table1[[#This Row],[نسبه التقييم الرئيسي 2018]]%</f>
        <v>0</v>
      </c>
      <c r="AQ16" s="627">
        <f>Table1[[#This Row],[مبلغ التقييم النسبي 2018]]+Table1[[#This Row],[راتب ديسمبر 2019]]</f>
        <v>4490</v>
      </c>
      <c r="AR16" s="611">
        <f>IF(Table1[[#This Row],[Column3]]&lt;0,0,Table1[[#This Row],[Column3]])</f>
        <v>3510</v>
      </c>
      <c r="AS16" s="599">
        <f>VLOOKUP(Table1[[#This Row],[درجه التوسيط]],Table10[],3,)</f>
        <v>8000</v>
      </c>
      <c r="AT16" s="608">
        <f>Table1[[#This Row],[الراتب 2018+النسبه]]+Table1[[#This Row],[فروقات الحد الادني]]</f>
        <v>8000</v>
      </c>
      <c r="AU16" s="629">
        <f>Table1[[#This Row],[الراتب 2018 + النسبه + الفرق]]-Table1[[#This Row],[راتب ديسمبر 2019]]</f>
        <v>3510</v>
      </c>
      <c r="AV16" s="628">
        <f>Table1[[#This Row],[الزياده]]/Table1[[#This Row],[راتب ديسمبر 2019]]%</f>
        <v>78.173719376391986</v>
      </c>
      <c r="AW16" s="659">
        <f>IF(Table1[[#This Row],[Column4]]&lt;0,0,Table1[[#This Row],[Column4]])</f>
        <v>0</v>
      </c>
      <c r="AX16" s="611">
        <f>Table1[[#This Row],[الجبر حتي]]-Table1[[#This Row],[رن]]</f>
        <v>3.7600000000002183</v>
      </c>
      <c r="AY16" s="611">
        <f>Table1[[#This Row],[الزياده]]+Table1[[#This Row],[التعديل]]+Table1[[#This Row],[جبر الرقم]]</f>
        <v>3513.76</v>
      </c>
      <c r="AZ16" s="611">
        <f>Table1[[#This Row],[الراتب 2018 + النسبه + الفرق]]+Table1[[#This Row],[جبر الرقم]]+Table1[[#This Row],[التعديل]]</f>
        <v>8003.76</v>
      </c>
      <c r="BA16" s="631">
        <f>Table1[[#This Row],[الزياده النهائيه]]/Table1[[#This Row],[راتب ديسمبر 2019]]%</f>
        <v>78.257461024498895</v>
      </c>
      <c r="BB16" s="612">
        <f>VLOOKUP(Table1[[#This Row],[الرقم الوظيفي]],Table6[],8,)</f>
        <v>4490</v>
      </c>
      <c r="BC16" s="7"/>
      <c r="BD16" s="7">
        <v>7080</v>
      </c>
      <c r="BE16" s="7">
        <v>7076.24</v>
      </c>
      <c r="BF16" s="5">
        <f>Table1[[#This Row],[الحد الادني]]-Table1[[#This Row],[الراتب 2018+النسبه]]</f>
        <v>3510</v>
      </c>
      <c r="BG16" s="5">
        <f>Table1[[#This Row],[التعديل حتي]]-Table1[[#This Row],[kkk]]</f>
        <v>-7076.24</v>
      </c>
      <c r="BH16" s="5">
        <v>7076.24</v>
      </c>
      <c r="BI16" s="5">
        <f>IF(Table1[[#This Row],[Column4]]&lt;0,0,Table1[[#This Row],[Column4]])</f>
        <v>0</v>
      </c>
    </row>
    <row r="17" spans="1:61" ht="21" customHeight="1">
      <c r="A17" s="602">
        <v>29</v>
      </c>
      <c r="B17" s="618" t="str">
        <f>VLOOKUP(Table1[[#This Row],[الرقم الوظيفي]],[1]Sheet2!$1:$1048576,2,)</f>
        <v>قمر يحى محمد مهدى</v>
      </c>
      <c r="C17" s="618" t="str">
        <f>VLOOKUP(Table1[[#This Row],[الرقم الوظيفي]],[1]Sheet2!$1:$1048576,7,)</f>
        <v>المصنع</v>
      </c>
      <c r="D17" s="618" t="str">
        <f>VLOOKUP(Table1[[#This Row],[الرقم الوظيفي]],[1]Sheet2!$1:$1048576,8,)</f>
        <v>المستودعات</v>
      </c>
      <c r="E17" s="599" t="str">
        <f>VLOOKUP(Table1[[#This Row],[الرقم الوظيفي]],[1]Sheet2!$1:$1048576,9,)</f>
        <v>التحميل</v>
      </c>
      <c r="F17" s="599" t="str">
        <f>VLOOKUP(Table1[[#This Row],[الرقم الوظيفي]],[1]Sheet2!$1:$1048576,12,)</f>
        <v>مشغل كرين</v>
      </c>
      <c r="G17" s="599">
        <f>VLOOKUP(Table1[[#This Row],[الرقم الوظيفي]],[1]Sheet2!$1:$1048576,72,)</f>
        <v>0</v>
      </c>
      <c r="H17" s="599">
        <f>VLOOKUP(Table1[[#This Row],[الرقم الوظيفي]],[1]Sheet2!$1:$1048576,71,)</f>
        <v>0</v>
      </c>
      <c r="I17" s="599" t="str">
        <f>VLOOKUP(Table1[[#This Row],[المؤهل الرئيسي]],Table4[],3,)</f>
        <v>H</v>
      </c>
      <c r="J17" s="599" t="s">
        <v>924</v>
      </c>
      <c r="K17" s="615">
        <f>VLOOKUP(Table1[[#This Row],[الرقم الوظيفي]],[1]Sheet2!$1:$1048576,13,)</f>
        <v>39120</v>
      </c>
      <c r="L17" s="615">
        <v>43830</v>
      </c>
      <c r="M17" s="599">
        <f>DATEDIF(Table1[[#This Row],[تاريخ التعيين]],Table1[[#This Row],[اخر العام]],"y")</f>
        <v>12</v>
      </c>
      <c r="N17" s="599">
        <f>DATEDIF(Table1[[#This Row],[تاريخ التعيين]],Table1[[#This Row],[اخر العام]],"ym")</f>
        <v>10</v>
      </c>
      <c r="O17" s="610">
        <f>Table1[[#This Row],[سنوات الخدمه]]*1+Table1[[#This Row],[الشهور اقل من سنه]]*0.08</f>
        <v>12.8</v>
      </c>
      <c r="P17" s="616">
        <v>4440</v>
      </c>
      <c r="Q17" s="617">
        <v>1047.8399999999999</v>
      </c>
      <c r="R17" s="612"/>
      <c r="S17" s="599"/>
      <c r="T17" s="612"/>
      <c r="U17" s="612"/>
      <c r="V17" s="612"/>
      <c r="W17" s="612"/>
      <c r="X17" s="612"/>
      <c r="Y17" s="612"/>
      <c r="Z17" s="612"/>
      <c r="AA1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" s="612"/>
      <c r="AC17" s="599"/>
      <c r="AD17" s="612"/>
      <c r="AE17" s="612"/>
      <c r="AF17" s="612"/>
      <c r="AG17" s="612"/>
      <c r="AH17" s="619">
        <f>SUM(Table1[[#This Row],[التقييد  باللوائح و تنفيذالتوجيه]:[اتباع اجراءات السلامه]])</f>
        <v>0</v>
      </c>
      <c r="AI17" s="619">
        <f>Table1[[#This Row],[المجموع]]+Table1[[#This Row],[المجموع2]]</f>
        <v>0</v>
      </c>
      <c r="AJ17" s="612"/>
      <c r="AK17" s="612"/>
      <c r="AL17" s="612"/>
      <c r="AM17" s="612"/>
      <c r="AN17" s="612"/>
      <c r="AO17" s="606">
        <f>Table1[[#This Row],[المجموع 1+2]]*$AO$2</f>
        <v>0</v>
      </c>
      <c r="AP17" s="648">
        <f>Table1[[#This Row],[راتب ديسمبر 2019]]*Table1[[#This Row],[نسبه التقييم الرئيسي 2018]]%</f>
        <v>0</v>
      </c>
      <c r="AQ17" s="627">
        <f>Table1[[#This Row],[مبلغ التقييم النسبي 2018]]+Table1[[#This Row],[راتب ديسمبر 2019]]</f>
        <v>4440</v>
      </c>
      <c r="AR17" s="611">
        <f>IF(Table1[[#This Row],[Column3]]&lt;0,0,Table1[[#This Row],[Column3]])</f>
        <v>4560</v>
      </c>
      <c r="AS17" s="599">
        <f>VLOOKUP(Table1[[#This Row],[درجه التوسيط]],Table10[],3,)</f>
        <v>9000</v>
      </c>
      <c r="AT17" s="608">
        <f>Table1[[#This Row],[الراتب 2018+النسبه]]+Table1[[#This Row],[فروقات الحد الادني]]</f>
        <v>9000</v>
      </c>
      <c r="AU17" s="629">
        <f>Table1[[#This Row],[الراتب 2018 + النسبه + الفرق]]-Table1[[#This Row],[راتب ديسمبر 2019]]</f>
        <v>4560</v>
      </c>
      <c r="AV17" s="628">
        <f>Table1[[#This Row],[الزياده]]/Table1[[#This Row],[راتب ديسمبر 2019]]%</f>
        <v>102.70270270270271</v>
      </c>
      <c r="AW17" s="659">
        <f>IF(Table1[[#This Row],[Column4]]&lt;0,0,Table1[[#This Row],[Column4]])</f>
        <v>0</v>
      </c>
      <c r="AX17" s="611">
        <f>Table1[[#This Row],[الجبر حتي]]-Table1[[#This Row],[رن]]</f>
        <v>5.8400000000001455</v>
      </c>
      <c r="AY17" s="611">
        <f>Table1[[#This Row],[الزياده]]+Table1[[#This Row],[التعديل]]+Table1[[#This Row],[جبر الرقم]]</f>
        <v>4565.84</v>
      </c>
      <c r="AZ17" s="611">
        <f>Table1[[#This Row],[الراتب 2018 + النسبه + الفرق]]+Table1[[#This Row],[جبر الرقم]]+Table1[[#This Row],[التعديل]]</f>
        <v>9005.84</v>
      </c>
      <c r="BA17" s="631">
        <f>Table1[[#This Row],[الزياده النهائيه]]/Table1[[#This Row],[راتب ديسمبر 2019]]%</f>
        <v>102.83423423423424</v>
      </c>
      <c r="BB17" s="612">
        <f>VLOOKUP(Table1[[#This Row],[الرقم الوظيفي]],Table6[],8,)</f>
        <v>4440</v>
      </c>
      <c r="BC17" s="7"/>
      <c r="BD17" s="7">
        <v>6950</v>
      </c>
      <c r="BE17" s="7">
        <v>6944.16</v>
      </c>
      <c r="BF17" s="5">
        <f>Table1[[#This Row],[الحد الادني]]-Table1[[#This Row],[الراتب 2018+النسبه]]</f>
        <v>4560</v>
      </c>
      <c r="BG17" s="5">
        <f>Table1[[#This Row],[التعديل حتي]]-Table1[[#This Row],[kkk]]</f>
        <v>-6944.16</v>
      </c>
      <c r="BH17" s="5">
        <v>6944.16</v>
      </c>
      <c r="BI17" s="5">
        <f>IF(Table1[[#This Row],[Column4]]&lt;0,0,Table1[[#This Row],[Column4]])</f>
        <v>0</v>
      </c>
    </row>
    <row r="18" spans="1:61" ht="21" customHeight="1">
      <c r="A18" s="602">
        <v>31</v>
      </c>
      <c r="B18" s="618" t="str">
        <f>VLOOKUP(Table1[[#This Row],[الرقم الوظيفي]],[1]Sheet2!$1:$1048576,2,)</f>
        <v>عبدالسلام عيسى محمد عبدالكريم</v>
      </c>
      <c r="C18" s="618" t="str">
        <f>VLOOKUP(Table1[[#This Row],[الرقم الوظيفي]],[1]Sheet2!$1:$1048576,7,)</f>
        <v>المصنع</v>
      </c>
      <c r="D18" s="618" t="str">
        <f>VLOOKUP(Table1[[#This Row],[الرقم الوظيفي]],[1]Sheet2!$1:$1048576,8,)</f>
        <v>الانتاج</v>
      </c>
      <c r="E18" s="599" t="str">
        <f>VLOOKUP(Table1[[#This Row],[الرقم الوظيفي]],[1]Sheet2!$1:$1048576,9,)</f>
        <v>المواسير</v>
      </c>
      <c r="F18" s="599" t="str">
        <f>VLOOKUP(Table1[[#This Row],[الرقم الوظيفي]],[1]Sheet2!$1:$1048576,12,)</f>
        <v>فورمان</v>
      </c>
      <c r="G18" s="599" t="str">
        <f>VLOOKUP(Table1[[#This Row],[الرقم الوظيفي]],[1]Sheet2!$1:$1048576,72,)</f>
        <v>شهاده ثانويه</v>
      </c>
      <c r="H18" s="599">
        <f>VLOOKUP(Table1[[#This Row],[الرقم الوظيفي]],[1]Sheet2!$1:$1048576,71,)</f>
        <v>0</v>
      </c>
      <c r="I18" s="599" t="str">
        <f>VLOOKUP(Table1[[#This Row],[المؤهل الرئيسي]],Table4[],3,)</f>
        <v>F</v>
      </c>
      <c r="J18" s="599" t="s">
        <v>493</v>
      </c>
      <c r="K18" s="615">
        <f>VLOOKUP(Table1[[#This Row],[الرقم الوظيفي]],[1]Sheet2!$1:$1048576,13,)</f>
        <v>39088</v>
      </c>
      <c r="L18" s="615">
        <v>43830</v>
      </c>
      <c r="M18" s="599">
        <f>DATEDIF(Table1[[#This Row],[تاريخ التعيين]],Table1[[#This Row],[اخر العام]],"y")</f>
        <v>12</v>
      </c>
      <c r="N18" s="599">
        <f>DATEDIF(Table1[[#This Row],[تاريخ التعيين]],Table1[[#This Row],[اخر العام]],"ym")</f>
        <v>11</v>
      </c>
      <c r="O18" s="610">
        <f>Table1[[#This Row],[سنوات الخدمه]]*1+Table1[[#This Row],[الشهور اقل من سنه]]*0.08</f>
        <v>12.88</v>
      </c>
      <c r="P18" s="616">
        <v>9000</v>
      </c>
      <c r="Q18" s="617">
        <v>2138.4</v>
      </c>
      <c r="R18" s="612"/>
      <c r="S18" s="599"/>
      <c r="T18" s="612"/>
      <c r="U18" s="612"/>
      <c r="V18" s="612"/>
      <c r="W18" s="612"/>
      <c r="X18" s="612"/>
      <c r="Y18" s="612"/>
      <c r="Z18" s="612"/>
      <c r="AA1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" s="612"/>
      <c r="AC18" s="599"/>
      <c r="AD18" s="612"/>
      <c r="AE18" s="612"/>
      <c r="AF18" s="612"/>
      <c r="AG18" s="612"/>
      <c r="AH18" s="619">
        <f>SUM(Table1[[#This Row],[التقييد  باللوائح و تنفيذالتوجيه]:[اتباع اجراءات السلامه]])</f>
        <v>0</v>
      </c>
      <c r="AI18" s="619">
        <f>Table1[[#This Row],[المجموع]]+Table1[[#This Row],[المجموع2]]</f>
        <v>0</v>
      </c>
      <c r="AJ18" s="612"/>
      <c r="AK18" s="612"/>
      <c r="AL18" s="612"/>
      <c r="AM18" s="612"/>
      <c r="AN18" s="612"/>
      <c r="AO18" s="606">
        <f>Table1[[#This Row],[المجموع 1+2]]*$AO$2</f>
        <v>0</v>
      </c>
      <c r="AP18" s="648">
        <f>Table1[[#This Row],[راتب ديسمبر 2019]]*Table1[[#This Row],[نسبه التقييم الرئيسي 2018]]%</f>
        <v>0</v>
      </c>
      <c r="AQ18" s="627">
        <f>Table1[[#This Row],[مبلغ التقييم النسبي 2018]]+Table1[[#This Row],[راتب ديسمبر 2019]]</f>
        <v>9000</v>
      </c>
      <c r="AR18" s="611">
        <f>IF(Table1[[#This Row],[Column3]]&lt;0,0,Table1[[#This Row],[Column3]])</f>
        <v>11000</v>
      </c>
      <c r="AS18" s="599">
        <f>VLOOKUP(Table1[[#This Row],[درجه التوسيط]],Table10[],3,)</f>
        <v>20000</v>
      </c>
      <c r="AT18" s="608">
        <f>Table1[[#This Row],[الراتب 2018+النسبه]]+Table1[[#This Row],[فروقات الحد الادني]]</f>
        <v>20000</v>
      </c>
      <c r="AU18" s="629">
        <f>Table1[[#This Row],[الراتب 2018 + النسبه + الفرق]]-Table1[[#This Row],[راتب ديسمبر 2019]]</f>
        <v>11000</v>
      </c>
      <c r="AV18" s="628">
        <f>Table1[[#This Row],[الزياده]]/Table1[[#This Row],[راتب ديسمبر 2019]]%</f>
        <v>122.22222222222223</v>
      </c>
      <c r="AW18" s="659">
        <f>IF(Table1[[#This Row],[Column4]]&lt;0,0,Table1[[#This Row],[Column4]])</f>
        <v>2000</v>
      </c>
      <c r="AX18" s="611">
        <f>Table1[[#This Row],[الجبر حتي]]-Table1[[#This Row],[رن]]</f>
        <v>0</v>
      </c>
      <c r="AY18" s="611">
        <f>Table1[[#This Row],[الزياده]]+Table1[[#This Row],[التعديل]]+Table1[[#This Row],[جبر الرقم]]</f>
        <v>13000</v>
      </c>
      <c r="AZ18" s="611">
        <f>Table1[[#This Row],[الراتب 2018 + النسبه + الفرق]]+Table1[[#This Row],[جبر الرقم]]+Table1[[#This Row],[التعديل]]</f>
        <v>22000</v>
      </c>
      <c r="BA18" s="631">
        <f>Table1[[#This Row],[الزياده النهائيه]]/Table1[[#This Row],[راتب ديسمبر 2019]]%</f>
        <v>144.44444444444446</v>
      </c>
      <c r="BB18" s="612">
        <f>VLOOKUP(Table1[[#This Row],[الرقم الوظيفي]],Table6[],8,)</f>
        <v>9000</v>
      </c>
      <c r="BC18" s="7">
        <v>17000</v>
      </c>
      <c r="BD18" s="7">
        <v>17000</v>
      </c>
      <c r="BE18" s="7">
        <v>17000</v>
      </c>
      <c r="BF18" s="5">
        <f>Table1[[#This Row],[الحد الادني]]-Table1[[#This Row],[الراتب 2018+النسبه]]</f>
        <v>11000</v>
      </c>
      <c r="BG18" s="5">
        <f>Table1[[#This Row],[التعديل حتي]]-Table1[[#This Row],[kkk]]</f>
        <v>2000</v>
      </c>
      <c r="BH18" s="5">
        <v>15000</v>
      </c>
      <c r="BI18" s="5">
        <f>IF(Table1[[#This Row],[Column4]]&lt;0,0,Table1[[#This Row],[Column4]])</f>
        <v>2000</v>
      </c>
    </row>
    <row r="19" spans="1:61">
      <c r="A19" s="602">
        <v>32</v>
      </c>
      <c r="B19" s="618" t="str">
        <f>VLOOKUP(Table1[[#This Row],[الرقم الوظيفي]],[1]Sheet2!$1:$1048576,2,)</f>
        <v>على عبدالرحيم العاقب احمد</v>
      </c>
      <c r="C19" s="618" t="str">
        <f>VLOOKUP(Table1[[#This Row],[الرقم الوظيفي]],[1]Sheet2!$1:$1048576,7,)</f>
        <v>المصنع</v>
      </c>
      <c r="D19" s="618" t="str">
        <f>VLOOKUP(Table1[[#This Row],[الرقم الوظيفي]],[1]Sheet2!$1:$1048576,8,)</f>
        <v>الميكانيكا</v>
      </c>
      <c r="E19" s="599" t="str">
        <f>VLOOKUP(Table1[[#This Row],[الرقم الوظيفي]],[1]Sheet2!$1:$1048576,9,)</f>
        <v>المخارط</v>
      </c>
      <c r="F19" s="599" t="str">
        <f>VLOOKUP(Table1[[#This Row],[الرقم الوظيفي]],[1]Sheet2!$1:$1048576,12,)</f>
        <v>خراط</v>
      </c>
      <c r="G19" s="599">
        <f>VLOOKUP(Table1[[#This Row],[الرقم الوظيفي]],[1]Sheet2!$1:$1048576,72,)</f>
        <v>0</v>
      </c>
      <c r="H19" s="599">
        <f>VLOOKUP(Table1[[#This Row],[الرقم الوظيفي]],[1]Sheet2!$1:$1048576,71,)</f>
        <v>0</v>
      </c>
      <c r="I19" s="599" t="str">
        <f>VLOOKUP(Table1[[#This Row],[المؤهل الرئيسي]],Table4[],3,)</f>
        <v>H</v>
      </c>
      <c r="J19" s="599" t="s">
        <v>981</v>
      </c>
      <c r="K19" s="615">
        <f>VLOOKUP(Table1[[#This Row],[الرقم الوظيفي]],[1]Sheet2!$1:$1048576,13,)</f>
        <v>39125</v>
      </c>
      <c r="L19" s="615">
        <v>43830</v>
      </c>
      <c r="M19" s="599">
        <f>DATEDIF(Table1[[#This Row],[تاريخ التعيين]],Table1[[#This Row],[اخر العام]],"y")</f>
        <v>12</v>
      </c>
      <c r="N19" s="599">
        <f>DATEDIF(Table1[[#This Row],[تاريخ التعيين]],Table1[[#This Row],[اخر العام]],"ym")</f>
        <v>10</v>
      </c>
      <c r="O19" s="610">
        <f>Table1[[#This Row],[سنوات الخدمه]]*1+Table1[[#This Row],[الشهور اقل من سنه]]*0.08</f>
        <v>12.8</v>
      </c>
      <c r="P19" s="616">
        <v>5140</v>
      </c>
      <c r="Q19" s="617">
        <v>1213.04</v>
      </c>
      <c r="R19" s="612"/>
      <c r="S19" s="599"/>
      <c r="T19" s="612"/>
      <c r="U19" s="612"/>
      <c r="V19" s="612"/>
      <c r="W19" s="612"/>
      <c r="X19" s="612"/>
      <c r="Y19" s="612"/>
      <c r="Z19" s="612"/>
      <c r="AA1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" s="612"/>
      <c r="AC19" s="599"/>
      <c r="AD19" s="612"/>
      <c r="AE19" s="612"/>
      <c r="AF19" s="612"/>
      <c r="AG19" s="612"/>
      <c r="AH19" s="619">
        <f>SUM(Table1[[#This Row],[التقييد  باللوائح و تنفيذالتوجيه]:[اتباع اجراءات السلامه]])</f>
        <v>0</v>
      </c>
      <c r="AI19" s="619">
        <f>Table1[[#This Row],[المجموع]]+Table1[[#This Row],[المجموع2]]</f>
        <v>0</v>
      </c>
      <c r="AJ19" s="612">
        <v>9</v>
      </c>
      <c r="AK19" s="612"/>
      <c r="AL19" s="612"/>
      <c r="AM19" s="612"/>
      <c r="AN19" s="612"/>
      <c r="AO19" s="606">
        <f>Table1[[#This Row],[المجموع 1+2]]*$AO$2</f>
        <v>0</v>
      </c>
      <c r="AP19" s="648">
        <f>Table1[[#This Row],[راتب ديسمبر 2019]]*Table1[[#This Row],[نسبه التقييم الرئيسي 2018]]%</f>
        <v>0</v>
      </c>
      <c r="AQ19" s="627">
        <f>Table1[[#This Row],[مبلغ التقييم النسبي 2018]]+Table1[[#This Row],[راتب ديسمبر 2019]]</f>
        <v>5140</v>
      </c>
      <c r="AR19" s="611">
        <f>IF(Table1[[#This Row],[Column3]]&lt;0,0,Table1[[#This Row],[Column3]])</f>
        <v>5860</v>
      </c>
      <c r="AS19" s="599">
        <f>VLOOKUP(Table1[[#This Row],[درجه التوسيط]],Table10[],3,)</f>
        <v>11000</v>
      </c>
      <c r="AT19" s="608">
        <f>Table1[[#This Row],[الراتب 2018+النسبه]]+Table1[[#This Row],[فروقات الحد الادني]]</f>
        <v>11000</v>
      </c>
      <c r="AU19" s="629">
        <f>Table1[[#This Row],[الراتب 2018 + النسبه + الفرق]]-Table1[[#This Row],[راتب ديسمبر 2019]]</f>
        <v>5860</v>
      </c>
      <c r="AV19" s="628">
        <f>Table1[[#This Row],[الزياده]]/Table1[[#This Row],[راتب ديسمبر 2019]]%</f>
        <v>114.00778210116732</v>
      </c>
      <c r="AW19" s="659">
        <f>IF(Table1[[#This Row],[Column4]]&lt;0,0,Table1[[#This Row],[Column4]])</f>
        <v>0</v>
      </c>
      <c r="AX19" s="611">
        <f>Table1[[#This Row],[الجبر حتي]]-Table1[[#This Row],[رن]]</f>
        <v>1.0400000000008731</v>
      </c>
      <c r="AY19" s="611">
        <f>Table1[[#This Row],[الزياده]]+Table1[[#This Row],[التعديل]]+Table1[[#This Row],[جبر الرقم]]</f>
        <v>5861.0400000000009</v>
      </c>
      <c r="AZ19" s="611">
        <f>Table1[[#This Row],[الراتب 2018 + النسبه + الفرق]]+Table1[[#This Row],[جبر الرقم]]+Table1[[#This Row],[التعديل]]</f>
        <v>11001.04</v>
      </c>
      <c r="BA19" s="631">
        <f>Table1[[#This Row],[الزياده النهائيه]]/Table1[[#This Row],[راتب ديسمبر 2019]]%</f>
        <v>114.02801556420235</v>
      </c>
      <c r="BB19" s="612">
        <f>VLOOKUP(Table1[[#This Row],[الرقم الوظيفي]],Table6[],8,)</f>
        <v>5140</v>
      </c>
      <c r="BC19" s="7"/>
      <c r="BD19" s="7">
        <v>8040</v>
      </c>
      <c r="BE19" s="7">
        <v>8038.9599999999991</v>
      </c>
      <c r="BF19" s="5">
        <f>Table1[[#This Row],[الحد الادني]]-Table1[[#This Row],[الراتب 2018+النسبه]]</f>
        <v>5860</v>
      </c>
      <c r="BG19" s="5">
        <f>Table1[[#This Row],[التعديل حتي]]-Table1[[#This Row],[kkk]]</f>
        <v>-8038.9599999999991</v>
      </c>
      <c r="BH19" s="5">
        <v>8038.9599999999991</v>
      </c>
      <c r="BI19" s="5">
        <f>IF(Table1[[#This Row],[Column4]]&lt;0,0,Table1[[#This Row],[Column4]])</f>
        <v>0</v>
      </c>
    </row>
    <row r="20" spans="1:61" ht="21" customHeight="1">
      <c r="A20" s="602">
        <v>33</v>
      </c>
      <c r="B20" s="618" t="str">
        <f>VLOOKUP(Table1[[#This Row],[الرقم الوظيفي]],[1]Sheet2!$1:$1048576,2,)</f>
        <v>ادريس موسى عثمان موسى</v>
      </c>
      <c r="C20" s="618" t="str">
        <f>VLOOKUP(Table1[[#This Row],[الرقم الوظيفي]],[1]Sheet2!$1:$1048576,7,)</f>
        <v>المصنع</v>
      </c>
      <c r="D20" s="618" t="str">
        <f>VLOOKUP(Table1[[#This Row],[الرقم الوظيفي]],[1]Sheet2!$1:$1048576,8,)</f>
        <v>الميكانيكا</v>
      </c>
      <c r="E20" s="599" t="str">
        <f>VLOOKUP(Table1[[#This Row],[الرقم الوظيفي]],[1]Sheet2!$1:$1048576,9,)</f>
        <v>صيانه عامه</v>
      </c>
      <c r="F20" s="599" t="str">
        <f>VLOOKUP(Table1[[#This Row],[الرقم الوظيفي]],[1]Sheet2!$1:$1048576,12,)</f>
        <v>تقنى ميكانيكا</v>
      </c>
      <c r="G20" s="599" t="str">
        <f>VLOOKUP(Table1[[#This Row],[الرقم الوظيفي]],[1]Sheet2!$1:$1048576,72,)</f>
        <v>دبلوم تقني</v>
      </c>
      <c r="H20" s="599" t="str">
        <f>VLOOKUP(Table1[[#This Row],[الرقم الوظيفي]],[1]Sheet2!$1:$1048576,71,)</f>
        <v>هندسة ميكانيكية ( قوى )</v>
      </c>
      <c r="I20" s="599" t="str">
        <f>VLOOKUP(Table1[[#This Row],[المؤهل الرئيسي]],Table4[],3,)</f>
        <v>D</v>
      </c>
      <c r="J20" s="599" t="s">
        <v>982</v>
      </c>
      <c r="K20" s="615">
        <f>VLOOKUP(Table1[[#This Row],[الرقم الوظيفي]],[1]Sheet2!$1:$1048576,13,)</f>
        <v>39095</v>
      </c>
      <c r="L20" s="615">
        <v>43830</v>
      </c>
      <c r="M20" s="599">
        <f>DATEDIF(Table1[[#This Row],[تاريخ التعيين]],Table1[[#This Row],[اخر العام]],"y")</f>
        <v>12</v>
      </c>
      <c r="N20" s="599">
        <f>DATEDIF(Table1[[#This Row],[تاريخ التعيين]],Table1[[#This Row],[اخر العام]],"ym")</f>
        <v>11</v>
      </c>
      <c r="O20" s="610">
        <f>Table1[[#This Row],[سنوات الخدمه]]*1+Table1[[#This Row],[الشهور اقل من سنه]]*0.08</f>
        <v>12.88</v>
      </c>
      <c r="P20" s="616">
        <v>7730</v>
      </c>
      <c r="Q20" s="617">
        <v>1836.6479999999999</v>
      </c>
      <c r="R20" s="612"/>
      <c r="S20" s="599"/>
      <c r="T20" s="612"/>
      <c r="U20" s="612"/>
      <c r="V20" s="612"/>
      <c r="W20" s="612"/>
      <c r="X20" s="612"/>
      <c r="Y20" s="612"/>
      <c r="Z20" s="612"/>
      <c r="AA2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" s="612"/>
      <c r="AC20" s="599"/>
      <c r="AD20" s="612"/>
      <c r="AE20" s="612"/>
      <c r="AF20" s="612"/>
      <c r="AG20" s="612"/>
      <c r="AH20" s="619">
        <f>SUM(Table1[[#This Row],[التقييد  باللوائح و تنفيذالتوجيه]:[اتباع اجراءات السلامه]])</f>
        <v>0</v>
      </c>
      <c r="AI20" s="619">
        <f>Table1[[#This Row],[المجموع]]+Table1[[#This Row],[المجموع2]]</f>
        <v>0</v>
      </c>
      <c r="AJ20" s="612">
        <v>10</v>
      </c>
      <c r="AK20" s="612"/>
      <c r="AL20" s="612"/>
      <c r="AM20" s="612"/>
      <c r="AN20" s="612"/>
      <c r="AO20" s="606">
        <f>Table1[[#This Row],[المجموع 1+2]]*$AO$2</f>
        <v>0</v>
      </c>
      <c r="AP20" s="648">
        <f>Table1[[#This Row],[راتب ديسمبر 2019]]*Table1[[#This Row],[نسبه التقييم الرئيسي 2018]]%</f>
        <v>0</v>
      </c>
      <c r="AQ20" s="627">
        <f>Table1[[#This Row],[مبلغ التقييم النسبي 2018]]+Table1[[#This Row],[راتب ديسمبر 2019]]</f>
        <v>7730</v>
      </c>
      <c r="AR20" s="611">
        <f>IF(Table1[[#This Row],[Column3]]&lt;0,0,Table1[[#This Row],[Column3]])</f>
        <v>9270</v>
      </c>
      <c r="AS20" s="599">
        <f>VLOOKUP(Table1[[#This Row],[درجه التوسيط]],Table10[],3,)</f>
        <v>17000</v>
      </c>
      <c r="AT20" s="608">
        <f>Table1[[#This Row],[الراتب 2018+النسبه]]+Table1[[#This Row],[فروقات الحد الادني]]</f>
        <v>17000</v>
      </c>
      <c r="AU20" s="629">
        <f>Table1[[#This Row],[الراتب 2018 + النسبه + الفرق]]-Table1[[#This Row],[راتب ديسمبر 2019]]</f>
        <v>9270</v>
      </c>
      <c r="AV20" s="628">
        <f>Table1[[#This Row],[الزياده]]/Table1[[#This Row],[راتب ديسمبر 2019]]%</f>
        <v>119.92238033635188</v>
      </c>
      <c r="AW20" s="659">
        <f>IF(Table1[[#This Row],[Column4]]&lt;0,0,Table1[[#This Row],[Column4]])</f>
        <v>1000</v>
      </c>
      <c r="AX20" s="611">
        <f>Table1[[#This Row],[الجبر حتي]]-Table1[[#This Row],[رن]]</f>
        <v>0</v>
      </c>
      <c r="AY20" s="611">
        <f>Table1[[#This Row],[الزياده]]+Table1[[#This Row],[التعديل]]+Table1[[#This Row],[جبر الرقم]]</f>
        <v>10270</v>
      </c>
      <c r="AZ20" s="611">
        <f>Table1[[#This Row],[الراتب 2018 + النسبه + الفرق]]+Table1[[#This Row],[جبر الرقم]]+Table1[[#This Row],[التعديل]]</f>
        <v>18000</v>
      </c>
      <c r="BA20" s="631">
        <f>Table1[[#This Row],[الزياده النهائيه]]/Table1[[#This Row],[راتب ديسمبر 2019]]%</f>
        <v>132.85899094437258</v>
      </c>
      <c r="BB20" s="612">
        <f>VLOOKUP(Table1[[#This Row],[الرقم الوظيفي]],Table6[],8,)</f>
        <v>7730</v>
      </c>
      <c r="BC20" s="7">
        <v>13000</v>
      </c>
      <c r="BD20" s="7">
        <v>13000</v>
      </c>
      <c r="BE20" s="7">
        <v>13000</v>
      </c>
      <c r="BF20" s="5">
        <f>Table1[[#This Row],[الحد الادني]]-Table1[[#This Row],[الراتب 2018+النسبه]]</f>
        <v>9270</v>
      </c>
      <c r="BG20" s="5">
        <f>Table1[[#This Row],[التعديل حتي]]-Table1[[#This Row],[kkk]]</f>
        <v>1000</v>
      </c>
      <c r="BH20" s="5">
        <v>12000</v>
      </c>
      <c r="BI20" s="5">
        <f>IF(Table1[[#This Row],[Column4]]&lt;0,0,Table1[[#This Row],[Column4]])</f>
        <v>1000</v>
      </c>
    </row>
    <row r="21" spans="1:61" ht="21" customHeight="1">
      <c r="A21" s="602">
        <v>34</v>
      </c>
      <c r="B21" s="618" t="str">
        <f>VLOOKUP(Table1[[#This Row],[الرقم الوظيفي]],[1]Sheet2!$1:$1048576,2,)</f>
        <v>الفاتح على عبدالله الامين</v>
      </c>
      <c r="C21" s="618" t="str">
        <f>VLOOKUP(Table1[[#This Row],[الرقم الوظيفي]],[1]Sheet2!$1:$1048576,7,)</f>
        <v>المصنع</v>
      </c>
      <c r="D21" s="618" t="str">
        <f>VLOOKUP(Table1[[#This Row],[الرقم الوظيفي]],[1]Sheet2!$1:$1048576,8,)</f>
        <v>الانتاج</v>
      </c>
      <c r="E21" s="599" t="str">
        <f>VLOOKUP(Table1[[#This Row],[الرقم الوظيفي]],[1]Sheet2!$1:$1048576,9,)</f>
        <v>الزوايا</v>
      </c>
      <c r="F21" s="599" t="str">
        <f>VLOOKUP(Table1[[#This Row],[الرقم الوظيفي]],[1]Sheet2!$1:$1048576,12,)</f>
        <v>مساعد مشغل</v>
      </c>
      <c r="G21" s="599">
        <f>VLOOKUP(Table1[[#This Row],[الرقم الوظيفي]],[1]Sheet2!$1:$1048576,72,)</f>
        <v>0</v>
      </c>
      <c r="H21" s="599">
        <f>VLOOKUP(Table1[[#This Row],[الرقم الوظيفي]],[1]Sheet2!$1:$1048576,71,)</f>
        <v>0</v>
      </c>
      <c r="I21" s="599" t="str">
        <f>VLOOKUP(Table1[[#This Row],[المؤهل الرئيسي]],Table4[],3,)</f>
        <v>H</v>
      </c>
      <c r="J21" s="599" t="s">
        <v>928</v>
      </c>
      <c r="K21" s="615">
        <f>VLOOKUP(Table1[[#This Row],[الرقم الوظيفي]],[1]Sheet2!$1:$1048576,13,)</f>
        <v>39098</v>
      </c>
      <c r="L21" s="615">
        <v>43830</v>
      </c>
      <c r="M21" s="599">
        <f>DATEDIF(Table1[[#This Row],[تاريخ التعيين]],Table1[[#This Row],[اخر العام]],"y")</f>
        <v>12</v>
      </c>
      <c r="N21" s="599">
        <f>DATEDIF(Table1[[#This Row],[تاريخ التعيين]],Table1[[#This Row],[اخر العام]],"ym")</f>
        <v>11</v>
      </c>
      <c r="O21" s="610">
        <f>Table1[[#This Row],[سنوات الخدمه]]*1+Table1[[#This Row],[الشهور اقل من سنه]]*0.08</f>
        <v>12.88</v>
      </c>
      <c r="P21" s="616">
        <v>4490</v>
      </c>
      <c r="Q21" s="617">
        <v>1066.8240000000001</v>
      </c>
      <c r="R21" s="612"/>
      <c r="S21" s="599"/>
      <c r="T21" s="612"/>
      <c r="U21" s="612"/>
      <c r="V21" s="612"/>
      <c r="W21" s="612"/>
      <c r="X21" s="612"/>
      <c r="Y21" s="612"/>
      <c r="Z21" s="612"/>
      <c r="AA2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" s="612"/>
      <c r="AC21" s="599"/>
      <c r="AD21" s="612"/>
      <c r="AE21" s="612"/>
      <c r="AF21" s="612"/>
      <c r="AG21" s="612"/>
      <c r="AH21" s="619">
        <f>SUM(Table1[[#This Row],[التقييد  باللوائح و تنفيذالتوجيه]:[اتباع اجراءات السلامه]])</f>
        <v>0</v>
      </c>
      <c r="AI21" s="619">
        <f>Table1[[#This Row],[المجموع]]+Table1[[#This Row],[المجموع2]]</f>
        <v>0</v>
      </c>
      <c r="AJ21" s="612"/>
      <c r="AK21" s="612"/>
      <c r="AL21" s="612"/>
      <c r="AM21" s="612"/>
      <c r="AN21" s="612"/>
      <c r="AO21" s="606">
        <f>Table1[[#This Row],[المجموع 1+2]]*$AO$2</f>
        <v>0</v>
      </c>
      <c r="AP21" s="648">
        <f>Table1[[#This Row],[راتب ديسمبر 2019]]*Table1[[#This Row],[نسبه التقييم الرئيسي 2018]]%</f>
        <v>0</v>
      </c>
      <c r="AQ21" s="627">
        <f>Table1[[#This Row],[مبلغ التقييم النسبي 2018]]+Table1[[#This Row],[راتب ديسمبر 2019]]</f>
        <v>4490</v>
      </c>
      <c r="AR21" s="611">
        <f>IF(Table1[[#This Row],[Column3]]&lt;0,0,Table1[[#This Row],[Column3]])</f>
        <v>2510</v>
      </c>
      <c r="AS21" s="599">
        <f>VLOOKUP(Table1[[#This Row],[درجه التوسيط]],Table10[],3,)</f>
        <v>7000</v>
      </c>
      <c r="AT21" s="608">
        <f>Table1[[#This Row],[الراتب 2018+النسبه]]+Table1[[#This Row],[فروقات الحد الادني]]</f>
        <v>7000</v>
      </c>
      <c r="AU21" s="629">
        <f>Table1[[#This Row],[الراتب 2018 + النسبه + الفرق]]-Table1[[#This Row],[راتب ديسمبر 2019]]</f>
        <v>2510</v>
      </c>
      <c r="AV21" s="628">
        <f>Table1[[#This Row],[الزياده]]/Table1[[#This Row],[راتب ديسمبر 2019]]%</f>
        <v>55.902004454342986</v>
      </c>
      <c r="AW21" s="659">
        <f>IF(Table1[[#This Row],[Column4]]&lt;0,0,Table1[[#This Row],[Column4]])</f>
        <v>0</v>
      </c>
      <c r="AX21" s="611">
        <f>Table1[[#This Row],[الجبر حتي]]-Table1[[#This Row],[رن]]</f>
        <v>1.5200000000004366</v>
      </c>
      <c r="AY21" s="611">
        <f>Table1[[#This Row],[الزياده]]+Table1[[#This Row],[التعديل]]+Table1[[#This Row],[جبر الرقم]]</f>
        <v>2511.5200000000004</v>
      </c>
      <c r="AZ21" s="611">
        <f>Table1[[#This Row],[الراتب 2018 + النسبه + الفرق]]+Table1[[#This Row],[جبر الرقم]]+Table1[[#This Row],[التعديل]]</f>
        <v>7001.52</v>
      </c>
      <c r="BA21" s="631">
        <f>Table1[[#This Row],[الزياده النهائيه]]/Table1[[#This Row],[راتب ديسمبر 2019]]%</f>
        <v>55.935857461024511</v>
      </c>
      <c r="BB21" s="612">
        <f>VLOOKUP(Table1[[#This Row],[الرقم الوظيفي]],Table6[],8,)</f>
        <v>4490</v>
      </c>
      <c r="BC21" s="7"/>
      <c r="BD21" s="7">
        <v>6970</v>
      </c>
      <c r="BE21" s="7">
        <v>6968.48</v>
      </c>
      <c r="BF21" s="5">
        <f>Table1[[#This Row],[الحد الادني]]-Table1[[#This Row],[الراتب 2018+النسبه]]</f>
        <v>2510</v>
      </c>
      <c r="BG21" s="5">
        <f>Table1[[#This Row],[التعديل حتي]]-Table1[[#This Row],[kkk]]</f>
        <v>-6968.48</v>
      </c>
      <c r="BH21" s="5">
        <v>6968.48</v>
      </c>
      <c r="BI21" s="5">
        <f>IF(Table1[[#This Row],[Column4]]&lt;0,0,Table1[[#This Row],[Column4]])</f>
        <v>0</v>
      </c>
    </row>
    <row r="22" spans="1:61" ht="21" customHeight="1">
      <c r="A22" s="602">
        <v>36</v>
      </c>
      <c r="B22" s="618" t="str">
        <f>VLOOKUP(Table1[[#This Row],[الرقم الوظيفي]],[1]Sheet2!$1:$1048576,2,)</f>
        <v>نصرالدين صديق ادم محمد</v>
      </c>
      <c r="C22" s="618" t="str">
        <f>VLOOKUP(Table1[[#This Row],[الرقم الوظيفي]],[1]Sheet2!$1:$1048576,7,)</f>
        <v>المصنع</v>
      </c>
      <c r="D22" s="618" t="str">
        <f>VLOOKUP(Table1[[#This Row],[الرقم الوظيفي]],[1]Sheet2!$1:$1048576,8,)</f>
        <v>الميكانيكا</v>
      </c>
      <c r="E22" s="599" t="str">
        <f>VLOOKUP(Table1[[#This Row],[الرقم الوظيفي]],[1]Sheet2!$1:$1048576,9,)</f>
        <v>صيانه عامه</v>
      </c>
      <c r="F22" s="599" t="str">
        <f>VLOOKUP(Table1[[#This Row],[الرقم الوظيفي]],[1]Sheet2!$1:$1048576,12,)</f>
        <v>فنى ميكانيكا</v>
      </c>
      <c r="G22" s="599" t="str">
        <f>VLOOKUP(Table1[[#This Row],[الرقم الوظيفي]],[1]Sheet2!$1:$1048576,72,)</f>
        <v>تدريب مهني</v>
      </c>
      <c r="H22" s="599">
        <f>VLOOKUP(Table1[[#This Row],[الرقم الوظيفي]],[1]Sheet2!$1:$1048576,71,)</f>
        <v>0</v>
      </c>
      <c r="I22" s="599" t="str">
        <f>VLOOKUP(Table1[[#This Row],[المؤهل الرئيسي]],Table4[],3,)</f>
        <v>F</v>
      </c>
      <c r="J22" s="599" t="s">
        <v>494</v>
      </c>
      <c r="K22" s="615">
        <f>VLOOKUP(Table1[[#This Row],[الرقم الوظيفي]],[1]Sheet2!$1:$1048576,13,)</f>
        <v>39120</v>
      </c>
      <c r="L22" s="615">
        <v>43830</v>
      </c>
      <c r="M22" s="599">
        <f>DATEDIF(Table1[[#This Row],[تاريخ التعيين]],Table1[[#This Row],[اخر العام]],"y")</f>
        <v>12</v>
      </c>
      <c r="N22" s="599">
        <f>DATEDIF(Table1[[#This Row],[تاريخ التعيين]],Table1[[#This Row],[اخر العام]],"ym")</f>
        <v>10</v>
      </c>
      <c r="O22" s="610">
        <f>Table1[[#This Row],[سنوات الخدمه]]*1+Table1[[#This Row],[الشهور اقل من سنه]]*0.08</f>
        <v>12.8</v>
      </c>
      <c r="P22" s="616">
        <v>5990</v>
      </c>
      <c r="Q22" s="617">
        <v>1413.64</v>
      </c>
      <c r="R22" s="612"/>
      <c r="S22" s="599"/>
      <c r="T22" s="612"/>
      <c r="U22" s="612"/>
      <c r="V22" s="612"/>
      <c r="W22" s="612"/>
      <c r="X22" s="612"/>
      <c r="Y22" s="612"/>
      <c r="Z22" s="612"/>
      <c r="AA2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" s="612"/>
      <c r="AC22" s="599"/>
      <c r="AD22" s="612"/>
      <c r="AE22" s="612"/>
      <c r="AF22" s="612"/>
      <c r="AG22" s="612"/>
      <c r="AH22" s="619">
        <f>SUM(Table1[[#This Row],[التقييد  باللوائح و تنفيذالتوجيه]:[اتباع اجراءات السلامه]])</f>
        <v>0</v>
      </c>
      <c r="AI22" s="619">
        <f>Table1[[#This Row],[المجموع]]+Table1[[#This Row],[المجموع2]]</f>
        <v>0</v>
      </c>
      <c r="AJ22" s="612">
        <v>10</v>
      </c>
      <c r="AK22" s="612"/>
      <c r="AL22" s="612"/>
      <c r="AM22" s="612"/>
      <c r="AN22" s="612"/>
      <c r="AO22" s="606">
        <f>Table1[[#This Row],[المجموع 1+2]]*$AO$2</f>
        <v>0</v>
      </c>
      <c r="AP22" s="648">
        <f>Table1[[#This Row],[راتب ديسمبر 2019]]*Table1[[#This Row],[نسبه التقييم الرئيسي 2018]]%</f>
        <v>0</v>
      </c>
      <c r="AQ22" s="627">
        <f>Table1[[#This Row],[مبلغ التقييم النسبي 2018]]+Table1[[#This Row],[راتب ديسمبر 2019]]</f>
        <v>5990</v>
      </c>
      <c r="AR22" s="611">
        <f>IF(Table1[[#This Row],[Column3]]&lt;0,0,Table1[[#This Row],[Column3]])</f>
        <v>9010</v>
      </c>
      <c r="AS22" s="599">
        <f>VLOOKUP(Table1[[#This Row],[درجه التوسيط]],Table10[],3,)</f>
        <v>15000</v>
      </c>
      <c r="AT22" s="608">
        <f>Table1[[#This Row],[الراتب 2018+النسبه]]+Table1[[#This Row],[فروقات الحد الادني]]</f>
        <v>15000</v>
      </c>
      <c r="AU22" s="629">
        <f>Table1[[#This Row],[الراتب 2018 + النسبه + الفرق]]-Table1[[#This Row],[راتب ديسمبر 2019]]</f>
        <v>9010</v>
      </c>
      <c r="AV22" s="628">
        <f>Table1[[#This Row],[الزياده]]/Table1[[#This Row],[راتب ديسمبر 2019]]%</f>
        <v>150.41736227045075</v>
      </c>
      <c r="AW22" s="659">
        <f>IF(Table1[[#This Row],[Column4]]&lt;0,0,Table1[[#This Row],[Column4]])</f>
        <v>1000</v>
      </c>
      <c r="AX22" s="611">
        <f>Table1[[#This Row],[الجبر حتي]]-Table1[[#This Row],[رن]]</f>
        <v>0</v>
      </c>
      <c r="AY22" s="611">
        <f>Table1[[#This Row],[الزياده]]+Table1[[#This Row],[التعديل]]+Table1[[#This Row],[جبر الرقم]]</f>
        <v>10010</v>
      </c>
      <c r="AZ22" s="611">
        <f>Table1[[#This Row],[الراتب 2018 + النسبه + الفرق]]+Table1[[#This Row],[جبر الرقم]]+Table1[[#This Row],[التعديل]]</f>
        <v>16000</v>
      </c>
      <c r="BA22" s="631">
        <f>Table1[[#This Row],[الزياده النهائيه]]/Table1[[#This Row],[راتب ديسمبر 2019]]%</f>
        <v>167.11185308848081</v>
      </c>
      <c r="BB22" s="612">
        <f>VLOOKUP(Table1[[#This Row],[الرقم الوظيفي]],Table6[],8,)</f>
        <v>5990</v>
      </c>
      <c r="BC22" s="7">
        <v>11000</v>
      </c>
      <c r="BD22" s="7">
        <v>11000</v>
      </c>
      <c r="BE22" s="7">
        <v>11000</v>
      </c>
      <c r="BF22" s="5">
        <f>Table1[[#This Row],[الحد الادني]]-Table1[[#This Row],[الراتب 2018+النسبه]]</f>
        <v>9010</v>
      </c>
      <c r="BG22" s="5">
        <f>Table1[[#This Row],[التعديل حتي]]-Table1[[#This Row],[kkk]]</f>
        <v>1000</v>
      </c>
      <c r="BH22" s="5">
        <v>10000</v>
      </c>
      <c r="BI22" s="5">
        <f>IF(Table1[[#This Row],[Column4]]&lt;0,0,Table1[[#This Row],[Column4]])</f>
        <v>1000</v>
      </c>
    </row>
    <row r="23" spans="1:61" ht="21" customHeight="1">
      <c r="A23" s="602">
        <v>37</v>
      </c>
      <c r="B23" s="618" t="str">
        <f>VLOOKUP(Table1[[#This Row],[الرقم الوظيفي]],[1]Sheet2!$1:$1048576,2,)</f>
        <v>محمد احمد محمد سليمان</v>
      </c>
      <c r="C23" s="618" t="str">
        <f>VLOOKUP(Table1[[#This Row],[الرقم الوظيفي]],[1]Sheet2!$1:$1048576,7,)</f>
        <v>المصنع</v>
      </c>
      <c r="D23" s="618" t="str">
        <f>VLOOKUP(Table1[[#This Row],[الرقم الوظيفي]],[1]Sheet2!$1:$1048576,8,)</f>
        <v>الميكانيكا</v>
      </c>
      <c r="E23" s="599" t="str">
        <f>VLOOKUP(Table1[[#This Row],[الرقم الوظيفي]],[1]Sheet2!$1:$1048576,9,)</f>
        <v>مدير قسم</v>
      </c>
      <c r="F23" s="599" t="str">
        <f>VLOOKUP(Table1[[#This Row],[الرقم الوظيفي]],[1]Sheet2!$1:$1048576,12,)</f>
        <v>مدير الصيانه الميكانيكيه</v>
      </c>
      <c r="G23" s="599" t="str">
        <f>VLOOKUP(Table1[[#This Row],[الرقم الوظيفي]],[1]Sheet2!$1:$1048576,72,)</f>
        <v>بكلاريوس الشرف</v>
      </c>
      <c r="H23" s="599" t="str">
        <f>VLOOKUP(Table1[[#This Row],[الرقم الوظيفي]],[1]Sheet2!$1:$1048576,71,)</f>
        <v>هندسة تكنولوجية - ميكانيكية</v>
      </c>
      <c r="I23" s="599" t="str">
        <f>VLOOKUP(Table1[[#This Row],[المؤهل الرئيسي]],Table4[],3,)</f>
        <v>C</v>
      </c>
      <c r="J23" s="599" t="s">
        <v>118</v>
      </c>
      <c r="K23" s="615">
        <f>VLOOKUP(Table1[[#This Row],[الرقم الوظيفي]],[1]Sheet2!$1:$1048576,13,)</f>
        <v>39142</v>
      </c>
      <c r="L23" s="615">
        <v>43830</v>
      </c>
      <c r="M23" s="599">
        <f>DATEDIF(Table1[[#This Row],[تاريخ التعيين]],Table1[[#This Row],[اخر العام]],"y")</f>
        <v>12</v>
      </c>
      <c r="N23" s="599">
        <f>DATEDIF(Table1[[#This Row],[تاريخ التعيين]],Table1[[#This Row],[اخر العام]],"ym")</f>
        <v>9</v>
      </c>
      <c r="O23" s="610">
        <f>Table1[[#This Row],[سنوات الخدمه]]*1+Table1[[#This Row],[الشهور اقل من سنه]]*0.08</f>
        <v>12.72</v>
      </c>
      <c r="P23" s="616">
        <v>13620</v>
      </c>
      <c r="Q23" s="617">
        <v>3192.5279999999998</v>
      </c>
      <c r="R23" s="612"/>
      <c r="S23" s="599"/>
      <c r="T23" s="612"/>
      <c r="U23" s="612"/>
      <c r="V23" s="612"/>
      <c r="W23" s="612"/>
      <c r="X23" s="612"/>
      <c r="Y23" s="612"/>
      <c r="Z23" s="612"/>
      <c r="AA2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" s="612"/>
      <c r="AC23" s="599"/>
      <c r="AD23" s="612"/>
      <c r="AE23" s="612"/>
      <c r="AF23" s="612"/>
      <c r="AG23" s="612"/>
      <c r="AH23" s="619">
        <f>SUM(Table1[[#This Row],[التقييد  باللوائح و تنفيذالتوجيه]:[اتباع اجراءات السلامه]])</f>
        <v>0</v>
      </c>
      <c r="AI23" s="619">
        <f>Table1[[#This Row],[المجموع]]+Table1[[#This Row],[المجموع2]]</f>
        <v>0</v>
      </c>
      <c r="AJ23" s="612"/>
      <c r="AK23" s="612"/>
      <c r="AL23" s="612"/>
      <c r="AM23" s="612"/>
      <c r="AN23" s="612"/>
      <c r="AO23" s="606">
        <f>Table1[[#This Row],[المجموع 1+2]]*$AO$2</f>
        <v>0</v>
      </c>
      <c r="AP23" s="648">
        <f>Table1[[#This Row],[راتب ديسمبر 2019]]*Table1[[#This Row],[نسبه التقييم الرئيسي 2018]]%</f>
        <v>0</v>
      </c>
      <c r="AQ23" s="627">
        <f>Table1[[#This Row],[مبلغ التقييم النسبي 2018]]+Table1[[#This Row],[راتب ديسمبر 2019]]</f>
        <v>13620</v>
      </c>
      <c r="AR23" s="611">
        <f>IF(Table1[[#This Row],[Column3]]&lt;0,0,Table1[[#This Row],[Column3]])</f>
        <v>21380</v>
      </c>
      <c r="AS23" s="599">
        <f>VLOOKUP(Table1[[#This Row],[درجه التوسيط]],Table10[],3,)</f>
        <v>35000</v>
      </c>
      <c r="AT23" s="608">
        <f>Table1[[#This Row],[الراتب 2018+النسبه]]+Table1[[#This Row],[فروقات الحد الادني]]</f>
        <v>35000</v>
      </c>
      <c r="AU23" s="629">
        <f>Table1[[#This Row],[الراتب 2018 + النسبه + الفرق]]-Table1[[#This Row],[راتب ديسمبر 2019]]</f>
        <v>21380</v>
      </c>
      <c r="AV23" s="628">
        <f>Table1[[#This Row],[الزياده]]/Table1[[#This Row],[راتب ديسمبر 2019]]%</f>
        <v>156.97503671071954</v>
      </c>
      <c r="AW23" s="659">
        <f>IF(Table1[[#This Row],[Column4]]&lt;0,0,Table1[[#This Row],[Column4]])</f>
        <v>0</v>
      </c>
      <c r="AX23" s="611">
        <f>Table1[[#This Row],[الجبر حتي]]-Table1[[#This Row],[رن]]</f>
        <v>0</v>
      </c>
      <c r="AY23" s="611">
        <f>Table1[[#This Row],[الزياده]]+Table1[[#This Row],[التعديل]]+Table1[[#This Row],[جبر الرقم]]</f>
        <v>21380</v>
      </c>
      <c r="AZ23" s="611">
        <f>Table1[[#This Row],[الراتب 2018 + النسبه + الفرق]]+Table1[[#This Row],[جبر الرقم]]+Table1[[#This Row],[التعديل]]</f>
        <v>35000</v>
      </c>
      <c r="BA23" s="631">
        <f>Table1[[#This Row],[الزياده النهائيه]]/Table1[[#This Row],[راتب ديسمبر 2019]]%</f>
        <v>156.97503671071954</v>
      </c>
      <c r="BB23" s="612">
        <f>VLOOKUP(Table1[[#This Row],[الرقم الوظيفي]],Table6[],8,)</f>
        <v>13620</v>
      </c>
      <c r="BC23" s="7"/>
      <c r="BD23" s="7">
        <v>25000</v>
      </c>
      <c r="BE23" s="7">
        <v>25000</v>
      </c>
      <c r="BF23" s="5">
        <f>Table1[[#This Row],[الحد الادني]]-Table1[[#This Row],[الراتب 2018+النسبه]]</f>
        <v>21380</v>
      </c>
      <c r="BG23" s="5">
        <f>Table1[[#This Row],[التعديل حتي]]-Table1[[#This Row],[kkk]]</f>
        <v>-25000</v>
      </c>
      <c r="BH23" s="5">
        <v>25000</v>
      </c>
      <c r="BI23" s="5">
        <f>IF(Table1[[#This Row],[Column4]]&lt;0,0,Table1[[#This Row],[Column4]])</f>
        <v>0</v>
      </c>
    </row>
    <row r="24" spans="1:61" ht="21" customHeight="1">
      <c r="A24" s="602">
        <v>38</v>
      </c>
      <c r="B24" s="618" t="str">
        <f>VLOOKUP(Table1[[#This Row],[الرقم الوظيفي]],[1]Sheet2!$1:$1048576,2,)</f>
        <v>ماهر ضيف الله سليمان جابر</v>
      </c>
      <c r="C24" s="618" t="str">
        <f>VLOOKUP(Table1[[#This Row],[الرقم الوظيفي]],[1]Sheet2!$1:$1048576,7,)</f>
        <v>المصنع</v>
      </c>
      <c r="D24" s="618" t="str">
        <f>VLOOKUP(Table1[[#This Row],[الرقم الوظيفي]],[1]Sheet2!$1:$1048576,8,)</f>
        <v>الكهرباء</v>
      </c>
      <c r="E24" s="599" t="str">
        <f>VLOOKUP(Table1[[#This Row],[الرقم الوظيفي]],[1]Sheet2!$1:$1048576,9,)</f>
        <v>مدير قسم</v>
      </c>
      <c r="F24" s="599" t="str">
        <f>VLOOKUP(Table1[[#This Row],[الرقم الوظيفي]],[1]Sheet2!$1:$1048576,12,)</f>
        <v>مدير الصيانه الكهربائيه</v>
      </c>
      <c r="G24" s="599" t="str">
        <f>VLOOKUP(Table1[[#This Row],[الرقم الوظيفي]],[1]Sheet2!$1:$1048576,72,)</f>
        <v>بكلاريوس الشرف</v>
      </c>
      <c r="H24" s="599" t="str">
        <f>VLOOKUP(Table1[[#This Row],[الرقم الوظيفي]],[1]Sheet2!$1:$1048576,71,)</f>
        <v>هندسة كهرباء</v>
      </c>
      <c r="I24" s="599" t="str">
        <f>VLOOKUP(Table1[[#This Row],[المؤهل الرئيسي]],Table4[],3,)</f>
        <v>C</v>
      </c>
      <c r="J24" s="599" t="s">
        <v>118</v>
      </c>
      <c r="K24" s="615">
        <f>VLOOKUP(Table1[[#This Row],[الرقم الوظيفي]],[1]Sheet2!$1:$1048576,13,)</f>
        <v>39052</v>
      </c>
      <c r="L24" s="615">
        <v>43830</v>
      </c>
      <c r="M24" s="599">
        <f>DATEDIF(Table1[[#This Row],[تاريخ التعيين]],Table1[[#This Row],[اخر العام]],"y")</f>
        <v>13</v>
      </c>
      <c r="N24" s="599">
        <f>DATEDIF(Table1[[#This Row],[تاريخ التعيين]],Table1[[#This Row],[اخر العام]],"ym")</f>
        <v>0</v>
      </c>
      <c r="O24" s="610">
        <f>Table1[[#This Row],[سنوات الخدمه]]*1+Table1[[#This Row],[الشهور اقل من سنه]]*0.08</f>
        <v>13</v>
      </c>
      <c r="P24" s="616">
        <v>13790</v>
      </c>
      <c r="Q24" s="617">
        <v>3309.6</v>
      </c>
      <c r="R24" s="612"/>
      <c r="S24" s="599"/>
      <c r="T24" s="612"/>
      <c r="U24" s="612"/>
      <c r="V24" s="612"/>
      <c r="W24" s="612"/>
      <c r="X24" s="612"/>
      <c r="Y24" s="612"/>
      <c r="Z24" s="612"/>
      <c r="AA2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" s="612"/>
      <c r="AC24" s="599"/>
      <c r="AD24" s="612"/>
      <c r="AE24" s="612"/>
      <c r="AF24" s="612"/>
      <c r="AG24" s="612"/>
      <c r="AH24" s="619">
        <f>SUM(Table1[[#This Row],[التقييد  باللوائح و تنفيذالتوجيه]:[اتباع اجراءات السلامه]])</f>
        <v>0</v>
      </c>
      <c r="AI24" s="619">
        <f>Table1[[#This Row],[المجموع]]+Table1[[#This Row],[المجموع2]]</f>
        <v>0</v>
      </c>
      <c r="AJ24" s="612"/>
      <c r="AK24" s="612"/>
      <c r="AL24" s="612"/>
      <c r="AM24" s="612"/>
      <c r="AN24" s="612"/>
      <c r="AO24" s="606">
        <f>Table1[[#This Row],[المجموع 1+2]]*$AO$2</f>
        <v>0</v>
      </c>
      <c r="AP24" s="648">
        <f>Table1[[#This Row],[راتب ديسمبر 2019]]*Table1[[#This Row],[نسبه التقييم الرئيسي 2018]]%</f>
        <v>0</v>
      </c>
      <c r="AQ24" s="627">
        <f>Table1[[#This Row],[مبلغ التقييم النسبي 2018]]+Table1[[#This Row],[راتب ديسمبر 2019]]</f>
        <v>13790</v>
      </c>
      <c r="AR24" s="611">
        <f>IF(Table1[[#This Row],[Column3]]&lt;0,0,Table1[[#This Row],[Column3]])</f>
        <v>21210</v>
      </c>
      <c r="AS24" s="599">
        <f>VLOOKUP(Table1[[#This Row],[درجه التوسيط]],Table10[],3,)</f>
        <v>35000</v>
      </c>
      <c r="AT24" s="608">
        <f>Table1[[#This Row],[الراتب 2018+النسبه]]+Table1[[#This Row],[فروقات الحد الادني]]</f>
        <v>35000</v>
      </c>
      <c r="AU24" s="629">
        <f>Table1[[#This Row],[الراتب 2018 + النسبه + الفرق]]-Table1[[#This Row],[راتب ديسمبر 2019]]</f>
        <v>21210</v>
      </c>
      <c r="AV24" s="628">
        <f>Table1[[#This Row],[الزياده]]/Table1[[#This Row],[راتب ديسمبر 2019]]%</f>
        <v>153.80710659898477</v>
      </c>
      <c r="AW24" s="659">
        <f>IF(Table1[[#This Row],[Column4]]&lt;0,0,Table1[[#This Row],[Column4]])</f>
        <v>0</v>
      </c>
      <c r="AX24" s="611">
        <f>Table1[[#This Row],[الجبر حتي]]-Table1[[#This Row],[رن]]</f>
        <v>0</v>
      </c>
      <c r="AY24" s="611">
        <f>Table1[[#This Row],[الزياده]]+Table1[[#This Row],[التعديل]]+Table1[[#This Row],[جبر الرقم]]</f>
        <v>21210</v>
      </c>
      <c r="AZ24" s="611">
        <f>Table1[[#This Row],[الراتب 2018 + النسبه + الفرق]]+Table1[[#This Row],[جبر الرقم]]+Table1[[#This Row],[التعديل]]</f>
        <v>35000</v>
      </c>
      <c r="BA24" s="631">
        <f>Table1[[#This Row],[الزياده النهائيه]]/Table1[[#This Row],[راتب ديسمبر 2019]]%</f>
        <v>153.80710659898477</v>
      </c>
      <c r="BB24" s="612">
        <f>VLOOKUP(Table1[[#This Row],[الرقم الوظيفي]],Table6[],8,)</f>
        <v>13790</v>
      </c>
      <c r="BC24" s="7"/>
      <c r="BD24" s="7">
        <v>25000</v>
      </c>
      <c r="BE24" s="7">
        <v>25000</v>
      </c>
      <c r="BF24" s="5">
        <f>Table1[[#This Row],[الحد الادني]]-Table1[[#This Row],[الراتب 2018+النسبه]]</f>
        <v>21210</v>
      </c>
      <c r="BG24" s="5">
        <f>Table1[[#This Row],[التعديل حتي]]-Table1[[#This Row],[kkk]]</f>
        <v>-25000</v>
      </c>
      <c r="BH24" s="5">
        <v>25000</v>
      </c>
      <c r="BI24" s="5">
        <f>IF(Table1[[#This Row],[Column4]]&lt;0,0,Table1[[#This Row],[Column4]])</f>
        <v>0</v>
      </c>
    </row>
    <row r="25" spans="1:61" ht="21" customHeight="1">
      <c r="A25" s="602">
        <v>39</v>
      </c>
      <c r="B25" s="618" t="str">
        <f>VLOOKUP(Table1[[#This Row],[الرقم الوظيفي]],[1]Sheet2!$1:$1048576,2,)</f>
        <v>ابوالقاسم محمد احمد جبريل</v>
      </c>
      <c r="C25" s="618" t="str">
        <f>VLOOKUP(Table1[[#This Row],[الرقم الوظيفي]],[1]Sheet2!$1:$1048576,7,)</f>
        <v>المصنع</v>
      </c>
      <c r="D25" s="618" t="str">
        <f>VLOOKUP(Table1[[#This Row],[الرقم الوظيفي]],[1]Sheet2!$1:$1048576,8,)</f>
        <v>الكهرباء</v>
      </c>
      <c r="E25" s="599" t="str">
        <f>VLOOKUP(Table1[[#This Row],[الرقم الوظيفي]],[1]Sheet2!$1:$1048576,9,)</f>
        <v>كهرباء عامه</v>
      </c>
      <c r="F25" s="599" t="str">
        <f>VLOOKUP(Table1[[#This Row],[الرقم الوظيفي]],[1]Sheet2!$1:$1048576,12,)</f>
        <v>فنى كهرباء</v>
      </c>
      <c r="G25" s="599" t="str">
        <f>VLOOKUP(Table1[[#This Row],[الرقم الوظيفي]],[1]Sheet2!$1:$1048576,72,)</f>
        <v>شهاده كورس</v>
      </c>
      <c r="H25" s="599" t="str">
        <f>VLOOKUP(Table1[[#This Row],[الرقم الوظيفي]],[1]Sheet2!$1:$1048576,71,)</f>
        <v>حاسوب</v>
      </c>
      <c r="I25" s="599" t="str">
        <f>VLOOKUP(Table1[[#This Row],[المؤهل الرئيسي]],Table4[],3,)</f>
        <v>F</v>
      </c>
      <c r="J25" s="599" t="s">
        <v>494</v>
      </c>
      <c r="K25" s="615">
        <f>VLOOKUP(Table1[[#This Row],[الرقم الوظيفي]],[1]Sheet2!$1:$1048576,13,)</f>
        <v>39052</v>
      </c>
      <c r="L25" s="615">
        <v>43830</v>
      </c>
      <c r="M25" s="599">
        <f>DATEDIF(Table1[[#This Row],[تاريخ التعيين]],Table1[[#This Row],[اخر العام]],"y")</f>
        <v>13</v>
      </c>
      <c r="N25" s="599">
        <f>DATEDIF(Table1[[#This Row],[تاريخ التعيين]],Table1[[#This Row],[اخر العام]],"ym")</f>
        <v>0</v>
      </c>
      <c r="O25" s="610">
        <f>Table1[[#This Row],[سنوات الخدمه]]*1+Table1[[#This Row],[الشهور اقل من سنه]]*0.08</f>
        <v>13</v>
      </c>
      <c r="P25" s="616">
        <v>6040</v>
      </c>
      <c r="Q25" s="617">
        <v>1449.6</v>
      </c>
      <c r="R25" s="612"/>
      <c r="S25" s="599"/>
      <c r="T25" s="612"/>
      <c r="U25" s="612"/>
      <c r="V25" s="612"/>
      <c r="W25" s="612"/>
      <c r="X25" s="612"/>
      <c r="Y25" s="612"/>
      <c r="Z25" s="612"/>
      <c r="AA2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" s="612"/>
      <c r="AC25" s="599"/>
      <c r="AD25" s="612"/>
      <c r="AE25" s="612"/>
      <c r="AF25" s="612"/>
      <c r="AG25" s="612"/>
      <c r="AH25" s="619">
        <f>SUM(Table1[[#This Row],[التقييد  باللوائح و تنفيذالتوجيه]:[اتباع اجراءات السلامه]])</f>
        <v>0</v>
      </c>
      <c r="AI25" s="619">
        <f>Table1[[#This Row],[المجموع]]+Table1[[#This Row],[المجموع2]]</f>
        <v>0</v>
      </c>
      <c r="AJ25" s="612">
        <v>10</v>
      </c>
      <c r="AK25" s="612"/>
      <c r="AL25" s="612"/>
      <c r="AM25" s="612"/>
      <c r="AN25" s="612"/>
      <c r="AO25" s="606">
        <f>Table1[[#This Row],[المجموع 1+2]]*$AO$2</f>
        <v>0</v>
      </c>
      <c r="AP25" s="648">
        <f>Table1[[#This Row],[راتب ديسمبر 2019]]*Table1[[#This Row],[نسبه التقييم الرئيسي 2018]]%</f>
        <v>0</v>
      </c>
      <c r="AQ25" s="627">
        <f>Table1[[#This Row],[مبلغ التقييم النسبي 2018]]+Table1[[#This Row],[راتب ديسمبر 2019]]</f>
        <v>6040</v>
      </c>
      <c r="AR25" s="611">
        <f>IF(Table1[[#This Row],[Column3]]&lt;0,0,Table1[[#This Row],[Column3]])</f>
        <v>8960</v>
      </c>
      <c r="AS25" s="599">
        <f>VLOOKUP(Table1[[#This Row],[درجه التوسيط]],Table10[],3,)</f>
        <v>15000</v>
      </c>
      <c r="AT25" s="608">
        <f>Table1[[#This Row],[الراتب 2018+النسبه]]+Table1[[#This Row],[فروقات الحد الادني]]</f>
        <v>15000</v>
      </c>
      <c r="AU25" s="629">
        <f>Table1[[#This Row],[الراتب 2018 + النسبه + الفرق]]-Table1[[#This Row],[راتب ديسمبر 2019]]</f>
        <v>8960</v>
      </c>
      <c r="AV25" s="628">
        <f>Table1[[#This Row],[الزياده]]/Table1[[#This Row],[راتب ديسمبر 2019]]%</f>
        <v>148.34437086092714</v>
      </c>
      <c r="AW25" s="659">
        <f>IF(Table1[[#This Row],[Column4]]&lt;0,0,Table1[[#This Row],[Column4]])</f>
        <v>0</v>
      </c>
      <c r="AX25" s="611">
        <f>Table1[[#This Row],[الجبر حتي]]-Table1[[#This Row],[رن]]</f>
        <v>0</v>
      </c>
      <c r="AY25" s="611">
        <f>Table1[[#This Row],[الزياده]]+Table1[[#This Row],[التعديل]]+Table1[[#This Row],[جبر الرقم]]</f>
        <v>8960</v>
      </c>
      <c r="AZ25" s="611">
        <f>Table1[[#This Row],[الراتب 2018 + النسبه + الفرق]]+Table1[[#This Row],[جبر الرقم]]+Table1[[#This Row],[التعديل]]</f>
        <v>15000</v>
      </c>
      <c r="BA25" s="631">
        <f>Table1[[#This Row],[الزياده النهائيه]]/Table1[[#This Row],[راتب ديسمبر 2019]]%</f>
        <v>148.34437086092714</v>
      </c>
      <c r="BB25" s="612">
        <f>VLOOKUP(Table1[[#This Row],[الرقم الوظيفي]],Table6[],8,)</f>
        <v>6040</v>
      </c>
      <c r="BC25" s="7"/>
      <c r="BD25" s="7">
        <v>10000</v>
      </c>
      <c r="BE25" s="7">
        <v>10000</v>
      </c>
      <c r="BF25" s="5">
        <f>Table1[[#This Row],[الحد الادني]]-Table1[[#This Row],[الراتب 2018+النسبه]]</f>
        <v>8960</v>
      </c>
      <c r="BG25" s="5">
        <f>Table1[[#This Row],[التعديل حتي]]-Table1[[#This Row],[kkk]]</f>
        <v>-10000</v>
      </c>
      <c r="BH25" s="5">
        <v>10000</v>
      </c>
      <c r="BI25" s="5">
        <f>IF(Table1[[#This Row],[Column4]]&lt;0,0,Table1[[#This Row],[Column4]])</f>
        <v>0</v>
      </c>
    </row>
    <row r="26" spans="1:61" ht="21" customHeight="1">
      <c r="A26" s="602">
        <v>40</v>
      </c>
      <c r="B26" s="618" t="str">
        <f>VLOOKUP(Table1[[#This Row],[الرقم الوظيفي]],[1]Sheet2!$1:$1048576,2,)</f>
        <v>تاج الدين على عبداللطيف سعيد</v>
      </c>
      <c r="C26" s="618" t="str">
        <f>VLOOKUP(Table1[[#This Row],[الرقم الوظيفي]],[1]Sheet2!$1:$1048576,7,)</f>
        <v>المصنع</v>
      </c>
      <c r="D26" s="618" t="str">
        <f>VLOOKUP(Table1[[#This Row],[الرقم الوظيفي]],[1]Sheet2!$1:$1048576,8,)</f>
        <v>الكهرباء</v>
      </c>
      <c r="E26" s="599" t="str">
        <f>VLOOKUP(Table1[[#This Row],[الرقم الوظيفي]],[1]Sheet2!$1:$1048576,9,)</f>
        <v>كهرباء عامه</v>
      </c>
      <c r="F26" s="599" t="str">
        <f>VLOOKUP(Table1[[#This Row],[الرقم الوظيفي]],[1]Sheet2!$1:$1048576,12,)</f>
        <v>فنى كهرباء</v>
      </c>
      <c r="G26" s="599" t="str">
        <f>VLOOKUP(Table1[[#This Row],[الرقم الوظيفي]],[1]Sheet2!$1:$1048576,72,)</f>
        <v>تدريب مهني</v>
      </c>
      <c r="H26" s="599" t="str">
        <f>VLOOKUP(Table1[[#This Row],[الرقم الوظيفي]],[1]Sheet2!$1:$1048576,71,)</f>
        <v>كهرباء عامة</v>
      </c>
      <c r="I26" s="599" t="str">
        <f>VLOOKUP(Table1[[#This Row],[المؤهل الرئيسي]],Table4[],3,)</f>
        <v>F</v>
      </c>
      <c r="J26" s="599" t="s">
        <v>923</v>
      </c>
      <c r="K26" s="615">
        <f>VLOOKUP(Table1[[#This Row],[الرقم الوظيفي]],[1]Sheet2!$1:$1048576,13,)</f>
        <v>39052</v>
      </c>
      <c r="L26" s="615">
        <v>43830</v>
      </c>
      <c r="M26" s="599">
        <f>DATEDIF(Table1[[#This Row],[تاريخ التعيين]],Table1[[#This Row],[اخر العام]],"y")</f>
        <v>13</v>
      </c>
      <c r="N26" s="599">
        <f>DATEDIF(Table1[[#This Row],[تاريخ التعيين]],Table1[[#This Row],[اخر العام]],"ym")</f>
        <v>0</v>
      </c>
      <c r="O26" s="610">
        <f>Table1[[#This Row],[سنوات الخدمه]]*1+Table1[[#This Row],[الشهور اقل من سنه]]*0.08</f>
        <v>13</v>
      </c>
      <c r="P26" s="616">
        <v>4580</v>
      </c>
      <c r="Q26" s="617">
        <v>1099.2</v>
      </c>
      <c r="R26" s="612"/>
      <c r="S26" s="599"/>
      <c r="T26" s="612"/>
      <c r="U26" s="612"/>
      <c r="V26" s="612"/>
      <c r="W26" s="612"/>
      <c r="X26" s="612"/>
      <c r="Y26" s="612"/>
      <c r="Z26" s="612"/>
      <c r="AA2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" s="612"/>
      <c r="AC26" s="599"/>
      <c r="AD26" s="612"/>
      <c r="AE26" s="612"/>
      <c r="AF26" s="612"/>
      <c r="AG26" s="612"/>
      <c r="AH26" s="619">
        <f>SUM(Table1[[#This Row],[التقييد  باللوائح و تنفيذالتوجيه]:[اتباع اجراءات السلامه]])</f>
        <v>0</v>
      </c>
      <c r="AI26" s="619">
        <f>Table1[[#This Row],[المجموع]]+Table1[[#This Row],[المجموع2]]</f>
        <v>0</v>
      </c>
      <c r="AJ26" s="612">
        <v>10</v>
      </c>
      <c r="AK26" s="612"/>
      <c r="AL26" s="612"/>
      <c r="AM26" s="612"/>
      <c r="AN26" s="612"/>
      <c r="AO26" s="606">
        <f>Table1[[#This Row],[المجموع 1+2]]*$AO$2</f>
        <v>0</v>
      </c>
      <c r="AP26" s="648">
        <f>Table1[[#This Row],[راتب ديسمبر 2019]]*Table1[[#This Row],[نسبه التقييم الرئيسي 2018]]%</f>
        <v>0</v>
      </c>
      <c r="AQ26" s="627">
        <f>Table1[[#This Row],[مبلغ التقييم النسبي 2018]]+Table1[[#This Row],[راتب ديسمبر 2019]]</f>
        <v>4580</v>
      </c>
      <c r="AR26" s="611">
        <f>IF(Table1[[#This Row],[Column3]]&lt;0,0,Table1[[#This Row],[Column3]])</f>
        <v>5420</v>
      </c>
      <c r="AS26" s="599">
        <f>VLOOKUP(Table1[[#This Row],[درجه التوسيط]],Table10[],3,)</f>
        <v>10000</v>
      </c>
      <c r="AT26" s="608">
        <f>Table1[[#This Row],[الراتب 2018+النسبه]]+Table1[[#This Row],[فروقات الحد الادني]]</f>
        <v>10000</v>
      </c>
      <c r="AU26" s="629">
        <f>Table1[[#This Row],[الراتب 2018 + النسبه + الفرق]]-Table1[[#This Row],[راتب ديسمبر 2019]]</f>
        <v>5420</v>
      </c>
      <c r="AV26" s="628">
        <f>Table1[[#This Row],[الزياده]]/Table1[[#This Row],[راتب ديسمبر 2019]]%</f>
        <v>118.34061135371179</v>
      </c>
      <c r="AW26" s="659">
        <f>IF(Table1[[#This Row],[Column4]]&lt;0,0,Table1[[#This Row],[Column4]])</f>
        <v>281.92000000000007</v>
      </c>
      <c r="AX26" s="611">
        <f>Table1[[#This Row],[الجبر حتي]]-Table1[[#This Row],[رن]]</f>
        <v>0</v>
      </c>
      <c r="AY26" s="611">
        <f>Table1[[#This Row],[الزياده]]+Table1[[#This Row],[التعديل]]+Table1[[#This Row],[جبر الرقم]]</f>
        <v>5701.92</v>
      </c>
      <c r="AZ26" s="611">
        <f>Table1[[#This Row],[الراتب 2018 + النسبه + الفرق]]+Table1[[#This Row],[جبر الرقم]]+Table1[[#This Row],[التعديل]]</f>
        <v>10281.92</v>
      </c>
      <c r="BA26" s="631">
        <f>Table1[[#This Row],[الزياده النهائيه]]/Table1[[#This Row],[راتب ديسمبر 2019]]%</f>
        <v>124.49606986899565</v>
      </c>
      <c r="BB26" s="612">
        <f>VLOOKUP(Table1[[#This Row],[الرقم الوظيفي]],Table6[],8,)</f>
        <v>4580</v>
      </c>
      <c r="BC26" s="7">
        <v>7500</v>
      </c>
      <c r="BD26" s="7">
        <v>7500</v>
      </c>
      <c r="BE26" s="7">
        <v>7500</v>
      </c>
      <c r="BF26" s="5">
        <f>Table1[[#This Row],[الحد الادني]]-Table1[[#This Row],[الراتب 2018+النسبه]]</f>
        <v>5420</v>
      </c>
      <c r="BG26" s="5">
        <f>Table1[[#This Row],[التعديل حتي]]-Table1[[#This Row],[kkk]]</f>
        <v>281.92000000000007</v>
      </c>
      <c r="BH26" s="5">
        <v>7218.08</v>
      </c>
      <c r="BI26" s="5">
        <f>IF(Table1[[#This Row],[Column4]]&lt;0,0,Table1[[#This Row],[Column4]])</f>
        <v>281.92000000000007</v>
      </c>
    </row>
    <row r="27" spans="1:61" ht="21" customHeight="1">
      <c r="A27" s="602">
        <v>42</v>
      </c>
      <c r="B27" s="618" t="str">
        <f>VLOOKUP(Table1[[#This Row],[الرقم الوظيفي]],[1]Sheet2!$1:$1048576,2,)</f>
        <v>المهل العوض مبارك على</v>
      </c>
      <c r="C27" s="618" t="str">
        <f>VLOOKUP(Table1[[#This Row],[الرقم الوظيفي]],[1]Sheet2!$1:$1048576,7,)</f>
        <v>المصنع</v>
      </c>
      <c r="D27" s="618" t="str">
        <f>VLOOKUP(Table1[[#This Row],[الرقم الوظيفي]],[1]Sheet2!$1:$1048576,8,)</f>
        <v>الخدمات</v>
      </c>
      <c r="E27" s="599" t="str">
        <f>VLOOKUP(Table1[[#This Row],[الرقم الوظيفي]],[1]Sheet2!$1:$1048576,9,)</f>
        <v>الكافتريا</v>
      </c>
      <c r="F27" s="599" t="str">
        <f>VLOOKUP(Table1[[#This Row],[الرقم الوظيفي]],[1]Sheet2!$1:$1048576,12,)</f>
        <v>عامل</v>
      </c>
      <c r="G27" s="599">
        <f>VLOOKUP(Table1[[#This Row],[الرقم الوظيفي]],[1]Sheet2!$1:$1048576,72,)</f>
        <v>0</v>
      </c>
      <c r="H27" s="599">
        <f>VLOOKUP(Table1[[#This Row],[الرقم الوظيفي]],[1]Sheet2!$1:$1048576,71,)</f>
        <v>0</v>
      </c>
      <c r="I27" s="599" t="str">
        <f>VLOOKUP(Table1[[#This Row],[المؤهل الرئيسي]],Table4[],3,)</f>
        <v>H</v>
      </c>
      <c r="J27" s="599" t="s">
        <v>929</v>
      </c>
      <c r="K27" s="615">
        <f>VLOOKUP(Table1[[#This Row],[الرقم الوظيفي]],[1]Sheet2!$1:$1048576,13,)</f>
        <v>39088</v>
      </c>
      <c r="L27" s="615">
        <v>43830</v>
      </c>
      <c r="M27" s="599">
        <f>DATEDIF(Table1[[#This Row],[تاريخ التعيين]],Table1[[#This Row],[اخر العام]],"y")</f>
        <v>12</v>
      </c>
      <c r="N27" s="599">
        <f>DATEDIF(Table1[[#This Row],[تاريخ التعيين]],Table1[[#This Row],[اخر العام]],"ym")</f>
        <v>11</v>
      </c>
      <c r="O27" s="610">
        <f>Table1[[#This Row],[سنوات الخدمه]]*1+Table1[[#This Row],[الشهور اقل من سنه]]*0.08</f>
        <v>12.88</v>
      </c>
      <c r="P27" s="616">
        <v>3410</v>
      </c>
      <c r="Q27" s="617">
        <v>810.21600000000001</v>
      </c>
      <c r="R27" s="612"/>
      <c r="S27" s="599"/>
      <c r="T27" s="612"/>
      <c r="U27" s="612"/>
      <c r="V27" s="612"/>
      <c r="W27" s="612"/>
      <c r="X27" s="612"/>
      <c r="Y27" s="612"/>
      <c r="Z27" s="612"/>
      <c r="AA2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" s="612"/>
      <c r="AC27" s="599"/>
      <c r="AD27" s="612"/>
      <c r="AE27" s="612"/>
      <c r="AF27" s="612"/>
      <c r="AG27" s="612"/>
      <c r="AH27" s="619">
        <f>SUM(Table1[[#This Row],[التقييد  باللوائح و تنفيذالتوجيه]:[اتباع اجراءات السلامه]])</f>
        <v>0</v>
      </c>
      <c r="AI27" s="619">
        <f>Table1[[#This Row],[المجموع]]+Table1[[#This Row],[المجموع2]]</f>
        <v>0</v>
      </c>
      <c r="AJ27" s="612"/>
      <c r="AK27" s="612"/>
      <c r="AL27" s="612"/>
      <c r="AM27" s="612"/>
      <c r="AN27" s="612"/>
      <c r="AO27" s="606">
        <f>Table1[[#This Row],[المجموع 1+2]]*$AO$2</f>
        <v>0</v>
      </c>
      <c r="AP27" s="648">
        <f>Table1[[#This Row],[راتب ديسمبر 2019]]*Table1[[#This Row],[نسبه التقييم الرئيسي 2018]]%</f>
        <v>0</v>
      </c>
      <c r="AQ27" s="627">
        <f>Table1[[#This Row],[مبلغ التقييم النسبي 2018]]+Table1[[#This Row],[راتب ديسمبر 2019]]</f>
        <v>3410</v>
      </c>
      <c r="AR27" s="611">
        <f>IF(Table1[[#This Row],[Column3]]&lt;0,0,Table1[[#This Row],[Column3]])</f>
        <v>2590</v>
      </c>
      <c r="AS27" s="599">
        <f>VLOOKUP(Table1[[#This Row],[درجه التوسيط]],Table10[],3,)</f>
        <v>6000</v>
      </c>
      <c r="AT27" s="608">
        <f>Table1[[#This Row],[الراتب 2018+النسبه]]+Table1[[#This Row],[فروقات الحد الادني]]</f>
        <v>6000</v>
      </c>
      <c r="AU27" s="629">
        <f>Table1[[#This Row],[الراتب 2018 + النسبه + الفرق]]-Table1[[#This Row],[راتب ديسمبر 2019]]</f>
        <v>2590</v>
      </c>
      <c r="AV27" s="628">
        <f>Table1[[#This Row],[الزياده]]/Table1[[#This Row],[راتب ديسمبر 2019]]%</f>
        <v>75.953079178885631</v>
      </c>
      <c r="AW27" s="659">
        <f>IF(Table1[[#This Row],[Column4]]&lt;0,0,Table1[[#This Row],[Column4]])</f>
        <v>0</v>
      </c>
      <c r="AX27" s="611">
        <f>Table1[[#This Row],[الجبر حتي]]-Table1[[#This Row],[رن]]</f>
        <v>5.3800000000001091</v>
      </c>
      <c r="AY27" s="611">
        <f>Table1[[#This Row],[الزياده]]+Table1[[#This Row],[التعديل]]+Table1[[#This Row],[جبر الرقم]]</f>
        <v>2595.38</v>
      </c>
      <c r="AZ27" s="611">
        <f>Table1[[#This Row],[الراتب 2018 + النسبه + الفرق]]+Table1[[#This Row],[جبر الرقم]]+Table1[[#This Row],[التعديل]]</f>
        <v>6005.38</v>
      </c>
      <c r="BA27" s="631">
        <f>Table1[[#This Row],[الزياده النهائيه]]/Table1[[#This Row],[راتب ديسمبر 2019]]%</f>
        <v>76.110850439882697</v>
      </c>
      <c r="BB27" s="612">
        <f>VLOOKUP(Table1[[#This Row],[الرقم الوظيفي]],Table6[],8,)</f>
        <v>3410</v>
      </c>
      <c r="BC27" s="7"/>
      <c r="BD27" s="7">
        <v>5400</v>
      </c>
      <c r="BE27" s="7">
        <v>5394.62</v>
      </c>
      <c r="BF27" s="5">
        <f>Table1[[#This Row],[الحد الادني]]-Table1[[#This Row],[الراتب 2018+النسبه]]</f>
        <v>2590</v>
      </c>
      <c r="BG27" s="5">
        <f>Table1[[#This Row],[التعديل حتي]]-Table1[[#This Row],[kkk]]</f>
        <v>-5394.62</v>
      </c>
      <c r="BH27" s="5">
        <v>5394.62</v>
      </c>
      <c r="BI27" s="5">
        <f>IF(Table1[[#This Row],[Column4]]&lt;0,0,Table1[[#This Row],[Column4]])</f>
        <v>0</v>
      </c>
    </row>
    <row r="28" spans="1:61" ht="21" customHeight="1">
      <c r="A28" s="602">
        <v>43</v>
      </c>
      <c r="B28" s="618" t="str">
        <f>VLOOKUP(Table1[[#This Row],[الرقم الوظيفي]],[1]Sheet2!$1:$1048576,2,)</f>
        <v>عبدالرحمن عبدالله عبدالكبير ابراهيم</v>
      </c>
      <c r="C28" s="618" t="str">
        <f>VLOOKUP(Table1[[#This Row],[الرقم الوظيفي]],[1]Sheet2!$1:$1048576,7,)</f>
        <v>المصنع</v>
      </c>
      <c r="D28" s="618" t="str">
        <f>VLOOKUP(Table1[[#This Row],[الرقم الوظيفي]],[1]Sheet2!$1:$1048576,8,)</f>
        <v>الخدمات</v>
      </c>
      <c r="E28" s="599" t="str">
        <f>VLOOKUP(Table1[[#This Row],[الرقم الوظيفي]],[1]Sheet2!$1:$1048576,9,)</f>
        <v>البوفيه</v>
      </c>
      <c r="F28" s="599" t="str">
        <f>VLOOKUP(Table1[[#This Row],[الرقم الوظيفي]],[1]Sheet2!$1:$1048576,12,)</f>
        <v>عامل</v>
      </c>
      <c r="G28" s="599">
        <f>VLOOKUP(Table1[[#This Row],[الرقم الوظيفي]],[1]Sheet2!$1:$1048576,72,)</f>
        <v>0</v>
      </c>
      <c r="H28" s="599">
        <f>VLOOKUP(Table1[[#This Row],[الرقم الوظيفي]],[1]Sheet2!$1:$1048576,71,)</f>
        <v>0</v>
      </c>
      <c r="I28" s="599" t="str">
        <f>VLOOKUP(Table1[[#This Row],[المؤهل الرئيسي]],Table4[],3,)</f>
        <v>H</v>
      </c>
      <c r="J28" s="599" t="s">
        <v>928</v>
      </c>
      <c r="K28" s="615">
        <f>VLOOKUP(Table1[[#This Row],[الرقم الوظيفي]],[1]Sheet2!$1:$1048576,13,)</f>
        <v>42045</v>
      </c>
      <c r="L28" s="615">
        <v>43830</v>
      </c>
      <c r="M28" s="599">
        <f>DATEDIF(Table1[[#This Row],[تاريخ التعيين]],Table1[[#This Row],[اخر العام]],"y")</f>
        <v>4</v>
      </c>
      <c r="N28" s="599">
        <f>DATEDIF(Table1[[#This Row],[تاريخ التعيين]],Table1[[#This Row],[اخر العام]],"ym")</f>
        <v>10</v>
      </c>
      <c r="O28" s="610">
        <f>Table1[[#This Row],[سنوات الخدمه]]*1+Table1[[#This Row],[الشهور اقل من سنه]]*0.08</f>
        <v>4.8</v>
      </c>
      <c r="P28" s="616">
        <v>4110</v>
      </c>
      <c r="Q28" s="617">
        <v>312.36</v>
      </c>
      <c r="R28" s="612"/>
      <c r="S28" s="599"/>
      <c r="T28" s="612"/>
      <c r="U28" s="612"/>
      <c r="V28" s="612"/>
      <c r="W28" s="612"/>
      <c r="X28" s="612"/>
      <c r="Y28" s="612"/>
      <c r="Z28" s="612"/>
      <c r="AA2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" s="612"/>
      <c r="AC28" s="599"/>
      <c r="AD28" s="612"/>
      <c r="AE28" s="612"/>
      <c r="AF28" s="612"/>
      <c r="AG28" s="612"/>
      <c r="AH28" s="619">
        <f>SUM(Table1[[#This Row],[التقييد  باللوائح و تنفيذالتوجيه]:[اتباع اجراءات السلامه]])</f>
        <v>0</v>
      </c>
      <c r="AI28" s="619">
        <f>Table1[[#This Row],[المجموع]]+Table1[[#This Row],[المجموع2]]</f>
        <v>0</v>
      </c>
      <c r="AJ28" s="612"/>
      <c r="AK28" s="612"/>
      <c r="AL28" s="612"/>
      <c r="AM28" s="612"/>
      <c r="AN28" s="612"/>
      <c r="AO28" s="606">
        <f>Table1[[#This Row],[المجموع 1+2]]*$AO$2</f>
        <v>0</v>
      </c>
      <c r="AP28" s="648">
        <f>Table1[[#This Row],[راتب ديسمبر 2019]]*Table1[[#This Row],[نسبه التقييم الرئيسي 2018]]%</f>
        <v>0</v>
      </c>
      <c r="AQ28" s="627">
        <f>Table1[[#This Row],[مبلغ التقييم النسبي 2018]]+Table1[[#This Row],[راتب ديسمبر 2019]]</f>
        <v>4110</v>
      </c>
      <c r="AR28" s="611">
        <f>IF(Table1[[#This Row],[Column3]]&lt;0,0,Table1[[#This Row],[Column3]])</f>
        <v>2890</v>
      </c>
      <c r="AS28" s="599">
        <f>VLOOKUP(Table1[[#This Row],[درجه التوسيط]],Table10[],3,)</f>
        <v>7000</v>
      </c>
      <c r="AT28" s="608">
        <f>Table1[[#This Row],[الراتب 2018+النسبه]]+Table1[[#This Row],[فروقات الحد الادني]]</f>
        <v>7000</v>
      </c>
      <c r="AU28" s="629">
        <f>Table1[[#This Row],[الراتب 2018 + النسبه + الفرق]]-Table1[[#This Row],[راتب ديسمبر 2019]]</f>
        <v>2890</v>
      </c>
      <c r="AV28" s="628">
        <f>Table1[[#This Row],[الزياده]]/Table1[[#This Row],[راتب ديسمبر 2019]]%</f>
        <v>70.31630170316302</v>
      </c>
      <c r="AW28" s="659">
        <f>IF(Table1[[#This Row],[Column4]]&lt;0,0,Table1[[#This Row],[Column4]])</f>
        <v>0</v>
      </c>
      <c r="AX28" s="611">
        <f>Table1[[#This Row],[الجبر حتي]]-Table1[[#This Row],[رن]]</f>
        <v>9.2399999999997817</v>
      </c>
      <c r="AY28" s="611">
        <f>Table1[[#This Row],[الزياده]]+Table1[[#This Row],[التعديل]]+Table1[[#This Row],[جبر الرقم]]</f>
        <v>2899.24</v>
      </c>
      <c r="AZ28" s="611">
        <f>Table1[[#This Row],[الراتب 2018 + النسبه + الفرق]]+Table1[[#This Row],[جبر الرقم]]+Table1[[#This Row],[التعديل]]</f>
        <v>7009.24</v>
      </c>
      <c r="BA28" s="631">
        <f>Table1[[#This Row],[الزياده النهائيه]]/Table1[[#This Row],[راتب ديسمبر 2019]]%</f>
        <v>70.541119221411179</v>
      </c>
      <c r="BB28" s="612">
        <f>VLOOKUP(Table1[[#This Row],[الرقم الوظيفي]],Table6[],8,)</f>
        <v>4110</v>
      </c>
      <c r="BC28" s="7"/>
      <c r="BD28" s="7">
        <v>6240</v>
      </c>
      <c r="BE28" s="7">
        <v>6230.76</v>
      </c>
      <c r="BF28" s="5">
        <f>Table1[[#This Row],[الحد الادني]]-Table1[[#This Row],[الراتب 2018+النسبه]]</f>
        <v>2890</v>
      </c>
      <c r="BG28" s="5">
        <f>Table1[[#This Row],[التعديل حتي]]-Table1[[#This Row],[kkk]]</f>
        <v>-6230.76</v>
      </c>
      <c r="BH28" s="5">
        <v>6230.76</v>
      </c>
      <c r="BI28" s="5">
        <f>IF(Table1[[#This Row],[Column4]]&lt;0,0,Table1[[#This Row],[Column4]])</f>
        <v>0</v>
      </c>
    </row>
    <row r="29" spans="1:61" ht="21" customHeight="1">
      <c r="A29" s="602">
        <v>45</v>
      </c>
      <c r="B29" s="618" t="str">
        <f>VLOOKUP(Table1[[#This Row],[الرقم الوظيفي]],[1]Sheet2!$1:$1048576,2,)</f>
        <v>طه احمد محمد ابراهيم</v>
      </c>
      <c r="C29" s="618" t="str">
        <f>VLOOKUP(Table1[[#This Row],[الرقم الوظيفي]],[1]Sheet2!$1:$1048576,7,)</f>
        <v>المصنع</v>
      </c>
      <c r="D29" s="618" t="str">
        <f>VLOOKUP(Table1[[#This Row],[الرقم الوظيفي]],[1]Sheet2!$1:$1048576,8,)</f>
        <v>الخدمات</v>
      </c>
      <c r="E29" s="599" t="str">
        <f>VLOOKUP(Table1[[#This Row],[الرقم الوظيفي]],[1]Sheet2!$1:$1048576,9,)</f>
        <v>الكافتريا</v>
      </c>
      <c r="F29" s="599" t="str">
        <f>VLOOKUP(Table1[[#This Row],[الرقم الوظيفي]],[1]Sheet2!$1:$1048576,12,)</f>
        <v>عامل</v>
      </c>
      <c r="G29" s="599">
        <f>VLOOKUP(Table1[[#This Row],[الرقم الوظيفي]],[1]Sheet2!$1:$1048576,72,)</f>
        <v>0</v>
      </c>
      <c r="H29" s="599">
        <f>VLOOKUP(Table1[[#This Row],[الرقم الوظيفي]],[1]Sheet2!$1:$1048576,71,)</f>
        <v>0</v>
      </c>
      <c r="I29" s="599" t="str">
        <f>VLOOKUP(Table1[[#This Row],[المؤهل الرئيسي]],Table4[],3,)</f>
        <v>H</v>
      </c>
      <c r="J29" s="599" t="s">
        <v>926</v>
      </c>
      <c r="K29" s="615">
        <f>VLOOKUP(Table1[[#This Row],[الرقم الوظيفي]],[1]Sheet2!$1:$1048576,13,)</f>
        <v>39120</v>
      </c>
      <c r="L29" s="615">
        <v>43830</v>
      </c>
      <c r="M29" s="599">
        <f>DATEDIF(Table1[[#This Row],[تاريخ التعيين]],Table1[[#This Row],[اخر العام]],"y")</f>
        <v>12</v>
      </c>
      <c r="N29" s="599">
        <f>DATEDIF(Table1[[#This Row],[تاريخ التعيين]],Table1[[#This Row],[اخر العام]],"ym")</f>
        <v>10</v>
      </c>
      <c r="O29" s="610">
        <f>Table1[[#This Row],[سنوات الخدمه]]*1+Table1[[#This Row],[الشهور اقل من سنه]]*0.08</f>
        <v>12.8</v>
      </c>
      <c r="P29" s="616">
        <v>4440</v>
      </c>
      <c r="Q29" s="617">
        <v>1047.8399999999999</v>
      </c>
      <c r="R29" s="612"/>
      <c r="S29" s="599"/>
      <c r="T29" s="612"/>
      <c r="U29" s="612"/>
      <c r="V29" s="612"/>
      <c r="W29" s="612"/>
      <c r="X29" s="612"/>
      <c r="Y29" s="612"/>
      <c r="Z29" s="612"/>
      <c r="AA2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" s="612"/>
      <c r="AC29" s="599"/>
      <c r="AD29" s="612"/>
      <c r="AE29" s="612"/>
      <c r="AF29" s="612"/>
      <c r="AG29" s="612"/>
      <c r="AH29" s="619">
        <f>SUM(Table1[[#This Row],[التقييد  باللوائح و تنفيذالتوجيه]:[اتباع اجراءات السلامه]])</f>
        <v>0</v>
      </c>
      <c r="AI29" s="619">
        <f>Table1[[#This Row],[المجموع]]+Table1[[#This Row],[المجموع2]]</f>
        <v>0</v>
      </c>
      <c r="AJ29" s="612"/>
      <c r="AK29" s="612"/>
      <c r="AL29" s="612"/>
      <c r="AM29" s="612"/>
      <c r="AN29" s="612"/>
      <c r="AO29" s="606">
        <f>Table1[[#This Row],[المجموع 1+2]]*$AO$2</f>
        <v>0</v>
      </c>
      <c r="AP29" s="648">
        <f>Table1[[#This Row],[راتب ديسمبر 2019]]*Table1[[#This Row],[نسبه التقييم الرئيسي 2018]]%</f>
        <v>0</v>
      </c>
      <c r="AQ29" s="627">
        <f>Table1[[#This Row],[مبلغ التقييم النسبي 2018]]+Table1[[#This Row],[راتب ديسمبر 2019]]</f>
        <v>4440</v>
      </c>
      <c r="AR29" s="611">
        <f>IF(Table1[[#This Row],[Column3]]&lt;0,0,Table1[[#This Row],[Column3]])</f>
        <v>3560</v>
      </c>
      <c r="AS29" s="599">
        <f>VLOOKUP(Table1[[#This Row],[درجه التوسيط]],Table10[],3,)</f>
        <v>8000</v>
      </c>
      <c r="AT29" s="608">
        <f>Table1[[#This Row],[الراتب 2018+النسبه]]+Table1[[#This Row],[فروقات الحد الادني]]</f>
        <v>8000</v>
      </c>
      <c r="AU29" s="629">
        <f>Table1[[#This Row],[الراتب 2018 + النسبه + الفرق]]-Table1[[#This Row],[راتب ديسمبر 2019]]</f>
        <v>3560</v>
      </c>
      <c r="AV29" s="628">
        <f>Table1[[#This Row],[الزياده]]/Table1[[#This Row],[راتب ديسمبر 2019]]%</f>
        <v>80.180180180180187</v>
      </c>
      <c r="AW29" s="659">
        <f>IF(Table1[[#This Row],[Column4]]&lt;0,0,Table1[[#This Row],[Column4]])</f>
        <v>0</v>
      </c>
      <c r="AX29" s="611">
        <f>Table1[[#This Row],[الجبر حتي]]-Table1[[#This Row],[رن]]</f>
        <v>9.2000000000007276</v>
      </c>
      <c r="AY29" s="611">
        <f>Table1[[#This Row],[الزياده]]+Table1[[#This Row],[التعديل]]+Table1[[#This Row],[جبر الرقم]]</f>
        <v>3569.2000000000007</v>
      </c>
      <c r="AZ29" s="611">
        <f>Table1[[#This Row],[الراتب 2018 + النسبه + الفرق]]+Table1[[#This Row],[جبر الرقم]]+Table1[[#This Row],[التعديل]]</f>
        <v>8009.2000000000007</v>
      </c>
      <c r="BA29" s="631">
        <f>Table1[[#This Row],[الزياده النهائيه]]/Table1[[#This Row],[راتب ديسمبر 2019]]%</f>
        <v>80.387387387387406</v>
      </c>
      <c r="BB29" s="612">
        <f>VLOOKUP(Table1[[#This Row],[الرقم الوظيفي]],Table6[],8,)</f>
        <v>4440</v>
      </c>
      <c r="BC29" s="7"/>
      <c r="BD29" s="7">
        <v>6980</v>
      </c>
      <c r="BE29" s="7">
        <v>6970.7999999999993</v>
      </c>
      <c r="BF29" s="5">
        <f>Table1[[#This Row],[الحد الادني]]-Table1[[#This Row],[الراتب 2018+النسبه]]</f>
        <v>3560</v>
      </c>
      <c r="BG29" s="5">
        <f>Table1[[#This Row],[التعديل حتي]]-Table1[[#This Row],[kkk]]</f>
        <v>-6970.7999999999993</v>
      </c>
      <c r="BH29" s="5">
        <v>6970.7999999999993</v>
      </c>
      <c r="BI29" s="5">
        <f>IF(Table1[[#This Row],[Column4]]&lt;0,0,Table1[[#This Row],[Column4]])</f>
        <v>0</v>
      </c>
    </row>
    <row r="30" spans="1:61" ht="21" customHeight="1">
      <c r="A30" s="602">
        <v>47</v>
      </c>
      <c r="B30" s="618" t="str">
        <f>VLOOKUP(Table1[[#This Row],[الرقم الوظيفي]],[1]Sheet2!$1:$1048576,2,)</f>
        <v>نزار خيرى حسن صالح</v>
      </c>
      <c r="C30" s="618" t="str">
        <f>VLOOKUP(Table1[[#This Row],[الرقم الوظيفي]],[1]Sheet2!$1:$1048576,7,)</f>
        <v>المصنع</v>
      </c>
      <c r="D30" s="618" t="str">
        <f>VLOOKUP(Table1[[#This Row],[الرقم الوظيفي]],[1]Sheet2!$1:$1048576,8,)</f>
        <v>الانتاج</v>
      </c>
      <c r="E30" s="599" t="str">
        <f>VLOOKUP(Table1[[#This Row],[الرقم الوظيفي]],[1]Sheet2!$1:$1048576,9,)</f>
        <v>الاشراف</v>
      </c>
      <c r="F30" s="599" t="str">
        <f>VLOOKUP(Table1[[#This Row],[الرقم الوظيفي]],[1]Sheet2!$1:$1048576,12,)</f>
        <v>مشرف ورديه</v>
      </c>
      <c r="G30" s="599">
        <f>VLOOKUP(Table1[[#This Row],[الرقم الوظيفي]],[1]Sheet2!$1:$1048576,72,)</f>
        <v>0</v>
      </c>
      <c r="H30" s="599">
        <f>VLOOKUP(Table1[[#This Row],[الرقم الوظيفي]],[1]Sheet2!$1:$1048576,71,)</f>
        <v>0</v>
      </c>
      <c r="I30" s="599" t="str">
        <f>VLOOKUP(Table1[[#This Row],[المؤهل الرئيسي]],Table4[],3,)</f>
        <v>H</v>
      </c>
      <c r="J30" s="599" t="s">
        <v>492</v>
      </c>
      <c r="K30" s="615">
        <f>VLOOKUP(Table1[[#This Row],[الرقم الوظيفي]],[1]Sheet2!$1:$1048576,13,)</f>
        <v>39486</v>
      </c>
      <c r="L30" s="615">
        <v>43830</v>
      </c>
      <c r="M30" s="599">
        <f>DATEDIF(Table1[[#This Row],[تاريخ التعيين]],Table1[[#This Row],[اخر العام]],"y")</f>
        <v>11</v>
      </c>
      <c r="N30" s="599">
        <f>DATEDIF(Table1[[#This Row],[تاريخ التعيين]],Table1[[#This Row],[اخر العام]],"ym")</f>
        <v>10</v>
      </c>
      <c r="O30" s="610">
        <f>Table1[[#This Row],[سنوات الخدمه]]*1+Table1[[#This Row],[الشهور اقل من سنه]]*0.08</f>
        <v>11.8</v>
      </c>
      <c r="P30" s="616">
        <v>11090</v>
      </c>
      <c r="Q30" s="617">
        <v>2395.44</v>
      </c>
      <c r="R30" s="612"/>
      <c r="S30" s="599"/>
      <c r="T30" s="612"/>
      <c r="U30" s="612"/>
      <c r="V30" s="612"/>
      <c r="W30" s="612"/>
      <c r="X30" s="612"/>
      <c r="Y30" s="612"/>
      <c r="Z30" s="612"/>
      <c r="AA3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" s="612"/>
      <c r="AC30" s="599"/>
      <c r="AD30" s="612"/>
      <c r="AE30" s="612"/>
      <c r="AF30" s="612"/>
      <c r="AG30" s="612"/>
      <c r="AH30" s="619">
        <f>SUM(Table1[[#This Row],[التقييد  باللوائح و تنفيذالتوجيه]:[اتباع اجراءات السلامه]])</f>
        <v>0</v>
      </c>
      <c r="AI30" s="619">
        <f>Table1[[#This Row],[المجموع]]+Table1[[#This Row],[المجموع2]]</f>
        <v>0</v>
      </c>
      <c r="AJ30" s="612"/>
      <c r="AK30" s="612"/>
      <c r="AL30" s="612"/>
      <c r="AM30" s="612"/>
      <c r="AN30" s="612"/>
      <c r="AO30" s="606">
        <f>Table1[[#This Row],[المجموع 1+2]]*$AO$2</f>
        <v>0</v>
      </c>
      <c r="AP30" s="648">
        <f>Table1[[#This Row],[راتب ديسمبر 2019]]*Table1[[#This Row],[نسبه التقييم الرئيسي 2018]]%</f>
        <v>0</v>
      </c>
      <c r="AQ30" s="627">
        <f>Table1[[#This Row],[مبلغ التقييم النسبي 2018]]+Table1[[#This Row],[راتب ديسمبر 2019]]</f>
        <v>11090</v>
      </c>
      <c r="AR30" s="611">
        <f>IF(Table1[[#This Row],[Column3]]&lt;0,0,Table1[[#This Row],[Column3]])</f>
        <v>18910</v>
      </c>
      <c r="AS30" s="599">
        <f>VLOOKUP(Table1[[#This Row],[درجه التوسيط]],Table10[],3,)</f>
        <v>30000</v>
      </c>
      <c r="AT30" s="608">
        <f>Table1[[#This Row],[الراتب 2018+النسبه]]+Table1[[#This Row],[فروقات الحد الادني]]</f>
        <v>30000</v>
      </c>
      <c r="AU30" s="629">
        <f>Table1[[#This Row],[الراتب 2018 + النسبه + الفرق]]-Table1[[#This Row],[راتب ديسمبر 2019]]</f>
        <v>18910</v>
      </c>
      <c r="AV30" s="628">
        <f>Table1[[#This Row],[الزياده]]/Table1[[#This Row],[راتب ديسمبر 2019]]%</f>
        <v>170.51397655545534</v>
      </c>
      <c r="AW30" s="659">
        <f>IF(Table1[[#This Row],[Column4]]&lt;0,0,Table1[[#This Row],[Column4]])</f>
        <v>0</v>
      </c>
      <c r="AX30" s="611">
        <f>Table1[[#This Row],[الجبر حتي]]-Table1[[#This Row],[رن]]</f>
        <v>0</v>
      </c>
      <c r="AY30" s="611">
        <f>Table1[[#This Row],[الزياده]]+Table1[[#This Row],[التعديل]]+Table1[[#This Row],[جبر الرقم]]</f>
        <v>18910</v>
      </c>
      <c r="AZ30" s="611">
        <f>Table1[[#This Row],[الراتب 2018 + النسبه + الفرق]]+Table1[[#This Row],[جبر الرقم]]+Table1[[#This Row],[التعديل]]</f>
        <v>30000</v>
      </c>
      <c r="BA30" s="631">
        <f>Table1[[#This Row],[الزياده النهائيه]]/Table1[[#This Row],[راتب ديسمبر 2019]]%</f>
        <v>170.51397655545534</v>
      </c>
      <c r="BB30" s="612">
        <f>VLOOKUP(Table1[[#This Row],[الرقم الوظيفي]],Table6[],8,)</f>
        <v>11090</v>
      </c>
      <c r="BC30" s="7"/>
      <c r="BD30" s="7">
        <v>20000</v>
      </c>
      <c r="BE30" s="7">
        <v>20000</v>
      </c>
      <c r="BF30" s="5">
        <f>Table1[[#This Row],[الحد الادني]]-Table1[[#This Row],[الراتب 2018+النسبه]]</f>
        <v>18910</v>
      </c>
      <c r="BG30" s="5">
        <f>Table1[[#This Row],[التعديل حتي]]-Table1[[#This Row],[kkk]]</f>
        <v>-20000</v>
      </c>
      <c r="BH30" s="5">
        <v>20000</v>
      </c>
      <c r="BI30" s="5">
        <f>IF(Table1[[#This Row],[Column4]]&lt;0,0,Table1[[#This Row],[Column4]])</f>
        <v>0</v>
      </c>
    </row>
    <row r="31" spans="1:61" ht="21" customHeight="1">
      <c r="A31" s="602">
        <v>51</v>
      </c>
      <c r="B31" s="618" t="str">
        <f>VLOOKUP(Table1[[#This Row],[الرقم الوظيفي]],[1]Sheet2!$1:$1048576,2,)</f>
        <v>عاصم محمد فضل ابراهيم</v>
      </c>
      <c r="C31" s="618" t="str">
        <f>VLOOKUP(Table1[[#This Row],[الرقم الوظيفي]],[1]Sheet2!$1:$1048576,7,)</f>
        <v>المصنع</v>
      </c>
      <c r="D31" s="618" t="str">
        <f>VLOOKUP(Table1[[#This Row],[الرقم الوظيفي]],[1]Sheet2!$1:$1048576,8,)</f>
        <v>الماليه</v>
      </c>
      <c r="E31" s="599" t="str">
        <f>VLOOKUP(Table1[[#This Row],[الرقم الوظيفي]],[1]Sheet2!$1:$1048576,9,)</f>
        <v>الخزنه</v>
      </c>
      <c r="F31" s="599" t="str">
        <f>VLOOKUP(Table1[[#This Row],[الرقم الوظيفي]],[1]Sheet2!$1:$1048576,12,)</f>
        <v>محاسب</v>
      </c>
      <c r="G31" s="599" t="str">
        <f>VLOOKUP(Table1[[#This Row],[الرقم الوظيفي]],[1]Sheet2!$1:$1048576,72,)</f>
        <v>دبلوم تقني</v>
      </c>
      <c r="H31" s="599" t="str">
        <f>VLOOKUP(Table1[[#This Row],[الرقم الوظيفي]],[1]Sheet2!$1:$1048576,71,)</f>
        <v>محاسبة</v>
      </c>
      <c r="I31" s="599" t="str">
        <f>VLOOKUP(Table1[[#This Row],[المؤهل الرئيسي]],Table4[],3,)</f>
        <v>D</v>
      </c>
      <c r="J31" s="599" t="s">
        <v>38</v>
      </c>
      <c r="K31" s="615">
        <f>VLOOKUP(Table1[[#This Row],[الرقم الوظيفي]],[1]Sheet2!$1:$1048576,13,)</f>
        <v>39753</v>
      </c>
      <c r="L31" s="615">
        <v>43830</v>
      </c>
      <c r="M31" s="599">
        <f>DATEDIF(Table1[[#This Row],[تاريخ التعيين]],Table1[[#This Row],[اخر العام]],"y")</f>
        <v>11</v>
      </c>
      <c r="N31" s="599">
        <f>DATEDIF(Table1[[#This Row],[تاريخ التعيين]],Table1[[#This Row],[اخر العام]],"ym")</f>
        <v>1</v>
      </c>
      <c r="O31" s="610">
        <f>Table1[[#This Row],[سنوات الخدمه]]*1+Table1[[#This Row],[الشهور اقل من سنه]]*0.08</f>
        <v>11.08</v>
      </c>
      <c r="P31" s="616">
        <v>5870</v>
      </c>
      <c r="Q31" s="617">
        <v>1183.3920000000001</v>
      </c>
      <c r="R31" s="612"/>
      <c r="S31" s="599"/>
      <c r="T31" s="612"/>
      <c r="U31" s="612"/>
      <c r="V31" s="612"/>
      <c r="W31" s="612"/>
      <c r="X31" s="612"/>
      <c r="Y31" s="612"/>
      <c r="Z31" s="612"/>
      <c r="AA3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" s="612"/>
      <c r="AC31" s="599"/>
      <c r="AD31" s="612"/>
      <c r="AE31" s="612"/>
      <c r="AF31" s="612"/>
      <c r="AG31" s="612"/>
      <c r="AH31" s="619">
        <f>SUM(Table1[[#This Row],[التقييد  باللوائح و تنفيذالتوجيه]:[اتباع اجراءات السلامه]])</f>
        <v>0</v>
      </c>
      <c r="AI31" s="619">
        <f>Table1[[#This Row],[المجموع]]+Table1[[#This Row],[المجموع2]]</f>
        <v>0</v>
      </c>
      <c r="AJ31" s="612">
        <v>9</v>
      </c>
      <c r="AK31" s="612"/>
      <c r="AL31" s="612"/>
      <c r="AM31" s="612">
        <v>8</v>
      </c>
      <c r="AN31" s="612"/>
      <c r="AO31" s="606">
        <f>Table1[[#This Row],[المجموع 1+2]]*$AO$2</f>
        <v>0</v>
      </c>
      <c r="AP31" s="648">
        <f>Table1[[#This Row],[راتب ديسمبر 2019]]*Table1[[#This Row],[نسبه التقييم الرئيسي 2018]]%</f>
        <v>0</v>
      </c>
      <c r="AQ31" s="627">
        <f>Table1[[#This Row],[مبلغ التقييم النسبي 2018]]+Table1[[#This Row],[راتب ديسمبر 2019]]</f>
        <v>5870</v>
      </c>
      <c r="AR31" s="611">
        <f>IF(Table1[[#This Row],[Column3]]&lt;0,0,Table1[[#This Row],[Column3]])</f>
        <v>11130</v>
      </c>
      <c r="AS31" s="599">
        <f>VLOOKUP(Table1[[#This Row],[درجه التوسيط]],Table10[],3,)</f>
        <v>17000</v>
      </c>
      <c r="AT31" s="608">
        <f>Table1[[#This Row],[الراتب 2018+النسبه]]+Table1[[#This Row],[فروقات الحد الادني]]</f>
        <v>17000</v>
      </c>
      <c r="AU31" s="629">
        <f>Table1[[#This Row],[الراتب 2018 + النسبه + الفرق]]-Table1[[#This Row],[راتب ديسمبر 2019]]</f>
        <v>11130</v>
      </c>
      <c r="AV31" s="628">
        <f>Table1[[#This Row],[الزياده]]/Table1[[#This Row],[راتب ديسمبر 2019]]%</f>
        <v>189.60817717206132</v>
      </c>
      <c r="AW31" s="659">
        <f>IF(Table1[[#This Row],[Column4]]&lt;0,0,Table1[[#This Row],[Column4]])</f>
        <v>0</v>
      </c>
      <c r="AX31" s="611">
        <f>Table1[[#This Row],[الجبر حتي]]-Table1[[#This Row],[رن]]</f>
        <v>0</v>
      </c>
      <c r="AY31" s="611">
        <f>Table1[[#This Row],[الزياده]]+Table1[[#This Row],[التعديل]]+Table1[[#This Row],[جبر الرقم]]</f>
        <v>11130</v>
      </c>
      <c r="AZ31" s="611">
        <f>Table1[[#This Row],[الراتب 2018 + النسبه + الفرق]]+Table1[[#This Row],[جبر الرقم]]+Table1[[#This Row],[التعديل]]</f>
        <v>17000</v>
      </c>
      <c r="BA31" s="631">
        <f>Table1[[#This Row],[الزياده النهائيه]]/Table1[[#This Row],[راتب ديسمبر 2019]]%</f>
        <v>189.60817717206132</v>
      </c>
      <c r="BB31" s="612">
        <f>VLOOKUP(Table1[[#This Row],[الرقم الوظيفي]],Table6[],8,)</f>
        <v>5870</v>
      </c>
      <c r="BC31" s="7"/>
      <c r="BD31" s="7">
        <v>12000</v>
      </c>
      <c r="BE31" s="7">
        <v>12000</v>
      </c>
      <c r="BF31" s="5">
        <f>Table1[[#This Row],[الحد الادني]]-Table1[[#This Row],[الراتب 2018+النسبه]]</f>
        <v>11130</v>
      </c>
      <c r="BG31" s="5">
        <f>Table1[[#This Row],[التعديل حتي]]-Table1[[#This Row],[kkk]]</f>
        <v>-12000</v>
      </c>
      <c r="BH31" s="5">
        <v>12000</v>
      </c>
      <c r="BI31" s="5">
        <f>IF(Table1[[#This Row],[Column4]]&lt;0,0,Table1[[#This Row],[Column4]])</f>
        <v>0</v>
      </c>
    </row>
    <row r="32" spans="1:61" ht="21" customHeight="1">
      <c r="A32" s="602">
        <v>52</v>
      </c>
      <c r="B32" s="618" t="str">
        <f>VLOOKUP(Table1[[#This Row],[الرقم الوظيفي]],[1]Sheet2!$1:$1048576,2,)</f>
        <v>عبدالمنعم مصطفى ابراهيم محمد</v>
      </c>
      <c r="C32" s="618" t="str">
        <f>VLOOKUP(Table1[[#This Row],[الرقم الوظيفي]],[1]Sheet2!$1:$1048576,7,)</f>
        <v>المصنع</v>
      </c>
      <c r="D32" s="618" t="str">
        <f>VLOOKUP(Table1[[#This Row],[الرقم الوظيفي]],[1]Sheet2!$1:$1048576,8,)</f>
        <v>الانتاج</v>
      </c>
      <c r="E32" s="599" t="str">
        <f>VLOOKUP(Table1[[#This Row],[الرقم الوظيفي]],[1]Sheet2!$1:$1048576,9,)</f>
        <v>الزوايا</v>
      </c>
      <c r="F32" s="599" t="str">
        <f>VLOOKUP(Table1[[#This Row],[الرقم الوظيفي]],[1]Sheet2!$1:$1048576,12,)</f>
        <v>مساعد مشغل</v>
      </c>
      <c r="G32" s="599">
        <f>VLOOKUP(Table1[[#This Row],[الرقم الوظيفي]],[1]Sheet2!$1:$1048576,72,)</f>
        <v>0</v>
      </c>
      <c r="H32" s="599">
        <f>VLOOKUP(Table1[[#This Row],[الرقم الوظيفي]],[1]Sheet2!$1:$1048576,71,)</f>
        <v>0</v>
      </c>
      <c r="I32" s="599" t="str">
        <f>VLOOKUP(Table1[[#This Row],[المؤهل الرئيسي]],Table4[],3,)</f>
        <v>H</v>
      </c>
      <c r="J32" s="599" t="s">
        <v>929</v>
      </c>
      <c r="K32" s="615">
        <f>VLOOKUP(Table1[[#This Row],[الرقم الوظيفي]],[1]Sheet2!$1:$1048576,13,)</f>
        <v>39965</v>
      </c>
      <c r="L32" s="615">
        <v>43830</v>
      </c>
      <c r="M32" s="599">
        <f>DATEDIF(Table1[[#This Row],[تاريخ التعيين]],Table1[[#This Row],[اخر العام]],"y")</f>
        <v>10</v>
      </c>
      <c r="N32" s="599">
        <f>DATEDIF(Table1[[#This Row],[تاريخ التعيين]],Table1[[#This Row],[اخر العام]],"ym")</f>
        <v>6</v>
      </c>
      <c r="O32" s="610">
        <f>Table1[[#This Row],[سنوات الخدمه]]*1+Table1[[#This Row],[الشهور اقل من سنه]]*0.08</f>
        <v>10.48</v>
      </c>
      <c r="P32" s="616">
        <v>4320</v>
      </c>
      <c r="Q32" s="617">
        <v>819.072</v>
      </c>
      <c r="R32" s="612"/>
      <c r="S32" s="599"/>
      <c r="T32" s="612"/>
      <c r="U32" s="612"/>
      <c r="V32" s="612"/>
      <c r="W32" s="612"/>
      <c r="X32" s="612"/>
      <c r="Y32" s="612"/>
      <c r="Z32" s="612"/>
      <c r="AA3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" s="612"/>
      <c r="AC32" s="599"/>
      <c r="AD32" s="612"/>
      <c r="AE32" s="612"/>
      <c r="AF32" s="612"/>
      <c r="AG32" s="612"/>
      <c r="AH32" s="619">
        <f>SUM(Table1[[#This Row],[التقييد  باللوائح و تنفيذالتوجيه]:[اتباع اجراءات السلامه]])</f>
        <v>0</v>
      </c>
      <c r="AI32" s="619">
        <f>Table1[[#This Row],[المجموع]]+Table1[[#This Row],[المجموع2]]</f>
        <v>0</v>
      </c>
      <c r="AJ32" s="612"/>
      <c r="AK32" s="612"/>
      <c r="AL32" s="612"/>
      <c r="AM32" s="612"/>
      <c r="AN32" s="612"/>
      <c r="AO32" s="606">
        <f>Table1[[#This Row],[المجموع 1+2]]*$AO$2</f>
        <v>0</v>
      </c>
      <c r="AP32" s="648">
        <f>Table1[[#This Row],[راتب ديسمبر 2019]]*Table1[[#This Row],[نسبه التقييم الرئيسي 2018]]%</f>
        <v>0</v>
      </c>
      <c r="AQ32" s="627">
        <f>Table1[[#This Row],[مبلغ التقييم النسبي 2018]]+Table1[[#This Row],[راتب ديسمبر 2019]]</f>
        <v>4320</v>
      </c>
      <c r="AR32" s="611">
        <f>IF(Table1[[#This Row],[Column3]]&lt;0,0,Table1[[#This Row],[Column3]])</f>
        <v>1680</v>
      </c>
      <c r="AS32" s="599">
        <f>VLOOKUP(Table1[[#This Row],[درجه التوسيط]],Table10[],3,)</f>
        <v>6000</v>
      </c>
      <c r="AT32" s="608">
        <f>Table1[[#This Row],[الراتب 2018+النسبه]]+Table1[[#This Row],[فروقات الحد الادني]]</f>
        <v>6000</v>
      </c>
      <c r="AU32" s="629">
        <f>Table1[[#This Row],[الراتب 2018 + النسبه + الفرق]]-Table1[[#This Row],[راتب ديسمبر 2019]]</f>
        <v>1680</v>
      </c>
      <c r="AV32" s="628">
        <f>Table1[[#This Row],[الزياده]]/Table1[[#This Row],[راتب ديسمبر 2019]]%</f>
        <v>38.888888888888886</v>
      </c>
      <c r="AW32" s="659">
        <f>IF(Table1[[#This Row],[Column4]]&lt;0,0,Table1[[#This Row],[Column4]])</f>
        <v>0</v>
      </c>
      <c r="AX32" s="611">
        <f>Table1[[#This Row],[الجبر حتي]]-Table1[[#This Row],[رن]]</f>
        <v>0.88000000000010914</v>
      </c>
      <c r="AY32" s="611">
        <f>Table1[[#This Row],[الزياده]]+Table1[[#This Row],[التعديل]]+Table1[[#This Row],[جبر الرقم]]</f>
        <v>1680.88</v>
      </c>
      <c r="AZ32" s="611">
        <f>Table1[[#This Row],[الراتب 2018 + النسبه + الفرق]]+Table1[[#This Row],[جبر الرقم]]+Table1[[#This Row],[التعديل]]</f>
        <v>6000.88</v>
      </c>
      <c r="BA32" s="631">
        <f>Table1[[#This Row],[الزياده النهائيه]]/Table1[[#This Row],[راتب ديسمبر 2019]]%</f>
        <v>38.909259259259258</v>
      </c>
      <c r="BB32" s="612">
        <f>VLOOKUP(Table1[[#This Row],[الرقم الوظيفي]],Table6[],8,)</f>
        <v>4320</v>
      </c>
      <c r="BC32" s="7"/>
      <c r="BD32" s="7">
        <v>6550</v>
      </c>
      <c r="BE32" s="7">
        <v>6549.12</v>
      </c>
      <c r="BF32" s="5">
        <f>Table1[[#This Row],[الحد الادني]]-Table1[[#This Row],[الراتب 2018+النسبه]]</f>
        <v>1680</v>
      </c>
      <c r="BG32" s="5">
        <f>Table1[[#This Row],[التعديل حتي]]-Table1[[#This Row],[kkk]]</f>
        <v>-6549.12</v>
      </c>
      <c r="BH32" s="5">
        <v>6549.12</v>
      </c>
      <c r="BI32" s="5">
        <f>IF(Table1[[#This Row],[Column4]]&lt;0,0,Table1[[#This Row],[Column4]])</f>
        <v>0</v>
      </c>
    </row>
    <row r="33" spans="1:61" ht="21" customHeight="1">
      <c r="A33" s="602">
        <v>54</v>
      </c>
      <c r="B33" s="618" t="str">
        <f>VLOOKUP(Table1[[#This Row],[الرقم الوظيفي]],[1]Sheet2!$1:$1048576,2,)</f>
        <v>زاهر سراج عوض على</v>
      </c>
      <c r="C33" s="618" t="str">
        <f>VLOOKUP(Table1[[#This Row],[الرقم الوظيفي]],[1]Sheet2!$1:$1048576,7,)</f>
        <v>المصنع</v>
      </c>
      <c r="D33" s="618" t="str">
        <f>VLOOKUP(Table1[[#This Row],[الرقم الوظيفي]],[1]Sheet2!$1:$1048576,8,)</f>
        <v>المستودعات</v>
      </c>
      <c r="E33" s="599" t="str">
        <f>VLOOKUP(Table1[[#This Row],[الرقم الوظيفي]],[1]Sheet2!$1:$1048576,9,)</f>
        <v>الاسكراب</v>
      </c>
      <c r="F33" s="599" t="str">
        <f>VLOOKUP(Table1[[#This Row],[الرقم الوظيفي]],[1]Sheet2!$1:$1048576,12,)</f>
        <v>مسئول مستودع الاسكراب</v>
      </c>
      <c r="G33" s="599">
        <f>VLOOKUP(Table1[[#This Row],[الرقم الوظيفي]],[1]Sheet2!$1:$1048576,72,)</f>
        <v>0</v>
      </c>
      <c r="H33" s="599">
        <f>VLOOKUP(Table1[[#This Row],[الرقم الوظيفي]],[1]Sheet2!$1:$1048576,71,)</f>
        <v>0</v>
      </c>
      <c r="I33" s="599" t="str">
        <f>VLOOKUP(Table1[[#This Row],[المؤهل الرئيسي]],Table4[],3,)</f>
        <v>H</v>
      </c>
      <c r="J33" s="599" t="s">
        <v>924</v>
      </c>
      <c r="K33" s="615">
        <f>VLOOKUP(Table1[[#This Row],[الرقم الوظيفي]],[1]Sheet2!$1:$1048576,13,)</f>
        <v>39968</v>
      </c>
      <c r="L33" s="615">
        <v>43830</v>
      </c>
      <c r="M33" s="599">
        <f>DATEDIF(Table1[[#This Row],[تاريخ التعيين]],Table1[[#This Row],[اخر العام]],"y")</f>
        <v>10</v>
      </c>
      <c r="N33" s="599">
        <f>DATEDIF(Table1[[#This Row],[تاريخ التعيين]],Table1[[#This Row],[اخر العام]],"ym")</f>
        <v>6</v>
      </c>
      <c r="O33" s="610">
        <f>Table1[[#This Row],[سنوات الخدمه]]*1+Table1[[#This Row],[الشهور اقل من سنه]]*0.08</f>
        <v>10.48</v>
      </c>
      <c r="P33" s="616">
        <v>4340</v>
      </c>
      <c r="Q33" s="617">
        <v>822.86400000000003</v>
      </c>
      <c r="R33" s="612"/>
      <c r="S33" s="599"/>
      <c r="T33" s="612"/>
      <c r="U33" s="612"/>
      <c r="V33" s="612"/>
      <c r="W33" s="612"/>
      <c r="X33" s="612"/>
      <c r="Y33" s="612"/>
      <c r="Z33" s="612"/>
      <c r="AA3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" s="612"/>
      <c r="AC33" s="599"/>
      <c r="AD33" s="612"/>
      <c r="AE33" s="612"/>
      <c r="AF33" s="612"/>
      <c r="AG33" s="612"/>
      <c r="AH33" s="619">
        <f>SUM(Table1[[#This Row],[التقييد  باللوائح و تنفيذالتوجيه]:[اتباع اجراءات السلامه]])</f>
        <v>0</v>
      </c>
      <c r="AI33" s="619">
        <f>Table1[[#This Row],[المجموع]]+Table1[[#This Row],[المجموع2]]</f>
        <v>0</v>
      </c>
      <c r="AJ33" s="612"/>
      <c r="AK33" s="612"/>
      <c r="AL33" s="612"/>
      <c r="AM33" s="612"/>
      <c r="AN33" s="612"/>
      <c r="AO33" s="606">
        <f>Table1[[#This Row],[المجموع 1+2]]*$AO$2</f>
        <v>0</v>
      </c>
      <c r="AP33" s="648">
        <f>Table1[[#This Row],[راتب ديسمبر 2019]]*Table1[[#This Row],[نسبه التقييم الرئيسي 2018]]%</f>
        <v>0</v>
      </c>
      <c r="AQ33" s="627">
        <f>Table1[[#This Row],[مبلغ التقييم النسبي 2018]]+Table1[[#This Row],[راتب ديسمبر 2019]]</f>
        <v>4340</v>
      </c>
      <c r="AR33" s="611">
        <f>IF(Table1[[#This Row],[Column3]]&lt;0,0,Table1[[#This Row],[Column3]])</f>
        <v>4660</v>
      </c>
      <c r="AS33" s="599">
        <f>VLOOKUP(Table1[[#This Row],[درجه التوسيط]],Table10[],3,)</f>
        <v>9000</v>
      </c>
      <c r="AT33" s="608">
        <f>Table1[[#This Row],[الراتب 2018+النسبه]]+Table1[[#This Row],[فروقات الحد الادني]]</f>
        <v>9000</v>
      </c>
      <c r="AU33" s="629">
        <f>Table1[[#This Row],[الراتب 2018 + النسبه + الفرق]]-Table1[[#This Row],[راتب ديسمبر 2019]]</f>
        <v>4660</v>
      </c>
      <c r="AV33" s="628">
        <f>Table1[[#This Row],[الزياده]]/Table1[[#This Row],[راتب ديسمبر 2019]]%</f>
        <v>107.37327188940093</v>
      </c>
      <c r="AW33" s="659">
        <f>IF(Table1[[#This Row],[Column4]]&lt;0,0,Table1[[#This Row],[Column4]])</f>
        <v>712.23999999999978</v>
      </c>
      <c r="AX33" s="611">
        <f>Table1[[#This Row],[الجبر حتي]]-Table1[[#This Row],[رن]]</f>
        <v>0</v>
      </c>
      <c r="AY33" s="611">
        <f>Table1[[#This Row],[الزياده]]+Table1[[#This Row],[التعديل]]+Table1[[#This Row],[جبر الرقم]]</f>
        <v>5372.24</v>
      </c>
      <c r="AZ33" s="611">
        <f>Table1[[#This Row],[الراتب 2018 + النسبه + الفرق]]+Table1[[#This Row],[جبر الرقم]]+Table1[[#This Row],[التعديل]]</f>
        <v>9712.24</v>
      </c>
      <c r="BA33" s="631">
        <f>Table1[[#This Row],[الزياده النهائيه]]/Table1[[#This Row],[راتب ديسمبر 2019]]%</f>
        <v>123.78433179723503</v>
      </c>
      <c r="BB33" s="612">
        <f>VLOOKUP(Table1[[#This Row],[الرقم الوظيفي]],Table6[],8,)</f>
        <v>4340</v>
      </c>
      <c r="BC33" s="7">
        <v>7500</v>
      </c>
      <c r="BD33" s="7">
        <v>6790</v>
      </c>
      <c r="BE33" s="7">
        <v>6790</v>
      </c>
      <c r="BF33" s="5">
        <f>Table1[[#This Row],[الحد الادني]]-Table1[[#This Row],[الراتب 2018+النسبه]]</f>
        <v>4660</v>
      </c>
      <c r="BG33" s="5">
        <f>Table1[[#This Row],[التعديل حتي]]-Table1[[#This Row],[kkk]]</f>
        <v>712.23999999999978</v>
      </c>
      <c r="BH33" s="5">
        <v>6787.76</v>
      </c>
      <c r="BI33" s="5">
        <f>IF(Table1[[#This Row],[Column4]]&lt;0,0,Table1[[#This Row],[Column4]])</f>
        <v>712.23999999999978</v>
      </c>
    </row>
    <row r="34" spans="1:61" ht="21" customHeight="1">
      <c r="A34" s="602">
        <v>55</v>
      </c>
      <c r="B34" s="618" t="str">
        <f>VLOOKUP(Table1[[#This Row],[الرقم الوظيفي]],[1]Sheet2!$1:$1048576,2,)</f>
        <v>الرفاعى الصادق بشير اسحق</v>
      </c>
      <c r="C34" s="618" t="str">
        <f>VLOOKUP(Table1[[#This Row],[الرقم الوظيفي]],[1]Sheet2!$1:$1048576,7,)</f>
        <v>المصنع</v>
      </c>
      <c r="D34" s="618" t="str">
        <f>VLOOKUP(Table1[[#This Row],[الرقم الوظيفي]],[1]Sheet2!$1:$1048576,8,)</f>
        <v>الانتاج</v>
      </c>
      <c r="E34" s="599" t="str">
        <f>VLOOKUP(Table1[[#This Row],[الرقم الوظيفي]],[1]Sheet2!$1:$1048576,9,)</f>
        <v>اليات</v>
      </c>
      <c r="F34" s="599" t="str">
        <f>VLOOKUP(Table1[[#This Row],[الرقم الوظيفي]],[1]Sheet2!$1:$1048576,12,)</f>
        <v>سائق اليات</v>
      </c>
      <c r="G34" s="599">
        <f>VLOOKUP(Table1[[#This Row],[الرقم الوظيفي]],[1]Sheet2!$1:$1048576,72,)</f>
        <v>0</v>
      </c>
      <c r="H34" s="599">
        <f>VLOOKUP(Table1[[#This Row],[الرقم الوظيفي]],[1]Sheet2!$1:$1048576,71,)</f>
        <v>0</v>
      </c>
      <c r="I34" s="599" t="str">
        <f>VLOOKUP(Table1[[#This Row],[المؤهل الرئيسي]],Table4[],3,)</f>
        <v>H</v>
      </c>
      <c r="J34" s="599" t="s">
        <v>922</v>
      </c>
      <c r="K34" s="615">
        <f>VLOOKUP(Table1[[#This Row],[الرقم الوظيفي]],[1]Sheet2!$1:$1048576,13,)</f>
        <v>39979</v>
      </c>
      <c r="L34" s="615">
        <v>43830</v>
      </c>
      <c r="M34" s="599">
        <f>DATEDIF(Table1[[#This Row],[تاريخ التعيين]],Table1[[#This Row],[اخر العام]],"y")</f>
        <v>10</v>
      </c>
      <c r="N34" s="599">
        <f>DATEDIF(Table1[[#This Row],[تاريخ التعيين]],Table1[[#This Row],[اخر العام]],"ym")</f>
        <v>6</v>
      </c>
      <c r="O34" s="610">
        <f>Table1[[#This Row],[سنوات الخدمه]]*1+Table1[[#This Row],[الشهور اقل من سنه]]*0.08</f>
        <v>10.48</v>
      </c>
      <c r="P34" s="616">
        <v>5340</v>
      </c>
      <c r="Q34" s="617">
        <v>1012.4640000000001</v>
      </c>
      <c r="R34" s="612"/>
      <c r="S34" s="599"/>
      <c r="T34" s="612"/>
      <c r="U34" s="612"/>
      <c r="V34" s="612"/>
      <c r="W34" s="612"/>
      <c r="X34" s="612"/>
      <c r="Y34" s="612"/>
      <c r="Z34" s="612"/>
      <c r="AA3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" s="612"/>
      <c r="AC34" s="599"/>
      <c r="AD34" s="612"/>
      <c r="AE34" s="612"/>
      <c r="AF34" s="612"/>
      <c r="AG34" s="612"/>
      <c r="AH34" s="619">
        <f>SUM(Table1[[#This Row],[التقييد  باللوائح و تنفيذالتوجيه]:[اتباع اجراءات السلامه]])</f>
        <v>0</v>
      </c>
      <c r="AI34" s="619">
        <f>Table1[[#This Row],[المجموع]]+Table1[[#This Row],[المجموع2]]</f>
        <v>0</v>
      </c>
      <c r="AJ34" s="612"/>
      <c r="AK34" s="612"/>
      <c r="AL34" s="612"/>
      <c r="AM34" s="612"/>
      <c r="AN34" s="612"/>
      <c r="AO34" s="606">
        <f>Table1[[#This Row],[المجموع 1+2]]*$AO$2</f>
        <v>0</v>
      </c>
      <c r="AP34" s="648">
        <f>Table1[[#This Row],[راتب ديسمبر 2019]]*Table1[[#This Row],[نسبه التقييم الرئيسي 2018]]%</f>
        <v>0</v>
      </c>
      <c r="AQ34" s="627">
        <f>Table1[[#This Row],[مبلغ التقييم النسبي 2018]]+Table1[[#This Row],[راتب ديسمبر 2019]]</f>
        <v>5340</v>
      </c>
      <c r="AR34" s="611">
        <f>IF(Table1[[#This Row],[Column3]]&lt;0,0,Table1[[#This Row],[Column3]])</f>
        <v>5660</v>
      </c>
      <c r="AS34" s="599">
        <f>VLOOKUP(Table1[[#This Row],[درجه التوسيط]],Table10[],3,)</f>
        <v>11000</v>
      </c>
      <c r="AT34" s="608">
        <f>Table1[[#This Row],[الراتب 2018+النسبه]]+Table1[[#This Row],[فروقات الحد الادني]]</f>
        <v>11000</v>
      </c>
      <c r="AU34" s="629">
        <f>Table1[[#This Row],[الراتب 2018 + النسبه + الفرق]]-Table1[[#This Row],[راتب ديسمبر 2019]]</f>
        <v>5660</v>
      </c>
      <c r="AV34" s="628">
        <f>Table1[[#This Row],[الزياده]]/Table1[[#This Row],[راتب ديسمبر 2019]]%</f>
        <v>105.99250936329588</v>
      </c>
      <c r="AW34" s="659">
        <f>IF(Table1[[#This Row],[Column4]]&lt;0,0,Table1[[#This Row],[Column4]])</f>
        <v>52.1200000000008</v>
      </c>
      <c r="AX34" s="611">
        <f>Table1[[#This Row],[الجبر حتي]]-Table1[[#This Row],[رن]]</f>
        <v>0</v>
      </c>
      <c r="AY34" s="611">
        <f>Table1[[#This Row],[الزياده]]+Table1[[#This Row],[التعديل]]+Table1[[#This Row],[جبر الرقم]]</f>
        <v>5712.1200000000008</v>
      </c>
      <c r="AZ34" s="611">
        <f>Table1[[#This Row],[الراتب 2018 + النسبه + الفرق]]+Table1[[#This Row],[جبر الرقم]]+Table1[[#This Row],[التعديل]]</f>
        <v>11052.12</v>
      </c>
      <c r="BA34" s="631">
        <f>Table1[[#This Row],[الزياده النهائيه]]/Table1[[#This Row],[راتب ديسمبر 2019]]%</f>
        <v>106.96853932584271</v>
      </c>
      <c r="BB34" s="612">
        <f>VLOOKUP(Table1[[#This Row],[الرقم الوظيفي]],Table6[],8,)</f>
        <v>5340</v>
      </c>
      <c r="BC34" s="7">
        <v>8500</v>
      </c>
      <c r="BD34" s="7">
        <v>8500</v>
      </c>
      <c r="BE34" s="7">
        <v>8500</v>
      </c>
      <c r="BF34" s="5">
        <f>Table1[[#This Row],[الحد الادني]]-Table1[[#This Row],[الراتب 2018+النسبه]]</f>
        <v>5660</v>
      </c>
      <c r="BG34" s="5">
        <f>Table1[[#This Row],[التعديل حتي]]-Table1[[#This Row],[kkk]]</f>
        <v>52.1200000000008</v>
      </c>
      <c r="BH34" s="5">
        <v>8447.8799999999992</v>
      </c>
      <c r="BI34" s="5">
        <f>IF(Table1[[#This Row],[Column4]]&lt;0,0,Table1[[#This Row],[Column4]])</f>
        <v>52.1200000000008</v>
      </c>
    </row>
    <row r="35" spans="1:61">
      <c r="A35" s="602">
        <v>58</v>
      </c>
      <c r="B35" s="618" t="str">
        <f>VLOOKUP(Table1[[#This Row],[الرقم الوظيفي]],[1]Sheet2!$1:$1048576,2,)</f>
        <v>محمد على عبدالرحيم ابوبكر</v>
      </c>
      <c r="C35" s="618" t="str">
        <f>VLOOKUP(Table1[[#This Row],[الرقم الوظيفي]],[1]Sheet2!$1:$1048576,7,)</f>
        <v>المصنع</v>
      </c>
      <c r="D35" s="618" t="str">
        <f>VLOOKUP(Table1[[#This Row],[الرقم الوظيفي]],[1]Sheet2!$1:$1048576,8,)</f>
        <v>الموارد البشريه</v>
      </c>
      <c r="E35" s="599" t="str">
        <f>VLOOKUP(Table1[[#This Row],[الرقم الوظيفي]],[1]Sheet2!$1:$1048576,9,)</f>
        <v>موظف</v>
      </c>
      <c r="F35" s="599" t="str">
        <f>VLOOKUP(Table1[[#This Row],[الرقم الوظيفي]],[1]Sheet2!$1:$1048576,12,)</f>
        <v>نائب مدير الموارد المكلف</v>
      </c>
      <c r="G35" s="599" t="str">
        <f>VLOOKUP(Table1[[#This Row],[الرقم الوظيفي]],[1]Sheet2!$1:$1048576,72,)</f>
        <v>بكلاريوس</v>
      </c>
      <c r="H35" s="599" t="str">
        <f>VLOOKUP(Table1[[#This Row],[الرقم الوظيفي]],[1]Sheet2!$1:$1048576,71,)</f>
        <v>إدارة الاعمال</v>
      </c>
      <c r="I35" s="599" t="s">
        <v>53</v>
      </c>
      <c r="J35" s="599" t="s">
        <v>118</v>
      </c>
      <c r="K35" s="615">
        <f>VLOOKUP(Table1[[#This Row],[الرقم الوظيفي]],[1]Sheet2!$1:$1048576,13,)</f>
        <v>40013</v>
      </c>
      <c r="L35" s="615">
        <v>43830</v>
      </c>
      <c r="M35" s="599">
        <f>DATEDIF(Table1[[#This Row],[تاريخ التعيين]],Table1[[#This Row],[اخر العام]],"y")</f>
        <v>10</v>
      </c>
      <c r="N35" s="599">
        <f>DATEDIF(Table1[[#This Row],[تاريخ التعيين]],Table1[[#This Row],[اخر العام]],"ym")</f>
        <v>5</v>
      </c>
      <c r="O35" s="610">
        <f>Table1[[#This Row],[سنوات الخدمه]]*1+Table1[[#This Row],[الشهور اقل من سنه]]*0.08</f>
        <v>10.4</v>
      </c>
      <c r="P35" s="616">
        <v>10000</v>
      </c>
      <c r="Q35" s="617">
        <v>1880</v>
      </c>
      <c r="R35" s="612"/>
      <c r="S35" s="599"/>
      <c r="T35" s="612"/>
      <c r="U35" s="612"/>
      <c r="V35" s="612"/>
      <c r="W35" s="612"/>
      <c r="X35" s="612"/>
      <c r="Y35" s="612"/>
      <c r="Z35" s="612"/>
      <c r="AA3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5" s="612"/>
      <c r="AC35" s="599"/>
      <c r="AD35" s="612"/>
      <c r="AE35" s="612"/>
      <c r="AF35" s="612"/>
      <c r="AG35" s="612"/>
      <c r="AH35" s="619">
        <f>SUM(Table1[[#This Row],[التقييد  باللوائح و تنفيذالتوجيه]:[اتباع اجراءات السلامه]])</f>
        <v>0</v>
      </c>
      <c r="AI35" s="619">
        <f>Table1[[#This Row],[المجموع]]+Table1[[#This Row],[المجموع2]]</f>
        <v>0</v>
      </c>
      <c r="AJ35" s="612"/>
      <c r="AK35" s="612"/>
      <c r="AL35" s="612"/>
      <c r="AM35" s="612"/>
      <c r="AN35" s="612"/>
      <c r="AO35" s="606">
        <f>Table1[[#This Row],[المجموع 1+2]]*$AO$2</f>
        <v>0</v>
      </c>
      <c r="AP35" s="648">
        <f>Table1[[#This Row],[راتب ديسمبر 2019]]*Table1[[#This Row],[نسبه التقييم الرئيسي 2018]]%</f>
        <v>0</v>
      </c>
      <c r="AQ35" s="627">
        <f>Table1[[#This Row],[مبلغ التقييم النسبي 2018]]+Table1[[#This Row],[راتب ديسمبر 2019]]</f>
        <v>10000</v>
      </c>
      <c r="AR35" s="611">
        <f>IF(Table1[[#This Row],[Column3]]&lt;0,0,Table1[[#This Row],[Column3]])</f>
        <v>25000</v>
      </c>
      <c r="AS35" s="599">
        <f>VLOOKUP(Table1[[#This Row],[درجه التوسيط]],Table10[],3,)</f>
        <v>35000</v>
      </c>
      <c r="AT35" s="608">
        <f>Table1[[#This Row],[الراتب 2018+النسبه]]+Table1[[#This Row],[فروقات الحد الادني]]</f>
        <v>35000</v>
      </c>
      <c r="AU35" s="629">
        <f>Table1[[#This Row],[الراتب 2018 + النسبه + الفرق]]-Table1[[#This Row],[راتب ديسمبر 2019]]</f>
        <v>25000</v>
      </c>
      <c r="AV35" s="628">
        <f>Table1[[#This Row],[الزياده]]/Table1[[#This Row],[راتب ديسمبر 2019]]%</f>
        <v>250</v>
      </c>
      <c r="AW35" s="659">
        <f>IF(Table1[[#This Row],[Column4]]&lt;0,0,Table1[[#This Row],[Column4]])</f>
        <v>0</v>
      </c>
      <c r="AX35" s="611">
        <f>Table1[[#This Row],[الجبر حتي]]-Table1[[#This Row],[رن]]</f>
        <v>0</v>
      </c>
      <c r="AY35" s="611">
        <f>Table1[[#This Row],[الزياده]]+Table1[[#This Row],[التعديل]]+Table1[[#This Row],[جبر الرقم]]</f>
        <v>25000</v>
      </c>
      <c r="AZ35" s="611">
        <f>Table1[[#This Row],[الراتب 2018 + النسبه + الفرق]]+Table1[[#This Row],[جبر الرقم]]+Table1[[#This Row],[التعديل]]</f>
        <v>35000</v>
      </c>
      <c r="BA35" s="631">
        <f>Table1[[#This Row],[الزياده النهائيه]]/Table1[[#This Row],[راتب ديسمبر 2019]]%</f>
        <v>250</v>
      </c>
      <c r="BB35" s="612">
        <f>VLOOKUP(Table1[[#This Row],[الرقم الوظيفي]],Table6[],8,)</f>
        <v>10000</v>
      </c>
      <c r="BC35" s="7"/>
      <c r="BD35" s="7">
        <v>25000</v>
      </c>
      <c r="BE35" s="7">
        <v>25000</v>
      </c>
      <c r="BF35" s="5">
        <f>Table1[[#This Row],[الحد الادني]]-Table1[[#This Row],[الراتب 2018+النسبه]]</f>
        <v>25000</v>
      </c>
      <c r="BG35" s="5">
        <f>Table1[[#This Row],[التعديل حتي]]-Table1[[#This Row],[kkk]]</f>
        <v>-25000</v>
      </c>
      <c r="BH35" s="5">
        <v>25000</v>
      </c>
      <c r="BI35" s="5">
        <f>IF(Table1[[#This Row],[Column4]]&lt;0,0,Table1[[#This Row],[Column4]])</f>
        <v>0</v>
      </c>
    </row>
    <row r="36" spans="1:61" ht="21" customHeight="1">
      <c r="A36" s="602">
        <v>60</v>
      </c>
      <c r="B36" s="618" t="str">
        <f>VLOOKUP(Table1[[#This Row],[الرقم الوظيفي]],[1]Sheet2!$1:$1048576,2,)</f>
        <v>جعفر مصطفى على محمد</v>
      </c>
      <c r="C36" s="618" t="str">
        <f>VLOOKUP(Table1[[#This Row],[الرقم الوظيفي]],[1]Sheet2!$1:$1048576,7,)</f>
        <v>المصنع</v>
      </c>
      <c r="D36" s="618" t="str">
        <f>VLOOKUP(Table1[[#This Row],[الرقم الوظيفي]],[1]Sheet2!$1:$1048576,8,)</f>
        <v>الانتاج</v>
      </c>
      <c r="E36" s="599" t="str">
        <f>VLOOKUP(Table1[[#This Row],[الرقم الوظيفي]],[1]Sheet2!$1:$1048576,9,)</f>
        <v>الزوايا</v>
      </c>
      <c r="F36" s="599" t="str">
        <f>VLOOKUP(Table1[[#This Row],[الرقم الوظيفي]],[1]Sheet2!$1:$1048576,12,)</f>
        <v>مشغل</v>
      </c>
      <c r="G36" s="599">
        <f>VLOOKUP(Table1[[#This Row],[الرقم الوظيفي]],[1]Sheet2!$1:$1048576,72,)</f>
        <v>0</v>
      </c>
      <c r="H36" s="599">
        <f>VLOOKUP(Table1[[#This Row],[الرقم الوظيفي]],[1]Sheet2!$1:$1048576,71,)</f>
        <v>0</v>
      </c>
      <c r="I36" s="599" t="str">
        <f>VLOOKUP(Table1[[#This Row],[المؤهل الرئيسي]],Table4[],3,)</f>
        <v>H</v>
      </c>
      <c r="J36" s="599" t="s">
        <v>924</v>
      </c>
      <c r="K36" s="615">
        <f>VLOOKUP(Table1[[#This Row],[الرقم الوظيفي]],[1]Sheet2!$1:$1048576,13,)</f>
        <v>40028</v>
      </c>
      <c r="L36" s="615">
        <v>43830</v>
      </c>
      <c r="M36" s="599">
        <f>DATEDIF(Table1[[#This Row],[تاريخ التعيين]],Table1[[#This Row],[اخر العام]],"y")</f>
        <v>10</v>
      </c>
      <c r="N36" s="599">
        <f>DATEDIF(Table1[[#This Row],[تاريخ التعيين]],Table1[[#This Row],[اخر العام]],"ym")</f>
        <v>4</v>
      </c>
      <c r="O36" s="610">
        <f>Table1[[#This Row],[سنوات الخدمه]]*1+Table1[[#This Row],[الشهور اقل من سنه]]*0.08</f>
        <v>10.32</v>
      </c>
      <c r="P36" s="616">
        <v>4380</v>
      </c>
      <c r="Q36" s="617">
        <v>816.43200000000002</v>
      </c>
      <c r="R36" s="612"/>
      <c r="S36" s="599"/>
      <c r="T36" s="612"/>
      <c r="U36" s="612"/>
      <c r="V36" s="612"/>
      <c r="W36" s="612"/>
      <c r="X36" s="612"/>
      <c r="Y36" s="612"/>
      <c r="Z36" s="612"/>
      <c r="AA3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6" s="612"/>
      <c r="AC36" s="599"/>
      <c r="AD36" s="612"/>
      <c r="AE36" s="612"/>
      <c r="AF36" s="612"/>
      <c r="AG36" s="612"/>
      <c r="AH36" s="619">
        <f>SUM(Table1[[#This Row],[التقييد  باللوائح و تنفيذالتوجيه]:[اتباع اجراءات السلامه]])</f>
        <v>0</v>
      </c>
      <c r="AI36" s="619">
        <f>Table1[[#This Row],[المجموع]]+Table1[[#This Row],[المجموع2]]</f>
        <v>0</v>
      </c>
      <c r="AJ36" s="612"/>
      <c r="AK36" s="612"/>
      <c r="AL36" s="612"/>
      <c r="AM36" s="612"/>
      <c r="AN36" s="612"/>
      <c r="AO36" s="606">
        <f>Table1[[#This Row],[المجموع 1+2]]*$AO$2</f>
        <v>0</v>
      </c>
      <c r="AP36" s="648">
        <f>Table1[[#This Row],[راتب ديسمبر 2019]]*Table1[[#This Row],[نسبه التقييم الرئيسي 2018]]%</f>
        <v>0</v>
      </c>
      <c r="AQ36" s="627">
        <f>Table1[[#This Row],[مبلغ التقييم النسبي 2018]]+Table1[[#This Row],[راتب ديسمبر 2019]]</f>
        <v>4380</v>
      </c>
      <c r="AR36" s="611">
        <f>IF(Table1[[#This Row],[Column3]]&lt;0,0,Table1[[#This Row],[Column3]])</f>
        <v>4620</v>
      </c>
      <c r="AS36" s="599">
        <f>VLOOKUP(Table1[[#This Row],[درجه التوسيط]],Table10[],3,)</f>
        <v>9000</v>
      </c>
      <c r="AT36" s="608">
        <f>Table1[[#This Row],[الراتب 2018+النسبه]]+Table1[[#This Row],[فروقات الحد الادني]]</f>
        <v>9000</v>
      </c>
      <c r="AU36" s="629">
        <f>Table1[[#This Row],[الراتب 2018 + النسبه + الفرق]]-Table1[[#This Row],[راتب ديسمبر 2019]]</f>
        <v>4620</v>
      </c>
      <c r="AV36" s="628">
        <f>Table1[[#This Row],[الزياده]]/Table1[[#This Row],[راتب ديسمبر 2019]]%</f>
        <v>105.47945205479452</v>
      </c>
      <c r="AW36" s="659">
        <f>IF(Table1[[#This Row],[Column4]]&lt;0,0,Table1[[#This Row],[Column4]])</f>
        <v>97.1200000000008</v>
      </c>
      <c r="AX36" s="611">
        <f>Table1[[#This Row],[الجبر حتي]]-Table1[[#This Row],[رن]]</f>
        <v>0</v>
      </c>
      <c r="AY36" s="611">
        <f>Table1[[#This Row],[الزياده]]+Table1[[#This Row],[التعديل]]+Table1[[#This Row],[جبر الرقم]]</f>
        <v>4717.1200000000008</v>
      </c>
      <c r="AZ36" s="611">
        <f>Table1[[#This Row],[الراتب 2018 + النسبه + الفرق]]+Table1[[#This Row],[جبر الرقم]]+Table1[[#This Row],[التعديل]]</f>
        <v>9097.1200000000008</v>
      </c>
      <c r="BA36" s="631">
        <f>Table1[[#This Row],[الزياده النهائيه]]/Table1[[#This Row],[راتب ديسمبر 2019]]%</f>
        <v>107.69680365296806</v>
      </c>
      <c r="BB36" s="612">
        <f>VLOOKUP(Table1[[#This Row],[الرقم الوظيفي]],Table6[],8,)</f>
        <v>4380</v>
      </c>
      <c r="BC36" s="7">
        <v>7000</v>
      </c>
      <c r="BD36" s="7">
        <v>7000</v>
      </c>
      <c r="BE36" s="7">
        <v>7000</v>
      </c>
      <c r="BF36" s="5">
        <f>Table1[[#This Row],[الحد الادني]]-Table1[[#This Row],[الراتب 2018+النسبه]]</f>
        <v>4620</v>
      </c>
      <c r="BG36" s="5">
        <f>Table1[[#This Row],[التعديل حتي]]-Table1[[#This Row],[kkk]]</f>
        <v>97.1200000000008</v>
      </c>
      <c r="BH36" s="5">
        <v>6902.8799999999992</v>
      </c>
      <c r="BI36" s="5">
        <f>IF(Table1[[#This Row],[Column4]]&lt;0,0,Table1[[#This Row],[Column4]])</f>
        <v>97.1200000000008</v>
      </c>
    </row>
    <row r="37" spans="1:61" ht="21" customHeight="1">
      <c r="A37" s="602">
        <v>62</v>
      </c>
      <c r="B37" s="618" t="str">
        <f>VLOOKUP(Table1[[#This Row],[الرقم الوظيفي]],[1]Sheet2!$1:$1048576,2,)</f>
        <v>زكى الصديق محمد مصطفى</v>
      </c>
      <c r="C37" s="618" t="str">
        <f>VLOOKUP(Table1[[#This Row],[الرقم الوظيفي]],[1]Sheet2!$1:$1048576,7,)</f>
        <v>المصنع</v>
      </c>
      <c r="D37" s="618" t="str">
        <f>VLOOKUP(Table1[[#This Row],[الرقم الوظيفي]],[1]Sheet2!$1:$1048576,8,)</f>
        <v>المستودعات</v>
      </c>
      <c r="E37" s="599" t="str">
        <f>VLOOKUP(Table1[[#This Row],[الرقم الوظيفي]],[1]Sheet2!$1:$1048576,9,)</f>
        <v>قطع الغيار</v>
      </c>
      <c r="F37" s="599" t="str">
        <f>VLOOKUP(Table1[[#This Row],[الرقم الوظيفي]],[1]Sheet2!$1:$1048576,12,)</f>
        <v>مسئول مستودع ق غ</v>
      </c>
      <c r="G37" s="599" t="str">
        <f>VLOOKUP(Table1[[#This Row],[الرقم الوظيفي]],[1]Sheet2!$1:$1048576,72,)</f>
        <v>بكلاريوس</v>
      </c>
      <c r="H37" s="599" t="str">
        <f>VLOOKUP(Table1[[#This Row],[الرقم الوظيفي]],[1]Sheet2!$1:$1048576,71,)</f>
        <v>محاسبة</v>
      </c>
      <c r="I37" s="599" t="str">
        <f>VLOOKUP(Table1[[#This Row],[المؤهل الرئيسي]],Table4[],3,)</f>
        <v>C</v>
      </c>
      <c r="J37" s="599" t="s">
        <v>493</v>
      </c>
      <c r="K37" s="615">
        <f>VLOOKUP(Table1[[#This Row],[الرقم الوظيفي]],[1]Sheet2!$1:$1048576,13,)</f>
        <v>40105</v>
      </c>
      <c r="L37" s="615">
        <v>43830</v>
      </c>
      <c r="M37" s="599">
        <f>DATEDIF(Table1[[#This Row],[تاريخ التعيين]],Table1[[#This Row],[اخر العام]],"y")</f>
        <v>10</v>
      </c>
      <c r="N37" s="599">
        <f>DATEDIF(Table1[[#This Row],[تاريخ التعيين]],Table1[[#This Row],[اخر العام]],"ym")</f>
        <v>2</v>
      </c>
      <c r="O37" s="610">
        <f>Table1[[#This Row],[سنوات الخدمه]]*1+Table1[[#This Row],[الشهور اقل من سنه]]*0.08</f>
        <v>10.16</v>
      </c>
      <c r="P37" s="616">
        <v>8000</v>
      </c>
      <c r="Q37" s="617">
        <v>1465.6</v>
      </c>
      <c r="R37" s="612"/>
      <c r="S37" s="599"/>
      <c r="T37" s="612"/>
      <c r="U37" s="612"/>
      <c r="V37" s="612"/>
      <c r="W37" s="612"/>
      <c r="X37" s="612"/>
      <c r="Y37" s="612"/>
      <c r="Z37" s="612"/>
      <c r="AA3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7" s="612"/>
      <c r="AC37" s="599"/>
      <c r="AD37" s="612"/>
      <c r="AE37" s="612"/>
      <c r="AF37" s="612"/>
      <c r="AG37" s="612"/>
      <c r="AH37" s="619">
        <f>SUM(Table1[[#This Row],[التقييد  باللوائح و تنفيذالتوجيه]:[اتباع اجراءات السلامه]])</f>
        <v>0</v>
      </c>
      <c r="AI37" s="619">
        <f>Table1[[#This Row],[المجموع]]+Table1[[#This Row],[المجموع2]]</f>
        <v>0</v>
      </c>
      <c r="AJ37" s="612"/>
      <c r="AK37" s="612"/>
      <c r="AL37" s="612"/>
      <c r="AM37" s="612"/>
      <c r="AN37" s="612"/>
      <c r="AO37" s="606">
        <f>Table1[[#This Row],[المجموع 1+2]]*$AO$2</f>
        <v>0</v>
      </c>
      <c r="AP37" s="648">
        <f>Table1[[#This Row],[راتب ديسمبر 2019]]*Table1[[#This Row],[نسبه التقييم الرئيسي 2018]]%</f>
        <v>0</v>
      </c>
      <c r="AQ37" s="627">
        <f>Table1[[#This Row],[مبلغ التقييم النسبي 2018]]+Table1[[#This Row],[راتب ديسمبر 2019]]</f>
        <v>8000</v>
      </c>
      <c r="AR37" s="611">
        <f>IF(Table1[[#This Row],[Column3]]&lt;0,0,Table1[[#This Row],[Column3]])</f>
        <v>12000</v>
      </c>
      <c r="AS37" s="599">
        <f>VLOOKUP(Table1[[#This Row],[درجه التوسيط]],Table10[],3,)</f>
        <v>20000</v>
      </c>
      <c r="AT37" s="608">
        <f>Table1[[#This Row],[الراتب 2018+النسبه]]+Table1[[#This Row],[فروقات الحد الادني]]</f>
        <v>20000</v>
      </c>
      <c r="AU37" s="629">
        <f>Table1[[#This Row],[الراتب 2018 + النسبه + الفرق]]-Table1[[#This Row],[راتب ديسمبر 2019]]</f>
        <v>12000</v>
      </c>
      <c r="AV37" s="628">
        <f>Table1[[#This Row],[الزياده]]/Table1[[#This Row],[راتب ديسمبر 2019]]%</f>
        <v>150</v>
      </c>
      <c r="AW37" s="659">
        <f>IF(Table1[[#This Row],[Column4]]&lt;0,0,Table1[[#This Row],[Column4]])</f>
        <v>0</v>
      </c>
      <c r="AX37" s="611">
        <f>Table1[[#This Row],[الجبر حتي]]-Table1[[#This Row],[رن]]</f>
        <v>0</v>
      </c>
      <c r="AY37" s="611">
        <f>Table1[[#This Row],[الزياده]]+Table1[[#This Row],[التعديل]]+Table1[[#This Row],[جبر الرقم]]</f>
        <v>12000</v>
      </c>
      <c r="AZ37" s="611">
        <f>Table1[[#This Row],[الراتب 2018 + النسبه + الفرق]]+Table1[[#This Row],[جبر الرقم]]+Table1[[#This Row],[التعديل]]</f>
        <v>20000</v>
      </c>
      <c r="BA37" s="631">
        <f>Table1[[#This Row],[الزياده النهائيه]]/Table1[[#This Row],[راتب ديسمبر 2019]]%</f>
        <v>150</v>
      </c>
      <c r="BB37" s="612">
        <f>VLOOKUP(Table1[[#This Row],[الرقم الوظيفي]],Table6[],8,)</f>
        <v>8000</v>
      </c>
      <c r="BC37" s="7"/>
      <c r="BD37" s="7">
        <v>15000</v>
      </c>
      <c r="BE37" s="7">
        <v>15000</v>
      </c>
      <c r="BF37" s="5">
        <f>Table1[[#This Row],[الحد الادني]]-Table1[[#This Row],[الراتب 2018+النسبه]]</f>
        <v>12000</v>
      </c>
      <c r="BG37" s="5">
        <f>Table1[[#This Row],[التعديل حتي]]-Table1[[#This Row],[kkk]]</f>
        <v>-15000</v>
      </c>
      <c r="BH37" s="5">
        <v>15000</v>
      </c>
      <c r="BI37" s="5">
        <f>IF(Table1[[#This Row],[Column4]]&lt;0,0,Table1[[#This Row],[Column4]])</f>
        <v>0</v>
      </c>
    </row>
    <row r="38" spans="1:61" ht="21" customHeight="1">
      <c r="A38" s="602">
        <v>65</v>
      </c>
      <c r="B38" s="618" t="str">
        <f>VLOOKUP(Table1[[#This Row],[الرقم الوظيفي]],[1]Sheet2!$1:$1048576,2,)</f>
        <v>عاطف محمد احمد عثمان</v>
      </c>
      <c r="C38" s="618" t="str">
        <f>VLOOKUP(Table1[[#This Row],[الرقم الوظيفي]],[1]Sheet2!$1:$1048576,7,)</f>
        <v>المصنع</v>
      </c>
      <c r="D38" s="618" t="str">
        <f>VLOOKUP(Table1[[#This Row],[الرقم الوظيفي]],[1]Sheet2!$1:$1048576,8,)</f>
        <v>المستودعات</v>
      </c>
      <c r="E38" s="599" t="str">
        <f>VLOOKUP(Table1[[#This Row],[الرقم الوظيفي]],[1]Sheet2!$1:$1048576,9,)</f>
        <v>المنتج الجاهز</v>
      </c>
      <c r="F38" s="599" t="str">
        <f>VLOOKUP(Table1[[#This Row],[الرقم الوظيفي]],[1]Sheet2!$1:$1048576,12,)</f>
        <v>امين مستودع م ج</v>
      </c>
      <c r="G38" s="599" t="str">
        <f>VLOOKUP(Table1[[#This Row],[الرقم الوظيفي]],[1]Sheet2!$1:$1048576,72,)</f>
        <v>دبلوم وسيط</v>
      </c>
      <c r="H38" s="599" t="str">
        <f>VLOOKUP(Table1[[#This Row],[الرقم الوظيفي]],[1]Sheet2!$1:$1048576,71,)</f>
        <v>تقنيه معلومات</v>
      </c>
      <c r="I38" s="599" t="str">
        <f>VLOOKUP(Table1[[#This Row],[المؤهل الرئيسي]],Table4[],3,)</f>
        <v>E</v>
      </c>
      <c r="J38" s="599" t="s">
        <v>922</v>
      </c>
      <c r="K38" s="615">
        <f>VLOOKUP(Table1[[#This Row],[الرقم الوظيفي]],[1]Sheet2!$1:$1048576,13,)</f>
        <v>41626</v>
      </c>
      <c r="L38" s="615">
        <v>43830</v>
      </c>
      <c r="M38" s="599">
        <f>DATEDIF(Table1[[#This Row],[تاريخ التعيين]],Table1[[#This Row],[اخر العام]],"y")</f>
        <v>6</v>
      </c>
      <c r="N38" s="599">
        <f>DATEDIF(Table1[[#This Row],[تاريخ التعيين]],Table1[[#This Row],[اخر العام]],"ym")</f>
        <v>0</v>
      </c>
      <c r="O38" s="610">
        <f>Table1[[#This Row],[سنوات الخدمه]]*1+Table1[[#This Row],[الشهور اقل من سنه]]*0.08</f>
        <v>6</v>
      </c>
      <c r="P38" s="616">
        <v>4710</v>
      </c>
      <c r="Q38" s="617">
        <v>471</v>
      </c>
      <c r="R38" s="612"/>
      <c r="S38" s="599"/>
      <c r="T38" s="612"/>
      <c r="U38" s="612"/>
      <c r="V38" s="612"/>
      <c r="W38" s="612"/>
      <c r="X38" s="612"/>
      <c r="Y38" s="612"/>
      <c r="Z38" s="612"/>
      <c r="AA3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8" s="612"/>
      <c r="AC38" s="599"/>
      <c r="AD38" s="612"/>
      <c r="AE38" s="612"/>
      <c r="AF38" s="612"/>
      <c r="AG38" s="612"/>
      <c r="AH38" s="619">
        <f>SUM(Table1[[#This Row],[التقييد  باللوائح و تنفيذالتوجيه]:[اتباع اجراءات السلامه]])</f>
        <v>0</v>
      </c>
      <c r="AI38" s="619">
        <f>Table1[[#This Row],[المجموع]]+Table1[[#This Row],[المجموع2]]</f>
        <v>0</v>
      </c>
      <c r="AJ38" s="612">
        <v>10</v>
      </c>
      <c r="AK38" s="612"/>
      <c r="AL38" s="612"/>
      <c r="AM38" s="612"/>
      <c r="AN38" s="612"/>
      <c r="AO38" s="606">
        <f>Table1[[#This Row],[المجموع 1+2]]*$AO$2</f>
        <v>0</v>
      </c>
      <c r="AP38" s="648">
        <f>Table1[[#This Row],[راتب ديسمبر 2019]]*Table1[[#This Row],[نسبه التقييم الرئيسي 2018]]%</f>
        <v>0</v>
      </c>
      <c r="AQ38" s="627">
        <f>Table1[[#This Row],[مبلغ التقييم النسبي 2018]]+Table1[[#This Row],[راتب ديسمبر 2019]]</f>
        <v>4710</v>
      </c>
      <c r="AR38" s="611">
        <f>IF(Table1[[#This Row],[Column3]]&lt;0,0,Table1[[#This Row],[Column3]])</f>
        <v>6290</v>
      </c>
      <c r="AS38" s="599">
        <f>VLOOKUP(Table1[[#This Row],[درجه التوسيط]],Table10[],3,)</f>
        <v>11000</v>
      </c>
      <c r="AT38" s="608">
        <f>Table1[[#This Row],[الراتب 2018+النسبه]]+Table1[[#This Row],[فروقات الحد الادني]]</f>
        <v>11000</v>
      </c>
      <c r="AU38" s="629">
        <f>Table1[[#This Row],[الراتب 2018 + النسبه + الفرق]]-Table1[[#This Row],[راتب ديسمبر 2019]]</f>
        <v>6290</v>
      </c>
      <c r="AV38" s="628">
        <f>Table1[[#This Row],[الزياده]]/Table1[[#This Row],[راتب ديسمبر 2019]]%</f>
        <v>133.54564755838641</v>
      </c>
      <c r="AW38" s="659">
        <f>IF(Table1[[#This Row],[Column4]]&lt;0,0,Table1[[#This Row],[Column4]])</f>
        <v>520.52000000000044</v>
      </c>
      <c r="AX38" s="611">
        <f>Table1[[#This Row],[الجبر حتي]]-Table1[[#This Row],[رن]]</f>
        <v>0</v>
      </c>
      <c r="AY38" s="611">
        <f>Table1[[#This Row],[الزياده]]+Table1[[#This Row],[التعديل]]+Table1[[#This Row],[جبر الرقم]]</f>
        <v>6810.52</v>
      </c>
      <c r="AZ38" s="611">
        <f>Table1[[#This Row],[الراتب 2018 + النسبه + الفرق]]+Table1[[#This Row],[جبر الرقم]]+Table1[[#This Row],[التعديل]]</f>
        <v>11520.52</v>
      </c>
      <c r="BA38" s="631">
        <f>Table1[[#This Row],[الزياده النهائيه]]/Table1[[#This Row],[راتب ديسمبر 2019]]%</f>
        <v>144.59702760084926</v>
      </c>
      <c r="BB38" s="612">
        <f>VLOOKUP(Table1[[#This Row],[الرقم الوظيفي]],Table6[],8,)</f>
        <v>4710</v>
      </c>
      <c r="BC38" s="7">
        <v>8000</v>
      </c>
      <c r="BD38" s="7">
        <v>8000</v>
      </c>
      <c r="BE38" s="7">
        <v>8000</v>
      </c>
      <c r="BF38" s="5">
        <f>Table1[[#This Row],[الحد الادني]]-Table1[[#This Row],[الراتب 2018+النسبه]]</f>
        <v>6290</v>
      </c>
      <c r="BG38" s="5">
        <f>Table1[[#This Row],[التعديل حتي]]-Table1[[#This Row],[kkk]]</f>
        <v>520.52000000000044</v>
      </c>
      <c r="BH38" s="5">
        <v>7479.48</v>
      </c>
      <c r="BI38" s="5">
        <f>IF(Table1[[#This Row],[Column4]]&lt;0,0,Table1[[#This Row],[Column4]])</f>
        <v>520.52000000000044</v>
      </c>
    </row>
    <row r="39" spans="1:61">
      <c r="A39" s="602">
        <v>66</v>
      </c>
      <c r="B39" s="618" t="str">
        <f>VLOOKUP(Table1[[#This Row],[الرقم الوظيفي]],[1]Sheet2!$1:$1048576,2,)</f>
        <v>عباس عبدالله على بابكر</v>
      </c>
      <c r="C39" s="618" t="str">
        <f>VLOOKUP(Table1[[#This Row],[الرقم الوظيفي]],[1]Sheet2!$1:$1048576,7,)</f>
        <v>المصنع</v>
      </c>
      <c r="D39" s="618" t="str">
        <f>VLOOKUP(Table1[[#This Row],[الرقم الوظيفي]],[1]Sheet2!$1:$1048576,8,)</f>
        <v>الانتاج</v>
      </c>
      <c r="E39" s="599" t="str">
        <f>VLOOKUP(Table1[[#This Row],[الرقم الوظيفي]],[1]Sheet2!$1:$1048576,9,)</f>
        <v>الاشراف</v>
      </c>
      <c r="F39" s="599" t="str">
        <f>VLOOKUP(Table1[[#This Row],[الرقم الوظيفي]],[1]Sheet2!$1:$1048576,12,)</f>
        <v>مشرف ورديه</v>
      </c>
      <c r="G39" s="599">
        <f>VLOOKUP(Table1[[#This Row],[الرقم الوظيفي]],[1]Sheet2!$1:$1048576,72,)</f>
        <v>0</v>
      </c>
      <c r="H39" s="599">
        <f>VLOOKUP(Table1[[#This Row],[الرقم الوظيفي]],[1]Sheet2!$1:$1048576,71,)</f>
        <v>0</v>
      </c>
      <c r="I39" s="599" t="str">
        <f>VLOOKUP(Table1[[#This Row],[المؤهل الرئيسي]],Table4[],3,)</f>
        <v>H</v>
      </c>
      <c r="J39" s="599" t="s">
        <v>494</v>
      </c>
      <c r="K39" s="615">
        <f>VLOOKUP(Table1[[#This Row],[الرقم الوظيفي]],[1]Sheet2!$1:$1048576,13,)</f>
        <v>40430</v>
      </c>
      <c r="L39" s="615">
        <v>43830</v>
      </c>
      <c r="M39" s="599">
        <f>DATEDIF(Table1[[#This Row],[تاريخ التعيين]],Table1[[#This Row],[اخر العام]],"y")</f>
        <v>9</v>
      </c>
      <c r="N39" s="599">
        <f>DATEDIF(Table1[[#This Row],[تاريخ التعيين]],Table1[[#This Row],[اخر العام]],"ym")</f>
        <v>3</v>
      </c>
      <c r="O39" s="610">
        <f>Table1[[#This Row],[سنوات الخدمه]]*1+Table1[[#This Row],[الشهور اقل من سنه]]*0.08</f>
        <v>9.24</v>
      </c>
      <c r="P39" s="616">
        <v>5370</v>
      </c>
      <c r="Q39" s="617">
        <v>884.976</v>
      </c>
      <c r="R39" s="612"/>
      <c r="S39" s="599"/>
      <c r="T39" s="612"/>
      <c r="U39" s="612"/>
      <c r="V39" s="612"/>
      <c r="W39" s="612"/>
      <c r="X39" s="612"/>
      <c r="Y39" s="612"/>
      <c r="Z39" s="612"/>
      <c r="AA3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9" s="612"/>
      <c r="AC39" s="599"/>
      <c r="AD39" s="612"/>
      <c r="AE39" s="612"/>
      <c r="AF39" s="612"/>
      <c r="AG39" s="612"/>
      <c r="AH39" s="619">
        <f>SUM(Table1[[#This Row],[التقييد  باللوائح و تنفيذالتوجيه]:[اتباع اجراءات السلامه]])</f>
        <v>0</v>
      </c>
      <c r="AI39" s="619">
        <f>Table1[[#This Row],[المجموع]]+Table1[[#This Row],[المجموع2]]</f>
        <v>0</v>
      </c>
      <c r="AJ39" s="612"/>
      <c r="AK39" s="612"/>
      <c r="AL39" s="612"/>
      <c r="AM39" s="612"/>
      <c r="AN39" s="612"/>
      <c r="AO39" s="606">
        <f>Table1[[#This Row],[المجموع 1+2]]*$AO$2</f>
        <v>0</v>
      </c>
      <c r="AP39" s="648">
        <f>Table1[[#This Row],[راتب ديسمبر 2019]]*Table1[[#This Row],[نسبه التقييم الرئيسي 2018]]%</f>
        <v>0</v>
      </c>
      <c r="AQ39" s="627">
        <f>Table1[[#This Row],[مبلغ التقييم النسبي 2018]]+Table1[[#This Row],[راتب ديسمبر 2019]]</f>
        <v>5370</v>
      </c>
      <c r="AR39" s="611">
        <f>IF(Table1[[#This Row],[Column3]]&lt;0,0,Table1[[#This Row],[Column3]])</f>
        <v>9630</v>
      </c>
      <c r="AS39" s="599">
        <f>VLOOKUP(Table1[[#This Row],[درجه التوسيط]],Table10[],3,)</f>
        <v>15000</v>
      </c>
      <c r="AT39" s="608">
        <f>Table1[[#This Row],[الراتب 2018+النسبه]]+Table1[[#This Row],[فروقات الحد الادني]]</f>
        <v>15000</v>
      </c>
      <c r="AU39" s="629">
        <f>Table1[[#This Row],[الراتب 2018 + النسبه + الفرق]]-Table1[[#This Row],[راتب ديسمبر 2019]]</f>
        <v>9630</v>
      </c>
      <c r="AV39" s="628">
        <f>Table1[[#This Row],[الزياده]]/Table1[[#This Row],[راتب ديسمبر 2019]]%</f>
        <v>179.32960893854747</v>
      </c>
      <c r="AW39" s="659">
        <f>IF(Table1[[#This Row],[Column4]]&lt;0,0,Table1[[#This Row],[Column4]])</f>
        <v>0</v>
      </c>
      <c r="AX39" s="611">
        <f>Table1[[#This Row],[الجبر حتي]]-Table1[[#This Row],[رن]]</f>
        <v>0</v>
      </c>
      <c r="AY39" s="611">
        <f>Table1[[#This Row],[الزياده]]+Table1[[#This Row],[التعديل]]+Table1[[#This Row],[جبر الرقم]]</f>
        <v>9630</v>
      </c>
      <c r="AZ39" s="611">
        <f>Table1[[#This Row],[الراتب 2018 + النسبه + الفرق]]+Table1[[#This Row],[جبر الرقم]]+Table1[[#This Row],[التعديل]]</f>
        <v>15000</v>
      </c>
      <c r="BA39" s="631">
        <f>Table1[[#This Row],[الزياده النهائيه]]/Table1[[#This Row],[راتب ديسمبر 2019]]%</f>
        <v>179.32960893854747</v>
      </c>
      <c r="BB39" s="612">
        <f>VLOOKUP(Table1[[#This Row],[الرقم الوظيفي]],Table6[],8,)</f>
        <v>5370</v>
      </c>
      <c r="BC39" s="7"/>
      <c r="BD39" s="7">
        <v>10000</v>
      </c>
      <c r="BE39" s="7">
        <v>10000</v>
      </c>
      <c r="BF39" s="5">
        <f>Table1[[#This Row],[الحد الادني]]-Table1[[#This Row],[الراتب 2018+النسبه]]</f>
        <v>9630</v>
      </c>
      <c r="BG39" s="5">
        <f>Table1[[#This Row],[التعديل حتي]]-Table1[[#This Row],[kkk]]</f>
        <v>-10000</v>
      </c>
      <c r="BH39" s="5">
        <v>10000</v>
      </c>
      <c r="BI39" s="5">
        <f>IF(Table1[[#This Row],[Column4]]&lt;0,0,Table1[[#This Row],[Column4]])</f>
        <v>0</v>
      </c>
    </row>
    <row r="40" spans="1:61">
      <c r="A40" s="602">
        <v>68</v>
      </c>
      <c r="B40" s="618" t="str">
        <f>VLOOKUP(Table1[[#This Row],[الرقم الوظيفي]],[1]Sheet2!$1:$1048576,2,)</f>
        <v>على الامين محمد على</v>
      </c>
      <c r="C40" s="618" t="str">
        <f>VLOOKUP(Table1[[#This Row],[الرقم الوظيفي]],[1]Sheet2!$1:$1048576,7,)</f>
        <v>المصنع</v>
      </c>
      <c r="D40" s="618" t="str">
        <f>VLOOKUP(Table1[[#This Row],[الرقم الوظيفي]],[1]Sheet2!$1:$1048576,8,)</f>
        <v>الانتاج</v>
      </c>
      <c r="E40" s="599" t="str">
        <f>VLOOKUP(Table1[[#This Row],[الرقم الوظيفي]],[1]Sheet2!$1:$1048576,9,)</f>
        <v>الصاج والزنك</v>
      </c>
      <c r="F40" s="599" t="str">
        <f>VLOOKUP(Table1[[#This Row],[الرقم الوظيفي]],[1]Sheet2!$1:$1048576,12,)</f>
        <v>مساعد مشغل</v>
      </c>
      <c r="G40" s="599">
        <f>VLOOKUP(Table1[[#This Row],[الرقم الوظيفي]],[1]Sheet2!$1:$1048576,72,)</f>
        <v>0</v>
      </c>
      <c r="H40" s="599">
        <f>VLOOKUP(Table1[[#This Row],[الرقم الوظيفي]],[1]Sheet2!$1:$1048576,71,)</f>
        <v>0</v>
      </c>
      <c r="I40" s="599" t="str">
        <f>VLOOKUP(Table1[[#This Row],[المؤهل الرئيسي]],Table4[],3,)</f>
        <v>H</v>
      </c>
      <c r="J40" s="599" t="s">
        <v>928</v>
      </c>
      <c r="K40" s="615">
        <f>VLOOKUP(Table1[[#This Row],[الرقم الوظيفي]],[1]Sheet2!$1:$1048576,13,)</f>
        <v>40422</v>
      </c>
      <c r="L40" s="615">
        <v>43830</v>
      </c>
      <c r="M40" s="599">
        <f>DATEDIF(Table1[[#This Row],[تاريخ التعيين]],Table1[[#This Row],[اخر العام]],"y")</f>
        <v>9</v>
      </c>
      <c r="N40" s="599">
        <f>DATEDIF(Table1[[#This Row],[تاريخ التعيين]],Table1[[#This Row],[اخر العام]],"ym")</f>
        <v>3</v>
      </c>
      <c r="O40" s="610">
        <f>Table1[[#This Row],[سنوات الخدمه]]*1+Table1[[#This Row],[الشهور اقل من سنه]]*0.08</f>
        <v>9.24</v>
      </c>
      <c r="P40" s="616">
        <v>4330</v>
      </c>
      <c r="Q40" s="617">
        <v>713.58399999999995</v>
      </c>
      <c r="R40" s="612"/>
      <c r="S40" s="599"/>
      <c r="T40" s="612"/>
      <c r="U40" s="612"/>
      <c r="V40" s="612"/>
      <c r="W40" s="612"/>
      <c r="X40" s="612"/>
      <c r="Y40" s="612"/>
      <c r="Z40" s="612"/>
      <c r="AA4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0" s="612"/>
      <c r="AC40" s="599"/>
      <c r="AD40" s="612"/>
      <c r="AE40" s="612"/>
      <c r="AF40" s="612"/>
      <c r="AG40" s="612"/>
      <c r="AH40" s="619">
        <f>SUM(Table1[[#This Row],[التقييد  باللوائح و تنفيذالتوجيه]:[اتباع اجراءات السلامه]])</f>
        <v>0</v>
      </c>
      <c r="AI40" s="619">
        <f>Table1[[#This Row],[المجموع]]+Table1[[#This Row],[المجموع2]]</f>
        <v>0</v>
      </c>
      <c r="AJ40" s="612"/>
      <c r="AK40" s="612"/>
      <c r="AL40" s="612"/>
      <c r="AM40" s="612"/>
      <c r="AN40" s="612"/>
      <c r="AO40" s="606">
        <f>Table1[[#This Row],[المجموع 1+2]]*$AO$2</f>
        <v>0</v>
      </c>
      <c r="AP40" s="648">
        <f>Table1[[#This Row],[راتب ديسمبر 2019]]*Table1[[#This Row],[نسبه التقييم الرئيسي 2018]]%</f>
        <v>0</v>
      </c>
      <c r="AQ40" s="627">
        <f>Table1[[#This Row],[مبلغ التقييم النسبي 2018]]+Table1[[#This Row],[راتب ديسمبر 2019]]</f>
        <v>4330</v>
      </c>
      <c r="AR40" s="611">
        <f>IF(Table1[[#This Row],[Column3]]&lt;0,0,Table1[[#This Row],[Column3]])</f>
        <v>2670</v>
      </c>
      <c r="AS40" s="599">
        <f>VLOOKUP(Table1[[#This Row],[درجه التوسيط]],Table10[],3,)</f>
        <v>7000</v>
      </c>
      <c r="AT40" s="608">
        <f>Table1[[#This Row],[الراتب 2018+النسبه]]+Table1[[#This Row],[فروقات الحد الادني]]</f>
        <v>7000</v>
      </c>
      <c r="AU40" s="629">
        <f>Table1[[#This Row],[الراتب 2018 + النسبه + الفرق]]-Table1[[#This Row],[راتب ديسمبر 2019]]</f>
        <v>2670</v>
      </c>
      <c r="AV40" s="628">
        <f>Table1[[#This Row],[الزياده]]/Table1[[#This Row],[راتب ديسمبر 2019]]%</f>
        <v>61.662817551963052</v>
      </c>
      <c r="AW40" s="659">
        <f>IF(Table1[[#This Row],[Column4]]&lt;0,0,Table1[[#This Row],[Column4]])</f>
        <v>0</v>
      </c>
      <c r="AX40" s="611">
        <f>Table1[[#This Row],[الجبر حتي]]-Table1[[#This Row],[رن]]</f>
        <v>3.7600000000002183</v>
      </c>
      <c r="AY40" s="611">
        <f>Table1[[#This Row],[الزياده]]+Table1[[#This Row],[التعديل]]+Table1[[#This Row],[جبر الرقم]]</f>
        <v>2673.76</v>
      </c>
      <c r="AZ40" s="611">
        <f>Table1[[#This Row],[الراتب 2018 + النسبه + الفرق]]+Table1[[#This Row],[جبر الرقم]]+Table1[[#This Row],[التعديل]]</f>
        <v>7003.76</v>
      </c>
      <c r="BA40" s="631">
        <f>Table1[[#This Row],[الزياده النهائيه]]/Table1[[#This Row],[راتب ديسمبر 2019]]%</f>
        <v>61.749653579676682</v>
      </c>
      <c r="BB40" s="612">
        <f>VLOOKUP(Table1[[#This Row],[الرقم الوظيفي]],Table6[],8,)</f>
        <v>4330</v>
      </c>
      <c r="BC40" s="7"/>
      <c r="BD40" s="7">
        <v>6620</v>
      </c>
      <c r="BE40" s="7">
        <v>6616.24</v>
      </c>
      <c r="BF40" s="5">
        <f>Table1[[#This Row],[الحد الادني]]-Table1[[#This Row],[الراتب 2018+النسبه]]</f>
        <v>2670</v>
      </c>
      <c r="BG40" s="5">
        <f>Table1[[#This Row],[التعديل حتي]]-Table1[[#This Row],[kkk]]</f>
        <v>-6616.24</v>
      </c>
      <c r="BH40" s="5">
        <v>6616.24</v>
      </c>
      <c r="BI40" s="5">
        <f>IF(Table1[[#This Row],[Column4]]&lt;0,0,Table1[[#This Row],[Column4]])</f>
        <v>0</v>
      </c>
    </row>
    <row r="41" spans="1:61" ht="21" customHeight="1">
      <c r="A41" s="602">
        <v>71</v>
      </c>
      <c r="B41" s="618" t="str">
        <f>VLOOKUP(Table1[[#This Row],[الرقم الوظيفي]],[1]Sheet2!$1:$1048576,2,)</f>
        <v>حسب الرسول عبدالرحمن الطيب الحسن</v>
      </c>
      <c r="C41" s="618" t="str">
        <f>VLOOKUP(Table1[[#This Row],[الرقم الوظيفي]],[1]Sheet2!$1:$1048576,7,)</f>
        <v>المصنع</v>
      </c>
      <c r="D41" s="618" t="str">
        <f>VLOOKUP(Table1[[#This Row],[الرقم الوظيفي]],[1]Sheet2!$1:$1048576,8,)</f>
        <v>المستودعات</v>
      </c>
      <c r="E41" s="599" t="str">
        <f>VLOOKUP(Table1[[#This Row],[الرقم الوظيفي]],[1]Sheet2!$1:$1048576,9,)</f>
        <v>المنتج الجاهز</v>
      </c>
      <c r="F41" s="599" t="str">
        <f>VLOOKUP(Table1[[#This Row],[الرقم الوظيفي]],[1]Sheet2!$1:$1048576,12,)</f>
        <v>امين مستودع م ج</v>
      </c>
      <c r="G41" s="599" t="str">
        <f>VLOOKUP(Table1[[#This Row],[الرقم الوظيفي]],[1]Sheet2!$1:$1048576,72,)</f>
        <v>بكلاريوس الشرف</v>
      </c>
      <c r="H41" s="599" t="str">
        <f>VLOOKUP(Table1[[#This Row],[الرقم الوظيفي]],[1]Sheet2!$1:$1048576,71,)</f>
        <v>محاسبة</v>
      </c>
      <c r="I41" s="599" t="str">
        <f>VLOOKUP(Table1[[#This Row],[المؤهل الرئيسي]],Table4[],3,)</f>
        <v>C</v>
      </c>
      <c r="J41" s="599" t="s">
        <v>493</v>
      </c>
      <c r="K41" s="615">
        <f>VLOOKUP(Table1[[#This Row],[الرقم الوظيفي]],[1]Sheet2!$1:$1048576,13,)</f>
        <v>40458</v>
      </c>
      <c r="L41" s="615">
        <v>43830</v>
      </c>
      <c r="M41" s="599">
        <f>DATEDIF(Table1[[#This Row],[تاريخ التعيين]],Table1[[#This Row],[اخر العام]],"y")</f>
        <v>9</v>
      </c>
      <c r="N41" s="599">
        <f>DATEDIF(Table1[[#This Row],[تاريخ التعيين]],Table1[[#This Row],[اخر العام]],"ym")</f>
        <v>2</v>
      </c>
      <c r="O41" s="610">
        <f>Table1[[#This Row],[سنوات الخدمه]]*1+Table1[[#This Row],[الشهور اقل من سنه]]*0.08</f>
        <v>9.16</v>
      </c>
      <c r="P41" s="616">
        <v>5470</v>
      </c>
      <c r="Q41" s="617">
        <v>892.70399999999995</v>
      </c>
      <c r="R41" s="612"/>
      <c r="S41" s="599"/>
      <c r="T41" s="612"/>
      <c r="U41" s="612"/>
      <c r="V41" s="612"/>
      <c r="W41" s="612"/>
      <c r="X41" s="612"/>
      <c r="Y41" s="612"/>
      <c r="Z41" s="612"/>
      <c r="AA4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1" s="612"/>
      <c r="AC41" s="599"/>
      <c r="AD41" s="612"/>
      <c r="AE41" s="612"/>
      <c r="AF41" s="612"/>
      <c r="AG41" s="612"/>
      <c r="AH41" s="619">
        <f>SUM(Table1[[#This Row],[التقييد  باللوائح و تنفيذالتوجيه]:[اتباع اجراءات السلامه]])</f>
        <v>0</v>
      </c>
      <c r="AI41" s="619">
        <f>Table1[[#This Row],[المجموع]]+Table1[[#This Row],[المجموع2]]</f>
        <v>0</v>
      </c>
      <c r="AJ41" s="612">
        <v>9</v>
      </c>
      <c r="AK41" s="612"/>
      <c r="AL41" s="612"/>
      <c r="AM41" s="612">
        <v>9</v>
      </c>
      <c r="AN41" s="612"/>
      <c r="AO41" s="606">
        <f>Table1[[#This Row],[المجموع 1+2]]*$AO$2</f>
        <v>0</v>
      </c>
      <c r="AP41" s="648">
        <f>Table1[[#This Row],[راتب ديسمبر 2019]]*Table1[[#This Row],[نسبه التقييم الرئيسي 2018]]%</f>
        <v>0</v>
      </c>
      <c r="AQ41" s="627">
        <f>Table1[[#This Row],[مبلغ التقييم النسبي 2018]]+Table1[[#This Row],[راتب ديسمبر 2019]]</f>
        <v>5470</v>
      </c>
      <c r="AR41" s="611">
        <f>IF(Table1[[#This Row],[Column3]]&lt;0,0,Table1[[#This Row],[Column3]])</f>
        <v>14530</v>
      </c>
      <c r="AS41" s="599">
        <f>VLOOKUP(Table1[[#This Row],[درجه التوسيط]],Table10[],3,)</f>
        <v>20000</v>
      </c>
      <c r="AT41" s="608">
        <f>Table1[[#This Row],[الراتب 2018+النسبه]]+Table1[[#This Row],[فروقات الحد الادني]]</f>
        <v>20000</v>
      </c>
      <c r="AU41" s="629">
        <f>Table1[[#This Row],[الراتب 2018 + النسبه + الفرق]]-Table1[[#This Row],[راتب ديسمبر 2019]]</f>
        <v>14530</v>
      </c>
      <c r="AV41" s="628">
        <f>Table1[[#This Row],[الزياده]]/Table1[[#This Row],[راتب ديسمبر 2019]]%</f>
        <v>265.63071297989029</v>
      </c>
      <c r="AW41" s="659">
        <f>IF(Table1[[#This Row],[Column4]]&lt;0,0,Table1[[#This Row],[Column4]])</f>
        <v>0</v>
      </c>
      <c r="AX41" s="611">
        <f>Table1[[#This Row],[الجبر حتي]]-Table1[[#This Row],[رن]]</f>
        <v>0</v>
      </c>
      <c r="AY41" s="611">
        <f>Table1[[#This Row],[الزياده]]+Table1[[#This Row],[التعديل]]+Table1[[#This Row],[جبر الرقم]]</f>
        <v>14530</v>
      </c>
      <c r="AZ41" s="611">
        <f>Table1[[#This Row],[الراتب 2018 + النسبه + الفرق]]+Table1[[#This Row],[جبر الرقم]]+Table1[[#This Row],[التعديل]]</f>
        <v>20000</v>
      </c>
      <c r="BA41" s="631">
        <f>Table1[[#This Row],[الزياده النهائيه]]/Table1[[#This Row],[راتب ديسمبر 2019]]%</f>
        <v>265.63071297989029</v>
      </c>
      <c r="BB41" s="612">
        <f>VLOOKUP(Table1[[#This Row],[الرقم الوظيفي]],Table6[],8,)</f>
        <v>5470</v>
      </c>
      <c r="BC41" s="7"/>
      <c r="BD41" s="7">
        <v>15000</v>
      </c>
      <c r="BE41" s="7">
        <v>15000</v>
      </c>
      <c r="BF41" s="5">
        <f>Table1[[#This Row],[الحد الادني]]-Table1[[#This Row],[الراتب 2018+النسبه]]</f>
        <v>14530</v>
      </c>
      <c r="BG41" s="5">
        <f>Table1[[#This Row],[التعديل حتي]]-Table1[[#This Row],[kkk]]</f>
        <v>-15000</v>
      </c>
      <c r="BH41" s="5">
        <v>15000</v>
      </c>
      <c r="BI41" s="5">
        <f>IF(Table1[[#This Row],[Column4]]&lt;0,0,Table1[[#This Row],[Column4]])</f>
        <v>0</v>
      </c>
    </row>
    <row r="42" spans="1:61" ht="21" customHeight="1">
      <c r="A42" s="602">
        <v>72</v>
      </c>
      <c r="B42" s="618" t="str">
        <f>VLOOKUP(Table1[[#This Row],[الرقم الوظيفي]],[1]Sheet2!$1:$1048576,2,)</f>
        <v>محمد عثمان عبدالله محمد</v>
      </c>
      <c r="C42" s="618" t="str">
        <f>VLOOKUP(Table1[[#This Row],[الرقم الوظيفي]],[1]Sheet2!$1:$1048576,7,)</f>
        <v>المصنع</v>
      </c>
      <c r="D42" s="618" t="str">
        <f>VLOOKUP(Table1[[#This Row],[الرقم الوظيفي]],[1]Sheet2!$1:$1048576,8,)</f>
        <v>الموارد البشريه</v>
      </c>
      <c r="E42" s="599" t="str">
        <f>VLOOKUP(Table1[[#This Row],[الرقم الوظيفي]],[1]Sheet2!$1:$1048576,9,)</f>
        <v>موظف</v>
      </c>
      <c r="F42" s="599" t="str">
        <f>VLOOKUP(Table1[[#This Row],[الرقم الوظيفي]],[1]Sheet2!$1:$1048576,12,)</f>
        <v>موظف موارد بشريه</v>
      </c>
      <c r="G42" s="599" t="str">
        <f>VLOOKUP(Table1[[#This Row],[الرقم الوظيفي]],[1]Sheet2!$1:$1048576,72,)</f>
        <v>شهاده ثانويه</v>
      </c>
      <c r="H42" s="599">
        <f>VLOOKUP(Table1[[#This Row],[الرقم الوظيفي]],[1]Sheet2!$1:$1048576,71,)</f>
        <v>0</v>
      </c>
      <c r="I42" s="599" t="str">
        <f>VLOOKUP(Table1[[#This Row],[المؤهل الرئيسي]],Table4[],3,)</f>
        <v>F</v>
      </c>
      <c r="J42" s="599" t="s">
        <v>494</v>
      </c>
      <c r="K42" s="615">
        <f>VLOOKUP(Table1[[#This Row],[الرقم الوظيفي]],[1]Sheet2!$1:$1048576,13,)</f>
        <v>40471</v>
      </c>
      <c r="L42" s="615">
        <v>43830</v>
      </c>
      <c r="M42" s="599">
        <f>DATEDIF(Table1[[#This Row],[تاريخ التعيين]],Table1[[#This Row],[اخر العام]],"y")</f>
        <v>9</v>
      </c>
      <c r="N42" s="599">
        <f>DATEDIF(Table1[[#This Row],[تاريخ التعيين]],Table1[[#This Row],[اخر العام]],"ym")</f>
        <v>2</v>
      </c>
      <c r="O42" s="610">
        <f>Table1[[#This Row],[سنوات الخدمه]]*1+Table1[[#This Row],[الشهور اقل من سنه]]*0.08</f>
        <v>9.16</v>
      </c>
      <c r="P42" s="616">
        <v>4360</v>
      </c>
      <c r="Q42" s="617">
        <v>711.55200000000002</v>
      </c>
      <c r="R42" s="612"/>
      <c r="S42" s="599"/>
      <c r="T42" s="612"/>
      <c r="U42" s="612"/>
      <c r="V42" s="612"/>
      <c r="W42" s="612"/>
      <c r="X42" s="612"/>
      <c r="Y42" s="612"/>
      <c r="Z42" s="612"/>
      <c r="AA4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2" s="612"/>
      <c r="AC42" s="599"/>
      <c r="AD42" s="612"/>
      <c r="AE42" s="612"/>
      <c r="AF42" s="612"/>
      <c r="AG42" s="612"/>
      <c r="AH42" s="619">
        <f>SUM(Table1[[#This Row],[التقييد  باللوائح و تنفيذالتوجيه]:[اتباع اجراءات السلامه]])</f>
        <v>0</v>
      </c>
      <c r="AI42" s="619">
        <f>Table1[[#This Row],[المجموع]]+Table1[[#This Row],[المجموع2]]</f>
        <v>0</v>
      </c>
      <c r="AJ42" s="612"/>
      <c r="AK42" s="612"/>
      <c r="AL42" s="612"/>
      <c r="AM42" s="612"/>
      <c r="AN42" s="612"/>
      <c r="AO42" s="606">
        <f>Table1[[#This Row],[المجموع 1+2]]*$AO$2</f>
        <v>0</v>
      </c>
      <c r="AP42" s="648">
        <f>Table1[[#This Row],[راتب ديسمبر 2019]]*Table1[[#This Row],[نسبه التقييم الرئيسي 2018]]%</f>
        <v>0</v>
      </c>
      <c r="AQ42" s="627">
        <f>Table1[[#This Row],[مبلغ التقييم النسبي 2018]]+Table1[[#This Row],[راتب ديسمبر 2019]]</f>
        <v>4360</v>
      </c>
      <c r="AR42" s="611">
        <f>IF(Table1[[#This Row],[Column3]]&lt;0,0,Table1[[#This Row],[Column3]])</f>
        <v>10640</v>
      </c>
      <c r="AS42" s="599">
        <f>VLOOKUP(Table1[[#This Row],[درجه التوسيط]],Table10[],3,)</f>
        <v>15000</v>
      </c>
      <c r="AT42" s="608">
        <f>Table1[[#This Row],[الراتب 2018+النسبه]]+Table1[[#This Row],[فروقات الحد الادني]]</f>
        <v>15000</v>
      </c>
      <c r="AU42" s="629">
        <f>Table1[[#This Row],[الراتب 2018 + النسبه + الفرق]]-Table1[[#This Row],[راتب ديسمبر 2019]]</f>
        <v>10640</v>
      </c>
      <c r="AV42" s="628">
        <f>Table1[[#This Row],[الزياده]]/Table1[[#This Row],[راتب ديسمبر 2019]]%</f>
        <v>244.03669724770643</v>
      </c>
      <c r="AW42" s="659">
        <f>IF(Table1[[#This Row],[Column4]]&lt;0,0,Table1[[#This Row],[Column4]])</f>
        <v>1000</v>
      </c>
      <c r="AX42" s="611">
        <f>Table1[[#This Row],[الجبر حتي]]-Table1[[#This Row],[رن]]</f>
        <v>0</v>
      </c>
      <c r="AY42" s="611">
        <f>Table1[[#This Row],[الزياده]]+Table1[[#This Row],[التعديل]]+Table1[[#This Row],[جبر الرقم]]</f>
        <v>11640</v>
      </c>
      <c r="AZ42" s="611">
        <f>Table1[[#This Row],[الراتب 2018 + النسبه + الفرق]]+Table1[[#This Row],[جبر الرقم]]+Table1[[#This Row],[التعديل]]</f>
        <v>16000</v>
      </c>
      <c r="BA42" s="631">
        <f>Table1[[#This Row],[الزياده النهائيه]]/Table1[[#This Row],[راتب ديسمبر 2019]]%</f>
        <v>266.97247706422019</v>
      </c>
      <c r="BB42" s="612">
        <f>VLOOKUP(Table1[[#This Row],[الرقم الوظيفي]],Table6[],8,)</f>
        <v>4360</v>
      </c>
      <c r="BC42" s="7">
        <v>11000</v>
      </c>
      <c r="BD42" s="7">
        <v>11000</v>
      </c>
      <c r="BE42" s="7">
        <v>11000</v>
      </c>
      <c r="BF42" s="5">
        <f>Table1[[#This Row],[الحد الادني]]-Table1[[#This Row],[الراتب 2018+النسبه]]</f>
        <v>10640</v>
      </c>
      <c r="BG42" s="5">
        <f>Table1[[#This Row],[التعديل حتي]]-Table1[[#This Row],[kkk]]</f>
        <v>1000</v>
      </c>
      <c r="BH42" s="5">
        <v>10000</v>
      </c>
      <c r="BI42" s="5">
        <f>IF(Table1[[#This Row],[Column4]]&lt;0,0,Table1[[#This Row],[Column4]])</f>
        <v>1000</v>
      </c>
    </row>
    <row r="43" spans="1:61">
      <c r="A43" s="602">
        <v>73</v>
      </c>
      <c r="B43" s="618" t="str">
        <f>VLOOKUP(Table1[[#This Row],[الرقم الوظيفي]],[1]Sheet2!$1:$1048576,2,)</f>
        <v>ابوبكر على نعمان على</v>
      </c>
      <c r="C43" s="618" t="str">
        <f>VLOOKUP(Table1[[#This Row],[الرقم الوظيفي]],[1]Sheet2!$1:$1048576,7,)</f>
        <v>المصنع</v>
      </c>
      <c r="D43" s="618" t="str">
        <f>VLOOKUP(Table1[[#This Row],[الرقم الوظيفي]],[1]Sheet2!$1:$1048576,8,)</f>
        <v>الماليه</v>
      </c>
      <c r="E43" s="599">
        <f>VLOOKUP(Table1[[#This Row],[الرقم الوظيفي]],[1]Sheet2!$1:$1048576,9,)</f>
        <v>0</v>
      </c>
      <c r="F43" s="599" t="str">
        <f>VLOOKUP(Table1[[#This Row],[الرقم الوظيفي]],[1]Sheet2!$1:$1048576,12,)</f>
        <v>محاسب</v>
      </c>
      <c r="G43" s="599" t="str">
        <f>VLOOKUP(Table1[[#This Row],[الرقم الوظيفي]],[1]Sheet2!$1:$1048576,72,)</f>
        <v>بكلاريوس الشرف</v>
      </c>
      <c r="H43" s="599" t="str">
        <f>VLOOKUP(Table1[[#This Row],[الرقم الوظيفي]],[1]Sheet2!$1:$1048576,71,)</f>
        <v>تامين</v>
      </c>
      <c r="I43" s="599" t="str">
        <f>VLOOKUP(Table1[[#This Row],[المؤهل الرئيسي]],Table4[],3,)</f>
        <v>C</v>
      </c>
      <c r="J43" s="599" t="s">
        <v>922</v>
      </c>
      <c r="K43" s="615">
        <f>VLOOKUP(Table1[[#This Row],[الرقم الوظيفي]],[1]Sheet2!$1:$1048576,13,)</f>
        <v>40475</v>
      </c>
      <c r="L43" s="615">
        <v>43830</v>
      </c>
      <c r="M43" s="599">
        <f>DATEDIF(Table1[[#This Row],[تاريخ التعيين]],Table1[[#This Row],[اخر العام]],"y")</f>
        <v>9</v>
      </c>
      <c r="N43" s="599">
        <f>DATEDIF(Table1[[#This Row],[تاريخ التعيين]],Table1[[#This Row],[اخر العام]],"ym")</f>
        <v>2</v>
      </c>
      <c r="O43" s="610">
        <f>Table1[[#This Row],[سنوات الخدمه]]*1+Table1[[#This Row],[الشهور اقل من سنه]]*0.08</f>
        <v>9.16</v>
      </c>
      <c r="P43" s="616">
        <v>5430</v>
      </c>
      <c r="Q43" s="617">
        <v>886.17600000000004</v>
      </c>
      <c r="R43" s="612"/>
      <c r="S43" s="599"/>
      <c r="T43" s="612"/>
      <c r="U43" s="612"/>
      <c r="V43" s="612"/>
      <c r="W43" s="612"/>
      <c r="X43" s="612"/>
      <c r="Y43" s="612"/>
      <c r="Z43" s="612"/>
      <c r="AA4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3" s="612"/>
      <c r="AC43" s="599"/>
      <c r="AD43" s="612"/>
      <c r="AE43" s="612"/>
      <c r="AF43" s="612"/>
      <c r="AG43" s="612"/>
      <c r="AH43" s="619">
        <f>SUM(Table1[[#This Row],[التقييد  باللوائح و تنفيذالتوجيه]:[اتباع اجراءات السلامه]])</f>
        <v>0</v>
      </c>
      <c r="AI43" s="619">
        <f>Table1[[#This Row],[المجموع]]+Table1[[#This Row],[المجموع2]]</f>
        <v>0</v>
      </c>
      <c r="AJ43" s="612">
        <v>9</v>
      </c>
      <c r="AK43" s="612"/>
      <c r="AL43" s="612"/>
      <c r="AM43" s="612">
        <v>8</v>
      </c>
      <c r="AN43" s="612"/>
      <c r="AO43" s="606">
        <f>Table1[[#This Row],[المجموع 1+2]]*$AO$2</f>
        <v>0</v>
      </c>
      <c r="AP43" s="648">
        <f>Table1[[#This Row],[راتب ديسمبر 2019]]*Table1[[#This Row],[نسبه التقييم الرئيسي 2018]]%</f>
        <v>0</v>
      </c>
      <c r="AQ43" s="627">
        <f>Table1[[#This Row],[مبلغ التقييم النسبي 2018]]+Table1[[#This Row],[راتب ديسمبر 2019]]</f>
        <v>5430</v>
      </c>
      <c r="AR43" s="611">
        <f>IF(Table1[[#This Row],[Column3]]&lt;0,0,Table1[[#This Row],[Column3]])</f>
        <v>5570</v>
      </c>
      <c r="AS43" s="599">
        <f>VLOOKUP(Table1[[#This Row],[درجه التوسيط]],Table10[],3,)</f>
        <v>11000</v>
      </c>
      <c r="AT43" s="608">
        <f>Table1[[#This Row],[الراتب 2018+النسبه]]+Table1[[#This Row],[فروقات الحد الادني]]</f>
        <v>11000</v>
      </c>
      <c r="AU43" s="629">
        <f>Table1[[#This Row],[الراتب 2018 + النسبه + الفرق]]-Table1[[#This Row],[راتب ديسمبر 2019]]</f>
        <v>5570</v>
      </c>
      <c r="AV43" s="628">
        <f>Table1[[#This Row],[الزياده]]/Table1[[#This Row],[راتب ديسمبر 2019]]%</f>
        <v>102.57826887661142</v>
      </c>
      <c r="AW43" s="659">
        <f>IF(Table1[[#This Row],[Column4]]&lt;0,0,Table1[[#This Row],[Column4]])</f>
        <v>1072.6399999999994</v>
      </c>
      <c r="AX43" s="611">
        <f>Table1[[#This Row],[الجبر حتي]]-Table1[[#This Row],[رن]]</f>
        <v>0</v>
      </c>
      <c r="AY43" s="611">
        <f>Table1[[#This Row],[الزياده]]+Table1[[#This Row],[التعديل]]+Table1[[#This Row],[جبر الرقم]]</f>
        <v>6642.6399999999994</v>
      </c>
      <c r="AZ43" s="611">
        <f>Table1[[#This Row],[الراتب 2018 + النسبه + الفرق]]+Table1[[#This Row],[جبر الرقم]]+Table1[[#This Row],[التعديل]]</f>
        <v>12072.64</v>
      </c>
      <c r="BA43" s="631">
        <f>Table1[[#This Row],[الزياده النهائيه]]/Table1[[#This Row],[راتب ديسمبر 2019]]%</f>
        <v>122.33222836095764</v>
      </c>
      <c r="BB43" s="612">
        <f>VLOOKUP(Table1[[#This Row],[الرقم الوظيفي]],Table6[],8,)</f>
        <v>5430</v>
      </c>
      <c r="BC43" s="7">
        <v>9500</v>
      </c>
      <c r="BD43" s="7">
        <v>9500</v>
      </c>
      <c r="BE43" s="7">
        <v>9500</v>
      </c>
      <c r="BF43" s="5">
        <f>Table1[[#This Row],[الحد الادني]]-Table1[[#This Row],[الراتب 2018+النسبه]]</f>
        <v>5570</v>
      </c>
      <c r="BG43" s="5">
        <f>Table1[[#This Row],[التعديل حتي]]-Table1[[#This Row],[kkk]]</f>
        <v>1072.6399999999994</v>
      </c>
      <c r="BH43" s="5">
        <v>8427.36</v>
      </c>
      <c r="BI43" s="5">
        <f>IF(Table1[[#This Row],[Column4]]&lt;0,0,Table1[[#This Row],[Column4]])</f>
        <v>1072.6399999999994</v>
      </c>
    </row>
    <row r="44" spans="1:61" ht="21" customHeight="1">
      <c r="A44" s="602">
        <v>76</v>
      </c>
      <c r="B44" s="618" t="str">
        <f>VLOOKUP(Table1[[#This Row],[الرقم الوظيفي]],[1]Sheet2!$1:$1048576,2,)</f>
        <v>ادم الحسن محمد نور ابراهيم</v>
      </c>
      <c r="C44" s="618" t="str">
        <f>VLOOKUP(Table1[[#This Row],[الرقم الوظيفي]],[1]Sheet2!$1:$1048576,7,)</f>
        <v>المصنع</v>
      </c>
      <c r="D44" s="618" t="str">
        <f>VLOOKUP(Table1[[#This Row],[الرقم الوظيفي]],[1]Sheet2!$1:$1048576,8,)</f>
        <v>الانتاج</v>
      </c>
      <c r="E44" s="599" t="str">
        <f>VLOOKUP(Table1[[#This Row],[الرقم الوظيفي]],[1]Sheet2!$1:$1048576,9,)</f>
        <v>المواسير</v>
      </c>
      <c r="F44" s="599" t="str">
        <f>VLOOKUP(Table1[[#This Row],[الرقم الوظيفي]],[1]Sheet2!$1:$1048576,12,)</f>
        <v>فورمان</v>
      </c>
      <c r="G44" s="599" t="str">
        <f>VLOOKUP(Table1[[#This Row],[الرقم الوظيفي]],[1]Sheet2!$1:$1048576,72,)</f>
        <v>دبلوم تقني</v>
      </c>
      <c r="H44" s="599" t="str">
        <f>VLOOKUP(Table1[[#This Row],[الرقم الوظيفي]],[1]Sheet2!$1:$1048576,71,)</f>
        <v>هندسة ميكانيكية ( إنتاج )</v>
      </c>
      <c r="I44" s="599" t="str">
        <f>VLOOKUP(Table1[[#This Row],[المؤهل الرئيسي]],Table4[],3,)</f>
        <v>D</v>
      </c>
      <c r="J44" s="599" t="s">
        <v>493</v>
      </c>
      <c r="K44" s="615">
        <f>VLOOKUP(Table1[[#This Row],[الرقم الوظيفي]],[1]Sheet2!$1:$1048576,13,)</f>
        <v>40526</v>
      </c>
      <c r="L44" s="615">
        <v>43830</v>
      </c>
      <c r="M44" s="599">
        <f>DATEDIF(Table1[[#This Row],[تاريخ التعيين]],Table1[[#This Row],[اخر العام]],"y")</f>
        <v>9</v>
      </c>
      <c r="N44" s="599">
        <f>DATEDIF(Table1[[#This Row],[تاريخ التعيين]],Table1[[#This Row],[اخر العام]],"ym")</f>
        <v>0</v>
      </c>
      <c r="O44" s="610">
        <f>Table1[[#This Row],[سنوات الخدمه]]*1+Table1[[#This Row],[الشهور اقل من سنه]]*0.08</f>
        <v>9</v>
      </c>
      <c r="P44" s="616">
        <v>9000</v>
      </c>
      <c r="Q44" s="617">
        <v>1440</v>
      </c>
      <c r="R44" s="612"/>
      <c r="S44" s="599"/>
      <c r="T44" s="612"/>
      <c r="U44" s="612"/>
      <c r="V44" s="612"/>
      <c r="W44" s="612"/>
      <c r="X44" s="612"/>
      <c r="Y44" s="612"/>
      <c r="Z44" s="612"/>
      <c r="AA4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4" s="612"/>
      <c r="AC44" s="599"/>
      <c r="AD44" s="612"/>
      <c r="AE44" s="612"/>
      <c r="AF44" s="612"/>
      <c r="AG44" s="612"/>
      <c r="AH44" s="619">
        <f>SUM(Table1[[#This Row],[التقييد  باللوائح و تنفيذالتوجيه]:[اتباع اجراءات السلامه]])</f>
        <v>0</v>
      </c>
      <c r="AI44" s="619">
        <f>Table1[[#This Row],[المجموع]]+Table1[[#This Row],[المجموع2]]</f>
        <v>0</v>
      </c>
      <c r="AJ44" s="612"/>
      <c r="AK44" s="612"/>
      <c r="AL44" s="612"/>
      <c r="AM44" s="612"/>
      <c r="AN44" s="612"/>
      <c r="AO44" s="606">
        <f>Table1[[#This Row],[المجموع 1+2]]*$AO$2</f>
        <v>0</v>
      </c>
      <c r="AP44" s="648">
        <f>Table1[[#This Row],[راتب ديسمبر 2019]]*Table1[[#This Row],[نسبه التقييم الرئيسي 2018]]%</f>
        <v>0</v>
      </c>
      <c r="AQ44" s="627">
        <f>Table1[[#This Row],[مبلغ التقييم النسبي 2018]]+Table1[[#This Row],[راتب ديسمبر 2019]]</f>
        <v>9000</v>
      </c>
      <c r="AR44" s="611">
        <f>IF(Table1[[#This Row],[Column3]]&lt;0,0,Table1[[#This Row],[Column3]])</f>
        <v>11000</v>
      </c>
      <c r="AS44" s="599">
        <f>VLOOKUP(Table1[[#This Row],[درجه التوسيط]],Table10[],3,)</f>
        <v>20000</v>
      </c>
      <c r="AT44" s="608">
        <f>Table1[[#This Row],[الراتب 2018+النسبه]]+Table1[[#This Row],[فروقات الحد الادني]]</f>
        <v>20000</v>
      </c>
      <c r="AU44" s="629">
        <f>Table1[[#This Row],[الراتب 2018 + النسبه + الفرق]]-Table1[[#This Row],[راتب ديسمبر 2019]]</f>
        <v>11000</v>
      </c>
      <c r="AV44" s="628">
        <f>Table1[[#This Row],[الزياده]]/Table1[[#This Row],[راتب ديسمبر 2019]]%</f>
        <v>122.22222222222223</v>
      </c>
      <c r="AW44" s="659">
        <f>IF(Table1[[#This Row],[Column4]]&lt;0,0,Table1[[#This Row],[Column4]])</f>
        <v>2000</v>
      </c>
      <c r="AX44" s="611">
        <f>Table1[[#This Row],[الجبر حتي]]-Table1[[#This Row],[رن]]</f>
        <v>0</v>
      </c>
      <c r="AY44" s="611">
        <f>Table1[[#This Row],[الزياده]]+Table1[[#This Row],[التعديل]]+Table1[[#This Row],[جبر الرقم]]</f>
        <v>13000</v>
      </c>
      <c r="AZ44" s="611">
        <f>Table1[[#This Row],[الراتب 2018 + النسبه + الفرق]]+Table1[[#This Row],[جبر الرقم]]+Table1[[#This Row],[التعديل]]</f>
        <v>22000</v>
      </c>
      <c r="BA44" s="631">
        <f>Table1[[#This Row],[الزياده النهائيه]]/Table1[[#This Row],[راتب ديسمبر 2019]]%</f>
        <v>144.44444444444446</v>
      </c>
      <c r="BB44" s="612">
        <f>VLOOKUP(Table1[[#This Row],[الرقم الوظيفي]],Table6[],8,)</f>
        <v>9000</v>
      </c>
      <c r="BC44" s="7">
        <v>17000</v>
      </c>
      <c r="BD44" s="7">
        <v>17000</v>
      </c>
      <c r="BE44" s="7">
        <v>17000</v>
      </c>
      <c r="BF44" s="5">
        <f>Table1[[#This Row],[الحد الادني]]-Table1[[#This Row],[الراتب 2018+النسبه]]</f>
        <v>11000</v>
      </c>
      <c r="BG44" s="5">
        <f>Table1[[#This Row],[التعديل حتي]]-Table1[[#This Row],[kkk]]</f>
        <v>2000</v>
      </c>
      <c r="BH44" s="5">
        <v>15000</v>
      </c>
      <c r="BI44" s="5">
        <f>IF(Table1[[#This Row],[Column4]]&lt;0,0,Table1[[#This Row],[Column4]])</f>
        <v>2000</v>
      </c>
    </row>
    <row r="45" spans="1:61" ht="21" customHeight="1">
      <c r="A45" s="602">
        <v>78</v>
      </c>
      <c r="B45" s="618" t="str">
        <f>VLOOKUP(Table1[[#This Row],[الرقم الوظيفي]],[1]Sheet2!$1:$1048576,2,)</f>
        <v>عبدالعظيم موسى نورالجليل تهور</v>
      </c>
      <c r="C45" s="618" t="str">
        <f>VLOOKUP(Table1[[#This Row],[الرقم الوظيفي]],[1]Sheet2!$1:$1048576,7,)</f>
        <v>المصنع</v>
      </c>
      <c r="D45" s="618" t="str">
        <f>VLOOKUP(Table1[[#This Row],[الرقم الوظيفي]],[1]Sheet2!$1:$1048576,8,)</f>
        <v>المستودعات</v>
      </c>
      <c r="E45" s="599" t="str">
        <f>VLOOKUP(Table1[[#This Row],[الرقم الوظيفي]],[1]Sheet2!$1:$1048576,9,)</f>
        <v>التحميل</v>
      </c>
      <c r="F45" s="599" t="str">
        <f>VLOOKUP(Table1[[#This Row],[الرقم الوظيفي]],[1]Sheet2!$1:$1048576,12,)</f>
        <v>مشغل كرين</v>
      </c>
      <c r="G45" s="599">
        <f>VLOOKUP(Table1[[#This Row],[الرقم الوظيفي]],[1]Sheet2!$1:$1048576,72,)</f>
        <v>0</v>
      </c>
      <c r="H45" s="599">
        <f>VLOOKUP(Table1[[#This Row],[الرقم الوظيفي]],[1]Sheet2!$1:$1048576,71,)</f>
        <v>0</v>
      </c>
      <c r="I45" s="599" t="str">
        <f>VLOOKUP(Table1[[#This Row],[المؤهل الرئيسي]],Table4[],3,)</f>
        <v>H</v>
      </c>
      <c r="J45" s="599" t="s">
        <v>925</v>
      </c>
      <c r="K45" s="615">
        <f>VLOOKUP(Table1[[#This Row],[الرقم الوظيفي]],[1]Sheet2!$1:$1048576,13,)</f>
        <v>40561</v>
      </c>
      <c r="L45" s="615">
        <v>43830</v>
      </c>
      <c r="M45" s="599">
        <f>DATEDIF(Table1[[#This Row],[تاريخ التعيين]],Table1[[#This Row],[اخر العام]],"y")</f>
        <v>8</v>
      </c>
      <c r="N45" s="599">
        <f>DATEDIF(Table1[[#This Row],[تاريخ التعيين]],Table1[[#This Row],[اخر العام]],"ym")</f>
        <v>11</v>
      </c>
      <c r="O45" s="610">
        <f>Table1[[#This Row],[سنوات الخدمه]]*1+Table1[[#This Row],[الشهور اقل من سنه]]*0.08</f>
        <v>8.8800000000000008</v>
      </c>
      <c r="P45" s="616">
        <v>4280</v>
      </c>
      <c r="Q45" s="617">
        <v>674.52800000000002</v>
      </c>
      <c r="R45" s="612"/>
      <c r="S45" s="599"/>
      <c r="T45" s="612"/>
      <c r="U45" s="612"/>
      <c r="V45" s="612"/>
      <c r="W45" s="612"/>
      <c r="X45" s="612"/>
      <c r="Y45" s="612"/>
      <c r="Z45" s="612"/>
      <c r="AA4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5" s="612"/>
      <c r="AC45" s="599"/>
      <c r="AD45" s="612"/>
      <c r="AE45" s="612"/>
      <c r="AF45" s="612"/>
      <c r="AG45" s="612"/>
      <c r="AH45" s="619">
        <f>SUM(Table1[[#This Row],[التقييد  باللوائح و تنفيذالتوجيه]:[اتباع اجراءات السلامه]])</f>
        <v>0</v>
      </c>
      <c r="AI45" s="619">
        <f>Table1[[#This Row],[المجموع]]+Table1[[#This Row],[المجموع2]]</f>
        <v>0</v>
      </c>
      <c r="AJ45" s="612"/>
      <c r="AK45" s="612"/>
      <c r="AL45" s="612"/>
      <c r="AM45" s="612"/>
      <c r="AN45" s="612"/>
      <c r="AO45" s="606">
        <f>Table1[[#This Row],[المجموع 1+2]]*$AO$2</f>
        <v>0</v>
      </c>
      <c r="AP45" s="648">
        <f>Table1[[#This Row],[راتب ديسمبر 2019]]*Table1[[#This Row],[نسبه التقييم الرئيسي 2018]]%</f>
        <v>0</v>
      </c>
      <c r="AQ45" s="627">
        <f>Table1[[#This Row],[مبلغ التقييم النسبي 2018]]+Table1[[#This Row],[راتب ديسمبر 2019]]</f>
        <v>4280</v>
      </c>
      <c r="AR45" s="611">
        <f>IF(Table1[[#This Row],[Column3]]&lt;0,0,Table1[[#This Row],[Column3]])</f>
        <v>4720</v>
      </c>
      <c r="AS45" s="599">
        <f>VLOOKUP(Table1[[#This Row],[درجه التوسيط]],Table10[],3,)</f>
        <v>9000</v>
      </c>
      <c r="AT45" s="608">
        <f>Table1[[#This Row],[الراتب 2018+النسبه]]+Table1[[#This Row],[فروقات الحد الادني]]</f>
        <v>9000</v>
      </c>
      <c r="AU45" s="629">
        <f>Table1[[#This Row],[الراتب 2018 + النسبه + الفرق]]-Table1[[#This Row],[راتب ديسمبر 2019]]</f>
        <v>4720</v>
      </c>
      <c r="AV45" s="628">
        <f>Table1[[#This Row],[الزياده]]/Table1[[#This Row],[راتب ديسمبر 2019]]%</f>
        <v>110.28037383177571</v>
      </c>
      <c r="AW45" s="659">
        <f>IF(Table1[[#This Row],[Column4]]&lt;0,0,Table1[[#This Row],[Column4]])</f>
        <v>0</v>
      </c>
      <c r="AX45" s="611">
        <f>Table1[[#This Row],[الجبر حتي]]-Table1[[#This Row],[رن]]</f>
        <v>0.15999999999985448</v>
      </c>
      <c r="AY45" s="611">
        <f>Table1[[#This Row],[الزياده]]+Table1[[#This Row],[التعديل]]+Table1[[#This Row],[جبر الرقم]]</f>
        <v>4720.16</v>
      </c>
      <c r="AZ45" s="611">
        <f>Table1[[#This Row],[الراتب 2018 + النسبه + الفرق]]+Table1[[#This Row],[جبر الرقم]]+Table1[[#This Row],[التعديل]]</f>
        <v>9000.16</v>
      </c>
      <c r="BA45" s="631">
        <f>Table1[[#This Row],[الزياده النهائيه]]/Table1[[#This Row],[راتب ديسمبر 2019]]%</f>
        <v>110.28411214953272</v>
      </c>
      <c r="BB45" s="612">
        <f>VLOOKUP(Table1[[#This Row],[الرقم الوظيفي]],Table6[],8,)</f>
        <v>4280</v>
      </c>
      <c r="BC45" s="7"/>
      <c r="BD45" s="7">
        <v>6540</v>
      </c>
      <c r="BE45" s="7">
        <v>6539.84</v>
      </c>
      <c r="BF45" s="5">
        <f>Table1[[#This Row],[الحد الادني]]-Table1[[#This Row],[الراتب 2018+النسبه]]</f>
        <v>4720</v>
      </c>
      <c r="BG45" s="5">
        <f>Table1[[#This Row],[التعديل حتي]]-Table1[[#This Row],[kkk]]</f>
        <v>-6539.84</v>
      </c>
      <c r="BH45" s="5">
        <v>6539.84</v>
      </c>
      <c r="BI45" s="5">
        <f>IF(Table1[[#This Row],[Column4]]&lt;0,0,Table1[[#This Row],[Column4]])</f>
        <v>0</v>
      </c>
    </row>
    <row r="46" spans="1:61" ht="21" customHeight="1">
      <c r="A46" s="602">
        <v>80</v>
      </c>
      <c r="B46" s="618" t="str">
        <f>VLOOKUP(Table1[[#This Row],[الرقم الوظيفي]],[1]Sheet2!$1:$1048576,2,)</f>
        <v>صلاح جلال حسن عبدالله</v>
      </c>
      <c r="C46" s="618" t="str">
        <f>VLOOKUP(Table1[[#This Row],[الرقم الوظيفي]],[1]Sheet2!$1:$1048576,7,)</f>
        <v>المصنع</v>
      </c>
      <c r="D46" s="618" t="str">
        <f>VLOOKUP(Table1[[#This Row],[الرقم الوظيفي]],[1]Sheet2!$1:$1048576,8,)</f>
        <v>المستودعات</v>
      </c>
      <c r="E46" s="599" t="str">
        <f>VLOOKUP(Table1[[#This Row],[الرقم الوظيفي]],[1]Sheet2!$1:$1048576,9,)</f>
        <v>التحميل</v>
      </c>
      <c r="F46" s="599" t="str">
        <f>VLOOKUP(Table1[[#This Row],[الرقم الوظيفي]],[1]Sheet2!$1:$1048576,12,)</f>
        <v xml:space="preserve"> مشغل كرين</v>
      </c>
      <c r="G46" s="599" t="str">
        <f>VLOOKUP(Table1[[#This Row],[الرقم الوظيفي]],[1]Sheet2!$1:$1048576,72,)</f>
        <v>تدريب مهني</v>
      </c>
      <c r="H46" s="599">
        <f>VLOOKUP(Table1[[#This Row],[الرقم الوظيفي]],[1]Sheet2!$1:$1048576,71,)</f>
        <v>0</v>
      </c>
      <c r="I46" s="599" t="str">
        <f>VLOOKUP(Table1[[#This Row],[المؤهل الرئيسي]],Table4[],3,)</f>
        <v>F</v>
      </c>
      <c r="J46" s="599" t="s">
        <v>924</v>
      </c>
      <c r="K46" s="615">
        <f>VLOOKUP(Table1[[#This Row],[الرقم الوظيفي]],[1]Sheet2!$1:$1048576,13,)</f>
        <v>40576</v>
      </c>
      <c r="L46" s="615">
        <v>43830</v>
      </c>
      <c r="M46" s="599">
        <f>DATEDIF(Table1[[#This Row],[تاريخ التعيين]],Table1[[#This Row],[اخر العام]],"y")</f>
        <v>8</v>
      </c>
      <c r="N46" s="599">
        <f>DATEDIF(Table1[[#This Row],[تاريخ التعيين]],Table1[[#This Row],[اخر العام]],"ym")</f>
        <v>10</v>
      </c>
      <c r="O46" s="610">
        <f>Table1[[#This Row],[سنوات الخدمه]]*1+Table1[[#This Row],[الشهور اقل من سنه]]*0.08</f>
        <v>8.8000000000000007</v>
      </c>
      <c r="P46" s="616">
        <v>4280</v>
      </c>
      <c r="Q46" s="617">
        <v>667.68</v>
      </c>
      <c r="R46" s="612"/>
      <c r="S46" s="599"/>
      <c r="T46" s="612"/>
      <c r="U46" s="612"/>
      <c r="V46" s="612"/>
      <c r="W46" s="612"/>
      <c r="X46" s="612"/>
      <c r="Y46" s="612"/>
      <c r="Z46" s="612"/>
      <c r="AA4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6" s="612"/>
      <c r="AC46" s="599"/>
      <c r="AD46" s="612"/>
      <c r="AE46" s="612"/>
      <c r="AF46" s="612"/>
      <c r="AG46" s="612"/>
      <c r="AH46" s="619">
        <f>SUM(Table1[[#This Row],[التقييد  باللوائح و تنفيذالتوجيه]:[اتباع اجراءات السلامه]])</f>
        <v>0</v>
      </c>
      <c r="AI46" s="619">
        <f>Table1[[#This Row],[المجموع]]+Table1[[#This Row],[المجموع2]]</f>
        <v>0</v>
      </c>
      <c r="AJ46" s="612"/>
      <c r="AK46" s="612"/>
      <c r="AL46" s="612"/>
      <c r="AM46" s="612"/>
      <c r="AN46" s="612"/>
      <c r="AO46" s="606">
        <f>Table1[[#This Row],[المجموع 1+2]]*$AO$2</f>
        <v>0</v>
      </c>
      <c r="AP46" s="648">
        <f>Table1[[#This Row],[راتب ديسمبر 2019]]*Table1[[#This Row],[نسبه التقييم الرئيسي 2018]]%</f>
        <v>0</v>
      </c>
      <c r="AQ46" s="627">
        <f>Table1[[#This Row],[مبلغ التقييم النسبي 2018]]+Table1[[#This Row],[راتب ديسمبر 2019]]</f>
        <v>4280</v>
      </c>
      <c r="AR46" s="611">
        <f>IF(Table1[[#This Row],[Column3]]&lt;0,0,Table1[[#This Row],[Column3]])</f>
        <v>4720</v>
      </c>
      <c r="AS46" s="599">
        <f>VLOOKUP(Table1[[#This Row],[درجه التوسيط]],Table10[],3,)</f>
        <v>9000</v>
      </c>
      <c r="AT46" s="608">
        <f>Table1[[#This Row],[الراتب 2018+النسبه]]+Table1[[#This Row],[فروقات الحد الادني]]</f>
        <v>9000</v>
      </c>
      <c r="AU46" s="629">
        <f>Table1[[#This Row],[الراتب 2018 + النسبه + الفرق]]-Table1[[#This Row],[راتب ديسمبر 2019]]</f>
        <v>4720</v>
      </c>
      <c r="AV46" s="628">
        <f>Table1[[#This Row],[الزياده]]/Table1[[#This Row],[راتب ديسمبر 2019]]%</f>
        <v>110.28037383177571</v>
      </c>
      <c r="AW46" s="659">
        <f>IF(Table1[[#This Row],[Column4]]&lt;0,0,Table1[[#This Row],[Column4]])</f>
        <v>0</v>
      </c>
      <c r="AX46" s="611">
        <f>Table1[[#This Row],[الجبر حتي]]-Table1[[#This Row],[رن]]</f>
        <v>8.5599999999994907</v>
      </c>
      <c r="AY46" s="611">
        <f>Table1[[#This Row],[الزياده]]+Table1[[#This Row],[التعديل]]+Table1[[#This Row],[جبر الرقم]]</f>
        <v>4728.5599999999995</v>
      </c>
      <c r="AZ46" s="611">
        <f>Table1[[#This Row],[الراتب 2018 + النسبه + الفرق]]+Table1[[#This Row],[جبر الرقم]]+Table1[[#This Row],[التعديل]]</f>
        <v>9008.56</v>
      </c>
      <c r="BA46" s="631">
        <f>Table1[[#This Row],[الزياده النهائيه]]/Table1[[#This Row],[راتب ديسمبر 2019]]%</f>
        <v>110.48037383177569</v>
      </c>
      <c r="BB46" s="612">
        <f>VLOOKUP(Table1[[#This Row],[الرقم الوظيفي]],Table6[],8,)</f>
        <v>4280</v>
      </c>
      <c r="BC46" s="7"/>
      <c r="BD46" s="7">
        <v>6420</v>
      </c>
      <c r="BE46" s="7">
        <v>6411.4400000000005</v>
      </c>
      <c r="BF46" s="5">
        <f>Table1[[#This Row],[الحد الادني]]-Table1[[#This Row],[الراتب 2018+النسبه]]</f>
        <v>4720</v>
      </c>
      <c r="BG46" s="5">
        <f>Table1[[#This Row],[التعديل حتي]]-Table1[[#This Row],[kkk]]</f>
        <v>-6411.4400000000005</v>
      </c>
      <c r="BH46" s="5">
        <v>6411.4400000000005</v>
      </c>
      <c r="BI46" s="5">
        <f>IF(Table1[[#This Row],[Column4]]&lt;0,0,Table1[[#This Row],[Column4]])</f>
        <v>0</v>
      </c>
    </row>
    <row r="47" spans="1:61">
      <c r="A47" s="602">
        <v>89</v>
      </c>
      <c r="B47" s="618" t="str">
        <f>VLOOKUP(Table1[[#This Row],[الرقم الوظيفي]],[1]Sheet2!$1:$1048576,2,)</f>
        <v>عماد الدين حمزه ادريس فضل</v>
      </c>
      <c r="C47" s="618" t="str">
        <f>VLOOKUP(Table1[[#This Row],[الرقم الوظيفي]],[1]Sheet2!$1:$1048576,7,)</f>
        <v>المصنع</v>
      </c>
      <c r="D47" s="618" t="str">
        <f>VLOOKUP(Table1[[#This Row],[الرقم الوظيفي]],[1]Sheet2!$1:$1048576,8,)</f>
        <v>المستودعات</v>
      </c>
      <c r="E47" s="599" t="str">
        <f>VLOOKUP(Table1[[#This Row],[الرقم الوظيفي]],[1]Sheet2!$1:$1048576,9,)</f>
        <v>التحميل</v>
      </c>
      <c r="F47" s="599" t="str">
        <f>VLOOKUP(Table1[[#This Row],[الرقم الوظيفي]],[1]Sheet2!$1:$1048576,12,)</f>
        <v xml:space="preserve"> مشغل كرين</v>
      </c>
      <c r="G47" s="599" t="str">
        <f>VLOOKUP(Table1[[#This Row],[الرقم الوظيفي]],[1]Sheet2!$1:$1048576,72,)</f>
        <v>شهاده ثانويه</v>
      </c>
      <c r="H47" s="599">
        <f>VLOOKUP(Table1[[#This Row],[الرقم الوظيفي]],[1]Sheet2!$1:$1048576,71,)</f>
        <v>0</v>
      </c>
      <c r="I47" s="599" t="str">
        <f>VLOOKUP(Table1[[#This Row],[المؤهل الرئيسي]],Table4[],3,)</f>
        <v>F</v>
      </c>
      <c r="J47" s="599" t="s">
        <v>924</v>
      </c>
      <c r="K47" s="615">
        <f>VLOOKUP(Table1[[#This Row],[الرقم الوظيفي]],[1]Sheet2!$1:$1048576,13,)</f>
        <v>40654</v>
      </c>
      <c r="L47" s="615">
        <v>43830</v>
      </c>
      <c r="M47" s="599">
        <f>DATEDIF(Table1[[#This Row],[تاريخ التعيين]],Table1[[#This Row],[اخر العام]],"y")</f>
        <v>8</v>
      </c>
      <c r="N47" s="599">
        <f>DATEDIF(Table1[[#This Row],[تاريخ التعيين]],Table1[[#This Row],[اخر العام]],"ym")</f>
        <v>8</v>
      </c>
      <c r="O47" s="610">
        <f>Table1[[#This Row],[سنوات الخدمه]]*1+Table1[[#This Row],[الشهور اقل من سنه]]*0.08</f>
        <v>8.64</v>
      </c>
      <c r="P47" s="616">
        <v>4270</v>
      </c>
      <c r="Q47" s="617">
        <v>652.45600000000002</v>
      </c>
      <c r="R47" s="612"/>
      <c r="S47" s="599"/>
      <c r="T47" s="612"/>
      <c r="U47" s="612"/>
      <c r="V47" s="612"/>
      <c r="W47" s="612"/>
      <c r="X47" s="612"/>
      <c r="Y47" s="612"/>
      <c r="Z47" s="612"/>
      <c r="AA4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7" s="612"/>
      <c r="AC47" s="599"/>
      <c r="AD47" s="612"/>
      <c r="AE47" s="612"/>
      <c r="AF47" s="612"/>
      <c r="AG47" s="612"/>
      <c r="AH47" s="619">
        <f>SUM(Table1[[#This Row],[التقييد  باللوائح و تنفيذالتوجيه]:[اتباع اجراءات السلامه]])</f>
        <v>0</v>
      </c>
      <c r="AI47" s="619">
        <f>Table1[[#This Row],[المجموع]]+Table1[[#This Row],[المجموع2]]</f>
        <v>0</v>
      </c>
      <c r="AJ47" s="612"/>
      <c r="AK47" s="612"/>
      <c r="AL47" s="612"/>
      <c r="AM47" s="612"/>
      <c r="AN47" s="612"/>
      <c r="AO47" s="606">
        <f>Table1[[#This Row],[المجموع 1+2]]*$AO$2</f>
        <v>0</v>
      </c>
      <c r="AP47" s="648">
        <f>Table1[[#This Row],[راتب ديسمبر 2019]]*Table1[[#This Row],[نسبه التقييم الرئيسي 2018]]%</f>
        <v>0</v>
      </c>
      <c r="AQ47" s="627">
        <f>Table1[[#This Row],[مبلغ التقييم النسبي 2018]]+Table1[[#This Row],[راتب ديسمبر 2019]]</f>
        <v>4270</v>
      </c>
      <c r="AR47" s="611">
        <f>IF(Table1[[#This Row],[Column3]]&lt;0,0,Table1[[#This Row],[Column3]])</f>
        <v>4730</v>
      </c>
      <c r="AS47" s="599">
        <f>VLOOKUP(Table1[[#This Row],[درجه التوسيط]],Table10[],3,)</f>
        <v>9000</v>
      </c>
      <c r="AT47" s="608">
        <f>Table1[[#This Row],[الراتب 2018+النسبه]]+Table1[[#This Row],[فروقات الحد الادني]]</f>
        <v>9000</v>
      </c>
      <c r="AU47" s="629">
        <f>Table1[[#This Row],[الراتب 2018 + النسبه + الفرق]]-Table1[[#This Row],[راتب ديسمبر 2019]]</f>
        <v>4730</v>
      </c>
      <c r="AV47" s="628">
        <f>Table1[[#This Row],[الزياده]]/Table1[[#This Row],[راتب ديسمبر 2019]]%</f>
        <v>110.77283372365339</v>
      </c>
      <c r="AW47" s="659">
        <f>IF(Table1[[#This Row],[Column4]]&lt;0,0,Table1[[#This Row],[Column4]])</f>
        <v>0</v>
      </c>
      <c r="AX47" s="611">
        <f>Table1[[#This Row],[الجبر حتي]]-Table1[[#This Row],[رن]]</f>
        <v>9.819999999999709</v>
      </c>
      <c r="AY47" s="611">
        <f>Table1[[#This Row],[الزياده]]+Table1[[#This Row],[التعديل]]+Table1[[#This Row],[جبر الرقم]]</f>
        <v>4739.82</v>
      </c>
      <c r="AZ47" s="611">
        <f>Table1[[#This Row],[الراتب 2018 + النسبه + الفرق]]+Table1[[#This Row],[جبر الرقم]]+Table1[[#This Row],[التعديل]]</f>
        <v>9009.82</v>
      </c>
      <c r="BA47" s="631">
        <f>Table1[[#This Row],[الزياده النهائيه]]/Table1[[#This Row],[راتب ديسمبر 2019]]%</f>
        <v>111.00281030444964</v>
      </c>
      <c r="BB47" s="612">
        <f>VLOOKUP(Table1[[#This Row],[الرقم الوظيفي]],Table6[],8,)</f>
        <v>4270</v>
      </c>
      <c r="BC47" s="7"/>
      <c r="BD47" s="7">
        <v>6560</v>
      </c>
      <c r="BE47" s="7">
        <v>6550.18</v>
      </c>
      <c r="BF47" s="5">
        <f>Table1[[#This Row],[الحد الادني]]-Table1[[#This Row],[الراتب 2018+النسبه]]</f>
        <v>4730</v>
      </c>
      <c r="BG47" s="5">
        <f>Table1[[#This Row],[التعديل حتي]]-Table1[[#This Row],[kkk]]</f>
        <v>-6550.18</v>
      </c>
      <c r="BH47" s="5">
        <v>6550.18</v>
      </c>
      <c r="BI47" s="5">
        <f>IF(Table1[[#This Row],[Column4]]&lt;0,0,Table1[[#This Row],[Column4]])</f>
        <v>0</v>
      </c>
    </row>
    <row r="48" spans="1:61">
      <c r="A48" s="602">
        <v>90</v>
      </c>
      <c r="B48" s="618" t="str">
        <f>VLOOKUP(Table1[[#This Row],[الرقم الوظيفي]],[1]Sheet2!$1:$1048576,2,)</f>
        <v xml:space="preserve">وليد عيسى عبدالله عثمان </v>
      </c>
      <c r="C48" s="618" t="str">
        <f>VLOOKUP(Table1[[#This Row],[الرقم الوظيفي]],[1]Sheet2!$1:$1048576,7,)</f>
        <v>المصنع</v>
      </c>
      <c r="D48" s="618" t="str">
        <f>VLOOKUP(Table1[[#This Row],[الرقم الوظيفي]],[1]Sheet2!$1:$1048576,8,)</f>
        <v>المستودعات</v>
      </c>
      <c r="E48" s="599" t="str">
        <f>VLOOKUP(Table1[[#This Row],[الرقم الوظيفي]],[1]Sheet2!$1:$1048576,9,)</f>
        <v>التحميل</v>
      </c>
      <c r="F48" s="599" t="str">
        <f>VLOOKUP(Table1[[#This Row],[الرقم الوظيفي]],[1]Sheet2!$1:$1048576,12,)</f>
        <v>مشغل كرين</v>
      </c>
      <c r="G48" s="599">
        <f>VLOOKUP(Table1[[#This Row],[الرقم الوظيفي]],[1]Sheet2!$1:$1048576,72,)</f>
        <v>0</v>
      </c>
      <c r="H48" s="599">
        <f>VLOOKUP(Table1[[#This Row],[الرقم الوظيفي]],[1]Sheet2!$1:$1048576,71,)</f>
        <v>0</v>
      </c>
      <c r="I48" s="599" t="str">
        <f>VLOOKUP(Table1[[#This Row],[المؤهل الرئيسي]],Table4[],3,)</f>
        <v>H</v>
      </c>
      <c r="J48" s="599" t="s">
        <v>924</v>
      </c>
      <c r="K48" s="615">
        <f>VLOOKUP(Table1[[#This Row],[الرقم الوظيفي]],[1]Sheet2!$1:$1048576,13,)</f>
        <v>40654</v>
      </c>
      <c r="L48" s="615">
        <v>43830</v>
      </c>
      <c r="M48" s="599">
        <f>DATEDIF(Table1[[#This Row],[تاريخ التعيين]],Table1[[#This Row],[اخر العام]],"y")</f>
        <v>8</v>
      </c>
      <c r="N48" s="599">
        <f>DATEDIF(Table1[[#This Row],[تاريخ التعيين]],Table1[[#This Row],[اخر العام]],"ym")</f>
        <v>8</v>
      </c>
      <c r="O48" s="610">
        <f>Table1[[#This Row],[سنوات الخدمه]]*1+Table1[[#This Row],[الشهور اقل من سنه]]*0.08</f>
        <v>8.64</v>
      </c>
      <c r="P48" s="616">
        <v>4280</v>
      </c>
      <c r="Q48" s="617">
        <v>653.98400000000004</v>
      </c>
      <c r="R48" s="612"/>
      <c r="S48" s="599"/>
      <c r="T48" s="612"/>
      <c r="U48" s="612"/>
      <c r="V48" s="612"/>
      <c r="W48" s="612"/>
      <c r="X48" s="612"/>
      <c r="Y48" s="612"/>
      <c r="Z48" s="612"/>
      <c r="AA4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8" s="612"/>
      <c r="AC48" s="599"/>
      <c r="AD48" s="612"/>
      <c r="AE48" s="612"/>
      <c r="AF48" s="612"/>
      <c r="AG48" s="612"/>
      <c r="AH48" s="619">
        <f>SUM(Table1[[#This Row],[التقييد  باللوائح و تنفيذالتوجيه]:[اتباع اجراءات السلامه]])</f>
        <v>0</v>
      </c>
      <c r="AI48" s="619">
        <f>Table1[[#This Row],[المجموع]]+Table1[[#This Row],[المجموع2]]</f>
        <v>0</v>
      </c>
      <c r="AJ48" s="612"/>
      <c r="AK48" s="612"/>
      <c r="AL48" s="612"/>
      <c r="AM48" s="612"/>
      <c r="AN48" s="612"/>
      <c r="AO48" s="606">
        <f>Table1[[#This Row],[المجموع 1+2]]*$AO$2</f>
        <v>0</v>
      </c>
      <c r="AP48" s="648">
        <f>Table1[[#This Row],[راتب ديسمبر 2019]]*Table1[[#This Row],[نسبه التقييم الرئيسي 2018]]%</f>
        <v>0</v>
      </c>
      <c r="AQ48" s="627">
        <f>Table1[[#This Row],[مبلغ التقييم النسبي 2018]]+Table1[[#This Row],[راتب ديسمبر 2019]]</f>
        <v>4280</v>
      </c>
      <c r="AR48" s="611">
        <f>IF(Table1[[#This Row],[Column3]]&lt;0,0,Table1[[#This Row],[Column3]])</f>
        <v>4720</v>
      </c>
      <c r="AS48" s="599">
        <f>VLOOKUP(Table1[[#This Row],[درجه التوسيط]],Table10[],3,)</f>
        <v>9000</v>
      </c>
      <c r="AT48" s="608">
        <f>Table1[[#This Row],[الراتب 2018+النسبه]]+Table1[[#This Row],[فروقات الحد الادني]]</f>
        <v>9000</v>
      </c>
      <c r="AU48" s="629">
        <f>Table1[[#This Row],[الراتب 2018 + النسبه + الفرق]]-Table1[[#This Row],[راتب ديسمبر 2019]]</f>
        <v>4720</v>
      </c>
      <c r="AV48" s="628">
        <f>Table1[[#This Row],[الزياده]]/Table1[[#This Row],[راتب ديسمبر 2019]]%</f>
        <v>110.28037383177571</v>
      </c>
      <c r="AW48" s="659">
        <f>IF(Table1[[#This Row],[Column4]]&lt;0,0,Table1[[#This Row],[Column4]])</f>
        <v>0</v>
      </c>
      <c r="AX48" s="611">
        <f>Table1[[#This Row],[الجبر حتي]]-Table1[[#This Row],[رن]]</f>
        <v>9.0399999999999636</v>
      </c>
      <c r="AY48" s="611">
        <f>Table1[[#This Row],[الزياده]]+Table1[[#This Row],[التعديل]]+Table1[[#This Row],[جبر الرقم]]</f>
        <v>4729.04</v>
      </c>
      <c r="AZ48" s="611">
        <f>Table1[[#This Row],[الراتب 2018 + النسبه + الفرق]]+Table1[[#This Row],[جبر الرقم]]+Table1[[#This Row],[التعديل]]</f>
        <v>9009.0400000000009</v>
      </c>
      <c r="BA48" s="631">
        <f>Table1[[#This Row],[الزياده النهائيه]]/Table1[[#This Row],[راتب ديسمبر 2019]]%</f>
        <v>110.49158878504673</v>
      </c>
      <c r="BB48" s="612">
        <f>VLOOKUP(Table1[[#This Row],[الرقم الوظيفي]],Table6[],8,)</f>
        <v>4280</v>
      </c>
      <c r="BC48" s="7"/>
      <c r="BD48" s="7">
        <v>6780</v>
      </c>
      <c r="BE48" s="7">
        <v>6770.96</v>
      </c>
      <c r="BF48" s="5">
        <f>Table1[[#This Row],[الحد الادني]]-Table1[[#This Row],[الراتب 2018+النسبه]]</f>
        <v>4720</v>
      </c>
      <c r="BG48" s="5">
        <f>Table1[[#This Row],[التعديل حتي]]-Table1[[#This Row],[kkk]]</f>
        <v>-6770.96</v>
      </c>
      <c r="BH48" s="5">
        <v>6770.96</v>
      </c>
      <c r="BI48" s="5">
        <f>IF(Table1[[#This Row],[Column4]]&lt;0,0,Table1[[#This Row],[Column4]])</f>
        <v>0</v>
      </c>
    </row>
    <row r="49" spans="1:61">
      <c r="A49" s="602">
        <v>93</v>
      </c>
      <c r="B49" s="618" t="str">
        <f>VLOOKUP(Table1[[#This Row],[الرقم الوظيفي]],[1]Sheet2!$1:$1048576,2,)</f>
        <v>ميسره ابراهيم المبارك محمد</v>
      </c>
      <c r="C49" s="618" t="str">
        <f>VLOOKUP(Table1[[#This Row],[الرقم الوظيفي]],[1]Sheet2!$1:$1048576,7,)</f>
        <v>المصنع</v>
      </c>
      <c r="D49" s="618" t="str">
        <f>VLOOKUP(Table1[[#This Row],[الرقم الوظيفي]],[1]Sheet2!$1:$1048576,8,)</f>
        <v>الانتاج</v>
      </c>
      <c r="E49" s="599" t="str">
        <f>VLOOKUP(Table1[[#This Row],[الرقم الوظيفي]],[1]Sheet2!$1:$1048576,9,)</f>
        <v>المواسير</v>
      </c>
      <c r="F49" s="599" t="str">
        <f>VLOOKUP(Table1[[#This Row],[الرقم الوظيفي]],[1]Sheet2!$1:$1048576,12,)</f>
        <v>مشغل</v>
      </c>
      <c r="G49" s="599" t="str">
        <f>VLOOKUP(Table1[[#This Row],[الرقم الوظيفي]],[1]Sheet2!$1:$1048576,72,)</f>
        <v>دبلوم تقني</v>
      </c>
      <c r="H49" s="599" t="str">
        <f>VLOOKUP(Table1[[#This Row],[الرقم الوظيفي]],[1]Sheet2!$1:$1048576,71,)</f>
        <v>هندسة ميكانيكية ( إنتاج )</v>
      </c>
      <c r="I49" s="599" t="str">
        <f>VLOOKUP(Table1[[#This Row],[المؤهل الرئيسي]],Table4[],3,)</f>
        <v>D</v>
      </c>
      <c r="J49" s="599" t="s">
        <v>922</v>
      </c>
      <c r="K49" s="615">
        <f>VLOOKUP(Table1[[#This Row],[الرقم الوظيفي]],[1]Sheet2!$1:$1048576,13,)</f>
        <v>40685</v>
      </c>
      <c r="L49" s="615">
        <v>43830</v>
      </c>
      <c r="M49" s="599">
        <f>DATEDIF(Table1[[#This Row],[تاريخ التعيين]],Table1[[#This Row],[اخر العام]],"y")</f>
        <v>8</v>
      </c>
      <c r="N49" s="599">
        <f>DATEDIF(Table1[[#This Row],[تاريخ التعيين]],Table1[[#This Row],[اخر العام]],"ym")</f>
        <v>7</v>
      </c>
      <c r="O49" s="610">
        <f>Table1[[#This Row],[سنوات الخدمه]]*1+Table1[[#This Row],[الشهور اقل من سنه]]*0.08</f>
        <v>8.56</v>
      </c>
      <c r="P49" s="616">
        <v>4850</v>
      </c>
      <c r="Q49" s="617">
        <v>733.32</v>
      </c>
      <c r="R49" s="612"/>
      <c r="S49" s="599"/>
      <c r="T49" s="612"/>
      <c r="U49" s="612"/>
      <c r="V49" s="612"/>
      <c r="W49" s="612"/>
      <c r="X49" s="612"/>
      <c r="Y49" s="612"/>
      <c r="Z49" s="612"/>
      <c r="AA4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49" s="612"/>
      <c r="AC49" s="599"/>
      <c r="AD49" s="612"/>
      <c r="AE49" s="612"/>
      <c r="AF49" s="612"/>
      <c r="AG49" s="612"/>
      <c r="AH49" s="619">
        <f>SUM(Table1[[#This Row],[التقييد  باللوائح و تنفيذالتوجيه]:[اتباع اجراءات السلامه]])</f>
        <v>0</v>
      </c>
      <c r="AI49" s="619">
        <f>Table1[[#This Row],[المجموع]]+Table1[[#This Row],[المجموع2]]</f>
        <v>0</v>
      </c>
      <c r="AJ49" s="612"/>
      <c r="AK49" s="612"/>
      <c r="AL49" s="612"/>
      <c r="AM49" s="612"/>
      <c r="AN49" s="612"/>
      <c r="AO49" s="606">
        <f>Table1[[#This Row],[المجموع 1+2]]*$AO$2</f>
        <v>0</v>
      </c>
      <c r="AP49" s="648">
        <f>Table1[[#This Row],[راتب ديسمبر 2019]]*Table1[[#This Row],[نسبه التقييم الرئيسي 2018]]%</f>
        <v>0</v>
      </c>
      <c r="AQ49" s="627">
        <f>Table1[[#This Row],[مبلغ التقييم النسبي 2018]]+Table1[[#This Row],[راتب ديسمبر 2019]]</f>
        <v>4850</v>
      </c>
      <c r="AR49" s="611">
        <f>IF(Table1[[#This Row],[Column3]]&lt;0,0,Table1[[#This Row],[Column3]])</f>
        <v>6150</v>
      </c>
      <c r="AS49" s="599">
        <f>VLOOKUP(Table1[[#This Row],[درجه التوسيط]],Table10[],3,)</f>
        <v>11000</v>
      </c>
      <c r="AT49" s="608">
        <f>Table1[[#This Row],[الراتب 2018+النسبه]]+Table1[[#This Row],[فروقات الحد الادني]]</f>
        <v>11000</v>
      </c>
      <c r="AU49" s="629">
        <f>Table1[[#This Row],[الراتب 2018 + النسبه + الفرق]]-Table1[[#This Row],[راتب ديسمبر 2019]]</f>
        <v>6150</v>
      </c>
      <c r="AV49" s="628">
        <f>Table1[[#This Row],[الزياده]]/Table1[[#This Row],[راتب ديسمبر 2019]]%</f>
        <v>126.80412371134021</v>
      </c>
      <c r="AW49" s="659">
        <f>IF(Table1[[#This Row],[Column4]]&lt;0,0,Table1[[#This Row],[Column4]])</f>
        <v>0</v>
      </c>
      <c r="AX49" s="611">
        <f>Table1[[#This Row],[الجبر حتي]]-Table1[[#This Row],[رن]]</f>
        <v>8.3999999999996362</v>
      </c>
      <c r="AY49" s="611">
        <f>Table1[[#This Row],[الزياده]]+Table1[[#This Row],[التعديل]]+Table1[[#This Row],[جبر الرقم]]</f>
        <v>6158.4</v>
      </c>
      <c r="AZ49" s="611">
        <f>Table1[[#This Row],[الراتب 2018 + النسبه + الفرق]]+Table1[[#This Row],[جبر الرقم]]+Table1[[#This Row],[التعديل]]</f>
        <v>11008.4</v>
      </c>
      <c r="BA49" s="631">
        <f>Table1[[#This Row],[الزياده النهائيه]]/Table1[[#This Row],[راتب ديسمبر 2019]]%</f>
        <v>126.97731958762886</v>
      </c>
      <c r="BB49" s="612">
        <f>VLOOKUP(Table1[[#This Row],[الرقم الوظيفي]],Table6[],8,)</f>
        <v>4850</v>
      </c>
      <c r="BC49" s="7"/>
      <c r="BD49" s="7">
        <v>7070</v>
      </c>
      <c r="BE49" s="7">
        <v>7061.6</v>
      </c>
      <c r="BF49" s="5">
        <f>Table1[[#This Row],[الحد الادني]]-Table1[[#This Row],[الراتب 2018+النسبه]]</f>
        <v>6150</v>
      </c>
      <c r="BG49" s="5">
        <f>Table1[[#This Row],[التعديل حتي]]-Table1[[#This Row],[kkk]]</f>
        <v>-7061.6</v>
      </c>
      <c r="BH49" s="5">
        <v>7061.6</v>
      </c>
      <c r="BI49" s="5">
        <f>IF(Table1[[#This Row],[Column4]]&lt;0,0,Table1[[#This Row],[Column4]])</f>
        <v>0</v>
      </c>
    </row>
    <row r="50" spans="1:61">
      <c r="A50" s="602">
        <v>94</v>
      </c>
      <c r="B50" s="618" t="str">
        <f>VLOOKUP(Table1[[#This Row],[الرقم الوظيفي]],[1]Sheet2!$1:$1048576,2,)</f>
        <v>احمد حسن باباى حامد</v>
      </c>
      <c r="C50" s="618" t="str">
        <f>VLOOKUP(Table1[[#This Row],[الرقم الوظيفي]],[1]Sheet2!$1:$1048576,7,)</f>
        <v>المصنع</v>
      </c>
      <c r="D50" s="618" t="str">
        <f>VLOOKUP(Table1[[#This Row],[الرقم الوظيفي]],[1]Sheet2!$1:$1048576,8,)</f>
        <v>المستودعات</v>
      </c>
      <c r="E50" s="599" t="str">
        <f>VLOOKUP(Table1[[#This Row],[الرقم الوظيفي]],[1]Sheet2!$1:$1048576,9,)</f>
        <v>قطع الغيار</v>
      </c>
      <c r="F50" s="599" t="str">
        <f>VLOOKUP(Table1[[#This Row],[الرقم الوظيفي]],[1]Sheet2!$1:$1048576,12,)</f>
        <v>امين مسودع ق غ</v>
      </c>
      <c r="G50" s="599" t="str">
        <f>VLOOKUP(Table1[[#This Row],[الرقم الوظيفي]],[1]Sheet2!$1:$1048576,72,)</f>
        <v>شهاده متوسطه</v>
      </c>
      <c r="H50" s="599">
        <f>VLOOKUP(Table1[[#This Row],[الرقم الوظيفي]],[1]Sheet2!$1:$1048576,71,)</f>
        <v>0</v>
      </c>
      <c r="I50" s="599" t="str">
        <f>VLOOKUP(Table1[[#This Row],[المؤهل الرئيسي]],Table4[],3,)</f>
        <v>G</v>
      </c>
      <c r="J50" s="599" t="s">
        <v>924</v>
      </c>
      <c r="K50" s="615">
        <f>VLOOKUP(Table1[[#This Row],[الرقم الوظيفي]],[1]Sheet2!$1:$1048576,13,)</f>
        <v>40712</v>
      </c>
      <c r="L50" s="615">
        <v>43830</v>
      </c>
      <c r="M50" s="599">
        <f>DATEDIF(Table1[[#This Row],[تاريخ التعيين]],Table1[[#This Row],[اخر العام]],"y")</f>
        <v>8</v>
      </c>
      <c r="N50" s="599">
        <f>DATEDIF(Table1[[#This Row],[تاريخ التعيين]],Table1[[#This Row],[اخر العام]],"ym")</f>
        <v>6</v>
      </c>
      <c r="O50" s="610">
        <f>Table1[[#This Row],[سنوات الخدمه]]*1+Table1[[#This Row],[الشهور اقل من سنه]]*0.08</f>
        <v>8.48</v>
      </c>
      <c r="P50" s="616">
        <v>4260</v>
      </c>
      <c r="Q50" s="617">
        <v>637.29600000000005</v>
      </c>
      <c r="R50" s="612"/>
      <c r="S50" s="599"/>
      <c r="T50" s="612"/>
      <c r="U50" s="612"/>
      <c r="V50" s="612"/>
      <c r="W50" s="612"/>
      <c r="X50" s="612"/>
      <c r="Y50" s="612"/>
      <c r="Z50" s="612"/>
      <c r="AA5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0" s="612"/>
      <c r="AC50" s="599"/>
      <c r="AD50" s="612"/>
      <c r="AE50" s="612"/>
      <c r="AF50" s="612"/>
      <c r="AG50" s="612"/>
      <c r="AH50" s="619">
        <f>SUM(Table1[[#This Row],[التقييد  باللوائح و تنفيذالتوجيه]:[اتباع اجراءات السلامه]])</f>
        <v>0</v>
      </c>
      <c r="AI50" s="619">
        <f>Table1[[#This Row],[المجموع]]+Table1[[#This Row],[المجموع2]]</f>
        <v>0</v>
      </c>
      <c r="AJ50" s="612"/>
      <c r="AK50" s="612"/>
      <c r="AL50" s="612"/>
      <c r="AM50" s="612"/>
      <c r="AN50" s="612"/>
      <c r="AO50" s="606">
        <f>Table1[[#This Row],[المجموع 1+2]]*$AO$2</f>
        <v>0</v>
      </c>
      <c r="AP50" s="648">
        <f>Table1[[#This Row],[راتب ديسمبر 2019]]*Table1[[#This Row],[نسبه التقييم الرئيسي 2018]]%</f>
        <v>0</v>
      </c>
      <c r="AQ50" s="627">
        <f>Table1[[#This Row],[مبلغ التقييم النسبي 2018]]+Table1[[#This Row],[راتب ديسمبر 2019]]</f>
        <v>4260</v>
      </c>
      <c r="AR50" s="611">
        <f>IF(Table1[[#This Row],[Column3]]&lt;0,0,Table1[[#This Row],[Column3]])</f>
        <v>4740</v>
      </c>
      <c r="AS50" s="599">
        <f>VLOOKUP(Table1[[#This Row],[درجه التوسيط]],Table10[],3,)</f>
        <v>9000</v>
      </c>
      <c r="AT50" s="608">
        <f>Table1[[#This Row],[الراتب 2018+النسبه]]+Table1[[#This Row],[فروقات الحد الادني]]</f>
        <v>9000</v>
      </c>
      <c r="AU50" s="629">
        <f>Table1[[#This Row],[الراتب 2018 + النسبه + الفرق]]-Table1[[#This Row],[راتب ديسمبر 2019]]</f>
        <v>4740</v>
      </c>
      <c r="AV50" s="628">
        <f>Table1[[#This Row],[الزياده]]/Table1[[#This Row],[راتب ديسمبر 2019]]%</f>
        <v>111.26760563380282</v>
      </c>
      <c r="AW50" s="659">
        <f>IF(Table1[[#This Row],[Column4]]&lt;0,0,Table1[[#This Row],[Column4]])</f>
        <v>0</v>
      </c>
      <c r="AX50" s="611">
        <f>Table1[[#This Row],[الجبر حتي]]-Table1[[#This Row],[رن]]</f>
        <v>6.2399999999997817</v>
      </c>
      <c r="AY50" s="611">
        <f>Table1[[#This Row],[الزياده]]+Table1[[#This Row],[التعديل]]+Table1[[#This Row],[جبر الرقم]]</f>
        <v>4746.24</v>
      </c>
      <c r="AZ50" s="611">
        <f>Table1[[#This Row],[الراتب 2018 + النسبه + الفرق]]+Table1[[#This Row],[جبر الرقم]]+Table1[[#This Row],[التعديل]]</f>
        <v>9006.24</v>
      </c>
      <c r="BA50" s="631">
        <f>Table1[[#This Row],[الزياده النهائيه]]/Table1[[#This Row],[راتب ديسمبر 2019]]%</f>
        <v>111.41408450704225</v>
      </c>
      <c r="BB50" s="612">
        <f>VLOOKUP(Table1[[#This Row],[الرقم الوظيفي]],Table6[],8,)</f>
        <v>4260</v>
      </c>
      <c r="BC50" s="7"/>
      <c r="BD50" s="7">
        <v>6720</v>
      </c>
      <c r="BE50" s="7">
        <v>6713.76</v>
      </c>
      <c r="BF50" s="5">
        <f>Table1[[#This Row],[الحد الادني]]-Table1[[#This Row],[الراتب 2018+النسبه]]</f>
        <v>4740</v>
      </c>
      <c r="BG50" s="5">
        <f>Table1[[#This Row],[التعديل حتي]]-Table1[[#This Row],[kkk]]</f>
        <v>-6713.76</v>
      </c>
      <c r="BH50" s="5">
        <v>6713.76</v>
      </c>
      <c r="BI50" s="5">
        <f>IF(Table1[[#This Row],[Column4]]&lt;0,0,Table1[[#This Row],[Column4]])</f>
        <v>0</v>
      </c>
    </row>
    <row r="51" spans="1:61" ht="21" customHeight="1">
      <c r="A51" s="602">
        <v>98</v>
      </c>
      <c r="B51" s="618" t="str">
        <f>VLOOKUP(Table1[[#This Row],[الرقم الوظيفي]],[1]Sheet2!$1:$1048576,2,)</f>
        <v>على احمد موسى محمد</v>
      </c>
      <c r="C51" s="618" t="str">
        <f>VLOOKUP(Table1[[#This Row],[الرقم الوظيفي]],[1]Sheet2!$1:$1048576,7,)</f>
        <v>المصنع</v>
      </c>
      <c r="D51" s="618" t="str">
        <f>VLOOKUP(Table1[[#This Row],[الرقم الوظيفي]],[1]Sheet2!$1:$1048576,8,)</f>
        <v>الانتاج</v>
      </c>
      <c r="E51" s="599" t="str">
        <f>VLOOKUP(Table1[[#This Row],[الرقم الوظيفي]],[1]Sheet2!$1:$1048576,9,)</f>
        <v>المواسير</v>
      </c>
      <c r="F51" s="599" t="str">
        <f>VLOOKUP(Table1[[#This Row],[الرقم الوظيفي]],[1]Sheet2!$1:$1048576,12,)</f>
        <v>مشغل</v>
      </c>
      <c r="G51" s="599">
        <f>VLOOKUP(Table1[[#This Row],[الرقم الوظيفي]],[1]Sheet2!$1:$1048576,72,)</f>
        <v>0</v>
      </c>
      <c r="H51" s="599">
        <f>VLOOKUP(Table1[[#This Row],[الرقم الوظيفي]],[1]Sheet2!$1:$1048576,71,)</f>
        <v>0</v>
      </c>
      <c r="I51" s="599" t="str">
        <f>VLOOKUP(Table1[[#This Row],[المؤهل الرئيسي]],Table4[],3,)</f>
        <v>H</v>
      </c>
      <c r="J51" s="599" t="s">
        <v>924</v>
      </c>
      <c r="K51" s="615">
        <f>VLOOKUP(Table1[[#This Row],[الرقم الوظيفي]],[1]Sheet2!$1:$1048576,13,)</f>
        <v>41594</v>
      </c>
      <c r="L51" s="615">
        <v>43830</v>
      </c>
      <c r="M51" s="599">
        <f>DATEDIF(Table1[[#This Row],[تاريخ التعيين]],Table1[[#This Row],[اخر العام]],"y")</f>
        <v>6</v>
      </c>
      <c r="N51" s="599">
        <f>DATEDIF(Table1[[#This Row],[تاريخ التعيين]],Table1[[#This Row],[اخر العام]],"ym")</f>
        <v>1</v>
      </c>
      <c r="O51" s="610">
        <f>Table1[[#This Row],[سنوات الخدمه]]*1+Table1[[#This Row],[الشهور اقل من سنه]]*0.08</f>
        <v>6.08</v>
      </c>
      <c r="P51" s="616">
        <v>4190</v>
      </c>
      <c r="Q51" s="617">
        <v>425.70400000000001</v>
      </c>
      <c r="R51" s="612"/>
      <c r="S51" s="599"/>
      <c r="T51" s="612"/>
      <c r="U51" s="612"/>
      <c r="V51" s="612"/>
      <c r="W51" s="612"/>
      <c r="X51" s="612"/>
      <c r="Y51" s="612"/>
      <c r="Z51" s="612"/>
      <c r="AA5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1" s="612"/>
      <c r="AC51" s="599"/>
      <c r="AD51" s="612"/>
      <c r="AE51" s="612"/>
      <c r="AF51" s="612"/>
      <c r="AG51" s="612"/>
      <c r="AH51" s="619">
        <f>SUM(Table1[[#This Row],[التقييد  باللوائح و تنفيذالتوجيه]:[اتباع اجراءات السلامه]])</f>
        <v>0</v>
      </c>
      <c r="AI51" s="619">
        <f>Table1[[#This Row],[المجموع]]+Table1[[#This Row],[المجموع2]]</f>
        <v>0</v>
      </c>
      <c r="AJ51" s="612"/>
      <c r="AK51" s="612"/>
      <c r="AL51" s="612"/>
      <c r="AM51" s="612"/>
      <c r="AN51" s="612"/>
      <c r="AO51" s="606">
        <f>Table1[[#This Row],[المجموع 1+2]]*$AO$2</f>
        <v>0</v>
      </c>
      <c r="AP51" s="648">
        <f>Table1[[#This Row],[راتب ديسمبر 2019]]*Table1[[#This Row],[نسبه التقييم الرئيسي 2018]]%</f>
        <v>0</v>
      </c>
      <c r="AQ51" s="627">
        <f>Table1[[#This Row],[مبلغ التقييم النسبي 2018]]+Table1[[#This Row],[راتب ديسمبر 2019]]</f>
        <v>4190</v>
      </c>
      <c r="AR51" s="611">
        <f>IF(Table1[[#This Row],[Column3]]&lt;0,0,Table1[[#This Row],[Column3]])</f>
        <v>4810</v>
      </c>
      <c r="AS51" s="599">
        <f>VLOOKUP(Table1[[#This Row],[درجه التوسيط]],Table10[],3,)</f>
        <v>9000</v>
      </c>
      <c r="AT51" s="608">
        <f>Table1[[#This Row],[الراتب 2018+النسبه]]+Table1[[#This Row],[فروقات الحد الادني]]</f>
        <v>9000</v>
      </c>
      <c r="AU51" s="629">
        <f>Table1[[#This Row],[الراتب 2018 + النسبه + الفرق]]-Table1[[#This Row],[راتب ديسمبر 2019]]</f>
        <v>4810</v>
      </c>
      <c r="AV51" s="628">
        <f>Table1[[#This Row],[الزياده]]/Table1[[#This Row],[راتب ديسمبر 2019]]%</f>
        <v>114.79713603818617</v>
      </c>
      <c r="AW51" s="659">
        <f>IF(Table1[[#This Row],[Column4]]&lt;0,0,Table1[[#This Row],[Column4]])</f>
        <v>0</v>
      </c>
      <c r="AX51" s="611">
        <f>Table1[[#This Row],[الجبر حتي]]-Table1[[#This Row],[رن]]</f>
        <v>6.8400000000001455</v>
      </c>
      <c r="AY51" s="611">
        <f>Table1[[#This Row],[الزياده]]+Table1[[#This Row],[التعديل]]+Table1[[#This Row],[جبر الرقم]]</f>
        <v>4816.84</v>
      </c>
      <c r="AZ51" s="611">
        <f>Table1[[#This Row],[الراتب 2018 + النسبه + الفرق]]+Table1[[#This Row],[جبر الرقم]]+Table1[[#This Row],[التعديل]]</f>
        <v>9006.84</v>
      </c>
      <c r="BA51" s="631">
        <f>Table1[[#This Row],[الزياده النهائيه]]/Table1[[#This Row],[راتب ديسمبر 2019]]%</f>
        <v>114.96038186157519</v>
      </c>
      <c r="BB51" s="612">
        <f>VLOOKUP(Table1[[#This Row],[الرقم الوظيفي]],Table6[],8,)</f>
        <v>4190</v>
      </c>
      <c r="BC51" s="7"/>
      <c r="BD51" s="7">
        <v>6560</v>
      </c>
      <c r="BE51" s="7">
        <v>6553.16</v>
      </c>
      <c r="BF51" s="5">
        <f>Table1[[#This Row],[الحد الادني]]-Table1[[#This Row],[الراتب 2018+النسبه]]</f>
        <v>4810</v>
      </c>
      <c r="BG51" s="5">
        <f>Table1[[#This Row],[التعديل حتي]]-Table1[[#This Row],[kkk]]</f>
        <v>-6553.16</v>
      </c>
      <c r="BH51" s="5">
        <v>6553.16</v>
      </c>
      <c r="BI51" s="5">
        <f>IF(Table1[[#This Row],[Column4]]&lt;0,0,Table1[[#This Row],[Column4]])</f>
        <v>0</v>
      </c>
    </row>
    <row r="52" spans="1:61">
      <c r="A52" s="602">
        <v>101</v>
      </c>
      <c r="B52" s="618" t="str">
        <f>VLOOKUP(Table1[[#This Row],[الرقم الوظيفي]],[1]Sheet2!$1:$1048576,2,)</f>
        <v>الطيب امبلى احمد محمد</v>
      </c>
      <c r="C52" s="618" t="str">
        <f>VLOOKUP(Table1[[#This Row],[الرقم الوظيفي]],[1]Sheet2!$1:$1048576,7,)</f>
        <v>الرئاسه</v>
      </c>
      <c r="D52" s="618" t="str">
        <f>VLOOKUP(Table1[[#This Row],[الرقم الوظيفي]],[1]Sheet2!$1:$1048576,8,)</f>
        <v>الماليه</v>
      </c>
      <c r="E52" s="599">
        <f>VLOOKUP(Table1[[#This Row],[الرقم الوظيفي]],[1]Sheet2!$1:$1048576,9,)</f>
        <v>0</v>
      </c>
      <c r="F52" s="599" t="str">
        <f>VLOOKUP(Table1[[#This Row],[الرقم الوظيفي]],[1]Sheet2!$1:$1048576,12,)</f>
        <v>رئيس حسابات المصنع</v>
      </c>
      <c r="G52" s="599" t="str">
        <f>VLOOKUP(Table1[[#This Row],[الرقم الوظيفي]],[1]Sheet2!$1:$1048576,72,)</f>
        <v>بكلاريوس</v>
      </c>
      <c r="H52" s="599" t="str">
        <f>VLOOKUP(Table1[[#This Row],[الرقم الوظيفي]],[1]Sheet2!$1:$1048576,71,)</f>
        <v>إدارة الاعمال</v>
      </c>
      <c r="I52" s="599" t="str">
        <f>VLOOKUP(Table1[[#This Row],[المؤهل الرئيسي]],Table4[],3,)</f>
        <v>C</v>
      </c>
      <c r="J52" s="599" t="s">
        <v>59</v>
      </c>
      <c r="K52" s="615">
        <f>VLOOKUP(Table1[[#This Row],[الرقم الوظيفي]],[1]Sheet2!$1:$1048576,13,)</f>
        <v>40483</v>
      </c>
      <c r="L52" s="615">
        <v>43830</v>
      </c>
      <c r="M52" s="599">
        <f>DATEDIF(Table1[[#This Row],[تاريخ التعيين]],Table1[[#This Row],[اخر العام]],"y")</f>
        <v>9</v>
      </c>
      <c r="N52" s="599">
        <f>DATEDIF(Table1[[#This Row],[تاريخ التعيين]],Table1[[#This Row],[اخر العام]],"ym")</f>
        <v>1</v>
      </c>
      <c r="O52" s="610">
        <f>Table1[[#This Row],[سنوات الخدمه]]*1+Table1[[#This Row],[الشهور اقل من سنه]]*0.08</f>
        <v>9.08</v>
      </c>
      <c r="P52" s="616">
        <v>17220</v>
      </c>
      <c r="Q52" s="617">
        <v>2782.752</v>
      </c>
      <c r="R52" s="612"/>
      <c r="S52" s="599"/>
      <c r="T52" s="612"/>
      <c r="U52" s="612"/>
      <c r="V52" s="612"/>
      <c r="W52" s="612"/>
      <c r="X52" s="612"/>
      <c r="Y52" s="612"/>
      <c r="Z52" s="612"/>
      <c r="AA5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2" s="612"/>
      <c r="AC52" s="599"/>
      <c r="AD52" s="612"/>
      <c r="AE52" s="612"/>
      <c r="AF52" s="612"/>
      <c r="AG52" s="612"/>
      <c r="AH52" s="619">
        <f>SUM(Table1[[#This Row],[التقييد  باللوائح و تنفيذالتوجيه]:[اتباع اجراءات السلامه]])</f>
        <v>0</v>
      </c>
      <c r="AI52" s="619">
        <f>Table1[[#This Row],[المجموع]]+Table1[[#This Row],[المجموع2]]</f>
        <v>0</v>
      </c>
      <c r="AJ52" s="612">
        <v>10</v>
      </c>
      <c r="AK52" s="612"/>
      <c r="AL52" s="612"/>
      <c r="AM52" s="612">
        <v>9</v>
      </c>
      <c r="AN52" s="612"/>
      <c r="AO52" s="606">
        <f>Table1[[#This Row],[المجموع 1+2]]*$AO$2</f>
        <v>0</v>
      </c>
      <c r="AP52" s="648">
        <f>Table1[[#This Row],[راتب ديسمبر 2019]]*Table1[[#This Row],[نسبه التقييم الرئيسي 2018]]%</f>
        <v>0</v>
      </c>
      <c r="AQ52" s="627">
        <f>Table1[[#This Row],[مبلغ التقييم النسبي 2018]]+Table1[[#This Row],[راتب ديسمبر 2019]]</f>
        <v>17220</v>
      </c>
      <c r="AR52" s="611">
        <f>IF(Table1[[#This Row],[Column3]]&lt;0,0,Table1[[#This Row],[Column3]])</f>
        <v>32780</v>
      </c>
      <c r="AS52" s="599">
        <f>VLOOKUP(Table1[[#This Row],[درجه التوسيط]],Table10[],3,)</f>
        <v>50000</v>
      </c>
      <c r="AT52" s="608">
        <f>Table1[[#This Row],[الراتب 2018+النسبه]]+Table1[[#This Row],[فروقات الحد الادني]]</f>
        <v>50000</v>
      </c>
      <c r="AU52" s="629">
        <f>Table1[[#This Row],[الراتب 2018 + النسبه + الفرق]]-Table1[[#This Row],[راتب ديسمبر 2019]]</f>
        <v>32780</v>
      </c>
      <c r="AV52" s="628">
        <f>Table1[[#This Row],[الزياده]]/Table1[[#This Row],[راتب ديسمبر 2019]]%</f>
        <v>190.36004645760744</v>
      </c>
      <c r="AW52" s="659">
        <f>IF(Table1[[#This Row],[Column4]]&lt;0,0,Table1[[#This Row],[Column4]])</f>
        <v>3000</v>
      </c>
      <c r="AX52" s="611">
        <f>Table1[[#This Row],[الجبر حتي]]-Table1[[#This Row],[رن]]</f>
        <v>0</v>
      </c>
      <c r="AY52" s="611">
        <f>Table1[[#This Row],[الزياده]]+Table1[[#This Row],[التعديل]]+Table1[[#This Row],[جبر الرقم]]</f>
        <v>35780</v>
      </c>
      <c r="AZ52" s="611">
        <f>Table1[[#This Row],[الراتب 2018 + النسبه + الفرق]]+Table1[[#This Row],[جبر الرقم]]+Table1[[#This Row],[التعديل]]</f>
        <v>53000</v>
      </c>
      <c r="BA52" s="631">
        <f>Table1[[#This Row],[الزياده النهائيه]]/Table1[[#This Row],[راتب ديسمبر 2019]]%</f>
        <v>207.7816492450639</v>
      </c>
      <c r="BB52" s="612">
        <f>VLOOKUP(Table1[[#This Row],[الرقم الوظيفي]],Table6[],8,)</f>
        <v>17220</v>
      </c>
      <c r="BC52" s="7">
        <v>33000</v>
      </c>
      <c r="BD52" s="7">
        <v>30000</v>
      </c>
      <c r="BE52" s="7">
        <v>30000</v>
      </c>
      <c r="BF52" s="5">
        <f>Table1[[#This Row],[الحد الادني]]-Table1[[#This Row],[الراتب 2018+النسبه]]</f>
        <v>32780</v>
      </c>
      <c r="BG52" s="5">
        <f>Table1[[#This Row],[التعديل حتي]]-Table1[[#This Row],[kkk]]</f>
        <v>3000</v>
      </c>
      <c r="BH52" s="5">
        <v>30000</v>
      </c>
      <c r="BI52" s="5">
        <f>IF(Table1[[#This Row],[Column4]]&lt;0,0,Table1[[#This Row],[Column4]])</f>
        <v>3000</v>
      </c>
    </row>
    <row r="53" spans="1:61" ht="21" customHeight="1">
      <c r="A53" s="602">
        <v>103</v>
      </c>
      <c r="B53" s="618" t="str">
        <f>VLOOKUP(Table1[[#This Row],[الرقم الوظيفي]],[1]Sheet2!$1:$1048576,2,)</f>
        <v>يوسف عوض ابراهيم محمد</v>
      </c>
      <c r="C53" s="618" t="str">
        <f>VLOOKUP(Table1[[#This Row],[الرقم الوظيفي]],[1]Sheet2!$1:$1048576,7,)</f>
        <v>المصنع</v>
      </c>
      <c r="D53" s="618" t="str">
        <f>VLOOKUP(Table1[[#This Row],[الرقم الوظيفي]],[1]Sheet2!$1:$1048576,8,)</f>
        <v>الكهرباء</v>
      </c>
      <c r="E53" s="599" t="str">
        <f>VLOOKUP(Table1[[#This Row],[الرقم الوظيفي]],[1]Sheet2!$1:$1048576,9,)</f>
        <v>كهرباء عامه</v>
      </c>
      <c r="F53" s="599" t="str">
        <f>VLOOKUP(Table1[[#This Row],[الرقم الوظيفي]],[1]Sheet2!$1:$1048576,12,)</f>
        <v>تقنى كهرباء</v>
      </c>
      <c r="G53" s="599" t="str">
        <f>VLOOKUP(Table1[[#This Row],[الرقم الوظيفي]],[1]Sheet2!$1:$1048576,72,)</f>
        <v>دبلوم تقني</v>
      </c>
      <c r="H53" s="599" t="str">
        <f>VLOOKUP(Table1[[#This Row],[الرقم الوظيفي]],[1]Sheet2!$1:$1048576,71,)</f>
        <v>هندسة كهرباء</v>
      </c>
      <c r="I53" s="599" t="str">
        <f>VLOOKUP(Table1[[#This Row],[المؤهل الرئيسي]],Table4[],3,)</f>
        <v>D</v>
      </c>
      <c r="J53" s="599" t="s">
        <v>923</v>
      </c>
      <c r="K53" s="615">
        <f>VLOOKUP(Table1[[#This Row],[الرقم الوظيفي]],[1]Sheet2!$1:$1048576,13,)</f>
        <v>40759</v>
      </c>
      <c r="L53" s="615">
        <v>43830</v>
      </c>
      <c r="M53" s="599">
        <f>DATEDIF(Table1[[#This Row],[تاريخ التعيين]],Table1[[#This Row],[اخر العام]],"y")</f>
        <v>8</v>
      </c>
      <c r="N53" s="599">
        <f>DATEDIF(Table1[[#This Row],[تاريخ التعيين]],Table1[[#This Row],[اخر العام]],"ym")</f>
        <v>4</v>
      </c>
      <c r="O53" s="610">
        <f>Table1[[#This Row],[سنوات الخدمه]]*1+Table1[[#This Row],[الشهور اقل من سنه]]*0.08</f>
        <v>8.32</v>
      </c>
      <c r="P53" s="616">
        <v>4870</v>
      </c>
      <c r="Q53" s="617">
        <v>712.96799999999996</v>
      </c>
      <c r="R53" s="612"/>
      <c r="S53" s="599"/>
      <c r="T53" s="612"/>
      <c r="U53" s="612"/>
      <c r="V53" s="612"/>
      <c r="W53" s="612"/>
      <c r="X53" s="612"/>
      <c r="Y53" s="612"/>
      <c r="Z53" s="612"/>
      <c r="AA5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3" s="612"/>
      <c r="AC53" s="599"/>
      <c r="AD53" s="612"/>
      <c r="AE53" s="612"/>
      <c r="AF53" s="612"/>
      <c r="AG53" s="612"/>
      <c r="AH53" s="619">
        <f>SUM(Table1[[#This Row],[التقييد  باللوائح و تنفيذالتوجيه]:[اتباع اجراءات السلامه]])</f>
        <v>0</v>
      </c>
      <c r="AI53" s="619">
        <f>Table1[[#This Row],[المجموع]]+Table1[[#This Row],[المجموع2]]</f>
        <v>0</v>
      </c>
      <c r="AJ53" s="612">
        <v>10</v>
      </c>
      <c r="AK53" s="612"/>
      <c r="AL53" s="612"/>
      <c r="AM53" s="612"/>
      <c r="AN53" s="612"/>
      <c r="AO53" s="606">
        <f>Table1[[#This Row],[المجموع 1+2]]*$AO$2</f>
        <v>0</v>
      </c>
      <c r="AP53" s="648">
        <f>Table1[[#This Row],[راتب ديسمبر 2019]]*Table1[[#This Row],[نسبه التقييم الرئيسي 2018]]%</f>
        <v>0</v>
      </c>
      <c r="AQ53" s="627">
        <f>Table1[[#This Row],[مبلغ التقييم النسبي 2018]]+Table1[[#This Row],[راتب ديسمبر 2019]]</f>
        <v>4870</v>
      </c>
      <c r="AR53" s="611">
        <f>IF(Table1[[#This Row],[Column3]]&lt;0,0,Table1[[#This Row],[Column3]])</f>
        <v>5130</v>
      </c>
      <c r="AS53" s="599">
        <f>VLOOKUP(Table1[[#This Row],[درجه التوسيط]],Table10[],3,)</f>
        <v>10000</v>
      </c>
      <c r="AT53" s="608">
        <f>Table1[[#This Row],[الراتب 2018+النسبه]]+Table1[[#This Row],[فروقات الحد الادني]]</f>
        <v>10000</v>
      </c>
      <c r="AU53" s="629">
        <f>Table1[[#This Row],[الراتب 2018 + النسبه + الفرق]]-Table1[[#This Row],[راتب ديسمبر 2019]]</f>
        <v>5130</v>
      </c>
      <c r="AV53" s="628">
        <f>Table1[[#This Row],[الزياده]]/Table1[[#This Row],[راتب ديسمبر 2019]]%</f>
        <v>105.3388090349076</v>
      </c>
      <c r="AW53" s="659">
        <f>IF(Table1[[#This Row],[Column4]]&lt;0,0,Table1[[#This Row],[Column4]])</f>
        <v>1383.3199999999997</v>
      </c>
      <c r="AX53" s="611">
        <f>Table1[[#This Row],[الجبر حتي]]-Table1[[#This Row],[رن]]</f>
        <v>0</v>
      </c>
      <c r="AY53" s="611">
        <f>Table1[[#This Row],[الزياده]]+Table1[[#This Row],[التعديل]]+Table1[[#This Row],[جبر الرقم]]</f>
        <v>6513.32</v>
      </c>
      <c r="AZ53" s="611">
        <f>Table1[[#This Row],[الراتب 2018 + النسبه + الفرق]]+Table1[[#This Row],[جبر الرقم]]+Table1[[#This Row],[التعديل]]</f>
        <v>11383.32</v>
      </c>
      <c r="BA53" s="631">
        <f>Table1[[#This Row],[الزياده النهائيه]]/Table1[[#This Row],[راتب ديسمبر 2019]]%</f>
        <v>133.74373716632442</v>
      </c>
      <c r="BB53" s="612">
        <f>VLOOKUP(Table1[[#This Row],[الرقم الوظيفي]],Table6[],8,)</f>
        <v>4870</v>
      </c>
      <c r="BC53" s="7">
        <v>9000</v>
      </c>
      <c r="BD53" s="7">
        <v>9000</v>
      </c>
      <c r="BE53" s="7">
        <v>9000</v>
      </c>
      <c r="BF53" s="5">
        <f>Table1[[#This Row],[الحد الادني]]-Table1[[#This Row],[الراتب 2018+النسبه]]</f>
        <v>5130</v>
      </c>
      <c r="BG53" s="5">
        <f>Table1[[#This Row],[التعديل حتي]]-Table1[[#This Row],[kkk]]</f>
        <v>1383.3199999999997</v>
      </c>
      <c r="BH53" s="5">
        <v>7616.68</v>
      </c>
      <c r="BI53" s="5">
        <f>IF(Table1[[#This Row],[Column4]]&lt;0,0,Table1[[#This Row],[Column4]])</f>
        <v>1383.3199999999997</v>
      </c>
    </row>
    <row r="54" spans="1:61" ht="21" customHeight="1">
      <c r="A54" s="602">
        <v>108</v>
      </c>
      <c r="B54" s="599" t="str">
        <f>VLOOKUP(Table1[[#This Row],[الرقم الوظيفي]],[1]Sheet2!$1:$1048576,2,)</f>
        <v>خلف الله عبدالصادق محمد احمد</v>
      </c>
      <c r="C54" s="599" t="str">
        <f>VLOOKUP(Table1[[#This Row],[الرقم الوظيفي]],[1]Sheet2!$1:$1048576,7,)</f>
        <v>المصنع</v>
      </c>
      <c r="D54" s="599" t="str">
        <f>VLOOKUP(Table1[[#This Row],[الرقم الوظيفي]],[1]Sheet2!$1:$1048576,8,)</f>
        <v>الانتاج</v>
      </c>
      <c r="E54" s="599" t="str">
        <f>VLOOKUP(Table1[[#This Row],[الرقم الوظيفي]],[1]Sheet2!$1:$1048576,9,)</f>
        <v>المواسير</v>
      </c>
      <c r="F54" s="599" t="str">
        <f>VLOOKUP(Table1[[#This Row],[الرقم الوظيفي]],[1]Sheet2!$1:$1048576,12,)</f>
        <v>مساعد مشغل</v>
      </c>
      <c r="G54" s="599">
        <f>VLOOKUP(Table1[[#This Row],[الرقم الوظيفي]],[1]Sheet2!$1:$1048576,72,)</f>
        <v>0</v>
      </c>
      <c r="H54" s="599">
        <f>VLOOKUP(Table1[[#This Row],[الرقم الوظيفي]],[1]Sheet2!$1:$1048576,71,)</f>
        <v>0</v>
      </c>
      <c r="I54" s="599" t="str">
        <f>VLOOKUP(Table1[[#This Row],[المؤهل الرئيسي]],Table4[],3,)</f>
        <v>H</v>
      </c>
      <c r="J54" s="599" t="s">
        <v>926</v>
      </c>
      <c r="K54" s="615">
        <f>VLOOKUP(Table1[[#This Row],[الرقم الوظيفي]],[1]Sheet2!$1:$1048576,13,)</f>
        <v>40825</v>
      </c>
      <c r="L54" s="615">
        <v>43830</v>
      </c>
      <c r="M54" s="599">
        <f>DATEDIF(Table1[[#This Row],[تاريخ التعيين]],Table1[[#This Row],[اخر العام]],"y")</f>
        <v>8</v>
      </c>
      <c r="N54" s="599">
        <f>DATEDIF(Table1[[#This Row],[تاريخ التعيين]],Table1[[#This Row],[اخر العام]],"ym")</f>
        <v>2</v>
      </c>
      <c r="O54" s="610">
        <f>Table1[[#This Row],[سنوات الخدمه]]*1+Table1[[#This Row],[الشهور اقل من سنه]]*0.08</f>
        <v>8.16</v>
      </c>
      <c r="P54" s="616">
        <v>4320</v>
      </c>
      <c r="Q54" s="617">
        <v>618.62400000000002</v>
      </c>
      <c r="R54" s="612"/>
      <c r="S54" s="599"/>
      <c r="T54" s="612"/>
      <c r="U54" s="612"/>
      <c r="V54" s="612"/>
      <c r="W54" s="612"/>
      <c r="X54" s="612"/>
      <c r="Y54" s="612"/>
      <c r="Z54" s="612"/>
      <c r="AA5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4" s="612"/>
      <c r="AC54" s="599"/>
      <c r="AD54" s="612"/>
      <c r="AE54" s="612"/>
      <c r="AF54" s="612"/>
      <c r="AG54" s="612"/>
      <c r="AH54" s="619">
        <f>SUM(Table1[[#This Row],[التقييد  باللوائح و تنفيذالتوجيه]:[اتباع اجراءات السلامه]])</f>
        <v>0</v>
      </c>
      <c r="AI54" s="619">
        <f>Table1[[#This Row],[المجموع]]+Table1[[#This Row],[المجموع2]]</f>
        <v>0</v>
      </c>
      <c r="AJ54" s="612"/>
      <c r="AK54" s="612"/>
      <c r="AL54" s="612"/>
      <c r="AM54" s="612"/>
      <c r="AN54" s="612"/>
      <c r="AO54" s="606">
        <f>Table1[[#This Row],[المجموع 1+2]]*$AO$2</f>
        <v>0</v>
      </c>
      <c r="AP54" s="648">
        <f>Table1[[#This Row],[راتب ديسمبر 2019]]*Table1[[#This Row],[نسبه التقييم الرئيسي 2018]]%</f>
        <v>0</v>
      </c>
      <c r="AQ54" s="627">
        <f>Table1[[#This Row],[مبلغ التقييم النسبي 2018]]+Table1[[#This Row],[راتب ديسمبر 2019]]</f>
        <v>4320</v>
      </c>
      <c r="AR54" s="10">
        <f>IF(Table1[[#This Row],[Column3]]&lt;0,0,Table1[[#This Row],[Column3]])</f>
        <v>3680</v>
      </c>
      <c r="AS54" s="599">
        <f>VLOOKUP(Table1[[#This Row],[درجه التوسيط]],Table10[],3,)</f>
        <v>8000</v>
      </c>
      <c r="AT54" s="608">
        <f>Table1[[#This Row],[الراتب 2018+النسبه]]+Table1[[#This Row],[فروقات الحد الادني]]</f>
        <v>8000</v>
      </c>
      <c r="AU54" s="629">
        <f>Table1[[#This Row],[الراتب 2018 + النسبه + الفرق]]-Table1[[#This Row],[راتب ديسمبر 2019]]</f>
        <v>3680</v>
      </c>
      <c r="AV54" s="628">
        <f>Table1[[#This Row],[الزياده]]/Table1[[#This Row],[راتب ديسمبر 2019]]%</f>
        <v>85.185185185185176</v>
      </c>
      <c r="AW54" s="659">
        <f>IF(Table1[[#This Row],[Column4]]&lt;0,0,Table1[[#This Row],[Column4]])</f>
        <v>0</v>
      </c>
      <c r="AX54" s="611">
        <f>Table1[[#This Row],[الجبر حتي]]-Table1[[#This Row],[رن]]</f>
        <v>4.5600000000004002</v>
      </c>
      <c r="AY54" s="611">
        <f>Table1[[#This Row],[الزياده]]+Table1[[#This Row],[التعديل]]+Table1[[#This Row],[جبر الرقم]]</f>
        <v>3684.5600000000004</v>
      </c>
      <c r="AZ54" s="611">
        <f>Table1[[#This Row],[الراتب 2018 + النسبه + الفرق]]+Table1[[#This Row],[جبر الرقم]]+Table1[[#This Row],[التعديل]]</f>
        <v>8004.56</v>
      </c>
      <c r="BA54" s="631">
        <f>Table1[[#This Row],[الزياده النهائيه]]/Table1[[#This Row],[راتب ديسمبر 2019]]%</f>
        <v>85.290740740740745</v>
      </c>
      <c r="BB54" s="612">
        <f>VLOOKUP(Table1[[#This Row],[الرقم الوظيفي]],Table6[],8,)</f>
        <v>4320</v>
      </c>
      <c r="BC54" s="7"/>
      <c r="BD54" s="7">
        <v>6450</v>
      </c>
      <c r="BE54" s="7">
        <v>6445.44</v>
      </c>
      <c r="BF54" s="5">
        <f>Table1[[#This Row],[الحد الادني]]-Table1[[#This Row],[الراتب 2018+النسبه]]</f>
        <v>3680</v>
      </c>
      <c r="BG54" s="5">
        <f>Table1[[#This Row],[التعديل حتي]]-Table1[[#This Row],[kkk]]</f>
        <v>-6445.44</v>
      </c>
      <c r="BH54" s="5">
        <v>6445.44</v>
      </c>
      <c r="BI54" s="5">
        <f>IF(Table1[[#This Row],[Column4]]&lt;0,0,Table1[[#This Row],[Column4]])</f>
        <v>0</v>
      </c>
    </row>
    <row r="55" spans="1:61" ht="21" customHeight="1">
      <c r="A55" s="602">
        <v>112</v>
      </c>
      <c r="B55" s="618" t="str">
        <f>VLOOKUP(Table1[[#This Row],[الرقم الوظيفي]],[1]Sheet2!$1:$1048576,2,)</f>
        <v>محمد الامين حامد الامين</v>
      </c>
      <c r="C55" s="618" t="str">
        <f>VLOOKUP(Table1[[#This Row],[الرقم الوظيفي]],[1]Sheet2!$1:$1048576,7,)</f>
        <v>المصنع</v>
      </c>
      <c r="D55" s="618" t="str">
        <f>VLOOKUP(Table1[[#This Row],[الرقم الوظيفي]],[1]Sheet2!$1:$1048576,8,)</f>
        <v>الانتاج</v>
      </c>
      <c r="E55" s="599" t="str">
        <f>VLOOKUP(Table1[[#This Row],[الرقم الوظيفي]],[1]Sheet2!$1:$1048576,9,)</f>
        <v>المواسير</v>
      </c>
      <c r="F55" s="599" t="str">
        <f>VLOOKUP(Table1[[#This Row],[الرقم الوظيفي]],[1]Sheet2!$1:$1048576,12,)</f>
        <v>مساعد مشغل</v>
      </c>
      <c r="G55" s="599" t="str">
        <f>VLOOKUP(Table1[[#This Row],[الرقم الوظيفي]],[1]Sheet2!$1:$1048576,72,)</f>
        <v>شهاده ثانويه</v>
      </c>
      <c r="H55" s="599">
        <f>VLOOKUP(Table1[[#This Row],[الرقم الوظيفي]],[1]Sheet2!$1:$1048576,71,)</f>
        <v>0</v>
      </c>
      <c r="I55" s="599" t="str">
        <f>VLOOKUP(Table1[[#This Row],[المؤهل الرئيسي]],Table4[],3,)</f>
        <v>F</v>
      </c>
      <c r="J55" s="599" t="s">
        <v>42</v>
      </c>
      <c r="K55" s="615">
        <f>VLOOKUP(Table1[[#This Row],[الرقم الوظيفي]],[1]Sheet2!$1:$1048576,13,)</f>
        <v>41706</v>
      </c>
      <c r="L55" s="615">
        <v>43830</v>
      </c>
      <c r="M55" s="599">
        <f>DATEDIF(Table1[[#This Row],[تاريخ التعيين]],Table1[[#This Row],[اخر العام]],"y")</f>
        <v>5</v>
      </c>
      <c r="N55" s="599">
        <f>DATEDIF(Table1[[#This Row],[تاريخ التعيين]],Table1[[#This Row],[اخر العام]],"ym")</f>
        <v>9</v>
      </c>
      <c r="O55" s="610">
        <f>Table1[[#This Row],[سنوات الخدمه]]*1+Table1[[#This Row],[الشهور اقل من سنه]]*0.08</f>
        <v>5.72</v>
      </c>
      <c r="P55" s="616">
        <v>4170</v>
      </c>
      <c r="Q55" s="617">
        <v>393.64800000000002</v>
      </c>
      <c r="R55" s="612"/>
      <c r="S55" s="599"/>
      <c r="T55" s="612"/>
      <c r="U55" s="612"/>
      <c r="V55" s="612"/>
      <c r="W55" s="612"/>
      <c r="X55" s="612"/>
      <c r="Y55" s="612"/>
      <c r="Z55" s="612"/>
      <c r="AA5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5" s="612"/>
      <c r="AC55" s="599"/>
      <c r="AD55" s="612"/>
      <c r="AE55" s="612"/>
      <c r="AF55" s="612"/>
      <c r="AG55" s="612"/>
      <c r="AH55" s="619">
        <f>SUM(Table1[[#This Row],[التقييد  باللوائح و تنفيذالتوجيه]:[اتباع اجراءات السلامه]])</f>
        <v>0</v>
      </c>
      <c r="AI55" s="619">
        <f>Table1[[#This Row],[المجموع]]+Table1[[#This Row],[المجموع2]]</f>
        <v>0</v>
      </c>
      <c r="AJ55" s="612"/>
      <c r="AK55" s="612"/>
      <c r="AL55" s="612"/>
      <c r="AM55" s="612"/>
      <c r="AN55" s="612"/>
      <c r="AO55" s="606">
        <f>Table1[[#This Row],[المجموع 1+2]]*$AO$2</f>
        <v>0</v>
      </c>
      <c r="AP55" s="648">
        <f>Table1[[#This Row],[راتب ديسمبر 2019]]*Table1[[#This Row],[نسبه التقييم الرئيسي 2018]]%</f>
        <v>0</v>
      </c>
      <c r="AQ55" s="627">
        <f>Table1[[#This Row],[مبلغ التقييم النسبي 2018]]+Table1[[#This Row],[راتب ديسمبر 2019]]</f>
        <v>4170</v>
      </c>
      <c r="AR55" s="611">
        <f>IF(Table1[[#This Row],[Column3]]&lt;0,0,Table1[[#This Row],[Column3]])</f>
        <v>830</v>
      </c>
      <c r="AS55" s="599">
        <f>VLOOKUP(Table1[[#This Row],[درجه التوسيط]],Table10[],3,)</f>
        <v>5000</v>
      </c>
      <c r="AT55" s="608">
        <f>Table1[[#This Row],[الراتب 2018+النسبه]]+Table1[[#This Row],[فروقات الحد الادني]]</f>
        <v>5000</v>
      </c>
      <c r="AU55" s="629">
        <f>Table1[[#This Row],[الراتب 2018 + النسبه + الفرق]]-Table1[[#This Row],[راتب ديسمبر 2019]]</f>
        <v>830</v>
      </c>
      <c r="AV55" s="628">
        <f>Table1[[#This Row],[الزياده]]/Table1[[#This Row],[راتب ديسمبر 2019]]%</f>
        <v>19.90407673860911</v>
      </c>
      <c r="AW55" s="659">
        <f>IF(Table1[[#This Row],[Column4]]&lt;0,0,Table1[[#This Row],[Column4]])</f>
        <v>0</v>
      </c>
      <c r="AX55" s="611">
        <f>Table1[[#This Row],[الجبر حتي]]-Table1[[#This Row],[رن]]</f>
        <v>3.6199999999998909</v>
      </c>
      <c r="AY55" s="611">
        <f>Table1[[#This Row],[الزياده]]+Table1[[#This Row],[التعديل]]+Table1[[#This Row],[جبر الرقم]]</f>
        <v>833.61999999999989</v>
      </c>
      <c r="AZ55" s="611">
        <f>Table1[[#This Row],[الراتب 2018 + النسبه + الفرق]]+Table1[[#This Row],[جبر الرقم]]+Table1[[#This Row],[التعديل]]</f>
        <v>5003.62</v>
      </c>
      <c r="BA55" s="631">
        <f>Table1[[#This Row],[الزياده النهائيه]]/Table1[[#This Row],[راتب ديسمبر 2019]]%</f>
        <v>19.990887290167862</v>
      </c>
      <c r="BB55" s="612">
        <f>VLOOKUP(Table1[[#This Row],[الرقم الوظيفي]],Table6[],8,)</f>
        <v>4170</v>
      </c>
      <c r="BC55" s="7"/>
      <c r="BD55" s="7">
        <v>5900</v>
      </c>
      <c r="BE55" s="7">
        <v>5896.38</v>
      </c>
      <c r="BF55" s="5">
        <f>Table1[[#This Row],[الحد الادني]]-Table1[[#This Row],[الراتب 2018+النسبه]]</f>
        <v>830</v>
      </c>
      <c r="BG55" s="5">
        <f>Table1[[#This Row],[التعديل حتي]]-Table1[[#This Row],[kkk]]</f>
        <v>-5896.38</v>
      </c>
      <c r="BH55" s="5">
        <v>5896.38</v>
      </c>
      <c r="BI55" s="5">
        <f>IF(Table1[[#This Row],[Column4]]&lt;0,0,Table1[[#This Row],[Column4]])</f>
        <v>0</v>
      </c>
    </row>
    <row r="56" spans="1:61" ht="21" customHeight="1">
      <c r="A56" s="602">
        <v>113</v>
      </c>
      <c r="B56" s="618" t="str">
        <f>VLOOKUP(Table1[[#This Row],[الرقم الوظيفي]],[1]Sheet2!$1:$1048576,2,)</f>
        <v>على ابراهيم النعيم الحاج</v>
      </c>
      <c r="C56" s="618" t="str">
        <f>VLOOKUP(Table1[[#This Row],[الرقم الوظيفي]],[1]Sheet2!$1:$1048576,7,)</f>
        <v>المصنع</v>
      </c>
      <c r="D56" s="618" t="str">
        <f>VLOOKUP(Table1[[#This Row],[الرقم الوظيفي]],[1]Sheet2!$1:$1048576,8,)</f>
        <v>الكهرباء</v>
      </c>
      <c r="E56" s="599" t="str">
        <f>VLOOKUP(Table1[[#This Row],[الرقم الوظيفي]],[1]Sheet2!$1:$1048576,9,)</f>
        <v>كهرباء عامه</v>
      </c>
      <c r="F56" s="599" t="str">
        <f>VLOOKUP(Table1[[#This Row],[الرقم الوظيفي]],[1]Sheet2!$1:$1048576,12,)</f>
        <v>فنى كهرباء</v>
      </c>
      <c r="G56" s="599" t="str">
        <f>VLOOKUP(Table1[[#This Row],[الرقم الوظيفي]],[1]Sheet2!$1:$1048576,72,)</f>
        <v>شهاده ثانويه</v>
      </c>
      <c r="H56" s="599">
        <f>VLOOKUP(Table1[[#This Row],[الرقم الوظيفي]],[1]Sheet2!$1:$1048576,71,)</f>
        <v>0</v>
      </c>
      <c r="I56" s="599" t="str">
        <f>VLOOKUP(Table1[[#This Row],[المؤهل الرئيسي]],Table4[],3,)</f>
        <v>F</v>
      </c>
      <c r="J56" s="599" t="s">
        <v>923</v>
      </c>
      <c r="K56" s="615">
        <f>VLOOKUP(Table1[[#This Row],[الرقم الوظيفي]],[1]Sheet2!$1:$1048576,13,)</f>
        <v>42476</v>
      </c>
      <c r="L56" s="615">
        <v>43830</v>
      </c>
      <c r="M56" s="599">
        <f>DATEDIF(Table1[[#This Row],[تاريخ التعيين]],Table1[[#This Row],[اخر العام]],"y")</f>
        <v>3</v>
      </c>
      <c r="N56" s="599">
        <f>DATEDIF(Table1[[#This Row],[تاريخ التعيين]],Table1[[#This Row],[اخر العام]],"ym")</f>
        <v>8</v>
      </c>
      <c r="O56" s="610">
        <f>Table1[[#This Row],[سنوات الخدمه]]*1+Table1[[#This Row],[الشهور اقل من سنه]]*0.08</f>
        <v>3.64</v>
      </c>
      <c r="P56" s="616">
        <v>4080</v>
      </c>
      <c r="Q56" s="617">
        <v>215.42400000000001</v>
      </c>
      <c r="R56" s="612"/>
      <c r="S56" s="599"/>
      <c r="T56" s="612"/>
      <c r="U56" s="612"/>
      <c r="V56" s="612"/>
      <c r="W56" s="612"/>
      <c r="X56" s="612"/>
      <c r="Y56" s="612"/>
      <c r="Z56" s="612"/>
      <c r="AA5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6" s="612"/>
      <c r="AC56" s="599"/>
      <c r="AD56" s="612"/>
      <c r="AE56" s="612"/>
      <c r="AF56" s="612"/>
      <c r="AG56" s="612"/>
      <c r="AH56" s="619">
        <f>SUM(Table1[[#This Row],[التقييد  باللوائح و تنفيذالتوجيه]:[اتباع اجراءات السلامه]])</f>
        <v>0</v>
      </c>
      <c r="AI56" s="619">
        <f>Table1[[#This Row],[المجموع]]+Table1[[#This Row],[المجموع2]]</f>
        <v>0</v>
      </c>
      <c r="AJ56" s="612">
        <v>10</v>
      </c>
      <c r="AK56" s="612"/>
      <c r="AL56" s="612"/>
      <c r="AM56" s="612"/>
      <c r="AN56" s="612"/>
      <c r="AO56" s="606">
        <f>Table1[[#This Row],[المجموع 1+2]]*$AO$2</f>
        <v>0</v>
      </c>
      <c r="AP56" s="648">
        <f>Table1[[#This Row],[راتب ديسمبر 2019]]*Table1[[#This Row],[نسبه التقييم الرئيسي 2018]]%</f>
        <v>0</v>
      </c>
      <c r="AQ56" s="627">
        <f>Table1[[#This Row],[مبلغ التقييم النسبي 2018]]+Table1[[#This Row],[راتب ديسمبر 2019]]</f>
        <v>4080</v>
      </c>
      <c r="AR56" s="611">
        <f>IF(Table1[[#This Row],[Column3]]&lt;0,0,Table1[[#This Row],[Column3]])</f>
        <v>5920</v>
      </c>
      <c r="AS56" s="599">
        <f>VLOOKUP(Table1[[#This Row],[درجه التوسيط]],Table10[],3,)</f>
        <v>10000</v>
      </c>
      <c r="AT56" s="608">
        <f>Table1[[#This Row],[الراتب 2018+النسبه]]+Table1[[#This Row],[فروقات الحد الادني]]</f>
        <v>10000</v>
      </c>
      <c r="AU56" s="629">
        <f>Table1[[#This Row],[الراتب 2018 + النسبه + الفرق]]-Table1[[#This Row],[راتب ديسمبر 2019]]</f>
        <v>5920</v>
      </c>
      <c r="AV56" s="628">
        <f>Table1[[#This Row],[الزياده]]/Table1[[#This Row],[راتب ديسمبر 2019]]%</f>
        <v>145.09803921568627</v>
      </c>
      <c r="AW56" s="659">
        <f>IF(Table1[[#This Row],[Column4]]&lt;0,0,Table1[[#This Row],[Column4]])</f>
        <v>500</v>
      </c>
      <c r="AX56" s="611">
        <f>Table1[[#This Row],[الجبر حتي]]-Table1[[#This Row],[رن]]</f>
        <v>0</v>
      </c>
      <c r="AY56" s="611">
        <f>Table1[[#This Row],[الزياده]]+Table1[[#This Row],[التعديل]]+Table1[[#This Row],[جبر الرقم]]</f>
        <v>6420</v>
      </c>
      <c r="AZ56" s="611">
        <f>Table1[[#This Row],[الراتب 2018 + النسبه + الفرق]]+Table1[[#This Row],[جبر الرقم]]+Table1[[#This Row],[التعديل]]</f>
        <v>10500</v>
      </c>
      <c r="BA56" s="631">
        <f>Table1[[#This Row],[الزياده النهائيه]]/Table1[[#This Row],[راتب ديسمبر 2019]]%</f>
        <v>157.35294117647061</v>
      </c>
      <c r="BB56" s="612">
        <f>VLOOKUP(Table1[[#This Row],[الرقم الوظيفي]],Table6[],8,)</f>
        <v>4080</v>
      </c>
      <c r="BC56" s="7">
        <v>7000</v>
      </c>
      <c r="BD56" s="7">
        <v>7000</v>
      </c>
      <c r="BE56" s="7">
        <v>7000</v>
      </c>
      <c r="BF56" s="5">
        <f>Table1[[#This Row],[الحد الادني]]-Table1[[#This Row],[الراتب 2018+النسبه]]</f>
        <v>5920</v>
      </c>
      <c r="BG56" s="5">
        <f>Table1[[#This Row],[التعديل حتي]]-Table1[[#This Row],[kkk]]</f>
        <v>500</v>
      </c>
      <c r="BH56" s="5">
        <v>6500</v>
      </c>
      <c r="BI56" s="5">
        <f>IF(Table1[[#This Row],[Column4]]&lt;0,0,Table1[[#This Row],[Column4]])</f>
        <v>500</v>
      </c>
    </row>
    <row r="57" spans="1:61" ht="21" customHeight="1">
      <c r="A57" s="602">
        <v>114</v>
      </c>
      <c r="B57" s="618" t="str">
        <f>VLOOKUP(Table1[[#This Row],[الرقم الوظيفي]],[1]Sheet2!$1:$1048576,2,)</f>
        <v>فتحى عبدالوهاب الطيب محمد</v>
      </c>
      <c r="C57" s="618" t="str">
        <f>VLOOKUP(Table1[[#This Row],[الرقم الوظيفي]],[1]Sheet2!$1:$1048576,7,)</f>
        <v>المصنع</v>
      </c>
      <c r="D57" s="618" t="str">
        <f>VLOOKUP(Table1[[#This Row],[الرقم الوظيفي]],[1]Sheet2!$1:$1048576,8,)</f>
        <v>الانتاج</v>
      </c>
      <c r="E57" s="599" t="str">
        <f>VLOOKUP(Table1[[#This Row],[الرقم الوظيفي]],[1]Sheet2!$1:$1048576,9,)</f>
        <v>الصاج والزنك</v>
      </c>
      <c r="F57" s="599" t="str">
        <f>VLOOKUP(Table1[[#This Row],[الرقم الوظيفي]],[1]Sheet2!$1:$1048576,12,)</f>
        <v>مساعد مشغل</v>
      </c>
      <c r="G57" s="599">
        <f>VLOOKUP(Table1[[#This Row],[الرقم الوظيفي]],[1]Sheet2!$1:$1048576,72,)</f>
        <v>0</v>
      </c>
      <c r="H57" s="599">
        <f>VLOOKUP(Table1[[#This Row],[الرقم الوظيفي]],[1]Sheet2!$1:$1048576,71,)</f>
        <v>0</v>
      </c>
      <c r="I57" s="599" t="str">
        <f>VLOOKUP(Table1[[#This Row],[المؤهل الرئيسي]],Table4[],3,)</f>
        <v>H</v>
      </c>
      <c r="J57" s="599" t="s">
        <v>928</v>
      </c>
      <c r="K57" s="615">
        <f>VLOOKUP(Table1[[#This Row],[الرقم الوظيفي]],[1]Sheet2!$1:$1048576,13,)</f>
        <v>40817</v>
      </c>
      <c r="L57" s="615">
        <v>43830</v>
      </c>
      <c r="M57" s="599">
        <f>DATEDIF(Table1[[#This Row],[تاريخ التعيين]],Table1[[#This Row],[اخر العام]],"y")</f>
        <v>8</v>
      </c>
      <c r="N57" s="599">
        <f>DATEDIF(Table1[[#This Row],[تاريخ التعيين]],Table1[[#This Row],[اخر العام]],"ym")</f>
        <v>2</v>
      </c>
      <c r="O57" s="610">
        <f>Table1[[#This Row],[سنوات الخدمه]]*1+Table1[[#This Row],[الشهور اقل من سنه]]*0.08</f>
        <v>8.16</v>
      </c>
      <c r="P57" s="616">
        <v>4260</v>
      </c>
      <c r="Q57" s="617">
        <v>610.03200000000004</v>
      </c>
      <c r="R57" s="612"/>
      <c r="S57" s="599"/>
      <c r="T57" s="612"/>
      <c r="U57" s="612"/>
      <c r="V57" s="612"/>
      <c r="W57" s="612"/>
      <c r="X57" s="612"/>
      <c r="Y57" s="612"/>
      <c r="Z57" s="612"/>
      <c r="AA5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7" s="612"/>
      <c r="AC57" s="599"/>
      <c r="AD57" s="612"/>
      <c r="AE57" s="612"/>
      <c r="AF57" s="612"/>
      <c r="AG57" s="612"/>
      <c r="AH57" s="619">
        <f>SUM(Table1[[#This Row],[التقييد  باللوائح و تنفيذالتوجيه]:[اتباع اجراءات السلامه]])</f>
        <v>0</v>
      </c>
      <c r="AI57" s="619">
        <f>Table1[[#This Row],[المجموع]]+Table1[[#This Row],[المجموع2]]</f>
        <v>0</v>
      </c>
      <c r="AJ57" s="612"/>
      <c r="AK57" s="612"/>
      <c r="AL57" s="612"/>
      <c r="AM57" s="612"/>
      <c r="AN57" s="612"/>
      <c r="AO57" s="606">
        <f>Table1[[#This Row],[المجموع 1+2]]*$AO$2</f>
        <v>0</v>
      </c>
      <c r="AP57" s="648">
        <f>Table1[[#This Row],[راتب ديسمبر 2019]]*Table1[[#This Row],[نسبه التقييم الرئيسي 2018]]%</f>
        <v>0</v>
      </c>
      <c r="AQ57" s="627">
        <f>Table1[[#This Row],[مبلغ التقييم النسبي 2018]]+Table1[[#This Row],[راتب ديسمبر 2019]]</f>
        <v>4260</v>
      </c>
      <c r="AR57" s="611">
        <f>IF(Table1[[#This Row],[Column3]]&lt;0,0,Table1[[#This Row],[Column3]])</f>
        <v>2740</v>
      </c>
      <c r="AS57" s="599">
        <f>VLOOKUP(Table1[[#This Row],[درجه التوسيط]],Table10[],3,)</f>
        <v>7000</v>
      </c>
      <c r="AT57" s="608">
        <f>Table1[[#This Row],[الراتب 2018+النسبه]]+Table1[[#This Row],[فروقات الحد الادني]]</f>
        <v>7000</v>
      </c>
      <c r="AU57" s="629">
        <f>Table1[[#This Row],[الراتب 2018 + النسبه + الفرق]]-Table1[[#This Row],[راتب ديسمبر 2019]]</f>
        <v>2740</v>
      </c>
      <c r="AV57" s="628">
        <f>Table1[[#This Row],[الزياده]]/Table1[[#This Row],[راتب ديسمبر 2019]]%</f>
        <v>64.319248826291073</v>
      </c>
      <c r="AW57" s="659">
        <f>IF(Table1[[#This Row],[Column4]]&lt;0,0,Table1[[#This Row],[Column4]])</f>
        <v>0</v>
      </c>
      <c r="AX57" s="611">
        <f>Table1[[#This Row],[الجبر حتي]]-Table1[[#This Row],[رن]]</f>
        <v>2.9200000000000728</v>
      </c>
      <c r="AY57" s="611">
        <f>Table1[[#This Row],[الزياده]]+Table1[[#This Row],[التعديل]]+Table1[[#This Row],[جبر الرقم]]</f>
        <v>2742.92</v>
      </c>
      <c r="AZ57" s="611">
        <f>Table1[[#This Row],[الراتب 2018 + النسبه + الفرق]]+Table1[[#This Row],[جبر الرقم]]+Table1[[#This Row],[التعديل]]</f>
        <v>7002.92</v>
      </c>
      <c r="BA57" s="631">
        <f>Table1[[#This Row],[الزياده النهائيه]]/Table1[[#This Row],[راتب ديسمبر 2019]]%</f>
        <v>64.387793427230051</v>
      </c>
      <c r="BB57" s="612">
        <f>VLOOKUP(Table1[[#This Row],[الرقم الوظيفي]],Table6[],8,)</f>
        <v>4260</v>
      </c>
      <c r="BC57" s="7"/>
      <c r="BD57" s="7">
        <v>6640</v>
      </c>
      <c r="BE57" s="7">
        <v>6637.08</v>
      </c>
      <c r="BF57" s="5">
        <f>Table1[[#This Row],[الحد الادني]]-Table1[[#This Row],[الراتب 2018+النسبه]]</f>
        <v>2740</v>
      </c>
      <c r="BG57" s="5">
        <f>Table1[[#This Row],[التعديل حتي]]-Table1[[#This Row],[kkk]]</f>
        <v>-6637.08</v>
      </c>
      <c r="BH57" s="5">
        <v>6637.08</v>
      </c>
      <c r="BI57" s="5">
        <f>IF(Table1[[#This Row],[Column4]]&lt;0,0,Table1[[#This Row],[Column4]])</f>
        <v>0</v>
      </c>
    </row>
    <row r="58" spans="1:61" ht="21" customHeight="1">
      <c r="A58" s="602">
        <v>127</v>
      </c>
      <c r="B58" s="618" t="str">
        <f>VLOOKUP(Table1[[#This Row],[الرقم الوظيفي]],[1]Sheet2!$1:$1048576,2,)</f>
        <v>الامين صباح الخير محمد احمد</v>
      </c>
      <c r="C58" s="618" t="str">
        <f>VLOOKUP(Table1[[#This Row],[الرقم الوظيفي]],[1]Sheet2!$1:$1048576,7,)</f>
        <v>المصنع</v>
      </c>
      <c r="D58" s="618" t="str">
        <f>VLOOKUP(Table1[[#This Row],[الرقم الوظيفي]],[1]Sheet2!$1:$1048576,8,)</f>
        <v>الانتاج</v>
      </c>
      <c r="E58" s="599" t="str">
        <f>VLOOKUP(Table1[[#This Row],[الرقم الوظيفي]],[1]Sheet2!$1:$1048576,9,)</f>
        <v>المواسير</v>
      </c>
      <c r="F58" s="599" t="str">
        <f>VLOOKUP(Table1[[#This Row],[الرقم الوظيفي]],[1]Sheet2!$1:$1048576,12,)</f>
        <v>مشغل</v>
      </c>
      <c r="G58" s="599">
        <f>VLOOKUP(Table1[[#This Row],[الرقم الوظيفي]],[1]Sheet2!$1:$1048576,72,)</f>
        <v>0</v>
      </c>
      <c r="H58" s="599">
        <f>VLOOKUP(Table1[[#This Row],[الرقم الوظيفي]],[1]Sheet2!$1:$1048576,71,)</f>
        <v>0</v>
      </c>
      <c r="I58" s="599" t="str">
        <f>VLOOKUP(Table1[[#This Row],[المؤهل الرئيسي]],Table4[],3,)</f>
        <v>H</v>
      </c>
      <c r="J58" s="599" t="s">
        <v>922</v>
      </c>
      <c r="K58" s="615">
        <f>VLOOKUP(Table1[[#This Row],[الرقم الوظيفي]],[1]Sheet2!$1:$1048576,13,)</f>
        <v>40919</v>
      </c>
      <c r="L58" s="615">
        <v>43830</v>
      </c>
      <c r="M58" s="599">
        <f>DATEDIF(Table1[[#This Row],[تاريخ التعيين]],Table1[[#This Row],[اخر العام]],"y")</f>
        <v>7</v>
      </c>
      <c r="N58" s="599">
        <f>DATEDIF(Table1[[#This Row],[تاريخ التعيين]],Table1[[#This Row],[اخر العام]],"ym")</f>
        <v>11</v>
      </c>
      <c r="O58" s="610">
        <f>Table1[[#This Row],[سنوات الخدمه]]*1+Table1[[#This Row],[الشهور اقل من سنه]]*0.08</f>
        <v>7.88</v>
      </c>
      <c r="P58" s="616">
        <v>4790</v>
      </c>
      <c r="Q58" s="617">
        <v>659.10400000000004</v>
      </c>
      <c r="R58" s="612"/>
      <c r="S58" s="599"/>
      <c r="T58" s="612"/>
      <c r="U58" s="612"/>
      <c r="V58" s="612"/>
      <c r="W58" s="612"/>
      <c r="X58" s="612"/>
      <c r="Y58" s="612"/>
      <c r="Z58" s="612"/>
      <c r="AA5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8" s="612"/>
      <c r="AC58" s="599"/>
      <c r="AD58" s="612"/>
      <c r="AE58" s="612"/>
      <c r="AF58" s="612"/>
      <c r="AG58" s="612"/>
      <c r="AH58" s="619">
        <f>SUM(Table1[[#This Row],[التقييد  باللوائح و تنفيذالتوجيه]:[اتباع اجراءات السلامه]])</f>
        <v>0</v>
      </c>
      <c r="AI58" s="619">
        <f>Table1[[#This Row],[المجموع]]+Table1[[#This Row],[المجموع2]]</f>
        <v>0</v>
      </c>
      <c r="AJ58" s="612"/>
      <c r="AK58" s="612"/>
      <c r="AL58" s="612"/>
      <c r="AM58" s="612"/>
      <c r="AN58" s="612"/>
      <c r="AO58" s="606">
        <f>Table1[[#This Row],[المجموع 1+2]]*$AO$2</f>
        <v>0</v>
      </c>
      <c r="AP58" s="648">
        <f>Table1[[#This Row],[راتب ديسمبر 2019]]*Table1[[#This Row],[نسبه التقييم الرئيسي 2018]]%</f>
        <v>0</v>
      </c>
      <c r="AQ58" s="627">
        <f>Table1[[#This Row],[مبلغ التقييم النسبي 2018]]+Table1[[#This Row],[راتب ديسمبر 2019]]</f>
        <v>4790</v>
      </c>
      <c r="AR58" s="611">
        <f>IF(Table1[[#This Row],[Column3]]&lt;0,0,Table1[[#This Row],[Column3]])</f>
        <v>6210</v>
      </c>
      <c r="AS58" s="599">
        <f>VLOOKUP(Table1[[#This Row],[درجه التوسيط]],Table10[],3,)</f>
        <v>11000</v>
      </c>
      <c r="AT58" s="608">
        <f>Table1[[#This Row],[الراتب 2018+النسبه]]+Table1[[#This Row],[فروقات الحد الادني]]</f>
        <v>11000</v>
      </c>
      <c r="AU58" s="629">
        <f>Table1[[#This Row],[الراتب 2018 + النسبه + الفرق]]-Table1[[#This Row],[راتب ديسمبر 2019]]</f>
        <v>6210</v>
      </c>
      <c r="AV58" s="628">
        <f>Table1[[#This Row],[الزياده]]/Table1[[#This Row],[راتب ديسمبر 2019]]%</f>
        <v>129.64509394572025</v>
      </c>
      <c r="AW58" s="659">
        <f>IF(Table1[[#This Row],[Column4]]&lt;0,0,Table1[[#This Row],[Column4]])</f>
        <v>0</v>
      </c>
      <c r="AX58" s="611">
        <f>Table1[[#This Row],[الجبر حتي]]-Table1[[#This Row],[رن]]</f>
        <v>0.96000000000003638</v>
      </c>
      <c r="AY58" s="611">
        <f>Table1[[#This Row],[الزياده]]+Table1[[#This Row],[التعديل]]+Table1[[#This Row],[جبر الرقم]]</f>
        <v>6210.96</v>
      </c>
      <c r="AZ58" s="611">
        <f>Table1[[#This Row],[الراتب 2018 + النسبه + الفرق]]+Table1[[#This Row],[جبر الرقم]]+Table1[[#This Row],[التعديل]]</f>
        <v>11000.96</v>
      </c>
      <c r="BA58" s="631">
        <f>Table1[[#This Row],[الزياده النهائيه]]/Table1[[#This Row],[راتب ديسمبر 2019]]%</f>
        <v>129.66513569937371</v>
      </c>
      <c r="BB58" s="612">
        <f>VLOOKUP(Table1[[#This Row],[الرقم الوظيفي]],Table6[],8,)</f>
        <v>4790</v>
      </c>
      <c r="BC58" s="7"/>
      <c r="BD58" s="7">
        <v>7550</v>
      </c>
      <c r="BE58" s="7">
        <v>7549.04</v>
      </c>
      <c r="BF58" s="5">
        <f>Table1[[#This Row],[الحد الادني]]-Table1[[#This Row],[الراتب 2018+النسبه]]</f>
        <v>6210</v>
      </c>
      <c r="BG58" s="5">
        <f>Table1[[#This Row],[التعديل حتي]]-Table1[[#This Row],[kkk]]</f>
        <v>-7549.04</v>
      </c>
      <c r="BH58" s="5">
        <v>7549.04</v>
      </c>
      <c r="BI58" s="5">
        <f>IF(Table1[[#This Row],[Column4]]&lt;0,0,Table1[[#This Row],[Column4]])</f>
        <v>0</v>
      </c>
    </row>
    <row r="59" spans="1:61" ht="21" customHeight="1">
      <c r="A59" s="602">
        <v>128</v>
      </c>
      <c r="B59" s="618" t="str">
        <f>VLOOKUP(Table1[[#This Row],[الرقم الوظيفي]],[1]Sheet2!$1:$1048576,2,)</f>
        <v>عثمان سليمان محمد احمد</v>
      </c>
      <c r="C59" s="618" t="str">
        <f>VLOOKUP(Table1[[#This Row],[الرقم الوظيفي]],[1]Sheet2!$1:$1048576,7,)</f>
        <v>المصنع</v>
      </c>
      <c r="D59" s="618" t="str">
        <f>VLOOKUP(Table1[[#This Row],[الرقم الوظيفي]],[1]Sheet2!$1:$1048576,8,)</f>
        <v>الانتاج</v>
      </c>
      <c r="E59" s="599" t="str">
        <f>VLOOKUP(Table1[[#This Row],[الرقم الوظيفي]],[1]Sheet2!$1:$1048576,9,)</f>
        <v>الصاج والزنك</v>
      </c>
      <c r="F59" s="599" t="str">
        <f>VLOOKUP(Table1[[#This Row],[الرقم الوظيفي]],[1]Sheet2!$1:$1048576,12,)</f>
        <v>مشغل</v>
      </c>
      <c r="G59" s="599" t="str">
        <f>VLOOKUP(Table1[[#This Row],[الرقم الوظيفي]],[1]Sheet2!$1:$1048576,72,)</f>
        <v>تدريب مهني</v>
      </c>
      <c r="H59" s="599">
        <f>VLOOKUP(Table1[[#This Row],[الرقم الوظيفي]],[1]Sheet2!$1:$1048576,71,)</f>
        <v>0</v>
      </c>
      <c r="I59" s="599" t="str">
        <f>VLOOKUP(Table1[[#This Row],[المؤهل الرئيسي]],Table4[],3,)</f>
        <v>F</v>
      </c>
      <c r="J59" s="599" t="s">
        <v>924</v>
      </c>
      <c r="K59" s="615">
        <f>VLOOKUP(Table1[[#This Row],[الرقم الوظيفي]],[1]Sheet2!$1:$1048576,13,)</f>
        <v>40919</v>
      </c>
      <c r="L59" s="615">
        <v>43830</v>
      </c>
      <c r="M59" s="599">
        <f>DATEDIF(Table1[[#This Row],[تاريخ التعيين]],Table1[[#This Row],[اخر العام]],"y")</f>
        <v>7</v>
      </c>
      <c r="N59" s="599">
        <f>DATEDIF(Table1[[#This Row],[تاريخ التعيين]],Table1[[#This Row],[اخر العام]],"ym")</f>
        <v>11</v>
      </c>
      <c r="O59" s="610">
        <f>Table1[[#This Row],[سنوات الخدمه]]*1+Table1[[#This Row],[الشهور اقل من سنه]]*0.08</f>
        <v>7.88</v>
      </c>
      <c r="P59" s="616">
        <v>4250</v>
      </c>
      <c r="Q59" s="617">
        <v>584.79999999999995</v>
      </c>
      <c r="R59" s="612"/>
      <c r="S59" s="599"/>
      <c r="T59" s="612"/>
      <c r="U59" s="612"/>
      <c r="V59" s="612"/>
      <c r="W59" s="612"/>
      <c r="X59" s="612"/>
      <c r="Y59" s="612"/>
      <c r="Z59" s="612"/>
      <c r="AA5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59" s="612"/>
      <c r="AC59" s="599"/>
      <c r="AD59" s="612"/>
      <c r="AE59" s="612"/>
      <c r="AF59" s="612"/>
      <c r="AG59" s="612"/>
      <c r="AH59" s="619">
        <f>SUM(Table1[[#This Row],[التقييد  باللوائح و تنفيذالتوجيه]:[اتباع اجراءات السلامه]])</f>
        <v>0</v>
      </c>
      <c r="AI59" s="619">
        <f>Table1[[#This Row],[المجموع]]+Table1[[#This Row],[المجموع2]]</f>
        <v>0</v>
      </c>
      <c r="AJ59" s="612"/>
      <c r="AK59" s="612"/>
      <c r="AL59" s="612"/>
      <c r="AM59" s="612"/>
      <c r="AN59" s="612"/>
      <c r="AO59" s="606">
        <f>Table1[[#This Row],[المجموع 1+2]]*$AO$2</f>
        <v>0</v>
      </c>
      <c r="AP59" s="648">
        <f>Table1[[#This Row],[راتب ديسمبر 2019]]*Table1[[#This Row],[نسبه التقييم الرئيسي 2018]]%</f>
        <v>0</v>
      </c>
      <c r="AQ59" s="627">
        <f>Table1[[#This Row],[مبلغ التقييم النسبي 2018]]+Table1[[#This Row],[راتب ديسمبر 2019]]</f>
        <v>4250</v>
      </c>
      <c r="AR59" s="611">
        <f>IF(Table1[[#This Row],[Column3]]&lt;0,0,Table1[[#This Row],[Column3]])</f>
        <v>4750</v>
      </c>
      <c r="AS59" s="599">
        <f>VLOOKUP(Table1[[#This Row],[درجه التوسيط]],Table10[],3,)</f>
        <v>9000</v>
      </c>
      <c r="AT59" s="608">
        <f>Table1[[#This Row],[الراتب 2018+النسبه]]+Table1[[#This Row],[فروقات الحد الادني]]</f>
        <v>9000</v>
      </c>
      <c r="AU59" s="629">
        <f>Table1[[#This Row],[الراتب 2018 + النسبه + الفرق]]-Table1[[#This Row],[راتب ديسمبر 2019]]</f>
        <v>4750</v>
      </c>
      <c r="AV59" s="628">
        <f>Table1[[#This Row],[الزياده]]/Table1[[#This Row],[راتب ديسمبر 2019]]%</f>
        <v>111.76470588235294</v>
      </c>
      <c r="AW59" s="659">
        <f>IF(Table1[[#This Row],[Column4]]&lt;0,0,Table1[[#This Row],[Column4]])</f>
        <v>0</v>
      </c>
      <c r="AX59" s="611">
        <f>Table1[[#This Row],[الجبر حتي]]-Table1[[#This Row],[رن]]</f>
        <v>8.5</v>
      </c>
      <c r="AY59" s="611">
        <f>Table1[[#This Row],[الزياده]]+Table1[[#This Row],[التعديل]]+Table1[[#This Row],[جبر الرقم]]</f>
        <v>4758.5</v>
      </c>
      <c r="AZ59" s="611">
        <f>Table1[[#This Row],[الراتب 2018 + النسبه + الفرق]]+Table1[[#This Row],[جبر الرقم]]+Table1[[#This Row],[التعديل]]</f>
        <v>9008.5</v>
      </c>
      <c r="BA59" s="631">
        <f>Table1[[#This Row],[الزياده النهائيه]]/Table1[[#This Row],[راتب ديسمبر 2019]]%</f>
        <v>111.96470588235294</v>
      </c>
      <c r="BB59" s="612">
        <f>VLOOKUP(Table1[[#This Row],[الرقم الوظيفي]],Table6[],8,)</f>
        <v>4250</v>
      </c>
      <c r="BC59" s="7"/>
      <c r="BD59" s="7">
        <v>6630</v>
      </c>
      <c r="BE59" s="7">
        <v>6621.5</v>
      </c>
      <c r="BF59" s="5">
        <f>Table1[[#This Row],[الحد الادني]]-Table1[[#This Row],[الراتب 2018+النسبه]]</f>
        <v>4750</v>
      </c>
      <c r="BG59" s="5">
        <f>Table1[[#This Row],[التعديل حتي]]-Table1[[#This Row],[kkk]]</f>
        <v>-6621.5</v>
      </c>
      <c r="BH59" s="5">
        <v>6621.5</v>
      </c>
      <c r="BI59" s="5">
        <f>IF(Table1[[#This Row],[Column4]]&lt;0,0,Table1[[#This Row],[Column4]])</f>
        <v>0</v>
      </c>
    </row>
    <row r="60" spans="1:61" ht="21" customHeight="1">
      <c r="A60" s="602">
        <v>130</v>
      </c>
      <c r="B60" s="618" t="str">
        <f>VLOOKUP(Table1[[#This Row],[الرقم الوظيفي]],[1]Sheet2!$1:$1048576,2,)</f>
        <v>الامين الحاج محمد الطيب</v>
      </c>
      <c r="C60" s="618" t="str">
        <f>VLOOKUP(Table1[[#This Row],[الرقم الوظيفي]],[1]Sheet2!$1:$1048576,7,)</f>
        <v>المصنع</v>
      </c>
      <c r="D60" s="618" t="str">
        <f>VLOOKUP(Table1[[#This Row],[الرقم الوظيفي]],[1]Sheet2!$1:$1048576,8,)</f>
        <v>المستودعات</v>
      </c>
      <c r="E60" s="599">
        <f>VLOOKUP(Table1[[#This Row],[الرقم الوظيفي]],[1]Sheet2!$1:$1048576,9,)</f>
        <v>0</v>
      </c>
      <c r="F60" s="599" t="str">
        <f>VLOOKUP(Table1[[#This Row],[الرقم الوظيفي]],[1]Sheet2!$1:$1048576,12,)</f>
        <v>امين مستودع ق غ</v>
      </c>
      <c r="G60" s="599" t="str">
        <f>VLOOKUP(Table1[[#This Row],[الرقم الوظيفي]],[1]Sheet2!$1:$1048576,72,)</f>
        <v>بكلاريوس الشرف</v>
      </c>
      <c r="H60" s="599" t="str">
        <f>VLOOKUP(Table1[[#This Row],[الرقم الوظيفي]],[1]Sheet2!$1:$1048576,71,)</f>
        <v>هندسة تصنيع غذائى</v>
      </c>
      <c r="I60" s="599" t="str">
        <f>VLOOKUP(Table1[[#This Row],[المؤهل الرئيسي]],Table4[],3,)</f>
        <v>C</v>
      </c>
      <c r="J60" s="599" t="s">
        <v>924</v>
      </c>
      <c r="K60" s="615">
        <f>VLOOKUP(Table1[[#This Row],[الرقم الوظيفي]],[1]Sheet2!$1:$1048576,13,)</f>
        <v>43041</v>
      </c>
      <c r="L60" s="615">
        <v>43830</v>
      </c>
      <c r="M60" s="599">
        <f>DATEDIF(Table1[[#This Row],[تاريخ التعيين]],Table1[[#This Row],[اخر العام]],"y")</f>
        <v>2</v>
      </c>
      <c r="N60" s="599">
        <f>DATEDIF(Table1[[#This Row],[تاريخ التعيين]],Table1[[#This Row],[اخر العام]],"ym")</f>
        <v>1</v>
      </c>
      <c r="O60" s="610">
        <f>Table1[[#This Row],[سنوات الخدمه]]*1+Table1[[#This Row],[الشهور اقل من سنه]]*0.08</f>
        <v>2.08</v>
      </c>
      <c r="P60" s="616">
        <v>3500</v>
      </c>
      <c r="Q60" s="617">
        <v>75.599999999999994</v>
      </c>
      <c r="R60" s="612"/>
      <c r="S60" s="599"/>
      <c r="T60" s="612"/>
      <c r="U60" s="612"/>
      <c r="V60" s="612"/>
      <c r="W60" s="612"/>
      <c r="X60" s="612"/>
      <c r="Y60" s="612"/>
      <c r="Z60" s="612"/>
      <c r="AA6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0" s="612"/>
      <c r="AC60" s="599"/>
      <c r="AD60" s="612"/>
      <c r="AE60" s="612"/>
      <c r="AF60" s="612"/>
      <c r="AG60" s="612"/>
      <c r="AH60" s="619">
        <f>SUM(Table1[[#This Row],[التقييد  باللوائح و تنفيذالتوجيه]:[اتباع اجراءات السلامه]])</f>
        <v>0</v>
      </c>
      <c r="AI60" s="619">
        <f>Table1[[#This Row],[المجموع]]+Table1[[#This Row],[المجموع2]]</f>
        <v>0</v>
      </c>
      <c r="AJ60" s="612"/>
      <c r="AK60" s="612"/>
      <c r="AL60" s="612"/>
      <c r="AM60" s="612"/>
      <c r="AN60" s="612"/>
      <c r="AO60" s="606">
        <f>Table1[[#This Row],[المجموع 1+2]]*$AO$2</f>
        <v>0</v>
      </c>
      <c r="AP60" s="648">
        <f>Table1[[#This Row],[راتب ديسمبر 2019]]*Table1[[#This Row],[نسبه التقييم الرئيسي 2018]]%</f>
        <v>0</v>
      </c>
      <c r="AQ60" s="627">
        <f>Table1[[#This Row],[مبلغ التقييم النسبي 2018]]+Table1[[#This Row],[راتب ديسمبر 2019]]</f>
        <v>3500</v>
      </c>
      <c r="AR60" s="611">
        <f>IF(Table1[[#This Row],[Column3]]&lt;0,0,Table1[[#This Row],[Column3]])</f>
        <v>5500</v>
      </c>
      <c r="AS60" s="599">
        <f>VLOOKUP(Table1[[#This Row],[درجه التوسيط]],Table10[],3,)</f>
        <v>9000</v>
      </c>
      <c r="AT60" s="608">
        <f>Table1[[#This Row],[الراتب 2018+النسبه]]+Table1[[#This Row],[فروقات الحد الادني]]</f>
        <v>9000</v>
      </c>
      <c r="AU60" s="629">
        <f>Table1[[#This Row],[الراتب 2018 + النسبه + الفرق]]-Table1[[#This Row],[راتب ديسمبر 2019]]</f>
        <v>5500</v>
      </c>
      <c r="AV60" s="628">
        <f>Table1[[#This Row],[الزياده]]/Table1[[#This Row],[راتب ديسمبر 2019]]%</f>
        <v>157.14285714285714</v>
      </c>
      <c r="AW60" s="659">
        <f>IF(Table1[[#This Row],[Column4]]&lt;0,0,Table1[[#This Row],[Column4]])</f>
        <v>0</v>
      </c>
      <c r="AX60" s="611">
        <f>Table1[[#This Row],[الجبر حتي]]-Table1[[#This Row],[رن]]</f>
        <v>0</v>
      </c>
      <c r="AY60" s="611">
        <f>Table1[[#This Row],[الزياده]]+Table1[[#This Row],[التعديل]]+Table1[[#This Row],[جبر الرقم]]</f>
        <v>5500</v>
      </c>
      <c r="AZ60" s="611">
        <f>Table1[[#This Row],[الراتب 2018 + النسبه + الفرق]]+Table1[[#This Row],[جبر الرقم]]+Table1[[#This Row],[التعديل]]</f>
        <v>9000</v>
      </c>
      <c r="BA60" s="631">
        <f>Table1[[#This Row],[الزياده النهائيه]]/Table1[[#This Row],[راتب ديسمبر 2019]]%</f>
        <v>157.14285714285714</v>
      </c>
      <c r="BB60" s="612">
        <f>VLOOKUP(Table1[[#This Row],[الرقم الوظيفي]],Table6[],8,)</f>
        <v>3500</v>
      </c>
      <c r="BC60" s="7"/>
      <c r="BD60" s="7">
        <v>6000</v>
      </c>
      <c r="BE60" s="7">
        <v>6000</v>
      </c>
      <c r="BF60" s="5">
        <f>Table1[[#This Row],[الحد الادني]]-Table1[[#This Row],[الراتب 2018+النسبه]]</f>
        <v>5500</v>
      </c>
      <c r="BG60" s="5">
        <f>Table1[[#This Row],[التعديل حتي]]-Table1[[#This Row],[kkk]]</f>
        <v>-6000</v>
      </c>
      <c r="BH60" s="5">
        <v>6000</v>
      </c>
      <c r="BI60" s="5">
        <f>IF(Table1[[#This Row],[Column4]]&lt;0,0,Table1[[#This Row],[Column4]])</f>
        <v>0</v>
      </c>
    </row>
    <row r="61" spans="1:61" ht="21" customHeight="1">
      <c r="A61" s="602">
        <v>138</v>
      </c>
      <c r="B61" s="618" t="str">
        <f>VLOOKUP(Table1[[#This Row],[الرقم الوظيفي]],[1]Sheet2!$1:$1048576,2,)</f>
        <v>المبارك محمد ابراهيم عبدالله</v>
      </c>
      <c r="C61" s="618" t="str">
        <f>VLOOKUP(Table1[[#This Row],[الرقم الوظيفي]],[1]Sheet2!$1:$1048576,7,)</f>
        <v>المصنع</v>
      </c>
      <c r="D61" s="618" t="str">
        <f>VLOOKUP(Table1[[#This Row],[الرقم الوظيفي]],[1]Sheet2!$1:$1048576,8,)</f>
        <v>الجوده</v>
      </c>
      <c r="E61" s="599">
        <f>VLOOKUP(Table1[[#This Row],[الرقم الوظيفي]],[1]Sheet2!$1:$1048576,9,)</f>
        <v>0</v>
      </c>
      <c r="F61" s="599" t="str">
        <f>VLOOKUP(Table1[[#This Row],[الرقم الوظيفي]],[1]Sheet2!$1:$1048576,12,)</f>
        <v>مسئول قسم الجوده</v>
      </c>
      <c r="G61" s="599" t="str">
        <f>VLOOKUP(Table1[[#This Row],[الرقم الوظيفي]],[1]Sheet2!$1:$1048576,72,)</f>
        <v>شهاده ثانويه</v>
      </c>
      <c r="H61" s="599">
        <f>VLOOKUP(Table1[[#This Row],[الرقم الوظيفي]],[1]Sheet2!$1:$1048576,71,)</f>
        <v>0</v>
      </c>
      <c r="I61" s="599" t="str">
        <f>VLOOKUP(Table1[[#This Row],[المؤهل الرئيسي]],Table4[],3,)</f>
        <v>F</v>
      </c>
      <c r="J61" s="599" t="s">
        <v>494</v>
      </c>
      <c r="K61" s="615">
        <f>VLOOKUP(Table1[[#This Row],[الرقم الوظيفي]],[1]Sheet2!$1:$1048576,13,)</f>
        <v>40925</v>
      </c>
      <c r="L61" s="615">
        <v>43830</v>
      </c>
      <c r="M61" s="599">
        <f>DATEDIF(Table1[[#This Row],[تاريخ التعيين]],Table1[[#This Row],[اخر العام]],"y")</f>
        <v>7</v>
      </c>
      <c r="N61" s="599">
        <f>DATEDIF(Table1[[#This Row],[تاريخ التعيين]],Table1[[#This Row],[اخر العام]],"ym")</f>
        <v>11</v>
      </c>
      <c r="O61" s="610">
        <f>Table1[[#This Row],[سنوات الخدمه]]*1+Table1[[#This Row],[الشهور اقل من سنه]]*0.08</f>
        <v>7.88</v>
      </c>
      <c r="P61" s="616">
        <v>5300</v>
      </c>
      <c r="Q61" s="617">
        <v>729.28</v>
      </c>
      <c r="R61" s="612"/>
      <c r="S61" s="599"/>
      <c r="T61" s="612"/>
      <c r="U61" s="612"/>
      <c r="V61" s="612"/>
      <c r="W61" s="612"/>
      <c r="X61" s="612"/>
      <c r="Y61" s="612"/>
      <c r="Z61" s="612"/>
      <c r="AA6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1" s="612"/>
      <c r="AC61" s="599"/>
      <c r="AD61" s="612"/>
      <c r="AE61" s="612"/>
      <c r="AF61" s="612"/>
      <c r="AG61" s="612"/>
      <c r="AH61" s="619">
        <f>SUM(Table1[[#This Row],[التقييد  باللوائح و تنفيذالتوجيه]:[اتباع اجراءات السلامه]])</f>
        <v>0</v>
      </c>
      <c r="AI61" s="619">
        <f>Table1[[#This Row],[المجموع]]+Table1[[#This Row],[المجموع2]]</f>
        <v>0</v>
      </c>
      <c r="AJ61" s="612"/>
      <c r="AK61" s="612"/>
      <c r="AL61" s="612"/>
      <c r="AM61" s="612"/>
      <c r="AN61" s="612"/>
      <c r="AO61" s="606">
        <f>Table1[[#This Row],[المجموع 1+2]]*$AO$2</f>
        <v>0</v>
      </c>
      <c r="AP61" s="648">
        <f>Table1[[#This Row],[راتب ديسمبر 2019]]*Table1[[#This Row],[نسبه التقييم الرئيسي 2018]]%</f>
        <v>0</v>
      </c>
      <c r="AQ61" s="627">
        <f>Table1[[#This Row],[مبلغ التقييم النسبي 2018]]+Table1[[#This Row],[راتب ديسمبر 2019]]</f>
        <v>5300</v>
      </c>
      <c r="AR61" s="611">
        <f>IF(Table1[[#This Row],[Column3]]&lt;0,0,Table1[[#This Row],[Column3]])</f>
        <v>9700</v>
      </c>
      <c r="AS61" s="599">
        <f>VLOOKUP(Table1[[#This Row],[درجه التوسيط]],Table10[],3,)</f>
        <v>15000</v>
      </c>
      <c r="AT61" s="608">
        <f>Table1[[#This Row],[الراتب 2018+النسبه]]+Table1[[#This Row],[فروقات الحد الادني]]</f>
        <v>15000</v>
      </c>
      <c r="AU61" s="629">
        <f>Table1[[#This Row],[الراتب 2018 + النسبه + الفرق]]-Table1[[#This Row],[راتب ديسمبر 2019]]</f>
        <v>9700</v>
      </c>
      <c r="AV61" s="628">
        <f>Table1[[#This Row],[الزياده]]/Table1[[#This Row],[راتب ديسمبر 2019]]%</f>
        <v>183.01886792452831</v>
      </c>
      <c r="AW61" s="659">
        <f>IF(Table1[[#This Row],[Column4]]&lt;0,0,Table1[[#This Row],[Column4]])</f>
        <v>0</v>
      </c>
      <c r="AX61" s="611">
        <f>Table1[[#This Row],[الجبر حتي]]-Table1[[#This Row],[رن]]</f>
        <v>0</v>
      </c>
      <c r="AY61" s="611">
        <f>Table1[[#This Row],[الزياده]]+Table1[[#This Row],[التعديل]]+Table1[[#This Row],[جبر الرقم]]</f>
        <v>9700</v>
      </c>
      <c r="AZ61" s="611">
        <f>Table1[[#This Row],[الراتب 2018 + النسبه + الفرق]]+Table1[[#This Row],[جبر الرقم]]+Table1[[#This Row],[التعديل]]</f>
        <v>15000</v>
      </c>
      <c r="BA61" s="631">
        <f>Table1[[#This Row],[الزياده النهائيه]]/Table1[[#This Row],[راتب ديسمبر 2019]]%</f>
        <v>183.01886792452831</v>
      </c>
      <c r="BB61" s="612">
        <f>VLOOKUP(Table1[[#This Row],[الرقم الوظيفي]],Table6[],8,)</f>
        <v>5300</v>
      </c>
      <c r="BC61" s="7"/>
      <c r="BD61" s="7">
        <v>10000</v>
      </c>
      <c r="BE61" s="7">
        <v>10000</v>
      </c>
      <c r="BF61" s="5">
        <f>Table1[[#This Row],[الحد الادني]]-Table1[[#This Row],[الراتب 2018+النسبه]]</f>
        <v>9700</v>
      </c>
      <c r="BG61" s="5">
        <f>Table1[[#This Row],[التعديل حتي]]-Table1[[#This Row],[kkk]]</f>
        <v>-10000</v>
      </c>
      <c r="BH61" s="5">
        <v>10000</v>
      </c>
      <c r="BI61" s="5">
        <f>IF(Table1[[#This Row],[Column4]]&lt;0,0,Table1[[#This Row],[Column4]])</f>
        <v>0</v>
      </c>
    </row>
    <row r="62" spans="1:61" ht="21" customHeight="1">
      <c r="A62" s="602">
        <v>140</v>
      </c>
      <c r="B62" s="599" t="str">
        <f>VLOOKUP(Table1[[#This Row],[الرقم الوظيفي]],[1]Sheet2!$1:$1048576,2,)</f>
        <v>ادم عبدالشافع امام محمد</v>
      </c>
      <c r="C62" s="599" t="str">
        <f>VLOOKUP(Table1[[#This Row],[الرقم الوظيفي]],[1]Sheet2!$1:$1048576,7,)</f>
        <v>المصنع</v>
      </c>
      <c r="D62" s="599" t="str">
        <f>VLOOKUP(Table1[[#This Row],[الرقم الوظيفي]],[1]Sheet2!$1:$1048576,8,)</f>
        <v>الانتاج</v>
      </c>
      <c r="E62" s="599" t="str">
        <f>VLOOKUP(Table1[[#This Row],[الرقم الوظيفي]],[1]Sheet2!$1:$1048576,9,)</f>
        <v>المواسير</v>
      </c>
      <c r="F62" s="599" t="str">
        <f>VLOOKUP(Table1[[#This Row],[الرقم الوظيفي]],[1]Sheet2!$1:$1048576,12,)</f>
        <v>مشغل</v>
      </c>
      <c r="G62" s="599">
        <f>VLOOKUP(Table1[[#This Row],[الرقم الوظيفي]],[1]Sheet2!$1:$1048576,72,)</f>
        <v>0</v>
      </c>
      <c r="H62" s="599">
        <f>VLOOKUP(Table1[[#This Row],[الرقم الوظيفي]],[1]Sheet2!$1:$1048576,71,)</f>
        <v>0</v>
      </c>
      <c r="I62" s="599" t="str">
        <f>VLOOKUP(Table1[[#This Row],[المؤهل الرئيسي]],Table4[],3,)</f>
        <v>H</v>
      </c>
      <c r="J62" s="599" t="s">
        <v>924</v>
      </c>
      <c r="K62" s="615">
        <f>VLOOKUP(Table1[[#This Row],[الرقم الوظيفي]],[1]Sheet2!$1:$1048576,13,)</f>
        <v>40926</v>
      </c>
      <c r="L62" s="615">
        <v>43830</v>
      </c>
      <c r="M62" s="599">
        <f>DATEDIF(Table1[[#This Row],[تاريخ التعيين]],Table1[[#This Row],[اخر العام]],"y")</f>
        <v>7</v>
      </c>
      <c r="N62" s="599">
        <f>DATEDIF(Table1[[#This Row],[تاريخ التعيين]],Table1[[#This Row],[اخر العام]],"ym")</f>
        <v>11</v>
      </c>
      <c r="O62" s="610">
        <f>Table1[[#This Row],[سنوات الخدمه]]*1+Table1[[#This Row],[الشهور اقل من سنه]]*0.08</f>
        <v>7.88</v>
      </c>
      <c r="P62" s="616">
        <v>4260</v>
      </c>
      <c r="Q62" s="617">
        <v>586.17600000000004</v>
      </c>
      <c r="R62" s="612"/>
      <c r="S62" s="599"/>
      <c r="T62" s="612"/>
      <c r="U62" s="612"/>
      <c r="V62" s="612"/>
      <c r="W62" s="612"/>
      <c r="X62" s="612"/>
      <c r="Y62" s="612"/>
      <c r="Z62" s="612"/>
      <c r="AA6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2" s="612"/>
      <c r="AC62" s="599"/>
      <c r="AD62" s="612"/>
      <c r="AE62" s="612"/>
      <c r="AF62" s="612"/>
      <c r="AG62" s="612"/>
      <c r="AH62" s="619">
        <f>SUM(Table1[[#This Row],[التقييد  باللوائح و تنفيذالتوجيه]:[اتباع اجراءات السلامه]])</f>
        <v>0</v>
      </c>
      <c r="AI62" s="619">
        <f>Table1[[#This Row],[المجموع]]+Table1[[#This Row],[المجموع2]]</f>
        <v>0</v>
      </c>
      <c r="AJ62" s="612"/>
      <c r="AK62" s="612"/>
      <c r="AL62" s="612"/>
      <c r="AM62" s="612"/>
      <c r="AN62" s="612"/>
      <c r="AO62" s="606">
        <f>Table1[[#This Row],[المجموع 1+2]]*$AO$2</f>
        <v>0</v>
      </c>
      <c r="AP62" s="648">
        <f>Table1[[#This Row],[راتب ديسمبر 2019]]*Table1[[#This Row],[نسبه التقييم الرئيسي 2018]]%</f>
        <v>0</v>
      </c>
      <c r="AQ62" s="627">
        <f>Table1[[#This Row],[مبلغ التقييم النسبي 2018]]+Table1[[#This Row],[راتب ديسمبر 2019]]</f>
        <v>4260</v>
      </c>
      <c r="AR62" s="10">
        <f>IF(Table1[[#This Row],[Column3]]&lt;0,0,Table1[[#This Row],[Column3]])</f>
        <v>4740</v>
      </c>
      <c r="AS62" s="599">
        <f>VLOOKUP(Table1[[#This Row],[درجه التوسيط]],Table10[],3,)</f>
        <v>9000</v>
      </c>
      <c r="AT62" s="608">
        <f>Table1[[#This Row],[الراتب 2018+النسبه]]+Table1[[#This Row],[فروقات الحد الادني]]</f>
        <v>9000</v>
      </c>
      <c r="AU62" s="629">
        <f>Table1[[#This Row],[الراتب 2018 + النسبه + الفرق]]-Table1[[#This Row],[راتب ديسمبر 2019]]</f>
        <v>4740</v>
      </c>
      <c r="AV62" s="628">
        <f>Table1[[#This Row],[الزياده]]/Table1[[#This Row],[راتب ديسمبر 2019]]%</f>
        <v>111.26760563380282</v>
      </c>
      <c r="AW62" s="659">
        <f>IF(Table1[[#This Row],[Column4]]&lt;0,0,Table1[[#This Row],[Column4]])</f>
        <v>541.84000000000015</v>
      </c>
      <c r="AX62" s="611">
        <f>Table1[[#This Row],[الجبر حتي]]-Table1[[#This Row],[رن]]</f>
        <v>0</v>
      </c>
      <c r="AY62" s="611">
        <f>Table1[[#This Row],[الزياده]]+Table1[[#This Row],[التعديل]]+Table1[[#This Row],[جبر الرقم]]</f>
        <v>5281.84</v>
      </c>
      <c r="AZ62" s="611">
        <f>Table1[[#This Row],[الراتب 2018 + النسبه + الفرق]]+Table1[[#This Row],[جبر الرقم]]+Table1[[#This Row],[التعديل]]</f>
        <v>9541.84</v>
      </c>
      <c r="BA62" s="631">
        <f>Table1[[#This Row],[الزياده النهائيه]]/Table1[[#This Row],[راتب ديسمبر 2019]]%</f>
        <v>123.98685446009389</v>
      </c>
      <c r="BB62" s="612">
        <f>VLOOKUP(Table1[[#This Row],[الرقم الوظيفي]],Table6[],8,)</f>
        <v>4260</v>
      </c>
      <c r="BC62" s="7">
        <v>7000</v>
      </c>
      <c r="BD62" s="7">
        <v>7000</v>
      </c>
      <c r="BE62" s="7">
        <v>7000</v>
      </c>
      <c r="BF62" s="5">
        <f>Table1[[#This Row],[الحد الادني]]-Table1[[#This Row],[الراتب 2018+النسبه]]</f>
        <v>4740</v>
      </c>
      <c r="BG62" s="5">
        <f>Table1[[#This Row],[التعديل حتي]]-Table1[[#This Row],[kkk]]</f>
        <v>541.84000000000015</v>
      </c>
      <c r="BH62" s="5">
        <v>6458.16</v>
      </c>
      <c r="BI62" s="5">
        <f>IF(Table1[[#This Row],[Column4]]&lt;0,0,Table1[[#This Row],[Column4]])</f>
        <v>541.84000000000015</v>
      </c>
    </row>
    <row r="63" spans="1:61" ht="21" customHeight="1">
      <c r="A63" s="602">
        <v>141</v>
      </c>
      <c r="B63" s="618" t="str">
        <f>VLOOKUP(Table1[[#This Row],[الرقم الوظيفي]],[1]Sheet2!$1:$1048576,2,)</f>
        <v>مزمل عبدالله مزمل عبدالله</v>
      </c>
      <c r="C63" s="618" t="str">
        <f>VLOOKUP(Table1[[#This Row],[الرقم الوظيفي]],[1]Sheet2!$1:$1048576,7,)</f>
        <v>المصنع</v>
      </c>
      <c r="D63" s="618" t="str">
        <f>VLOOKUP(Table1[[#This Row],[الرقم الوظيفي]],[1]Sheet2!$1:$1048576,8,)</f>
        <v>الرقابه الداخليه</v>
      </c>
      <c r="E63" s="599">
        <f>VLOOKUP(Table1[[#This Row],[الرقم الوظيفي]],[1]Sheet2!$1:$1048576,9,)</f>
        <v>0</v>
      </c>
      <c r="F63" s="599" t="str">
        <f>VLOOKUP(Table1[[#This Row],[الرقم الوظيفي]],[1]Sheet2!$1:$1048576,12,)</f>
        <v>مراجع</v>
      </c>
      <c r="G63" s="599" t="str">
        <f>VLOOKUP(Table1[[#This Row],[الرقم الوظيفي]],[1]Sheet2!$1:$1048576,72,)</f>
        <v>بكلاريوس</v>
      </c>
      <c r="H63" s="599" t="str">
        <f>VLOOKUP(Table1[[#This Row],[الرقم الوظيفي]],[1]Sheet2!$1:$1048576,71,)</f>
        <v>العلوم  فى الدراسات الاقتصاديه والاجتماعيه</v>
      </c>
      <c r="I63" s="599" t="str">
        <f>VLOOKUP(Table1[[#This Row],[المؤهل الرئيسي]],Table4[],3,)</f>
        <v>C</v>
      </c>
      <c r="J63" s="599" t="s">
        <v>38</v>
      </c>
      <c r="K63" s="615">
        <f>VLOOKUP(Table1[[#This Row],[الرقم الوظيفي]],[1]Sheet2!$1:$1048576,13,)</f>
        <v>40892</v>
      </c>
      <c r="L63" s="615">
        <v>43830</v>
      </c>
      <c r="M63" s="599">
        <f>DATEDIF(Table1[[#This Row],[تاريخ التعيين]],Table1[[#This Row],[اخر العام]],"y")</f>
        <v>8</v>
      </c>
      <c r="N63" s="599">
        <f>DATEDIF(Table1[[#This Row],[تاريخ التعيين]],Table1[[#This Row],[اخر العام]],"ym")</f>
        <v>0</v>
      </c>
      <c r="O63" s="610">
        <f>Table1[[#This Row],[سنوات الخدمه]]*1+Table1[[#This Row],[الشهور اقل من سنه]]*0.08</f>
        <v>8</v>
      </c>
      <c r="P63" s="616">
        <v>10220</v>
      </c>
      <c r="Q63" s="617">
        <v>1430.8</v>
      </c>
      <c r="R63" s="612"/>
      <c r="S63" s="599"/>
      <c r="T63" s="612"/>
      <c r="U63" s="612"/>
      <c r="V63" s="612"/>
      <c r="W63" s="612"/>
      <c r="X63" s="612"/>
      <c r="Y63" s="612"/>
      <c r="Z63" s="612"/>
      <c r="AA6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3" s="612"/>
      <c r="AC63" s="599"/>
      <c r="AD63" s="612"/>
      <c r="AE63" s="612"/>
      <c r="AF63" s="612"/>
      <c r="AG63" s="612"/>
      <c r="AH63" s="619">
        <f>SUM(Table1[[#This Row],[التقييد  باللوائح و تنفيذالتوجيه]:[اتباع اجراءات السلامه]])</f>
        <v>0</v>
      </c>
      <c r="AI63" s="619">
        <f>Table1[[#This Row],[المجموع]]+Table1[[#This Row],[المجموع2]]</f>
        <v>0</v>
      </c>
      <c r="AJ63" s="612"/>
      <c r="AK63" s="612"/>
      <c r="AL63" s="612"/>
      <c r="AM63" s="612"/>
      <c r="AN63" s="612"/>
      <c r="AO63" s="606">
        <f>Table1[[#This Row],[المجموع 1+2]]*$AO$2</f>
        <v>0</v>
      </c>
      <c r="AP63" s="648">
        <f>Table1[[#This Row],[راتب ديسمبر 2019]]*Table1[[#This Row],[نسبه التقييم الرئيسي 2018]]%</f>
        <v>0</v>
      </c>
      <c r="AQ63" s="627">
        <f>Table1[[#This Row],[مبلغ التقييم النسبي 2018]]+Table1[[#This Row],[راتب ديسمبر 2019]]</f>
        <v>10220</v>
      </c>
      <c r="AR63" s="611">
        <f>IF(Table1[[#This Row],[Column3]]&lt;0,0,Table1[[#This Row],[Column3]])</f>
        <v>6780</v>
      </c>
      <c r="AS63" s="599">
        <f>VLOOKUP(Table1[[#This Row],[درجه التوسيط]],Table10[],3,)</f>
        <v>17000</v>
      </c>
      <c r="AT63" s="608">
        <f>Table1[[#This Row],[الراتب 2018+النسبه]]+Table1[[#This Row],[فروقات الحد الادني]]</f>
        <v>17000</v>
      </c>
      <c r="AU63" s="629">
        <f>Table1[[#This Row],[الراتب 2018 + النسبه + الفرق]]-Table1[[#This Row],[راتب ديسمبر 2019]]</f>
        <v>6780</v>
      </c>
      <c r="AV63" s="628">
        <f>Table1[[#This Row],[الزياده]]/Table1[[#This Row],[راتب ديسمبر 2019]]%</f>
        <v>66.340508806262235</v>
      </c>
      <c r="AW63" s="659">
        <f>IF(Table1[[#This Row],[Column4]]&lt;0,0,Table1[[#This Row],[Column4]])</f>
        <v>0</v>
      </c>
      <c r="AX63" s="611">
        <f>Table1[[#This Row],[الجبر حتي]]-Table1[[#This Row],[رن]]</f>
        <v>1.5600000000013097</v>
      </c>
      <c r="AY63" s="611">
        <f>Table1[[#This Row],[الزياده]]+Table1[[#This Row],[التعديل]]+Table1[[#This Row],[جبر الرقم]]</f>
        <v>6781.5600000000013</v>
      </c>
      <c r="AZ63" s="611">
        <f>Table1[[#This Row],[الراتب 2018 + النسبه + الفرق]]+Table1[[#This Row],[جبر الرقم]]+Table1[[#This Row],[التعديل]]</f>
        <v>17001.560000000001</v>
      </c>
      <c r="BA63" s="631">
        <f>Table1[[#This Row],[الزياده النهائيه]]/Table1[[#This Row],[راتب ديسمبر 2019]]%</f>
        <v>66.355772994129168</v>
      </c>
      <c r="BB63" s="612">
        <f>VLOOKUP(Table1[[#This Row],[الرقم الوظيفي]],Table6[],8,)</f>
        <v>10220</v>
      </c>
      <c r="BC63" s="7"/>
      <c r="BD63" s="7">
        <v>14330</v>
      </c>
      <c r="BE63" s="7">
        <v>14328.439999999999</v>
      </c>
      <c r="BF63" s="5">
        <f>Table1[[#This Row],[الحد الادني]]-Table1[[#This Row],[الراتب 2018+النسبه]]</f>
        <v>6780</v>
      </c>
      <c r="BG63" s="5">
        <f>Table1[[#This Row],[التعديل حتي]]-Table1[[#This Row],[kkk]]</f>
        <v>-14328.439999999999</v>
      </c>
      <c r="BH63" s="5">
        <v>14328.439999999999</v>
      </c>
      <c r="BI63" s="5">
        <f>IF(Table1[[#This Row],[Column4]]&lt;0,0,Table1[[#This Row],[Column4]])</f>
        <v>0</v>
      </c>
    </row>
    <row r="64" spans="1:61" ht="21" customHeight="1">
      <c r="A64" s="602">
        <v>144</v>
      </c>
      <c r="B64" s="618" t="str">
        <f>VLOOKUP(Table1[[#This Row],[الرقم الوظيفي]],[1]Sheet2!$1:$1048576,2,)</f>
        <v>محمد عبدالرحمن قرشى ناصر</v>
      </c>
      <c r="C64" s="618" t="str">
        <f>VLOOKUP(Table1[[#This Row],[الرقم الوظيفي]],[1]Sheet2!$1:$1048576,7,)</f>
        <v>المصنع</v>
      </c>
      <c r="D64" s="618" t="str">
        <f>VLOOKUP(Table1[[#This Row],[الرقم الوظيفي]],[1]Sheet2!$1:$1048576,8,)</f>
        <v>الجوده</v>
      </c>
      <c r="E64" s="599">
        <f>VLOOKUP(Table1[[#This Row],[الرقم الوظيفي]],[1]Sheet2!$1:$1048576,9,)</f>
        <v>0</v>
      </c>
      <c r="F64" s="599" t="str">
        <f>VLOOKUP(Table1[[#This Row],[الرقم الوظيفي]],[1]Sheet2!$1:$1048576,12,)</f>
        <v>مراقب انتاج</v>
      </c>
      <c r="G64" s="599" t="str">
        <f>VLOOKUP(Table1[[#This Row],[الرقم الوظيفي]],[1]Sheet2!$1:$1048576,72,)</f>
        <v>شهاده ثانويه</v>
      </c>
      <c r="H64" s="599">
        <f>VLOOKUP(Table1[[#This Row],[الرقم الوظيفي]],[1]Sheet2!$1:$1048576,71,)</f>
        <v>0</v>
      </c>
      <c r="I64" s="599" t="str">
        <f>VLOOKUP(Table1[[#This Row],[المؤهل الرئيسي]],Table4[],3,)</f>
        <v>F</v>
      </c>
      <c r="J64" s="599" t="s">
        <v>926</v>
      </c>
      <c r="K64" s="615">
        <f>VLOOKUP(Table1[[#This Row],[الرقم الوظيفي]],[1]Sheet2!$1:$1048576,13,)</f>
        <v>40936</v>
      </c>
      <c r="L64" s="615">
        <v>43830</v>
      </c>
      <c r="M64" s="599">
        <f>DATEDIF(Table1[[#This Row],[تاريخ التعيين]],Table1[[#This Row],[اخر العام]],"y")</f>
        <v>7</v>
      </c>
      <c r="N64" s="599">
        <f>DATEDIF(Table1[[#This Row],[تاريخ التعيين]],Table1[[#This Row],[اخر العام]],"ym")</f>
        <v>11</v>
      </c>
      <c r="O64" s="610">
        <f>Table1[[#This Row],[سنوات الخدمه]]*1+Table1[[#This Row],[الشهور اقل من سنه]]*0.08</f>
        <v>7.88</v>
      </c>
      <c r="P64" s="616">
        <v>3220</v>
      </c>
      <c r="Q64" s="617">
        <v>443.072</v>
      </c>
      <c r="R64" s="612"/>
      <c r="S64" s="599"/>
      <c r="T64" s="612"/>
      <c r="U64" s="612"/>
      <c r="V64" s="612"/>
      <c r="W64" s="612"/>
      <c r="X64" s="612"/>
      <c r="Y64" s="612"/>
      <c r="Z64" s="612"/>
      <c r="AA6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4" s="612"/>
      <c r="AC64" s="599"/>
      <c r="AD64" s="612"/>
      <c r="AE64" s="612"/>
      <c r="AF64" s="612"/>
      <c r="AG64" s="612"/>
      <c r="AH64" s="619">
        <f>SUM(Table1[[#This Row],[التقييد  باللوائح و تنفيذالتوجيه]:[اتباع اجراءات السلامه]])</f>
        <v>0</v>
      </c>
      <c r="AI64" s="619">
        <f>Table1[[#This Row],[المجموع]]+Table1[[#This Row],[المجموع2]]</f>
        <v>0</v>
      </c>
      <c r="AJ64" s="612">
        <v>8</v>
      </c>
      <c r="AK64" s="612"/>
      <c r="AL64" s="612"/>
      <c r="AM64" s="612"/>
      <c r="AN64" s="612"/>
      <c r="AO64" s="606">
        <f>Table1[[#This Row],[المجموع 1+2]]*$AO$2</f>
        <v>0</v>
      </c>
      <c r="AP64" s="648">
        <f>Table1[[#This Row],[راتب ديسمبر 2019]]*Table1[[#This Row],[نسبه التقييم الرئيسي 2018]]%</f>
        <v>0</v>
      </c>
      <c r="AQ64" s="627">
        <f>Table1[[#This Row],[مبلغ التقييم النسبي 2018]]+Table1[[#This Row],[راتب ديسمبر 2019]]</f>
        <v>3220</v>
      </c>
      <c r="AR64" s="611">
        <f>IF(Table1[[#This Row],[Column3]]&lt;0,0,Table1[[#This Row],[Column3]])</f>
        <v>4780</v>
      </c>
      <c r="AS64" s="599">
        <f>VLOOKUP(Table1[[#This Row],[درجه التوسيط]],Table10[],3,)</f>
        <v>8000</v>
      </c>
      <c r="AT64" s="608">
        <f>Table1[[#This Row],[الراتب 2018+النسبه]]+Table1[[#This Row],[فروقات الحد الادني]]</f>
        <v>8000</v>
      </c>
      <c r="AU64" s="629">
        <f>Table1[[#This Row],[الراتب 2018 + النسبه + الفرق]]-Table1[[#This Row],[راتب ديسمبر 2019]]</f>
        <v>4780</v>
      </c>
      <c r="AV64" s="628">
        <f>Table1[[#This Row],[الزياده]]/Table1[[#This Row],[راتب ديسمبر 2019]]%</f>
        <v>148.44720496894408</v>
      </c>
      <c r="AW64" s="659">
        <f>IF(Table1[[#This Row],[Column4]]&lt;0,0,Table1[[#This Row],[Column4]])</f>
        <v>0</v>
      </c>
      <c r="AX64" s="611">
        <f>Table1[[#This Row],[الجبر حتي]]-Table1[[#This Row],[رن]]</f>
        <v>0</v>
      </c>
      <c r="AY64" s="611">
        <f>Table1[[#This Row],[الزياده]]+Table1[[#This Row],[التعديل]]+Table1[[#This Row],[جبر الرقم]]</f>
        <v>4780</v>
      </c>
      <c r="AZ64" s="611">
        <f>Table1[[#This Row],[الراتب 2018 + النسبه + الفرق]]+Table1[[#This Row],[جبر الرقم]]+Table1[[#This Row],[التعديل]]</f>
        <v>8000</v>
      </c>
      <c r="BA64" s="631">
        <f>Table1[[#This Row],[الزياده النهائيه]]/Table1[[#This Row],[راتب ديسمبر 2019]]%</f>
        <v>148.44720496894408</v>
      </c>
      <c r="BB64" s="612">
        <f>VLOOKUP(Table1[[#This Row],[الرقم الوظيفي]],Table6[],8,)</f>
        <v>3220</v>
      </c>
      <c r="BC64" s="7"/>
      <c r="BD64" s="7">
        <v>5500</v>
      </c>
      <c r="BE64" s="7">
        <v>5500</v>
      </c>
      <c r="BF64" s="5">
        <f>Table1[[#This Row],[الحد الادني]]-Table1[[#This Row],[الراتب 2018+النسبه]]</f>
        <v>4780</v>
      </c>
      <c r="BG64" s="5">
        <f>Table1[[#This Row],[التعديل حتي]]-Table1[[#This Row],[kkk]]</f>
        <v>-5500</v>
      </c>
      <c r="BH64" s="5">
        <v>5500</v>
      </c>
      <c r="BI64" s="5">
        <f>IF(Table1[[#This Row],[Column4]]&lt;0,0,Table1[[#This Row],[Column4]])</f>
        <v>0</v>
      </c>
    </row>
    <row r="65" spans="1:61" ht="21" customHeight="1">
      <c r="A65" s="603">
        <v>147</v>
      </c>
      <c r="B65" s="618" t="str">
        <f>VLOOKUP(Table1[[#This Row],[الرقم الوظيفي]],[1]Sheet2!$1:$1048576,2,)</f>
        <v>عبد الله عبد الكريم عبد الله عبدالكريم</v>
      </c>
      <c r="C65" s="618" t="str">
        <f>VLOOKUP(Table1[[#This Row],[الرقم الوظيفي]],[1]Sheet2!$1:$1048576,7,)</f>
        <v>المصنع</v>
      </c>
      <c r="D65" s="618" t="str">
        <f>VLOOKUP(Table1[[#This Row],[الرقم الوظيفي]],[1]Sheet2!$1:$1048576,8,)</f>
        <v>الكهرباء</v>
      </c>
      <c r="E65" s="599">
        <f>VLOOKUP(Table1[[#This Row],[الرقم الوظيفي]],[1]Sheet2!$1:$1048576,9,)</f>
        <v>0</v>
      </c>
      <c r="F65" s="599" t="str">
        <f>VLOOKUP(Table1[[#This Row],[الرقم الوظيفي]],[1]Sheet2!$1:$1048576,12,)</f>
        <v>فنى كهرباء</v>
      </c>
      <c r="G65" s="599">
        <f>VLOOKUP(Table1[[#This Row],[الرقم الوظيفي]],[1]Sheet2!$1:$1048576,72,)</f>
        <v>0</v>
      </c>
      <c r="H65" s="599">
        <f>VLOOKUP(Table1[[#This Row],[الرقم الوظيفي]],[1]Sheet2!$1:$1048576,71,)</f>
        <v>0</v>
      </c>
      <c r="I65" s="599" t="str">
        <f>VLOOKUP(Table1[[#This Row],[المؤهل الرئيسي]],Table4[],3,)</f>
        <v>H</v>
      </c>
      <c r="J65" s="599" t="s">
        <v>924</v>
      </c>
      <c r="K65" s="615">
        <f>VLOOKUP(Table1[[#This Row],[الرقم الوظيفي]],[1]Sheet2!$1:$1048576,13,)</f>
        <v>42583</v>
      </c>
      <c r="L65" s="615">
        <v>43830</v>
      </c>
      <c r="M65" s="599">
        <f>DATEDIF(Table1[[#This Row],[تاريخ التعيين]],Table1[[#This Row],[اخر العام]],"y")</f>
        <v>3</v>
      </c>
      <c r="N65" s="599">
        <f>DATEDIF(Table1[[#This Row],[تاريخ التعيين]],Table1[[#This Row],[اخر العام]],"ym")</f>
        <v>4</v>
      </c>
      <c r="O65" s="610">
        <f>Table1[[#This Row],[سنوات الخدمه]]*1+Table1[[#This Row],[الشهور اقل من سنه]]*0.08</f>
        <v>3.32</v>
      </c>
      <c r="P65" s="616">
        <v>4190</v>
      </c>
      <c r="Q65" s="617">
        <v>194.416</v>
      </c>
      <c r="R65" s="612"/>
      <c r="S65" s="599"/>
      <c r="T65" s="612"/>
      <c r="U65" s="612"/>
      <c r="V65" s="612"/>
      <c r="W65" s="612"/>
      <c r="X65" s="612"/>
      <c r="Y65" s="612"/>
      <c r="Z65" s="612"/>
      <c r="AA6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5" s="612"/>
      <c r="AC65" s="599"/>
      <c r="AD65" s="612"/>
      <c r="AE65" s="612"/>
      <c r="AF65" s="612"/>
      <c r="AG65" s="612"/>
      <c r="AH65" s="619">
        <f>SUM(Table1[[#This Row],[التقييد  باللوائح و تنفيذالتوجيه]:[اتباع اجراءات السلامه]])</f>
        <v>0</v>
      </c>
      <c r="AI65" s="619">
        <f>Table1[[#This Row],[المجموع]]+Table1[[#This Row],[المجموع2]]</f>
        <v>0</v>
      </c>
      <c r="AJ65" s="612">
        <v>10</v>
      </c>
      <c r="AK65" s="612"/>
      <c r="AL65" s="612"/>
      <c r="AM65" s="612"/>
      <c r="AN65" s="612"/>
      <c r="AO65" s="606">
        <f>Table1[[#This Row],[المجموع 1+2]]*$AO$2</f>
        <v>0</v>
      </c>
      <c r="AP65" s="648">
        <f>Table1[[#This Row],[راتب ديسمبر 2019]]*Table1[[#This Row],[نسبه التقييم الرئيسي 2018]]%</f>
        <v>0</v>
      </c>
      <c r="AQ65" s="627">
        <f>Table1[[#This Row],[مبلغ التقييم النسبي 2018]]+Table1[[#This Row],[راتب ديسمبر 2019]]</f>
        <v>4190</v>
      </c>
      <c r="AR65" s="611">
        <f>IF(Table1[[#This Row],[Column3]]&lt;0,0,Table1[[#This Row],[Column3]])</f>
        <v>4810</v>
      </c>
      <c r="AS65" s="599">
        <f>VLOOKUP(Table1[[#This Row],[درجه التوسيط]],Table10[],3,)</f>
        <v>9000</v>
      </c>
      <c r="AT65" s="608">
        <f>Table1[[#This Row],[الراتب 2018+النسبه]]+Table1[[#This Row],[فروقات الحد الادني]]</f>
        <v>9000</v>
      </c>
      <c r="AU65" s="629">
        <f>Table1[[#This Row],[الراتب 2018 + النسبه + الفرق]]-Table1[[#This Row],[راتب ديسمبر 2019]]</f>
        <v>4810</v>
      </c>
      <c r="AV65" s="628">
        <f>Table1[[#This Row],[الزياده]]/Table1[[#This Row],[راتب ديسمبر 2019]]%</f>
        <v>114.79713603818617</v>
      </c>
      <c r="AW65" s="659">
        <f>IF(Table1[[#This Row],[Column4]]&lt;0,0,Table1[[#This Row],[Column4]])</f>
        <v>399.35999999999967</v>
      </c>
      <c r="AX65" s="611">
        <f>Table1[[#This Row],[الجبر حتي]]-Table1[[#This Row],[رن]]</f>
        <v>0</v>
      </c>
      <c r="AY65" s="611">
        <f>Table1[[#This Row],[الزياده]]+Table1[[#This Row],[التعديل]]+Table1[[#This Row],[جبر الرقم]]</f>
        <v>5209.3599999999997</v>
      </c>
      <c r="AZ65" s="611">
        <f>Table1[[#This Row],[الراتب 2018 + النسبه + الفرق]]+Table1[[#This Row],[جبر الرقم]]+Table1[[#This Row],[التعديل]]</f>
        <v>9399.36</v>
      </c>
      <c r="BA65" s="631">
        <f>Table1[[#This Row],[الزياده النهائيه]]/Table1[[#This Row],[راتب ديسمبر 2019]]%</f>
        <v>124.32840095465393</v>
      </c>
      <c r="BB65" s="612">
        <f>VLOOKUP(Table1[[#This Row],[الرقم الوظيفي]],Table6[],8,)</f>
        <v>4190</v>
      </c>
      <c r="BC65" s="7">
        <v>6500</v>
      </c>
      <c r="BD65" s="7">
        <v>6500</v>
      </c>
      <c r="BE65" s="7">
        <v>6500</v>
      </c>
      <c r="BF65" s="5">
        <f>Table1[[#This Row],[الحد الادني]]-Table1[[#This Row],[الراتب 2018+النسبه]]</f>
        <v>4810</v>
      </c>
      <c r="BG65" s="5">
        <f>Table1[[#This Row],[التعديل حتي]]-Table1[[#This Row],[kkk]]</f>
        <v>399.35999999999967</v>
      </c>
      <c r="BH65" s="5">
        <v>6100.64</v>
      </c>
      <c r="BI65" s="5">
        <f>IF(Table1[[#This Row],[Column4]]&lt;0,0,Table1[[#This Row],[Column4]])</f>
        <v>399.35999999999967</v>
      </c>
    </row>
    <row r="66" spans="1:61" ht="21" customHeight="1">
      <c r="A66" s="602">
        <v>151</v>
      </c>
      <c r="B66" s="618" t="str">
        <f>VLOOKUP(Table1[[#This Row],[الرقم الوظيفي]],[1]Sheet2!$1:$1048576,2,)</f>
        <v>عيدالله احمد الضيف عبدالله</v>
      </c>
      <c r="C66" s="618" t="str">
        <f>VLOOKUP(Table1[[#This Row],[الرقم الوظيفي]],[1]Sheet2!$1:$1048576,7,)</f>
        <v>المصنع</v>
      </c>
      <c r="D66" s="618" t="str">
        <f>VLOOKUP(Table1[[#This Row],[الرقم الوظيفي]],[1]Sheet2!$1:$1048576,8,)</f>
        <v>الجوده</v>
      </c>
      <c r="E66" s="599">
        <f>VLOOKUP(Table1[[#This Row],[الرقم الوظيفي]],[1]Sheet2!$1:$1048576,9,)</f>
        <v>0</v>
      </c>
      <c r="F66" s="599" t="str">
        <f>VLOOKUP(Table1[[#This Row],[الرقم الوظيفي]],[1]Sheet2!$1:$1048576,12,)</f>
        <v>مراقب انتاج</v>
      </c>
      <c r="G66" s="599">
        <f>VLOOKUP(Table1[[#This Row],[الرقم الوظيفي]],[1]Sheet2!$1:$1048576,72,)</f>
        <v>0</v>
      </c>
      <c r="H66" s="599">
        <f>VLOOKUP(Table1[[#This Row],[الرقم الوظيفي]],[1]Sheet2!$1:$1048576,71,)</f>
        <v>0</v>
      </c>
      <c r="I66" s="599" t="str">
        <f>VLOOKUP(Table1[[#This Row],[المؤهل الرئيسي]],Table4[],3,)</f>
        <v>H</v>
      </c>
      <c r="J66" s="599" t="s">
        <v>924</v>
      </c>
      <c r="K66" s="615">
        <f>VLOOKUP(Table1[[#This Row],[الرقم الوظيفي]],[1]Sheet2!$1:$1048576,13,)</f>
        <v>40947</v>
      </c>
      <c r="L66" s="615">
        <v>43830</v>
      </c>
      <c r="M66" s="599">
        <f>DATEDIF(Table1[[#This Row],[تاريخ التعيين]],Table1[[#This Row],[اخر العام]],"y")</f>
        <v>7</v>
      </c>
      <c r="N66" s="599">
        <f>DATEDIF(Table1[[#This Row],[تاريخ التعيين]],Table1[[#This Row],[اخر العام]],"ym")</f>
        <v>10</v>
      </c>
      <c r="O66" s="610">
        <f>Table1[[#This Row],[سنوات الخدمه]]*1+Table1[[#This Row],[الشهور اقل من سنه]]*0.08</f>
        <v>7.8</v>
      </c>
      <c r="P66" s="616">
        <v>4240</v>
      </c>
      <c r="Q66" s="617">
        <v>576.64</v>
      </c>
      <c r="R66" s="612"/>
      <c r="S66" s="599"/>
      <c r="T66" s="612"/>
      <c r="U66" s="612"/>
      <c r="V66" s="612"/>
      <c r="W66" s="612"/>
      <c r="X66" s="612"/>
      <c r="Y66" s="612"/>
      <c r="Z66" s="612"/>
      <c r="AA6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6" s="612"/>
      <c r="AC66" s="599"/>
      <c r="AD66" s="612"/>
      <c r="AE66" s="612"/>
      <c r="AF66" s="612"/>
      <c r="AG66" s="612"/>
      <c r="AH66" s="619">
        <f>SUM(Table1[[#This Row],[التقييد  باللوائح و تنفيذالتوجيه]:[اتباع اجراءات السلامه]])</f>
        <v>0</v>
      </c>
      <c r="AI66" s="619">
        <f>Table1[[#This Row],[المجموع]]+Table1[[#This Row],[المجموع2]]</f>
        <v>0</v>
      </c>
      <c r="AJ66" s="612">
        <v>9</v>
      </c>
      <c r="AK66" s="612"/>
      <c r="AL66" s="612"/>
      <c r="AM66" s="612"/>
      <c r="AN66" s="612"/>
      <c r="AO66" s="606">
        <f>Table1[[#This Row],[المجموع 1+2]]*$AO$2</f>
        <v>0</v>
      </c>
      <c r="AP66" s="648">
        <f>Table1[[#This Row],[راتب ديسمبر 2019]]*Table1[[#This Row],[نسبه التقييم الرئيسي 2018]]%</f>
        <v>0</v>
      </c>
      <c r="AQ66" s="627">
        <f>Table1[[#This Row],[مبلغ التقييم النسبي 2018]]+Table1[[#This Row],[راتب ديسمبر 2019]]</f>
        <v>4240</v>
      </c>
      <c r="AR66" s="611">
        <f>IF(Table1[[#This Row],[Column3]]&lt;0,0,Table1[[#This Row],[Column3]])</f>
        <v>4760</v>
      </c>
      <c r="AS66" s="599">
        <f>VLOOKUP(Table1[[#This Row],[درجه التوسيط]],Table10[],3,)</f>
        <v>9000</v>
      </c>
      <c r="AT66" s="608">
        <f>Table1[[#This Row],[الراتب 2018+النسبه]]+Table1[[#This Row],[فروقات الحد الادني]]</f>
        <v>9000</v>
      </c>
      <c r="AU66" s="629">
        <f>Table1[[#This Row],[الراتب 2018 + النسبه + الفرق]]-Table1[[#This Row],[راتب ديسمبر 2019]]</f>
        <v>4760</v>
      </c>
      <c r="AV66" s="628">
        <f>Table1[[#This Row],[الزياده]]/Table1[[#This Row],[راتب ديسمبر 2019]]%</f>
        <v>112.26415094339623</v>
      </c>
      <c r="AW66" s="659">
        <f>IF(Table1[[#This Row],[Column4]]&lt;0,0,Table1[[#This Row],[Column4]])</f>
        <v>0</v>
      </c>
      <c r="AX66" s="611">
        <f>Table1[[#This Row],[الجبر حتي]]-Table1[[#This Row],[رن]]</f>
        <v>6.8800000000001091</v>
      </c>
      <c r="AY66" s="611">
        <f>Table1[[#This Row],[الزياده]]+Table1[[#This Row],[التعديل]]+Table1[[#This Row],[جبر الرقم]]</f>
        <v>4766.88</v>
      </c>
      <c r="AZ66" s="611">
        <f>Table1[[#This Row],[الراتب 2018 + النسبه + الفرق]]+Table1[[#This Row],[جبر الرقم]]+Table1[[#This Row],[التعديل]]</f>
        <v>9006.880000000001</v>
      </c>
      <c r="BA66" s="631">
        <f>Table1[[#This Row],[الزياده النهائيه]]/Table1[[#This Row],[راتب ديسمبر 2019]]%</f>
        <v>112.42641509433963</v>
      </c>
      <c r="BB66" s="612">
        <f>VLOOKUP(Table1[[#This Row],[الرقم الوظيفي]],Table6[],8,)</f>
        <v>4240</v>
      </c>
      <c r="BC66" s="7"/>
      <c r="BD66" s="7">
        <v>6740</v>
      </c>
      <c r="BE66" s="7">
        <v>6733.12</v>
      </c>
      <c r="BF66" s="5">
        <f>Table1[[#This Row],[الحد الادني]]-Table1[[#This Row],[الراتب 2018+النسبه]]</f>
        <v>4760</v>
      </c>
      <c r="BG66" s="5">
        <f>Table1[[#This Row],[التعديل حتي]]-Table1[[#This Row],[kkk]]</f>
        <v>-6733.12</v>
      </c>
      <c r="BH66" s="5">
        <v>6733.12</v>
      </c>
      <c r="BI66" s="5">
        <f>IF(Table1[[#This Row],[Column4]]&lt;0,0,Table1[[#This Row],[Column4]])</f>
        <v>0</v>
      </c>
    </row>
    <row r="67" spans="1:61" ht="21" customHeight="1">
      <c r="A67" s="602">
        <v>168</v>
      </c>
      <c r="B67" s="618" t="str">
        <f>VLOOKUP(Table1[[#This Row],[الرقم الوظيفي]],[1]Sheet2!$1:$1048576,2,)</f>
        <v>عماد الدين ادم محمد عبدالله</v>
      </c>
      <c r="C67" s="618" t="str">
        <f>VLOOKUP(Table1[[#This Row],[الرقم الوظيفي]],[1]Sheet2!$1:$1048576,7,)</f>
        <v>المصنع</v>
      </c>
      <c r="D67" s="618" t="str">
        <f>VLOOKUP(Table1[[#This Row],[الرقم الوظيفي]],[1]Sheet2!$1:$1048576,8,)</f>
        <v>المستودعات</v>
      </c>
      <c r="E67" s="599" t="str">
        <f>VLOOKUP(Table1[[#This Row],[الرقم الوظيفي]],[1]Sheet2!$1:$1048576,9,)</f>
        <v>التحميل</v>
      </c>
      <c r="F67" s="599" t="str">
        <f>VLOOKUP(Table1[[#This Row],[الرقم الوظيفي]],[1]Sheet2!$1:$1048576,12,)</f>
        <v>مشغل كرين</v>
      </c>
      <c r="G67" s="599" t="str">
        <f>VLOOKUP(Table1[[#This Row],[الرقم الوظيفي]],[1]Sheet2!$1:$1048576,72,)</f>
        <v>شهاده ثانويه</v>
      </c>
      <c r="H67" s="599">
        <f>VLOOKUP(Table1[[#This Row],[الرقم الوظيفي]],[1]Sheet2!$1:$1048576,71,)</f>
        <v>0</v>
      </c>
      <c r="I67" s="599" t="str">
        <f>VLOOKUP(Table1[[#This Row],[المؤهل الرئيسي]],Table4[],3,)</f>
        <v>F</v>
      </c>
      <c r="J67" s="599" t="s">
        <v>42</v>
      </c>
      <c r="K67" s="615">
        <f>VLOOKUP(Table1[[#This Row],[الرقم الوظيفي]],[1]Sheet2!$1:$1048576,13,)</f>
        <v>40982</v>
      </c>
      <c r="L67" s="615">
        <v>43830</v>
      </c>
      <c r="M67" s="599">
        <f>DATEDIF(Table1[[#This Row],[تاريخ التعيين]],Table1[[#This Row],[اخر العام]],"y")</f>
        <v>7</v>
      </c>
      <c r="N67" s="599">
        <f>DATEDIF(Table1[[#This Row],[تاريخ التعيين]],Table1[[#This Row],[اخر العام]],"ym")</f>
        <v>9</v>
      </c>
      <c r="O67" s="610">
        <f>Table1[[#This Row],[سنوات الخدمه]]*1+Table1[[#This Row],[الشهور اقل من سنه]]*0.08</f>
        <v>7.72</v>
      </c>
      <c r="P67" s="616">
        <v>4230</v>
      </c>
      <c r="Q67" s="617">
        <v>568.51199999999994</v>
      </c>
      <c r="R67" s="612"/>
      <c r="S67" s="599"/>
      <c r="T67" s="612"/>
      <c r="U67" s="612"/>
      <c r="V67" s="612"/>
      <c r="W67" s="612"/>
      <c r="X67" s="612"/>
      <c r="Y67" s="612"/>
      <c r="Z67" s="612"/>
      <c r="AA6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7" s="612"/>
      <c r="AC67" s="599"/>
      <c r="AD67" s="612"/>
      <c r="AE67" s="612"/>
      <c r="AF67" s="612"/>
      <c r="AG67" s="612"/>
      <c r="AH67" s="619">
        <f>SUM(Table1[[#This Row],[التقييد  باللوائح و تنفيذالتوجيه]:[اتباع اجراءات السلامه]])</f>
        <v>0</v>
      </c>
      <c r="AI67" s="619">
        <f>Table1[[#This Row],[المجموع]]+Table1[[#This Row],[المجموع2]]</f>
        <v>0</v>
      </c>
      <c r="AJ67" s="612"/>
      <c r="AK67" s="612"/>
      <c r="AL67" s="612"/>
      <c r="AM67" s="612"/>
      <c r="AN67" s="612"/>
      <c r="AO67" s="606">
        <f>Table1[[#This Row],[المجموع 1+2]]*$AO$2</f>
        <v>0</v>
      </c>
      <c r="AP67" s="648">
        <f>Table1[[#This Row],[راتب ديسمبر 2019]]*Table1[[#This Row],[نسبه التقييم الرئيسي 2018]]%</f>
        <v>0</v>
      </c>
      <c r="AQ67" s="627">
        <f>Table1[[#This Row],[مبلغ التقييم النسبي 2018]]+Table1[[#This Row],[راتب ديسمبر 2019]]</f>
        <v>4230</v>
      </c>
      <c r="AR67" s="611">
        <f>IF(Table1[[#This Row],[Column3]]&lt;0,0,Table1[[#This Row],[Column3]])</f>
        <v>770</v>
      </c>
      <c r="AS67" s="599">
        <f>VLOOKUP(Table1[[#This Row],[درجه التوسيط]],Table10[],3,)</f>
        <v>5000</v>
      </c>
      <c r="AT67" s="608">
        <f>Table1[[#This Row],[الراتب 2018+النسبه]]+Table1[[#This Row],[فروقات الحد الادني]]</f>
        <v>5000</v>
      </c>
      <c r="AU67" s="629">
        <f>Table1[[#This Row],[الراتب 2018 + النسبه + الفرق]]-Table1[[#This Row],[راتب ديسمبر 2019]]</f>
        <v>770</v>
      </c>
      <c r="AV67" s="628">
        <f>Table1[[#This Row],[الزياده]]/Table1[[#This Row],[راتب ديسمبر 2019]]%</f>
        <v>18.203309692671397</v>
      </c>
      <c r="AW67" s="659">
        <f>IF(Table1[[#This Row],[Column4]]&lt;0,0,Table1[[#This Row],[Column4]])</f>
        <v>0</v>
      </c>
      <c r="AX67" s="611">
        <f>Table1[[#This Row],[الجبر حتي]]-Table1[[#This Row],[رن]]</f>
        <v>9.5399999999999636</v>
      </c>
      <c r="AY67" s="611">
        <f>Table1[[#This Row],[الزياده]]+Table1[[#This Row],[التعديل]]+Table1[[#This Row],[جبر الرقم]]</f>
        <v>779.54</v>
      </c>
      <c r="AZ67" s="611">
        <f>Table1[[#This Row],[الراتب 2018 + النسبه + الفرق]]+Table1[[#This Row],[جبر الرقم]]+Table1[[#This Row],[التعديل]]</f>
        <v>5009.54</v>
      </c>
      <c r="BA67" s="631">
        <f>Table1[[#This Row],[الزياده النهائيه]]/Table1[[#This Row],[راتب ديسمبر 2019]]%</f>
        <v>18.428841607565012</v>
      </c>
      <c r="BB67" s="612">
        <f>VLOOKUP(Table1[[#This Row],[الرقم الوظيفي]],Table6[],8,)</f>
        <v>4230</v>
      </c>
      <c r="BC67" s="7"/>
      <c r="BD67" s="7">
        <v>5940</v>
      </c>
      <c r="BE67" s="7">
        <v>5930.46</v>
      </c>
      <c r="BF67" s="5">
        <f>Table1[[#This Row],[الحد الادني]]-Table1[[#This Row],[الراتب 2018+النسبه]]</f>
        <v>770</v>
      </c>
      <c r="BG67" s="5">
        <f>Table1[[#This Row],[التعديل حتي]]-Table1[[#This Row],[kkk]]</f>
        <v>-5930.46</v>
      </c>
      <c r="BH67" s="5">
        <v>5930.46</v>
      </c>
      <c r="BI67" s="5">
        <f>IF(Table1[[#This Row],[Column4]]&lt;0,0,Table1[[#This Row],[Column4]])</f>
        <v>0</v>
      </c>
    </row>
    <row r="68" spans="1:61" ht="21" customHeight="1">
      <c r="A68" s="602">
        <v>206</v>
      </c>
      <c r="B68" s="618" t="str">
        <f>VLOOKUP(Table1[[#This Row],[الرقم الوظيفي]],[1]Sheet2!$1:$1048576,2,)</f>
        <v>حسن محمد حسن كرم الله</v>
      </c>
      <c r="C68" s="618" t="str">
        <f>VLOOKUP(Table1[[#This Row],[الرقم الوظيفي]],[1]Sheet2!$1:$1048576,7,)</f>
        <v>المصنع</v>
      </c>
      <c r="D68" s="618" t="str">
        <f>VLOOKUP(Table1[[#This Row],[الرقم الوظيفي]],[1]Sheet2!$1:$1048576,8,)</f>
        <v>الجوده</v>
      </c>
      <c r="E68" s="599">
        <f>VLOOKUP(Table1[[#This Row],[الرقم الوظيفي]],[1]Sheet2!$1:$1048576,9,)</f>
        <v>0</v>
      </c>
      <c r="F68" s="599" t="str">
        <f>VLOOKUP(Table1[[#This Row],[الرقم الوظيفي]],[1]Sheet2!$1:$1048576,12,)</f>
        <v>مراقب انتاج</v>
      </c>
      <c r="G68" s="599" t="str">
        <f>VLOOKUP(Table1[[#This Row],[الرقم الوظيفي]],[1]Sheet2!$1:$1048576,72,)</f>
        <v>دبلوم وسيط</v>
      </c>
      <c r="H68" s="599" t="str">
        <f>VLOOKUP(Table1[[#This Row],[الرقم الوظيفي]],[1]Sheet2!$1:$1048576,71,)</f>
        <v>الإدارة والعلوم المالية</v>
      </c>
      <c r="I68" s="599" t="str">
        <f>VLOOKUP(Table1[[#This Row],[المؤهل الرئيسي]],Table4[],3,)</f>
        <v>E</v>
      </c>
      <c r="J68" s="599" t="s">
        <v>924</v>
      </c>
      <c r="K68" s="615">
        <f>VLOOKUP(Table1[[#This Row],[الرقم الوظيفي]],[1]Sheet2!$1:$1048576,13,)</f>
        <v>41000</v>
      </c>
      <c r="L68" s="615">
        <v>43830</v>
      </c>
      <c r="M68" s="599">
        <f>DATEDIF(Table1[[#This Row],[تاريخ التعيين]],Table1[[#This Row],[اخر العام]],"y")</f>
        <v>7</v>
      </c>
      <c r="N68" s="599">
        <f>DATEDIF(Table1[[#This Row],[تاريخ التعيين]],Table1[[#This Row],[اخر العام]],"ym")</f>
        <v>8</v>
      </c>
      <c r="O68" s="610">
        <f>Table1[[#This Row],[سنوات الخدمه]]*1+Table1[[#This Row],[الشهور اقل من سنه]]*0.08</f>
        <v>7.64</v>
      </c>
      <c r="P68" s="616">
        <v>4230</v>
      </c>
      <c r="Q68" s="617">
        <v>561.74400000000003</v>
      </c>
      <c r="R68" s="612"/>
      <c r="S68" s="599"/>
      <c r="T68" s="612"/>
      <c r="U68" s="612"/>
      <c r="V68" s="612"/>
      <c r="W68" s="612"/>
      <c r="X68" s="612"/>
      <c r="Y68" s="612"/>
      <c r="Z68" s="612"/>
      <c r="AA6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8" s="612"/>
      <c r="AC68" s="599"/>
      <c r="AD68" s="612"/>
      <c r="AE68" s="612"/>
      <c r="AF68" s="612"/>
      <c r="AG68" s="612"/>
      <c r="AH68" s="619">
        <f>SUM(Table1[[#This Row],[التقييد  باللوائح و تنفيذالتوجيه]:[اتباع اجراءات السلامه]])</f>
        <v>0</v>
      </c>
      <c r="AI68" s="619">
        <f>Table1[[#This Row],[المجموع]]+Table1[[#This Row],[المجموع2]]</f>
        <v>0</v>
      </c>
      <c r="AJ68" s="612">
        <v>10</v>
      </c>
      <c r="AK68" s="612"/>
      <c r="AL68" s="612"/>
      <c r="AM68" s="612"/>
      <c r="AN68" s="612"/>
      <c r="AO68" s="606">
        <f>Table1[[#This Row],[المجموع 1+2]]*$AO$2</f>
        <v>0</v>
      </c>
      <c r="AP68" s="648">
        <f>Table1[[#This Row],[راتب ديسمبر 2019]]*Table1[[#This Row],[نسبه التقييم الرئيسي 2018]]%</f>
        <v>0</v>
      </c>
      <c r="AQ68" s="627">
        <f>Table1[[#This Row],[مبلغ التقييم النسبي 2018]]+Table1[[#This Row],[راتب ديسمبر 2019]]</f>
        <v>4230</v>
      </c>
      <c r="AR68" s="611">
        <f>IF(Table1[[#This Row],[Column3]]&lt;0,0,Table1[[#This Row],[Column3]])</f>
        <v>4770</v>
      </c>
      <c r="AS68" s="599">
        <f>VLOOKUP(Table1[[#This Row],[درجه التوسيط]],Table10[],3,)</f>
        <v>9000</v>
      </c>
      <c r="AT68" s="608">
        <f>Table1[[#This Row],[الراتب 2018+النسبه]]+Table1[[#This Row],[فروقات الحد الادني]]</f>
        <v>9000</v>
      </c>
      <c r="AU68" s="629">
        <f>Table1[[#This Row],[الراتب 2018 + النسبه + الفرق]]-Table1[[#This Row],[راتب ديسمبر 2019]]</f>
        <v>4770</v>
      </c>
      <c r="AV68" s="628">
        <f>Table1[[#This Row],[الزياده]]/Table1[[#This Row],[راتب ديسمبر 2019]]%</f>
        <v>112.76595744680851</v>
      </c>
      <c r="AW68" s="659">
        <f>IF(Table1[[#This Row],[Column4]]&lt;0,0,Table1[[#This Row],[Column4]])</f>
        <v>0</v>
      </c>
      <c r="AX68" s="611">
        <f>Table1[[#This Row],[الجبر حتي]]-Table1[[#This Row],[رن]]</f>
        <v>4.2800000000006548</v>
      </c>
      <c r="AY68" s="611">
        <f>Table1[[#This Row],[الزياده]]+Table1[[#This Row],[التعديل]]+Table1[[#This Row],[جبر الرقم]]</f>
        <v>4774.2800000000007</v>
      </c>
      <c r="AZ68" s="611">
        <f>Table1[[#This Row],[الراتب 2018 + النسبه + الفرق]]+Table1[[#This Row],[جبر الرقم]]+Table1[[#This Row],[التعديل]]</f>
        <v>9004.2800000000007</v>
      </c>
      <c r="BA68" s="631">
        <f>Table1[[#This Row],[الزياده النهائيه]]/Table1[[#This Row],[راتب ديسمبر 2019]]%</f>
        <v>112.86713947990546</v>
      </c>
      <c r="BB68" s="612">
        <f>VLOOKUP(Table1[[#This Row],[الرقم الوظيفي]],Table6[],8,)</f>
        <v>4230</v>
      </c>
      <c r="BC68" s="7"/>
      <c r="BD68" s="7">
        <v>6620</v>
      </c>
      <c r="BE68" s="7">
        <v>6615.7199999999993</v>
      </c>
      <c r="BF68" s="5">
        <f>Table1[[#This Row],[الحد الادني]]-Table1[[#This Row],[الراتب 2018+النسبه]]</f>
        <v>4770</v>
      </c>
      <c r="BG68" s="5">
        <f>Table1[[#This Row],[التعديل حتي]]-Table1[[#This Row],[kkk]]</f>
        <v>-6615.7199999999993</v>
      </c>
      <c r="BH68" s="5">
        <v>6615.7199999999993</v>
      </c>
      <c r="BI68" s="5">
        <f>IF(Table1[[#This Row],[Column4]]&lt;0,0,Table1[[#This Row],[Column4]])</f>
        <v>0</v>
      </c>
    </row>
    <row r="69" spans="1:61">
      <c r="A69" s="602">
        <v>207</v>
      </c>
      <c r="B69" s="618" t="str">
        <f>VLOOKUP(Table1[[#This Row],[الرقم الوظيفي]],[1]Sheet2!$1:$1048576,2,)</f>
        <v>على محمد على عثمان</v>
      </c>
      <c r="C69" s="618" t="str">
        <f>VLOOKUP(Table1[[#This Row],[الرقم الوظيفي]],[1]Sheet2!$1:$1048576,7,)</f>
        <v>المصنع</v>
      </c>
      <c r="D69" s="618" t="str">
        <f>VLOOKUP(Table1[[#This Row],[الرقم الوظيفي]],[1]Sheet2!$1:$1048576,8,)</f>
        <v>الانتاج</v>
      </c>
      <c r="E69" s="599" t="str">
        <f>VLOOKUP(Table1[[#This Row],[الرقم الوظيفي]],[1]Sheet2!$1:$1048576,9,)</f>
        <v>الخوص</v>
      </c>
      <c r="F69" s="599" t="str">
        <f>VLOOKUP(Table1[[#This Row],[الرقم الوظيفي]],[1]Sheet2!$1:$1048576,12,)</f>
        <v>فورمان</v>
      </c>
      <c r="G69" s="599">
        <f>VLOOKUP(Table1[[#This Row],[الرقم الوظيفي]],[1]Sheet2!$1:$1048576,72,)</f>
        <v>0</v>
      </c>
      <c r="H69" s="599">
        <f>VLOOKUP(Table1[[#This Row],[الرقم الوظيفي]],[1]Sheet2!$1:$1048576,71,)</f>
        <v>0</v>
      </c>
      <c r="I69" s="599" t="str">
        <f>VLOOKUP(Table1[[#This Row],[المؤهل الرئيسي]],Table4[],3,)</f>
        <v>H</v>
      </c>
      <c r="J69" s="599" t="s">
        <v>494</v>
      </c>
      <c r="K69" s="615">
        <f>VLOOKUP(Table1[[#This Row],[الرقم الوظيفي]],[1]Sheet2!$1:$1048576,13,)</f>
        <v>41000</v>
      </c>
      <c r="L69" s="615">
        <v>43830</v>
      </c>
      <c r="M69" s="599">
        <f>DATEDIF(Table1[[#This Row],[تاريخ التعيين]],Table1[[#This Row],[اخر العام]],"y")</f>
        <v>7</v>
      </c>
      <c r="N69" s="599">
        <f>DATEDIF(Table1[[#This Row],[تاريخ التعيين]],Table1[[#This Row],[اخر العام]],"ym")</f>
        <v>8</v>
      </c>
      <c r="O69" s="610">
        <f>Table1[[#This Row],[سنوات الخدمه]]*1+Table1[[#This Row],[الشهور اقل من سنه]]*0.08</f>
        <v>7.64</v>
      </c>
      <c r="P69" s="616">
        <v>4800</v>
      </c>
      <c r="Q69" s="617">
        <v>637.44000000000005</v>
      </c>
      <c r="R69" s="612"/>
      <c r="S69" s="599"/>
      <c r="T69" s="612"/>
      <c r="U69" s="612"/>
      <c r="V69" s="612"/>
      <c r="W69" s="612"/>
      <c r="X69" s="612"/>
      <c r="Y69" s="612"/>
      <c r="Z69" s="612"/>
      <c r="AA6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69" s="612"/>
      <c r="AC69" s="599"/>
      <c r="AD69" s="612"/>
      <c r="AE69" s="612"/>
      <c r="AF69" s="612"/>
      <c r="AG69" s="612"/>
      <c r="AH69" s="619">
        <f>SUM(Table1[[#This Row],[التقييد  باللوائح و تنفيذالتوجيه]:[اتباع اجراءات السلامه]])</f>
        <v>0</v>
      </c>
      <c r="AI69" s="619">
        <f>Table1[[#This Row],[المجموع]]+Table1[[#This Row],[المجموع2]]</f>
        <v>0</v>
      </c>
      <c r="AJ69" s="612"/>
      <c r="AK69" s="612"/>
      <c r="AL69" s="612"/>
      <c r="AM69" s="612"/>
      <c r="AN69" s="612"/>
      <c r="AO69" s="606">
        <f>Table1[[#This Row],[المجموع 1+2]]*$AO$2</f>
        <v>0</v>
      </c>
      <c r="AP69" s="648">
        <f>Table1[[#This Row],[راتب ديسمبر 2019]]*Table1[[#This Row],[نسبه التقييم الرئيسي 2018]]%</f>
        <v>0</v>
      </c>
      <c r="AQ69" s="627">
        <f>Table1[[#This Row],[مبلغ التقييم النسبي 2018]]+Table1[[#This Row],[راتب ديسمبر 2019]]</f>
        <v>4800</v>
      </c>
      <c r="AR69" s="611">
        <f>IF(Table1[[#This Row],[Column3]]&lt;0,0,Table1[[#This Row],[Column3]])</f>
        <v>10200</v>
      </c>
      <c r="AS69" s="599">
        <f>VLOOKUP(Table1[[#This Row],[درجه التوسيط]],Table10[],3,)</f>
        <v>15000</v>
      </c>
      <c r="AT69" s="608">
        <f>Table1[[#This Row],[الراتب 2018+النسبه]]+Table1[[#This Row],[فروقات الحد الادني]]</f>
        <v>15000</v>
      </c>
      <c r="AU69" s="629">
        <f>Table1[[#This Row],[الراتب 2018 + النسبه + الفرق]]-Table1[[#This Row],[راتب ديسمبر 2019]]</f>
        <v>10200</v>
      </c>
      <c r="AV69" s="628">
        <f>Table1[[#This Row],[الزياده]]/Table1[[#This Row],[راتب ديسمبر 2019]]%</f>
        <v>212.5</v>
      </c>
      <c r="AW69" s="659">
        <f>IF(Table1[[#This Row],[Column4]]&lt;0,0,Table1[[#This Row],[Column4]])</f>
        <v>0</v>
      </c>
      <c r="AX69" s="611">
        <f>Table1[[#This Row],[الجبر حتي]]-Table1[[#This Row],[رن]]</f>
        <v>0</v>
      </c>
      <c r="AY69" s="611">
        <f>Table1[[#This Row],[الزياده]]+Table1[[#This Row],[التعديل]]+Table1[[#This Row],[جبر الرقم]]</f>
        <v>10200</v>
      </c>
      <c r="AZ69" s="611">
        <f>Table1[[#This Row],[الراتب 2018 + النسبه + الفرق]]+Table1[[#This Row],[جبر الرقم]]+Table1[[#This Row],[التعديل]]</f>
        <v>15000</v>
      </c>
      <c r="BA69" s="631">
        <f>Table1[[#This Row],[الزياده النهائيه]]/Table1[[#This Row],[راتب ديسمبر 2019]]%</f>
        <v>212.5</v>
      </c>
      <c r="BB69" s="612">
        <f>VLOOKUP(Table1[[#This Row],[الرقم الوظيفي]],Table6[],8,)</f>
        <v>4800</v>
      </c>
      <c r="BC69" s="7"/>
      <c r="BD69" s="7">
        <v>10000</v>
      </c>
      <c r="BE69" s="7">
        <v>10000</v>
      </c>
      <c r="BF69" s="5">
        <f>Table1[[#This Row],[الحد الادني]]-Table1[[#This Row],[الراتب 2018+النسبه]]</f>
        <v>10200</v>
      </c>
      <c r="BG69" s="5">
        <f>Table1[[#This Row],[التعديل حتي]]-Table1[[#This Row],[kkk]]</f>
        <v>-10000</v>
      </c>
      <c r="BH69" s="5">
        <v>10000</v>
      </c>
      <c r="BI69" s="5">
        <f>IF(Table1[[#This Row],[Column4]]&lt;0,0,Table1[[#This Row],[Column4]])</f>
        <v>0</v>
      </c>
    </row>
    <row r="70" spans="1:61" ht="21" customHeight="1">
      <c r="A70" s="602">
        <v>213</v>
      </c>
      <c r="B70" s="618" t="str">
        <f>VLOOKUP(Table1[[#This Row],[الرقم الوظيفي]],[1]Sheet2!$1:$1048576,2,)</f>
        <v>دفع الله سعيد محمد احمد</v>
      </c>
      <c r="C70" s="618" t="str">
        <f>VLOOKUP(Table1[[#This Row],[الرقم الوظيفي]],[1]Sheet2!$1:$1048576,7,)</f>
        <v>المصنع</v>
      </c>
      <c r="D70" s="618" t="str">
        <f>VLOOKUP(Table1[[#This Row],[الرقم الوظيفي]],[1]Sheet2!$1:$1048576,8,)</f>
        <v>الانتاج</v>
      </c>
      <c r="E70" s="599" t="str">
        <f>VLOOKUP(Table1[[#This Row],[الرقم الوظيفي]],[1]Sheet2!$1:$1048576,9,)</f>
        <v>المواسير</v>
      </c>
      <c r="F70" s="599" t="str">
        <f>VLOOKUP(Table1[[#This Row],[الرقم الوظيفي]],[1]Sheet2!$1:$1048576,12,)</f>
        <v>مشغل</v>
      </c>
      <c r="G70" s="599" t="str">
        <f>VLOOKUP(Table1[[#This Row],[الرقم الوظيفي]],[1]Sheet2!$1:$1048576,72,)</f>
        <v>شهاده ثانويه</v>
      </c>
      <c r="H70" s="599">
        <f>VLOOKUP(Table1[[#This Row],[الرقم الوظيفي]],[1]Sheet2!$1:$1048576,71,)</f>
        <v>0</v>
      </c>
      <c r="I70" s="599" t="str">
        <f>VLOOKUP(Table1[[#This Row],[المؤهل الرئيسي]],Table4[],3,)</f>
        <v>F</v>
      </c>
      <c r="J70" s="599" t="s">
        <v>42</v>
      </c>
      <c r="K70" s="615">
        <f>VLOOKUP(Table1[[#This Row],[الرقم الوظيفي]],[1]Sheet2!$1:$1048576,13,)</f>
        <v>41000</v>
      </c>
      <c r="L70" s="615">
        <v>43830</v>
      </c>
      <c r="M70" s="599">
        <f>DATEDIF(Table1[[#This Row],[تاريخ التعيين]],Table1[[#This Row],[اخر العام]],"y")</f>
        <v>7</v>
      </c>
      <c r="N70" s="599">
        <f>DATEDIF(Table1[[#This Row],[تاريخ التعيين]],Table1[[#This Row],[اخر العام]],"ym")</f>
        <v>8</v>
      </c>
      <c r="O70" s="610">
        <f>Table1[[#This Row],[سنوات الخدمه]]*1+Table1[[#This Row],[الشهور اقل من سنه]]*0.08</f>
        <v>7.64</v>
      </c>
      <c r="P70" s="616">
        <v>4260</v>
      </c>
      <c r="Q70" s="617">
        <v>565.72799999999995</v>
      </c>
      <c r="R70" s="612"/>
      <c r="S70" s="599"/>
      <c r="T70" s="612"/>
      <c r="U70" s="612"/>
      <c r="V70" s="612"/>
      <c r="W70" s="612"/>
      <c r="X70" s="612"/>
      <c r="Y70" s="612"/>
      <c r="Z70" s="612"/>
      <c r="AA7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0" s="612"/>
      <c r="AC70" s="599"/>
      <c r="AD70" s="612"/>
      <c r="AE70" s="612"/>
      <c r="AF70" s="612"/>
      <c r="AG70" s="612"/>
      <c r="AH70" s="619">
        <f>SUM(Table1[[#This Row],[التقييد  باللوائح و تنفيذالتوجيه]:[اتباع اجراءات السلامه]])</f>
        <v>0</v>
      </c>
      <c r="AI70" s="619">
        <f>Table1[[#This Row],[المجموع]]+Table1[[#This Row],[المجموع2]]</f>
        <v>0</v>
      </c>
      <c r="AJ70" s="612"/>
      <c r="AK70" s="612"/>
      <c r="AL70" s="612"/>
      <c r="AM70" s="612"/>
      <c r="AN70" s="612"/>
      <c r="AO70" s="606">
        <f>Table1[[#This Row],[المجموع 1+2]]*$AO$2</f>
        <v>0</v>
      </c>
      <c r="AP70" s="648">
        <f>Table1[[#This Row],[راتب ديسمبر 2019]]*Table1[[#This Row],[نسبه التقييم الرئيسي 2018]]%</f>
        <v>0</v>
      </c>
      <c r="AQ70" s="627">
        <f>Table1[[#This Row],[مبلغ التقييم النسبي 2018]]+Table1[[#This Row],[راتب ديسمبر 2019]]</f>
        <v>4260</v>
      </c>
      <c r="AR70" s="611">
        <f>IF(Table1[[#This Row],[Column3]]&lt;0,0,Table1[[#This Row],[Column3]])</f>
        <v>740</v>
      </c>
      <c r="AS70" s="599">
        <f>VLOOKUP(Table1[[#This Row],[درجه التوسيط]],Table10[],3,)</f>
        <v>5000</v>
      </c>
      <c r="AT70" s="608">
        <f>Table1[[#This Row],[الراتب 2018+النسبه]]+Table1[[#This Row],[فروقات الحد الادني]]</f>
        <v>5000</v>
      </c>
      <c r="AU70" s="629">
        <f>Table1[[#This Row],[الراتب 2018 + النسبه + الفرق]]-Table1[[#This Row],[راتب ديسمبر 2019]]</f>
        <v>740</v>
      </c>
      <c r="AV70" s="628">
        <f>Table1[[#This Row],[الزياده]]/Table1[[#This Row],[راتب ديسمبر 2019]]%</f>
        <v>17.370892018779344</v>
      </c>
      <c r="AW70" s="659">
        <f>IF(Table1[[#This Row],[Column4]]&lt;0,0,Table1[[#This Row],[Column4]])</f>
        <v>0</v>
      </c>
      <c r="AX70" s="611">
        <f>Table1[[#This Row],[الجبر حتي]]-Table1[[#This Row],[رن]]</f>
        <v>1.9200000000000728</v>
      </c>
      <c r="AY70" s="611">
        <f>Table1[[#This Row],[الزياده]]+Table1[[#This Row],[التعديل]]+Table1[[#This Row],[جبر الرقم]]</f>
        <v>741.92000000000007</v>
      </c>
      <c r="AZ70" s="611">
        <f>Table1[[#This Row],[الراتب 2018 + النسبه + الفرق]]+Table1[[#This Row],[جبر الرقم]]+Table1[[#This Row],[التعديل]]</f>
        <v>5001.92</v>
      </c>
      <c r="BA70" s="631">
        <f>Table1[[#This Row],[الزياده النهائيه]]/Table1[[#This Row],[راتب ديسمبر 2019]]%</f>
        <v>17.415962441314555</v>
      </c>
      <c r="BB70" s="612">
        <f>VLOOKUP(Table1[[#This Row],[الرقم الوظيفي]],Table6[],8,)</f>
        <v>4260</v>
      </c>
      <c r="BC70" s="7"/>
      <c r="BD70" s="7">
        <v>6000</v>
      </c>
      <c r="BE70" s="7">
        <v>5998.08</v>
      </c>
      <c r="BF70" s="5">
        <f>Table1[[#This Row],[الحد الادني]]-Table1[[#This Row],[الراتب 2018+النسبه]]</f>
        <v>740</v>
      </c>
      <c r="BG70" s="5">
        <f>Table1[[#This Row],[التعديل حتي]]-Table1[[#This Row],[kkk]]</f>
        <v>-5998.08</v>
      </c>
      <c r="BH70" s="5">
        <v>5998.08</v>
      </c>
      <c r="BI70" s="5">
        <f>IF(Table1[[#This Row],[Column4]]&lt;0,0,Table1[[#This Row],[Column4]])</f>
        <v>0</v>
      </c>
    </row>
    <row r="71" spans="1:61" ht="21" customHeight="1">
      <c r="A71" s="602">
        <v>241</v>
      </c>
      <c r="B71" s="618" t="str">
        <f>VLOOKUP(Table1[[#This Row],[الرقم الوظيفي]],[1]Sheet2!$1:$1048576,2,)</f>
        <v>سفيان يوسف مختار محمد الحاج</v>
      </c>
      <c r="C71" s="618" t="str">
        <f>VLOOKUP(Table1[[#This Row],[الرقم الوظيفي]],[1]Sheet2!$1:$1048576,7,)</f>
        <v>المصنع</v>
      </c>
      <c r="D71" s="618" t="str">
        <f>VLOOKUP(Table1[[#This Row],[الرقم الوظيفي]],[1]Sheet2!$1:$1048576,8,)</f>
        <v>الانتاج</v>
      </c>
      <c r="E71" s="599" t="str">
        <f>VLOOKUP(Table1[[#This Row],[الرقم الوظيفي]],[1]Sheet2!$1:$1048576,9,)</f>
        <v>الزوايا</v>
      </c>
      <c r="F71" s="599" t="str">
        <f>VLOOKUP(Table1[[#This Row],[الرقم الوظيفي]],[1]Sheet2!$1:$1048576,12,)</f>
        <v>مساعد مشغل</v>
      </c>
      <c r="G71" s="599">
        <f>VLOOKUP(Table1[[#This Row],[الرقم الوظيفي]],[1]Sheet2!$1:$1048576,72,)</f>
        <v>0</v>
      </c>
      <c r="H71" s="599">
        <f>VLOOKUP(Table1[[#This Row],[الرقم الوظيفي]],[1]Sheet2!$1:$1048576,71,)</f>
        <v>0</v>
      </c>
      <c r="I71" s="599" t="str">
        <f>VLOOKUP(Table1[[#This Row],[المؤهل الرئيسي]],Table4[],3,)</f>
        <v>H</v>
      </c>
      <c r="J71" s="599" t="s">
        <v>928</v>
      </c>
      <c r="K71" s="615">
        <f>VLOOKUP(Table1[[#This Row],[الرقم الوظيفي]],[1]Sheet2!$1:$1048576,13,)</f>
        <v>41023</v>
      </c>
      <c r="L71" s="615">
        <v>43830</v>
      </c>
      <c r="M71" s="599">
        <f>DATEDIF(Table1[[#This Row],[تاريخ التعيين]],Table1[[#This Row],[اخر العام]],"y")</f>
        <v>7</v>
      </c>
      <c r="N71" s="599">
        <f>DATEDIF(Table1[[#This Row],[تاريخ التعيين]],Table1[[#This Row],[اخر العام]],"ym")</f>
        <v>8</v>
      </c>
      <c r="O71" s="610">
        <f>Table1[[#This Row],[سنوات الخدمه]]*1+Table1[[#This Row],[الشهور اقل من سنه]]*0.08</f>
        <v>7.64</v>
      </c>
      <c r="P71" s="616">
        <v>4220</v>
      </c>
      <c r="Q71" s="617">
        <v>560.41600000000005</v>
      </c>
      <c r="R71" s="612"/>
      <c r="S71" s="599"/>
      <c r="T71" s="612"/>
      <c r="U71" s="612"/>
      <c r="V71" s="612"/>
      <c r="W71" s="612"/>
      <c r="X71" s="612"/>
      <c r="Y71" s="612"/>
      <c r="Z71" s="612"/>
      <c r="AA7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1" s="612"/>
      <c r="AC71" s="599"/>
      <c r="AD71" s="612"/>
      <c r="AE71" s="612"/>
      <c r="AF71" s="612"/>
      <c r="AG71" s="612"/>
      <c r="AH71" s="619">
        <f>SUM(Table1[[#This Row],[التقييد  باللوائح و تنفيذالتوجيه]:[اتباع اجراءات السلامه]])</f>
        <v>0</v>
      </c>
      <c r="AI71" s="619">
        <f>Table1[[#This Row],[المجموع]]+Table1[[#This Row],[المجموع2]]</f>
        <v>0</v>
      </c>
      <c r="AJ71" s="612"/>
      <c r="AK71" s="612"/>
      <c r="AL71" s="612"/>
      <c r="AM71" s="612"/>
      <c r="AN71" s="612"/>
      <c r="AO71" s="606">
        <f>Table1[[#This Row],[المجموع 1+2]]*$AO$2</f>
        <v>0</v>
      </c>
      <c r="AP71" s="648">
        <f>Table1[[#This Row],[راتب ديسمبر 2019]]*Table1[[#This Row],[نسبه التقييم الرئيسي 2018]]%</f>
        <v>0</v>
      </c>
      <c r="AQ71" s="627">
        <f>Table1[[#This Row],[مبلغ التقييم النسبي 2018]]+Table1[[#This Row],[راتب ديسمبر 2019]]</f>
        <v>4220</v>
      </c>
      <c r="AR71" s="611">
        <f>IF(Table1[[#This Row],[Column3]]&lt;0,0,Table1[[#This Row],[Column3]])</f>
        <v>2780</v>
      </c>
      <c r="AS71" s="599">
        <f>VLOOKUP(Table1[[#This Row],[درجه التوسيط]],Table10[],3,)</f>
        <v>7000</v>
      </c>
      <c r="AT71" s="608">
        <f>Table1[[#This Row],[الراتب 2018+النسبه]]+Table1[[#This Row],[فروقات الحد الادني]]</f>
        <v>7000</v>
      </c>
      <c r="AU71" s="629">
        <f>Table1[[#This Row],[الراتب 2018 + النسبه + الفرق]]-Table1[[#This Row],[راتب ديسمبر 2019]]</f>
        <v>2780</v>
      </c>
      <c r="AV71" s="628">
        <f>Table1[[#This Row],[الزياده]]/Table1[[#This Row],[راتب ديسمبر 2019]]%</f>
        <v>65.876777251184834</v>
      </c>
      <c r="AW71" s="659">
        <f>IF(Table1[[#This Row],[Column4]]&lt;0,0,Table1[[#This Row],[Column4]])</f>
        <v>0</v>
      </c>
      <c r="AX71" s="611">
        <f>Table1[[#This Row],[الجبر حتي]]-Table1[[#This Row],[رن]]</f>
        <v>8.4400000000005093</v>
      </c>
      <c r="AY71" s="611">
        <f>Table1[[#This Row],[الزياده]]+Table1[[#This Row],[التعديل]]+Table1[[#This Row],[جبر الرقم]]</f>
        <v>2788.4400000000005</v>
      </c>
      <c r="AZ71" s="611">
        <f>Table1[[#This Row],[الراتب 2018 + النسبه + الفرق]]+Table1[[#This Row],[جبر الرقم]]+Table1[[#This Row],[التعديل]]</f>
        <v>7008.4400000000005</v>
      </c>
      <c r="BA71" s="631">
        <f>Table1[[#This Row],[الزياده النهائيه]]/Table1[[#This Row],[راتب ديسمبر 2019]]%</f>
        <v>66.076777251184836</v>
      </c>
      <c r="BB71" s="612">
        <f>VLOOKUP(Table1[[#This Row],[الرقم الوظيفي]],Table6[],8,)</f>
        <v>4220</v>
      </c>
      <c r="BC71" s="7"/>
      <c r="BD71" s="7">
        <v>6330</v>
      </c>
      <c r="BE71" s="7">
        <v>6321.5599999999995</v>
      </c>
      <c r="BF71" s="5">
        <f>Table1[[#This Row],[الحد الادني]]-Table1[[#This Row],[الراتب 2018+النسبه]]</f>
        <v>2780</v>
      </c>
      <c r="BG71" s="5">
        <f>Table1[[#This Row],[التعديل حتي]]-Table1[[#This Row],[kkk]]</f>
        <v>-6321.5599999999995</v>
      </c>
      <c r="BH71" s="5">
        <v>6321.5599999999995</v>
      </c>
      <c r="BI71" s="5">
        <f>IF(Table1[[#This Row],[Column4]]&lt;0,0,Table1[[#This Row],[Column4]])</f>
        <v>0</v>
      </c>
    </row>
    <row r="72" spans="1:61" ht="21" customHeight="1">
      <c r="A72" s="602">
        <v>242</v>
      </c>
      <c r="B72" s="618" t="str">
        <f>VLOOKUP(Table1[[#This Row],[الرقم الوظيفي]],[1]Sheet2!$1:$1048576,2,)</f>
        <v>عبدالوكيل الجيلانى الختيم حسين</v>
      </c>
      <c r="C72" s="618" t="str">
        <f>VLOOKUP(Table1[[#This Row],[الرقم الوظيفي]],[1]Sheet2!$1:$1048576,7,)</f>
        <v>المصنع</v>
      </c>
      <c r="D72" s="618" t="str">
        <f>VLOOKUP(Table1[[#This Row],[الرقم الوظيفي]],[1]Sheet2!$1:$1048576,8,)</f>
        <v>الاداره</v>
      </c>
      <c r="E72" s="599">
        <f>VLOOKUP(Table1[[#This Row],[الرقم الوظيفي]],[1]Sheet2!$1:$1048576,9,)</f>
        <v>0</v>
      </c>
      <c r="F72" s="599" t="str">
        <f>VLOOKUP(Table1[[#This Row],[الرقم الوظيفي]],[1]Sheet2!$1:$1048576,12,)</f>
        <v>موظف مشتروات</v>
      </c>
      <c r="G72" s="599">
        <f>VLOOKUP(Table1[[#This Row],[الرقم الوظيفي]],[1]Sheet2!$1:$1048576,72,)</f>
        <v>0</v>
      </c>
      <c r="H72" s="599">
        <f>VLOOKUP(Table1[[#This Row],[الرقم الوظيفي]],[1]Sheet2!$1:$1048576,71,)</f>
        <v>0</v>
      </c>
      <c r="I72" s="599" t="str">
        <f>VLOOKUP(Table1[[#This Row],[المؤهل الرئيسي]],Table4[],3,)</f>
        <v>H</v>
      </c>
      <c r="J72" s="599" t="s">
        <v>922</v>
      </c>
      <c r="K72" s="615">
        <f>VLOOKUP(Table1[[#This Row],[الرقم الوظيفي]],[1]Sheet2!$1:$1048576,13,)</f>
        <v>41022</v>
      </c>
      <c r="L72" s="615">
        <v>43830</v>
      </c>
      <c r="M72" s="599">
        <f>DATEDIF(Table1[[#This Row],[تاريخ التعيين]],Table1[[#This Row],[اخر العام]],"y")</f>
        <v>7</v>
      </c>
      <c r="N72" s="599">
        <f>DATEDIF(Table1[[#This Row],[تاريخ التعيين]],Table1[[#This Row],[اخر العام]],"ym")</f>
        <v>8</v>
      </c>
      <c r="O72" s="610">
        <f>Table1[[#This Row],[سنوات الخدمه]]*1+Table1[[#This Row],[الشهور اقل من سنه]]*0.08</f>
        <v>7.64</v>
      </c>
      <c r="P72" s="616">
        <v>4290</v>
      </c>
      <c r="Q72" s="617">
        <v>569.71199999999999</v>
      </c>
      <c r="R72" s="612"/>
      <c r="S72" s="599"/>
      <c r="T72" s="612"/>
      <c r="U72" s="612"/>
      <c r="V72" s="612"/>
      <c r="W72" s="612"/>
      <c r="X72" s="612"/>
      <c r="Y72" s="612"/>
      <c r="Z72" s="612"/>
      <c r="AA7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2" s="612"/>
      <c r="AC72" s="599"/>
      <c r="AD72" s="612"/>
      <c r="AE72" s="612"/>
      <c r="AF72" s="612"/>
      <c r="AG72" s="612"/>
      <c r="AH72" s="619">
        <f>SUM(Table1[[#This Row],[التقييد  باللوائح و تنفيذالتوجيه]:[اتباع اجراءات السلامه]])</f>
        <v>0</v>
      </c>
      <c r="AI72" s="619">
        <f>Table1[[#This Row],[المجموع]]+Table1[[#This Row],[المجموع2]]</f>
        <v>0</v>
      </c>
      <c r="AJ72" s="612"/>
      <c r="AK72" s="612"/>
      <c r="AL72" s="612"/>
      <c r="AM72" s="612"/>
      <c r="AN72" s="612"/>
      <c r="AO72" s="606">
        <f>Table1[[#This Row],[المجموع 1+2]]*$AO$2</f>
        <v>0</v>
      </c>
      <c r="AP72" s="648">
        <f>Table1[[#This Row],[راتب ديسمبر 2019]]*Table1[[#This Row],[نسبه التقييم الرئيسي 2018]]%</f>
        <v>0</v>
      </c>
      <c r="AQ72" s="627">
        <f>Table1[[#This Row],[مبلغ التقييم النسبي 2018]]+Table1[[#This Row],[راتب ديسمبر 2019]]</f>
        <v>4290</v>
      </c>
      <c r="AR72" s="611">
        <f>IF(Table1[[#This Row],[Column3]]&lt;0,0,Table1[[#This Row],[Column3]])</f>
        <v>6710</v>
      </c>
      <c r="AS72" s="599">
        <f>VLOOKUP(Table1[[#This Row],[درجه التوسيط]],Table10[],3,)</f>
        <v>11000</v>
      </c>
      <c r="AT72" s="608">
        <f>Table1[[#This Row],[الراتب 2018+النسبه]]+Table1[[#This Row],[فروقات الحد الادني]]</f>
        <v>11000</v>
      </c>
      <c r="AU72" s="629">
        <f>Table1[[#This Row],[الراتب 2018 + النسبه + الفرق]]-Table1[[#This Row],[راتب ديسمبر 2019]]</f>
        <v>6710</v>
      </c>
      <c r="AV72" s="628">
        <f>Table1[[#This Row],[الزياده]]/Table1[[#This Row],[راتب ديسمبر 2019]]%</f>
        <v>156.41025641025641</v>
      </c>
      <c r="AW72" s="659">
        <f>IF(Table1[[#This Row],[Column4]]&lt;0,0,Table1[[#This Row],[Column4]])</f>
        <v>1000</v>
      </c>
      <c r="AX72" s="611">
        <f>Table1[[#This Row],[الجبر حتي]]-Table1[[#This Row],[رن]]</f>
        <v>0</v>
      </c>
      <c r="AY72" s="611">
        <f>Table1[[#This Row],[الزياده]]+Table1[[#This Row],[التعديل]]+Table1[[#This Row],[جبر الرقم]]</f>
        <v>7710</v>
      </c>
      <c r="AZ72" s="611">
        <f>Table1[[#This Row],[الراتب 2018 + النسبه + الفرق]]+Table1[[#This Row],[جبر الرقم]]+Table1[[#This Row],[التعديل]]</f>
        <v>12000</v>
      </c>
      <c r="BA72" s="631">
        <f>Table1[[#This Row],[الزياده النهائيه]]/Table1[[#This Row],[راتب ديسمبر 2019]]%</f>
        <v>179.72027972027973</v>
      </c>
      <c r="BB72" s="612">
        <f>VLOOKUP(Table1[[#This Row],[الرقم الوظيفي]],Table6[],8,)</f>
        <v>4290</v>
      </c>
      <c r="BC72" s="7">
        <v>8000</v>
      </c>
      <c r="BD72" s="7">
        <v>7000</v>
      </c>
      <c r="BE72" s="7">
        <v>7000</v>
      </c>
      <c r="BF72" s="5">
        <f>Table1[[#This Row],[الحد الادني]]-Table1[[#This Row],[الراتب 2018+النسبه]]</f>
        <v>6710</v>
      </c>
      <c r="BG72" s="5">
        <f>Table1[[#This Row],[التعديل حتي]]-Table1[[#This Row],[kkk]]</f>
        <v>1000</v>
      </c>
      <c r="BH72" s="5">
        <v>7000</v>
      </c>
      <c r="BI72" s="5">
        <f>IF(Table1[[#This Row],[Column4]]&lt;0,0,Table1[[#This Row],[Column4]])</f>
        <v>1000</v>
      </c>
    </row>
    <row r="73" spans="1:61" ht="21" customHeight="1">
      <c r="A73" s="602">
        <v>260</v>
      </c>
      <c r="B73" s="618" t="str">
        <f>VLOOKUP(Table1[[#This Row],[الرقم الوظيفي]],[1]Sheet2!$1:$1048576,2,)</f>
        <v>محمد عبدالمنعم عطا الفضيل خليفه</v>
      </c>
      <c r="C73" s="618" t="str">
        <f>VLOOKUP(Table1[[#This Row],[الرقم الوظيفي]],[1]Sheet2!$1:$1048576,7,)</f>
        <v>المصنع</v>
      </c>
      <c r="D73" s="618" t="str">
        <f>VLOOKUP(Table1[[#This Row],[الرقم الوظيفي]],[1]Sheet2!$1:$1048576,8,)</f>
        <v>الانتاج</v>
      </c>
      <c r="E73" s="599" t="str">
        <f>VLOOKUP(Table1[[#This Row],[الرقم الوظيفي]],[1]Sheet2!$1:$1048576,9,)</f>
        <v>الاكسبنده</v>
      </c>
      <c r="F73" s="599" t="str">
        <f>VLOOKUP(Table1[[#This Row],[الرقم الوظيفي]],[1]Sheet2!$1:$1048576,12,)</f>
        <v>مشغل</v>
      </c>
      <c r="G73" s="599" t="str">
        <f>VLOOKUP(Table1[[#This Row],[الرقم الوظيفي]],[1]Sheet2!$1:$1048576,72,)</f>
        <v>دبلوم وسيط</v>
      </c>
      <c r="H73" s="599" t="str">
        <f>VLOOKUP(Table1[[#This Row],[الرقم الوظيفي]],[1]Sheet2!$1:$1048576,71,)</f>
        <v>العلوم الرياضيه والحاسوب</v>
      </c>
      <c r="I73" s="599" t="str">
        <f>VLOOKUP(Table1[[#This Row],[المؤهل الرئيسي]],Table4[],3,)</f>
        <v>E</v>
      </c>
      <c r="J73" s="599" t="s">
        <v>925</v>
      </c>
      <c r="K73" s="615">
        <f>VLOOKUP(Table1[[#This Row],[الرقم الوظيفي]],[1]Sheet2!$1:$1048576,13,)</f>
        <v>42312</v>
      </c>
      <c r="L73" s="615">
        <v>43830</v>
      </c>
      <c r="M73" s="599">
        <f>DATEDIF(Table1[[#This Row],[تاريخ التعيين]],Table1[[#This Row],[اخر العام]],"y")</f>
        <v>4</v>
      </c>
      <c r="N73" s="599">
        <f>DATEDIF(Table1[[#This Row],[تاريخ التعيين]],Table1[[#This Row],[اخر العام]],"ym")</f>
        <v>1</v>
      </c>
      <c r="O73" s="610">
        <f>Table1[[#This Row],[سنوات الخدمه]]*1+Table1[[#This Row],[الشهور اقل من سنه]]*0.08</f>
        <v>4.08</v>
      </c>
      <c r="P73" s="616">
        <v>4100</v>
      </c>
      <c r="Q73" s="617">
        <v>252.56</v>
      </c>
      <c r="R73" s="612"/>
      <c r="S73" s="599"/>
      <c r="T73" s="612"/>
      <c r="U73" s="612"/>
      <c r="V73" s="612"/>
      <c r="W73" s="612"/>
      <c r="X73" s="612"/>
      <c r="Y73" s="612"/>
      <c r="Z73" s="612"/>
      <c r="AA7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3" s="612"/>
      <c r="AC73" s="599"/>
      <c r="AD73" s="612"/>
      <c r="AE73" s="612"/>
      <c r="AF73" s="612"/>
      <c r="AG73" s="612"/>
      <c r="AH73" s="619">
        <f>SUM(Table1[[#This Row],[التقييد  باللوائح و تنفيذالتوجيه]:[اتباع اجراءات السلامه]])</f>
        <v>0</v>
      </c>
      <c r="AI73" s="619">
        <f>Table1[[#This Row],[المجموع]]+Table1[[#This Row],[المجموع2]]</f>
        <v>0</v>
      </c>
      <c r="AJ73" s="612"/>
      <c r="AK73" s="612"/>
      <c r="AL73" s="612"/>
      <c r="AM73" s="612"/>
      <c r="AN73" s="612"/>
      <c r="AO73" s="606">
        <f>Table1[[#This Row],[المجموع 1+2]]*$AO$2</f>
        <v>0</v>
      </c>
      <c r="AP73" s="648">
        <f>Table1[[#This Row],[راتب ديسمبر 2019]]*Table1[[#This Row],[نسبه التقييم الرئيسي 2018]]%</f>
        <v>0</v>
      </c>
      <c r="AQ73" s="627">
        <f>Table1[[#This Row],[مبلغ التقييم النسبي 2018]]+Table1[[#This Row],[راتب ديسمبر 2019]]</f>
        <v>4100</v>
      </c>
      <c r="AR73" s="611">
        <f>IF(Table1[[#This Row],[Column3]]&lt;0,0,Table1[[#This Row],[Column3]])</f>
        <v>4900</v>
      </c>
      <c r="AS73" s="599">
        <f>VLOOKUP(Table1[[#This Row],[درجه التوسيط]],Table10[],3,)</f>
        <v>9000</v>
      </c>
      <c r="AT73" s="608">
        <f>Table1[[#This Row],[الراتب 2018+النسبه]]+Table1[[#This Row],[فروقات الحد الادني]]</f>
        <v>9000</v>
      </c>
      <c r="AU73" s="629">
        <f>Table1[[#This Row],[الراتب 2018 + النسبه + الفرق]]-Table1[[#This Row],[راتب ديسمبر 2019]]</f>
        <v>4900</v>
      </c>
      <c r="AV73" s="628">
        <f>Table1[[#This Row],[الزياده]]/Table1[[#This Row],[راتب ديسمبر 2019]]%</f>
        <v>119.51219512195122</v>
      </c>
      <c r="AW73" s="659">
        <f>IF(Table1[[#This Row],[Column4]]&lt;0,0,Table1[[#This Row],[Column4]])</f>
        <v>0</v>
      </c>
      <c r="AX73" s="611">
        <f>Table1[[#This Row],[الجبر حتي]]-Table1[[#This Row],[رن]]</f>
        <v>3</v>
      </c>
      <c r="AY73" s="611">
        <f>Table1[[#This Row],[الزياده]]+Table1[[#This Row],[التعديل]]+Table1[[#This Row],[جبر الرقم]]</f>
        <v>4903</v>
      </c>
      <c r="AZ73" s="611">
        <f>Table1[[#This Row],[الراتب 2018 + النسبه + الفرق]]+Table1[[#This Row],[جبر الرقم]]+Table1[[#This Row],[التعديل]]</f>
        <v>9003</v>
      </c>
      <c r="BA73" s="631">
        <f>Table1[[#This Row],[الزياده النهائيه]]/Table1[[#This Row],[راتب ديسمبر 2019]]%</f>
        <v>119.58536585365853</v>
      </c>
      <c r="BB73" s="612">
        <f>VLOOKUP(Table1[[#This Row],[الرقم الوظيفي]],Table6[],8,)</f>
        <v>4100</v>
      </c>
      <c r="BC73" s="7"/>
      <c r="BD73" s="7">
        <v>6440</v>
      </c>
      <c r="BE73" s="7">
        <v>6437</v>
      </c>
      <c r="BF73" s="5">
        <f>Table1[[#This Row],[الحد الادني]]-Table1[[#This Row],[الراتب 2018+النسبه]]</f>
        <v>4900</v>
      </c>
      <c r="BG73" s="5">
        <f>Table1[[#This Row],[التعديل حتي]]-Table1[[#This Row],[kkk]]</f>
        <v>-6437</v>
      </c>
      <c r="BH73" s="5">
        <v>6437</v>
      </c>
      <c r="BI73" s="5">
        <f>IF(Table1[[#This Row],[Column4]]&lt;0,0,Table1[[#This Row],[Column4]])</f>
        <v>0</v>
      </c>
    </row>
    <row r="74" spans="1:61" ht="21" customHeight="1">
      <c r="A74" s="602">
        <v>293</v>
      </c>
      <c r="B74" s="618" t="str">
        <f>VLOOKUP(Table1[[#This Row],[الرقم الوظيفي]],[1]Sheet2!$1:$1048576,2,)</f>
        <v>ابراهيم عبدالماجد جاد الله عبدالماجد</v>
      </c>
      <c r="C74" s="618" t="str">
        <f>VLOOKUP(Table1[[#This Row],[الرقم الوظيفي]],[1]Sheet2!$1:$1048576,7,)</f>
        <v>المصنع</v>
      </c>
      <c r="D74" s="618" t="str">
        <f>VLOOKUP(Table1[[#This Row],[الرقم الوظيفي]],[1]Sheet2!$1:$1048576,8,)</f>
        <v>الانتاج</v>
      </c>
      <c r="E74" s="599" t="str">
        <f>VLOOKUP(Table1[[#This Row],[الرقم الوظيفي]],[1]Sheet2!$1:$1048576,9,)</f>
        <v>الزوايا</v>
      </c>
      <c r="F74" s="599" t="str">
        <f>VLOOKUP(Table1[[#This Row],[الرقم الوظيفي]],[1]Sheet2!$1:$1048576,12,)</f>
        <v>مشغل</v>
      </c>
      <c r="G74" s="599">
        <f>VLOOKUP(Table1[[#This Row],[الرقم الوظيفي]],[1]Sheet2!$1:$1048576,72,)</f>
        <v>0</v>
      </c>
      <c r="H74" s="599">
        <f>VLOOKUP(Table1[[#This Row],[الرقم الوظيفي]],[1]Sheet2!$1:$1048576,71,)</f>
        <v>0</v>
      </c>
      <c r="I74" s="599" t="str">
        <f>VLOOKUP(Table1[[#This Row],[المؤهل الرئيسي]],Table4[],3,)</f>
        <v>H</v>
      </c>
      <c r="J74" s="599" t="s">
        <v>926</v>
      </c>
      <c r="K74" s="615">
        <f>VLOOKUP(Table1[[#This Row],[الرقم الوظيفي]],[1]Sheet2!$1:$1048576,13,)</f>
        <v>41100</v>
      </c>
      <c r="L74" s="615">
        <v>43830</v>
      </c>
      <c r="M74" s="599">
        <f>DATEDIF(Table1[[#This Row],[تاريخ التعيين]],Table1[[#This Row],[اخر العام]],"y")</f>
        <v>7</v>
      </c>
      <c r="N74" s="599">
        <f>DATEDIF(Table1[[#This Row],[تاريخ التعيين]],Table1[[#This Row],[اخر العام]],"ym")</f>
        <v>5</v>
      </c>
      <c r="O74" s="610">
        <f>Table1[[#This Row],[سنوات الخدمه]]*1+Table1[[#This Row],[الشهور اقل من سنه]]*0.08</f>
        <v>7.4</v>
      </c>
      <c r="P74" s="616">
        <v>4210</v>
      </c>
      <c r="Q74" s="617">
        <v>538.88</v>
      </c>
      <c r="R74" s="612"/>
      <c r="S74" s="599"/>
      <c r="T74" s="612"/>
      <c r="U74" s="612"/>
      <c r="V74" s="612"/>
      <c r="W74" s="612"/>
      <c r="X74" s="612"/>
      <c r="Y74" s="612"/>
      <c r="Z74" s="612"/>
      <c r="AA7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4" s="612"/>
      <c r="AC74" s="599"/>
      <c r="AD74" s="612"/>
      <c r="AE74" s="612"/>
      <c r="AF74" s="612"/>
      <c r="AG74" s="612"/>
      <c r="AH74" s="619">
        <f>SUM(Table1[[#This Row],[التقييد  باللوائح و تنفيذالتوجيه]:[اتباع اجراءات السلامه]])</f>
        <v>0</v>
      </c>
      <c r="AI74" s="619">
        <f>Table1[[#This Row],[المجموع]]+Table1[[#This Row],[المجموع2]]</f>
        <v>0</v>
      </c>
      <c r="AJ74" s="612"/>
      <c r="AK74" s="612"/>
      <c r="AL74" s="612"/>
      <c r="AM74" s="612"/>
      <c r="AN74" s="612"/>
      <c r="AO74" s="606">
        <f>Table1[[#This Row],[المجموع 1+2]]*$AO$2</f>
        <v>0</v>
      </c>
      <c r="AP74" s="648">
        <f>Table1[[#This Row],[راتب ديسمبر 2019]]*Table1[[#This Row],[نسبه التقييم الرئيسي 2018]]%</f>
        <v>0</v>
      </c>
      <c r="AQ74" s="627">
        <f>Table1[[#This Row],[مبلغ التقييم النسبي 2018]]+Table1[[#This Row],[راتب ديسمبر 2019]]</f>
        <v>4210</v>
      </c>
      <c r="AR74" s="611">
        <f>IF(Table1[[#This Row],[Column3]]&lt;0,0,Table1[[#This Row],[Column3]])</f>
        <v>3790</v>
      </c>
      <c r="AS74" s="599">
        <f>VLOOKUP(Table1[[#This Row],[درجه التوسيط]],Table10[],3,)</f>
        <v>8000</v>
      </c>
      <c r="AT74" s="608">
        <f>Table1[[#This Row],[الراتب 2018+النسبه]]+Table1[[#This Row],[فروقات الحد الادني]]</f>
        <v>8000</v>
      </c>
      <c r="AU74" s="629">
        <f>Table1[[#This Row],[الراتب 2018 + النسبه + الفرق]]-Table1[[#This Row],[راتب ديسمبر 2019]]</f>
        <v>3790</v>
      </c>
      <c r="AV74" s="628">
        <f>Table1[[#This Row],[الزياده]]/Table1[[#This Row],[راتب ديسمبر 2019]]%</f>
        <v>90.023752969121134</v>
      </c>
      <c r="AW74" s="659">
        <f>IF(Table1[[#This Row],[Column4]]&lt;0,0,Table1[[#This Row],[Column4]])</f>
        <v>0</v>
      </c>
      <c r="AX74" s="611">
        <f>Table1[[#This Row],[الجبر حتي]]-Table1[[#This Row],[رن]]</f>
        <v>0.3000000000001819</v>
      </c>
      <c r="AY74" s="611">
        <f>Table1[[#This Row],[الزياده]]+Table1[[#This Row],[التعديل]]+Table1[[#This Row],[جبر الرقم]]</f>
        <v>3790.3</v>
      </c>
      <c r="AZ74" s="611">
        <f>Table1[[#This Row],[الراتب 2018 + النسبه + الفرق]]+Table1[[#This Row],[جبر الرقم]]+Table1[[#This Row],[التعديل]]</f>
        <v>8000.3</v>
      </c>
      <c r="BA74" s="631">
        <f>Table1[[#This Row],[الزياده النهائيه]]/Table1[[#This Row],[راتب ديسمبر 2019]]%</f>
        <v>90.030878859857481</v>
      </c>
      <c r="BB74" s="612">
        <f>VLOOKUP(Table1[[#This Row],[الرقم الوظيفي]],Table6[],8,)</f>
        <v>4210</v>
      </c>
      <c r="BC74" s="7"/>
      <c r="BD74" s="7">
        <v>6610</v>
      </c>
      <c r="BE74" s="7">
        <v>6609.7</v>
      </c>
      <c r="BF74" s="5">
        <f>Table1[[#This Row],[الحد الادني]]-Table1[[#This Row],[الراتب 2018+النسبه]]</f>
        <v>3790</v>
      </c>
      <c r="BG74" s="5">
        <f>Table1[[#This Row],[التعديل حتي]]-Table1[[#This Row],[kkk]]</f>
        <v>-6609.7</v>
      </c>
      <c r="BH74" s="5">
        <v>6609.7</v>
      </c>
      <c r="BI74" s="5">
        <f>IF(Table1[[#This Row],[Column4]]&lt;0,0,Table1[[#This Row],[Column4]])</f>
        <v>0</v>
      </c>
    </row>
    <row r="75" spans="1:61" ht="21" customHeight="1">
      <c r="A75" s="602">
        <v>297</v>
      </c>
      <c r="B75" s="618" t="str">
        <f>VLOOKUP(Table1[[#This Row],[الرقم الوظيفي]],[1]Sheet2!$1:$1048576,2,)</f>
        <v>مقبول حماد كمريا توتو</v>
      </c>
      <c r="C75" s="618" t="str">
        <f>VLOOKUP(Table1[[#This Row],[الرقم الوظيفي]],[1]Sheet2!$1:$1048576,7,)</f>
        <v>المصنع</v>
      </c>
      <c r="D75" s="618" t="str">
        <f>VLOOKUP(Table1[[#This Row],[الرقم الوظيفي]],[1]Sheet2!$1:$1048576,8,)</f>
        <v>الانتاج</v>
      </c>
      <c r="E75" s="599" t="str">
        <f>VLOOKUP(Table1[[#This Row],[الرقم الوظيفي]],[1]Sheet2!$1:$1048576,9,)</f>
        <v>عداد</v>
      </c>
      <c r="F75" s="599" t="str">
        <f>VLOOKUP(Table1[[#This Row],[الرقم الوظيفي]],[1]Sheet2!$1:$1048576,12,)</f>
        <v>مشغل</v>
      </c>
      <c r="G75" s="599">
        <f>VLOOKUP(Table1[[#This Row],[الرقم الوظيفي]],[1]Sheet2!$1:$1048576,72,)</f>
        <v>0</v>
      </c>
      <c r="H75" s="599">
        <f>VLOOKUP(Table1[[#This Row],[الرقم الوظيفي]],[1]Sheet2!$1:$1048576,71,)</f>
        <v>0</v>
      </c>
      <c r="I75" s="599" t="str">
        <f>VLOOKUP(Table1[[#This Row],[المؤهل الرئيسي]],Table4[],3,)</f>
        <v>H</v>
      </c>
      <c r="J75" s="599" t="s">
        <v>923</v>
      </c>
      <c r="K75" s="615">
        <f>VLOOKUP(Table1[[#This Row],[الرقم الوظيفي]],[1]Sheet2!$1:$1048576,13,)</f>
        <v>41101</v>
      </c>
      <c r="L75" s="615">
        <v>43830</v>
      </c>
      <c r="M75" s="599">
        <f>DATEDIF(Table1[[#This Row],[تاريخ التعيين]],Table1[[#This Row],[اخر العام]],"y")</f>
        <v>7</v>
      </c>
      <c r="N75" s="599">
        <f>DATEDIF(Table1[[#This Row],[تاريخ التعيين]],Table1[[#This Row],[اخر العام]],"ym")</f>
        <v>5</v>
      </c>
      <c r="O75" s="610">
        <f>Table1[[#This Row],[سنوات الخدمه]]*1+Table1[[#This Row],[الشهور اقل من سنه]]*0.08</f>
        <v>7.4</v>
      </c>
      <c r="P75" s="616">
        <v>4260</v>
      </c>
      <c r="Q75" s="617">
        <v>545.28</v>
      </c>
      <c r="R75" s="612"/>
      <c r="S75" s="599"/>
      <c r="T75" s="612"/>
      <c r="U75" s="612"/>
      <c r="V75" s="612"/>
      <c r="W75" s="612"/>
      <c r="X75" s="612"/>
      <c r="Y75" s="612"/>
      <c r="Z75" s="612"/>
      <c r="AA7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5" s="612"/>
      <c r="AC75" s="599"/>
      <c r="AD75" s="612"/>
      <c r="AE75" s="612"/>
      <c r="AF75" s="612"/>
      <c r="AG75" s="612"/>
      <c r="AH75" s="619">
        <f>SUM(Table1[[#This Row],[التقييد  باللوائح و تنفيذالتوجيه]:[اتباع اجراءات السلامه]])</f>
        <v>0</v>
      </c>
      <c r="AI75" s="619">
        <f>Table1[[#This Row],[المجموع]]+Table1[[#This Row],[المجموع2]]</f>
        <v>0</v>
      </c>
      <c r="AJ75" s="612"/>
      <c r="AK75" s="612"/>
      <c r="AL75" s="612"/>
      <c r="AM75" s="612"/>
      <c r="AN75" s="612"/>
      <c r="AO75" s="606">
        <f>Table1[[#This Row],[المجموع 1+2]]*$AO$2</f>
        <v>0</v>
      </c>
      <c r="AP75" s="648">
        <f>Table1[[#This Row],[راتب ديسمبر 2019]]*Table1[[#This Row],[نسبه التقييم الرئيسي 2018]]%</f>
        <v>0</v>
      </c>
      <c r="AQ75" s="627">
        <f>Table1[[#This Row],[مبلغ التقييم النسبي 2018]]+Table1[[#This Row],[راتب ديسمبر 2019]]</f>
        <v>4260</v>
      </c>
      <c r="AR75" s="611">
        <f>IF(Table1[[#This Row],[Column3]]&lt;0,0,Table1[[#This Row],[Column3]])</f>
        <v>5740</v>
      </c>
      <c r="AS75" s="599">
        <f>VLOOKUP(Table1[[#This Row],[درجه التوسيط]],Table10[],3,)</f>
        <v>10000</v>
      </c>
      <c r="AT75" s="608">
        <f>Table1[[#This Row],[الراتب 2018+النسبه]]+Table1[[#This Row],[فروقات الحد الادني]]</f>
        <v>10000</v>
      </c>
      <c r="AU75" s="629">
        <f>Table1[[#This Row],[الراتب 2018 + النسبه + الفرق]]-Table1[[#This Row],[راتب ديسمبر 2019]]</f>
        <v>5740</v>
      </c>
      <c r="AV75" s="628">
        <f>Table1[[#This Row],[الزياده]]/Table1[[#This Row],[راتب ديسمبر 2019]]%</f>
        <v>134.74178403755869</v>
      </c>
      <c r="AW75" s="659">
        <f>IF(Table1[[#This Row],[Column4]]&lt;0,0,Table1[[#This Row],[Column4]])</f>
        <v>0</v>
      </c>
      <c r="AX75" s="611">
        <f>Table1[[#This Row],[الجبر حتي]]-Table1[[#This Row],[رن]]</f>
        <v>6.2399999999997817</v>
      </c>
      <c r="AY75" s="611">
        <f>Table1[[#This Row],[الزياده]]+Table1[[#This Row],[التعديل]]+Table1[[#This Row],[جبر الرقم]]</f>
        <v>5746.24</v>
      </c>
      <c r="AZ75" s="611">
        <f>Table1[[#This Row],[الراتب 2018 + النسبه + الفرق]]+Table1[[#This Row],[جبر الرقم]]+Table1[[#This Row],[التعديل]]</f>
        <v>10006.24</v>
      </c>
      <c r="BA75" s="631">
        <f>Table1[[#This Row],[الزياده النهائيه]]/Table1[[#This Row],[راتب ديسمبر 2019]]%</f>
        <v>134.88826291079812</v>
      </c>
      <c r="BB75" s="612">
        <f>VLOOKUP(Table1[[#This Row],[الرقم الوظيفي]],Table6[],8,)</f>
        <v>4260</v>
      </c>
      <c r="BC75" s="7"/>
      <c r="BD75" s="7">
        <v>6720</v>
      </c>
      <c r="BE75" s="7">
        <v>6713.76</v>
      </c>
      <c r="BF75" s="5">
        <f>Table1[[#This Row],[الحد الادني]]-Table1[[#This Row],[الراتب 2018+النسبه]]</f>
        <v>5740</v>
      </c>
      <c r="BG75" s="5">
        <f>Table1[[#This Row],[التعديل حتي]]-Table1[[#This Row],[kkk]]</f>
        <v>-6713.76</v>
      </c>
      <c r="BH75" s="5">
        <v>6713.76</v>
      </c>
      <c r="BI75" s="5">
        <f>IF(Table1[[#This Row],[Column4]]&lt;0,0,Table1[[#This Row],[Column4]])</f>
        <v>0</v>
      </c>
    </row>
    <row r="76" spans="1:61" ht="21" customHeight="1">
      <c r="A76" s="602">
        <v>301</v>
      </c>
      <c r="B76" s="618" t="str">
        <f>VLOOKUP(Table1[[#This Row],[الرقم الوظيفي]],[1]Sheet2!$1:$1048576,2,)</f>
        <v>موسى محمد حماد ماهل</v>
      </c>
      <c r="C76" s="618" t="str">
        <f>VLOOKUP(Table1[[#This Row],[الرقم الوظيفي]],[1]Sheet2!$1:$1048576,7,)</f>
        <v>المصنع</v>
      </c>
      <c r="D76" s="618" t="str">
        <f>VLOOKUP(Table1[[#This Row],[الرقم الوظيفي]],[1]Sheet2!$1:$1048576,8,)</f>
        <v>الانتاج</v>
      </c>
      <c r="E76" s="599" t="str">
        <f>VLOOKUP(Table1[[#This Row],[الرقم الوظيفي]],[1]Sheet2!$1:$1048576,9,)</f>
        <v>الزوايا</v>
      </c>
      <c r="F76" s="599" t="str">
        <f>VLOOKUP(Table1[[#This Row],[الرقم الوظيفي]],[1]Sheet2!$1:$1048576,12,)</f>
        <v>مساعد مشغل</v>
      </c>
      <c r="G76" s="599">
        <f>VLOOKUP(Table1[[#This Row],[الرقم الوظيفي]],[1]Sheet2!$1:$1048576,72,)</f>
        <v>0</v>
      </c>
      <c r="H76" s="599">
        <f>VLOOKUP(Table1[[#This Row],[الرقم الوظيفي]],[1]Sheet2!$1:$1048576,71,)</f>
        <v>0</v>
      </c>
      <c r="I76" s="599" t="str">
        <f>VLOOKUP(Table1[[#This Row],[المؤهل الرئيسي]],Table4[],3,)</f>
        <v>H</v>
      </c>
      <c r="J76" s="599" t="s">
        <v>925</v>
      </c>
      <c r="K76" s="615">
        <f>VLOOKUP(Table1[[#This Row],[الرقم الوظيفي]],[1]Sheet2!$1:$1048576,13,)</f>
        <v>41692</v>
      </c>
      <c r="L76" s="615">
        <v>43830</v>
      </c>
      <c r="M76" s="599">
        <f>DATEDIF(Table1[[#This Row],[تاريخ التعيين]],Table1[[#This Row],[اخر العام]],"y")</f>
        <v>5</v>
      </c>
      <c r="N76" s="599">
        <f>DATEDIF(Table1[[#This Row],[تاريخ التعيين]],Table1[[#This Row],[اخر العام]],"ym")</f>
        <v>10</v>
      </c>
      <c r="O76" s="610">
        <f>Table1[[#This Row],[سنوات الخدمه]]*1+Table1[[#This Row],[الشهور اقل من سنه]]*0.08</f>
        <v>5.8</v>
      </c>
      <c r="P76" s="616">
        <v>4150</v>
      </c>
      <c r="Q76" s="617">
        <v>398.4</v>
      </c>
      <c r="R76" s="612"/>
      <c r="S76" s="599"/>
      <c r="T76" s="612"/>
      <c r="U76" s="612"/>
      <c r="V76" s="612"/>
      <c r="W76" s="612"/>
      <c r="X76" s="612"/>
      <c r="Y76" s="612"/>
      <c r="Z76" s="612"/>
      <c r="AA7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6" s="612"/>
      <c r="AC76" s="599"/>
      <c r="AD76" s="612"/>
      <c r="AE76" s="612"/>
      <c r="AF76" s="612"/>
      <c r="AG76" s="612"/>
      <c r="AH76" s="619">
        <f>SUM(Table1[[#This Row],[التقييد  باللوائح و تنفيذالتوجيه]:[اتباع اجراءات السلامه]])</f>
        <v>0</v>
      </c>
      <c r="AI76" s="619">
        <f>Table1[[#This Row],[المجموع]]+Table1[[#This Row],[المجموع2]]</f>
        <v>0</v>
      </c>
      <c r="AJ76" s="612"/>
      <c r="AK76" s="612"/>
      <c r="AL76" s="612"/>
      <c r="AM76" s="612"/>
      <c r="AN76" s="612"/>
      <c r="AO76" s="606">
        <f>Table1[[#This Row],[المجموع 1+2]]*$AO$2</f>
        <v>0</v>
      </c>
      <c r="AP76" s="648">
        <f>Table1[[#This Row],[راتب ديسمبر 2019]]*Table1[[#This Row],[نسبه التقييم الرئيسي 2018]]%</f>
        <v>0</v>
      </c>
      <c r="AQ76" s="627">
        <f>Table1[[#This Row],[مبلغ التقييم النسبي 2018]]+Table1[[#This Row],[راتب ديسمبر 2019]]</f>
        <v>4150</v>
      </c>
      <c r="AR76" s="611">
        <f>IF(Table1[[#This Row],[Column3]]&lt;0,0,Table1[[#This Row],[Column3]])</f>
        <v>4850</v>
      </c>
      <c r="AS76" s="599">
        <f>VLOOKUP(Table1[[#This Row],[درجه التوسيط]],Table10[],3,)</f>
        <v>9000</v>
      </c>
      <c r="AT76" s="608">
        <f>Table1[[#This Row],[الراتب 2018+النسبه]]+Table1[[#This Row],[فروقات الحد الادني]]</f>
        <v>9000</v>
      </c>
      <c r="AU76" s="629">
        <f>Table1[[#This Row],[الراتب 2018 + النسبه + الفرق]]-Table1[[#This Row],[راتب ديسمبر 2019]]</f>
        <v>4850</v>
      </c>
      <c r="AV76" s="628">
        <f>Table1[[#This Row],[الزياده]]/Table1[[#This Row],[راتب ديسمبر 2019]]%</f>
        <v>116.86746987951807</v>
      </c>
      <c r="AW76" s="659">
        <f>IF(Table1[[#This Row],[Column4]]&lt;0,0,Table1[[#This Row],[Column4]])</f>
        <v>0</v>
      </c>
      <c r="AX76" s="611">
        <f>Table1[[#This Row],[الجبر حتي]]-Table1[[#This Row],[رن]]</f>
        <v>3.7000000000007276</v>
      </c>
      <c r="AY76" s="611">
        <f>Table1[[#This Row],[الزياده]]+Table1[[#This Row],[التعديل]]+Table1[[#This Row],[جبر الرقم]]</f>
        <v>4853.7000000000007</v>
      </c>
      <c r="AZ76" s="611">
        <f>Table1[[#This Row],[الراتب 2018 + النسبه + الفرق]]+Table1[[#This Row],[جبر الرقم]]+Table1[[#This Row],[التعديل]]</f>
        <v>9003.7000000000007</v>
      </c>
      <c r="BA76" s="631">
        <f>Table1[[#This Row],[الزياده النهائيه]]/Table1[[#This Row],[راتب ديسمبر 2019]]%</f>
        <v>116.95662650602411</v>
      </c>
      <c r="BB76" s="612">
        <f>VLOOKUP(Table1[[#This Row],[الرقم الوظيفي]],Table6[],8,)</f>
        <v>4150</v>
      </c>
      <c r="BC76" s="7"/>
      <c r="BD76" s="7">
        <v>6320</v>
      </c>
      <c r="BE76" s="7">
        <v>6316.2999999999993</v>
      </c>
      <c r="BF76" s="5">
        <f>Table1[[#This Row],[الحد الادني]]-Table1[[#This Row],[الراتب 2018+النسبه]]</f>
        <v>4850</v>
      </c>
      <c r="BG76" s="5">
        <f>Table1[[#This Row],[التعديل حتي]]-Table1[[#This Row],[kkk]]</f>
        <v>-6316.2999999999993</v>
      </c>
      <c r="BH76" s="5">
        <v>6316.2999999999993</v>
      </c>
      <c r="BI76" s="5">
        <f>IF(Table1[[#This Row],[Column4]]&lt;0,0,Table1[[#This Row],[Column4]])</f>
        <v>0</v>
      </c>
    </row>
    <row r="77" spans="1:61" ht="21" customHeight="1">
      <c r="A77" s="602">
        <v>322</v>
      </c>
      <c r="B77" s="618" t="str">
        <f>VLOOKUP(Table1[[#This Row],[الرقم الوظيفي]],[1]Sheet2!$1:$1048576,2,)</f>
        <v>نزار عوض حسين محمد</v>
      </c>
      <c r="C77" s="618" t="str">
        <f>VLOOKUP(Table1[[#This Row],[الرقم الوظيفي]],[1]Sheet2!$1:$1048576,7,)</f>
        <v>المصنع</v>
      </c>
      <c r="D77" s="618" t="str">
        <f>VLOOKUP(Table1[[#This Row],[الرقم الوظيفي]],[1]Sheet2!$1:$1048576,8,)</f>
        <v>الانتاج</v>
      </c>
      <c r="E77" s="599" t="str">
        <f>VLOOKUP(Table1[[#This Row],[الرقم الوظيفي]],[1]Sheet2!$1:$1048576,9,)</f>
        <v>الاكسبنده</v>
      </c>
      <c r="F77" s="599" t="str">
        <f>VLOOKUP(Table1[[#This Row],[الرقم الوظيفي]],[1]Sheet2!$1:$1048576,12,)</f>
        <v>مساعد مشغل</v>
      </c>
      <c r="G77" s="599">
        <f>VLOOKUP(Table1[[#This Row],[الرقم الوظيفي]],[1]Sheet2!$1:$1048576,72,)</f>
        <v>0</v>
      </c>
      <c r="H77" s="599">
        <f>VLOOKUP(Table1[[#This Row],[الرقم الوظيفي]],[1]Sheet2!$1:$1048576,71,)</f>
        <v>0</v>
      </c>
      <c r="I77" s="599" t="str">
        <f>VLOOKUP(Table1[[#This Row],[المؤهل الرئيسي]],Table4[],3,)</f>
        <v>H</v>
      </c>
      <c r="J77" s="599" t="s">
        <v>929</v>
      </c>
      <c r="K77" s="615">
        <f>VLOOKUP(Table1[[#This Row],[الرقم الوظيفي]],[1]Sheet2!$1:$1048576,13,)</f>
        <v>41161</v>
      </c>
      <c r="L77" s="615">
        <v>43830</v>
      </c>
      <c r="M77" s="599">
        <f>DATEDIF(Table1[[#This Row],[تاريخ التعيين]],Table1[[#This Row],[اخر العام]],"y")</f>
        <v>7</v>
      </c>
      <c r="N77" s="599">
        <f>DATEDIF(Table1[[#This Row],[تاريخ التعيين]],Table1[[#This Row],[اخر العام]],"ym")</f>
        <v>3</v>
      </c>
      <c r="O77" s="610">
        <f>Table1[[#This Row],[سنوات الخدمه]]*1+Table1[[#This Row],[الشهور اقل من سنه]]*0.08</f>
        <v>7.24</v>
      </c>
      <c r="P77" s="616">
        <v>4200</v>
      </c>
      <c r="Q77" s="617">
        <v>524.16</v>
      </c>
      <c r="R77" s="612"/>
      <c r="S77" s="599"/>
      <c r="T77" s="612"/>
      <c r="U77" s="612"/>
      <c r="V77" s="612"/>
      <c r="W77" s="612"/>
      <c r="X77" s="612"/>
      <c r="Y77" s="612"/>
      <c r="Z77" s="612"/>
      <c r="AA7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7" s="612"/>
      <c r="AC77" s="599"/>
      <c r="AD77" s="612"/>
      <c r="AE77" s="612"/>
      <c r="AF77" s="612"/>
      <c r="AG77" s="612"/>
      <c r="AH77" s="619">
        <f>SUM(Table1[[#This Row],[التقييد  باللوائح و تنفيذالتوجيه]:[اتباع اجراءات السلامه]])</f>
        <v>0</v>
      </c>
      <c r="AI77" s="619">
        <f>Table1[[#This Row],[المجموع]]+Table1[[#This Row],[المجموع2]]</f>
        <v>0</v>
      </c>
      <c r="AJ77" s="612"/>
      <c r="AK77" s="612"/>
      <c r="AL77" s="612"/>
      <c r="AM77" s="612"/>
      <c r="AN77" s="612"/>
      <c r="AO77" s="606">
        <f>Table1[[#This Row],[المجموع 1+2]]*$AO$2</f>
        <v>0</v>
      </c>
      <c r="AP77" s="648">
        <f>Table1[[#This Row],[راتب ديسمبر 2019]]*Table1[[#This Row],[نسبه التقييم الرئيسي 2018]]%</f>
        <v>0</v>
      </c>
      <c r="AQ77" s="627">
        <f>Table1[[#This Row],[مبلغ التقييم النسبي 2018]]+Table1[[#This Row],[راتب ديسمبر 2019]]</f>
        <v>4200</v>
      </c>
      <c r="AR77" s="611">
        <f>IF(Table1[[#This Row],[Column3]]&lt;0,0,Table1[[#This Row],[Column3]])</f>
        <v>1800</v>
      </c>
      <c r="AS77" s="599">
        <f>VLOOKUP(Table1[[#This Row],[درجه التوسيط]],Table10[],3,)</f>
        <v>6000</v>
      </c>
      <c r="AT77" s="608">
        <f>Table1[[#This Row],[الراتب 2018+النسبه]]+Table1[[#This Row],[فروقات الحد الادني]]</f>
        <v>6000</v>
      </c>
      <c r="AU77" s="629">
        <f>Table1[[#This Row],[الراتب 2018 + النسبه + الفرق]]-Table1[[#This Row],[راتب ديسمبر 2019]]</f>
        <v>1800</v>
      </c>
      <c r="AV77" s="628">
        <f>Table1[[#This Row],[الزياده]]/Table1[[#This Row],[راتب ديسمبر 2019]]%</f>
        <v>42.857142857142854</v>
      </c>
      <c r="AW77" s="659">
        <f>IF(Table1[[#This Row],[Column4]]&lt;0,0,Table1[[#This Row],[Column4]])</f>
        <v>0</v>
      </c>
      <c r="AX77" s="611">
        <f>Table1[[#This Row],[الجبر حتي]]-Table1[[#This Row],[رن]]</f>
        <v>8.8000000000001819</v>
      </c>
      <c r="AY77" s="611">
        <f>Table1[[#This Row],[الزياده]]+Table1[[#This Row],[التعديل]]+Table1[[#This Row],[جبر الرقم]]</f>
        <v>1808.8000000000002</v>
      </c>
      <c r="AZ77" s="611">
        <f>Table1[[#This Row],[الراتب 2018 + النسبه + الفرق]]+Table1[[#This Row],[جبر الرقم]]+Table1[[#This Row],[التعديل]]</f>
        <v>6008.8</v>
      </c>
      <c r="BA77" s="631">
        <f>Table1[[#This Row],[الزياده النهائيه]]/Table1[[#This Row],[راتب ديسمبر 2019]]%</f>
        <v>43.06666666666667</v>
      </c>
      <c r="BB77" s="612">
        <f>VLOOKUP(Table1[[#This Row],[الرقم الوظيفي]],Table6[],8,)</f>
        <v>4200</v>
      </c>
      <c r="BC77" s="7"/>
      <c r="BD77" s="7">
        <v>6250</v>
      </c>
      <c r="BE77" s="7">
        <v>6241.2</v>
      </c>
      <c r="BF77" s="5">
        <f>Table1[[#This Row],[الحد الادني]]-Table1[[#This Row],[الراتب 2018+النسبه]]</f>
        <v>1800</v>
      </c>
      <c r="BG77" s="5">
        <f>Table1[[#This Row],[التعديل حتي]]-Table1[[#This Row],[kkk]]</f>
        <v>-6241.2</v>
      </c>
      <c r="BH77" s="5">
        <v>6241.2</v>
      </c>
      <c r="BI77" s="5">
        <f>IF(Table1[[#This Row],[Column4]]&lt;0,0,Table1[[#This Row],[Column4]])</f>
        <v>0</v>
      </c>
    </row>
    <row r="78" spans="1:61" ht="21" customHeight="1">
      <c r="A78" s="602">
        <v>330</v>
      </c>
      <c r="B78" s="618" t="str">
        <f>VLOOKUP(Table1[[#This Row],[الرقم الوظيفي]],[1]Sheet2!$1:$1048576,2,)</f>
        <v>سلافه يونس حسن وقيع الله</v>
      </c>
      <c r="C78" s="618" t="str">
        <f>VLOOKUP(Table1[[#This Row],[الرقم الوظيفي]],[1]Sheet2!$1:$1048576,7,)</f>
        <v>الرئاسه</v>
      </c>
      <c r="D78" s="618" t="str">
        <f>VLOOKUP(Table1[[#This Row],[الرقم الوظيفي]],[1]Sheet2!$1:$1048576,8,)</f>
        <v>الاداره</v>
      </c>
      <c r="E78" s="599">
        <f>VLOOKUP(Table1[[#This Row],[الرقم الوظيفي]],[1]Sheet2!$1:$1048576,9,)</f>
        <v>0</v>
      </c>
      <c r="F78" s="599" t="str">
        <f>VLOOKUP(Table1[[#This Row],[الرقم الوظيفي]],[1]Sheet2!$1:$1048576,12,)</f>
        <v>سكرتيرة</v>
      </c>
      <c r="G78" s="599" t="str">
        <f>VLOOKUP(Table1[[#This Row],[الرقم الوظيفي]],[1]Sheet2!$1:$1048576,72,)</f>
        <v>دبلوم تقني</v>
      </c>
      <c r="H78" s="599" t="str">
        <f>VLOOKUP(Table1[[#This Row],[الرقم الوظيفي]],[1]Sheet2!$1:$1048576,71,)</f>
        <v>ترجمة</v>
      </c>
      <c r="I78" s="599" t="str">
        <f>VLOOKUP(Table1[[#This Row],[المؤهل الرئيسي]],Table4[],3,)</f>
        <v>D</v>
      </c>
      <c r="J78" s="599" t="s">
        <v>922</v>
      </c>
      <c r="K78" s="615">
        <f>VLOOKUP(Table1[[#This Row],[الرقم الوظيفي]],[1]Sheet2!$1:$1048576,13,)</f>
        <v>41177</v>
      </c>
      <c r="L78" s="615">
        <v>43830</v>
      </c>
      <c r="M78" s="599">
        <f>DATEDIF(Table1[[#This Row],[تاريخ التعيين]],Table1[[#This Row],[اخر العام]],"y")</f>
        <v>7</v>
      </c>
      <c r="N78" s="599">
        <f>DATEDIF(Table1[[#This Row],[تاريخ التعيين]],Table1[[#This Row],[اخر العام]],"ym")</f>
        <v>3</v>
      </c>
      <c r="O78" s="610">
        <f>Table1[[#This Row],[سنوات الخدمه]]*1+Table1[[#This Row],[الشهور اقل من سنه]]*0.08</f>
        <v>7.24</v>
      </c>
      <c r="P78" s="616">
        <v>4740</v>
      </c>
      <c r="Q78" s="617">
        <v>591.55200000000002</v>
      </c>
      <c r="R78" s="612"/>
      <c r="S78" s="599"/>
      <c r="T78" s="612"/>
      <c r="U78" s="612"/>
      <c r="V78" s="612"/>
      <c r="W78" s="612"/>
      <c r="X78" s="612"/>
      <c r="Y78" s="612"/>
      <c r="Z78" s="612"/>
      <c r="AA7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8" s="612"/>
      <c r="AC78" s="599"/>
      <c r="AD78" s="612"/>
      <c r="AE78" s="612"/>
      <c r="AF78" s="612"/>
      <c r="AG78" s="612"/>
      <c r="AH78" s="619">
        <f>SUM(Table1[[#This Row],[التقييد  باللوائح و تنفيذالتوجيه]:[اتباع اجراءات السلامه]])</f>
        <v>0</v>
      </c>
      <c r="AI78" s="619">
        <f>Table1[[#This Row],[المجموع]]+Table1[[#This Row],[المجموع2]]</f>
        <v>0</v>
      </c>
      <c r="AJ78" s="612">
        <v>9</v>
      </c>
      <c r="AK78" s="612"/>
      <c r="AL78" s="612"/>
      <c r="AM78" s="612">
        <v>7</v>
      </c>
      <c r="AN78" s="612"/>
      <c r="AO78" s="606">
        <f>Table1[[#This Row],[المجموع 1+2]]*$AO$2</f>
        <v>0</v>
      </c>
      <c r="AP78" s="648">
        <f>Table1[[#This Row],[راتب ديسمبر 2019]]*Table1[[#This Row],[نسبه التقييم الرئيسي 2018]]%</f>
        <v>0</v>
      </c>
      <c r="AQ78" s="627">
        <f>Table1[[#This Row],[مبلغ التقييم النسبي 2018]]+Table1[[#This Row],[راتب ديسمبر 2019]]</f>
        <v>4740</v>
      </c>
      <c r="AR78" s="611">
        <f>IF(Table1[[#This Row],[Column3]]&lt;0,0,Table1[[#This Row],[Column3]])</f>
        <v>6260</v>
      </c>
      <c r="AS78" s="599">
        <f>VLOOKUP(Table1[[#This Row],[درجه التوسيط]],Table10[],3,)</f>
        <v>11000</v>
      </c>
      <c r="AT78" s="608">
        <f>Table1[[#This Row],[الراتب 2018+النسبه]]+Table1[[#This Row],[فروقات الحد الادني]]</f>
        <v>11000</v>
      </c>
      <c r="AU78" s="629">
        <f>Table1[[#This Row],[الراتب 2018 + النسبه + الفرق]]-Table1[[#This Row],[راتب ديسمبر 2019]]</f>
        <v>6260</v>
      </c>
      <c r="AV78" s="628">
        <f>Table1[[#This Row],[الزياده]]/Table1[[#This Row],[راتب ديسمبر 2019]]%</f>
        <v>132.06751054852322</v>
      </c>
      <c r="AW78" s="659">
        <f>IF(Table1[[#This Row],[Column4]]&lt;0,0,Table1[[#This Row],[Column4]])</f>
        <v>1643.5200000000004</v>
      </c>
      <c r="AX78" s="611">
        <f>Table1[[#This Row],[الجبر حتي]]-Table1[[#This Row],[رن]]</f>
        <v>0</v>
      </c>
      <c r="AY78" s="611">
        <f>Table1[[#This Row],[الزياده]]+Table1[[#This Row],[التعديل]]+Table1[[#This Row],[جبر الرقم]]</f>
        <v>7903.52</v>
      </c>
      <c r="AZ78" s="611">
        <f>Table1[[#This Row],[الراتب 2018 + النسبه + الفرق]]+Table1[[#This Row],[جبر الرقم]]+Table1[[#This Row],[التعديل]]</f>
        <v>12643.52</v>
      </c>
      <c r="BA78" s="631">
        <f>Table1[[#This Row],[الزياده النهائيه]]/Table1[[#This Row],[راتب ديسمبر 2019]]%</f>
        <v>166.74092827004222</v>
      </c>
      <c r="BB78" s="612">
        <f>VLOOKUP(Table1[[#This Row],[الرقم الوظيفي]],Table6[],8,)</f>
        <v>4740</v>
      </c>
      <c r="BC78" s="7">
        <v>9000</v>
      </c>
      <c r="BD78" s="7">
        <v>8500</v>
      </c>
      <c r="BE78" s="7">
        <v>8500</v>
      </c>
      <c r="BF78" s="5">
        <f>Table1[[#This Row],[الحد الادني]]-Table1[[#This Row],[الراتب 2018+النسبه]]</f>
        <v>6260</v>
      </c>
      <c r="BG78" s="5">
        <f>Table1[[#This Row],[التعديل حتي]]-Table1[[#This Row],[kkk]]</f>
        <v>1643.5200000000004</v>
      </c>
      <c r="BH78" s="5">
        <v>7356.48</v>
      </c>
      <c r="BI78" s="5">
        <f>IF(Table1[[#This Row],[Column4]]&lt;0,0,Table1[[#This Row],[Column4]])</f>
        <v>1643.5200000000004</v>
      </c>
    </row>
    <row r="79" spans="1:61" ht="21" customHeight="1">
      <c r="A79" s="602">
        <v>346</v>
      </c>
      <c r="B79" s="618" t="str">
        <f>VLOOKUP(Table1[[#This Row],[الرقم الوظيفي]],[1]Sheet2!$1:$1048576,2,)</f>
        <v>حمزه جاد الله ادريس جاد الله</v>
      </c>
      <c r="C79" s="618" t="str">
        <f>VLOOKUP(Table1[[#This Row],[الرقم الوظيفي]],[1]Sheet2!$1:$1048576,7,)</f>
        <v>المصنع</v>
      </c>
      <c r="D79" s="618" t="str">
        <f>VLOOKUP(Table1[[#This Row],[الرقم الوظيفي]],[1]Sheet2!$1:$1048576,8,)</f>
        <v>الوحده العلاجيه</v>
      </c>
      <c r="E79" s="599" t="str">
        <f>VLOOKUP(Table1[[#This Row],[الرقم الوظيفي]],[1]Sheet2!$1:$1048576,9,)</f>
        <v>العياده</v>
      </c>
      <c r="F79" s="599" t="str">
        <f>VLOOKUP(Table1[[#This Row],[الرقم الوظيفي]],[1]Sheet2!$1:$1048576,12,)</f>
        <v>ممرض</v>
      </c>
      <c r="G79" s="599" t="str">
        <f>VLOOKUP(Table1[[#This Row],[الرقم الوظيفي]],[1]Sheet2!$1:$1048576,72,)</f>
        <v>شهاده دورة تدريب</v>
      </c>
      <c r="H79" s="599" t="str">
        <f>VLOOKUP(Table1[[#This Row],[الرقم الوظيفي]],[1]Sheet2!$1:$1048576,71,)</f>
        <v>شهادة تمريض</v>
      </c>
      <c r="I79" s="599" t="str">
        <f>VLOOKUP(Table1[[#This Row],[المؤهل الرئيسي]],Table4[],3,)</f>
        <v>F</v>
      </c>
      <c r="J79" s="599" t="s">
        <v>924</v>
      </c>
      <c r="K79" s="615">
        <f>VLOOKUP(Table1[[#This Row],[الرقم الوظيفي]],[1]Sheet2!$1:$1048576,13,)</f>
        <v>41197</v>
      </c>
      <c r="L79" s="615">
        <v>43830</v>
      </c>
      <c r="M79" s="599">
        <f>DATEDIF(Table1[[#This Row],[تاريخ التعيين]],Table1[[#This Row],[اخر العام]],"y")</f>
        <v>7</v>
      </c>
      <c r="N79" s="599">
        <f>DATEDIF(Table1[[#This Row],[تاريخ التعيين]],Table1[[#This Row],[اخر العام]],"ym")</f>
        <v>2</v>
      </c>
      <c r="O79" s="610">
        <f>Table1[[#This Row],[سنوات الخدمه]]*1+Table1[[#This Row],[الشهور اقل من سنه]]*0.08</f>
        <v>7.16</v>
      </c>
      <c r="P79" s="616">
        <v>4230</v>
      </c>
      <c r="Q79" s="617">
        <v>521.13599999999997</v>
      </c>
      <c r="R79" s="612"/>
      <c r="S79" s="599"/>
      <c r="T79" s="612"/>
      <c r="U79" s="612"/>
      <c r="V79" s="612"/>
      <c r="W79" s="612"/>
      <c r="X79" s="612"/>
      <c r="Y79" s="612"/>
      <c r="Z79" s="612"/>
      <c r="AA7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79" s="612"/>
      <c r="AC79" s="599"/>
      <c r="AD79" s="612"/>
      <c r="AE79" s="612"/>
      <c r="AF79" s="612"/>
      <c r="AG79" s="612"/>
      <c r="AH79" s="619">
        <f>SUM(Table1[[#This Row],[التقييد  باللوائح و تنفيذالتوجيه]:[اتباع اجراءات السلامه]])</f>
        <v>0</v>
      </c>
      <c r="AI79" s="619">
        <f>Table1[[#This Row],[المجموع]]+Table1[[#This Row],[المجموع2]]</f>
        <v>0</v>
      </c>
      <c r="AJ79" s="612"/>
      <c r="AK79" s="612"/>
      <c r="AL79" s="612"/>
      <c r="AM79" s="612"/>
      <c r="AN79" s="612"/>
      <c r="AO79" s="606">
        <f>Table1[[#This Row],[المجموع 1+2]]*$AO$2</f>
        <v>0</v>
      </c>
      <c r="AP79" s="648">
        <f>Table1[[#This Row],[راتب ديسمبر 2019]]*Table1[[#This Row],[نسبه التقييم الرئيسي 2018]]%</f>
        <v>0</v>
      </c>
      <c r="AQ79" s="627">
        <f>Table1[[#This Row],[مبلغ التقييم النسبي 2018]]+Table1[[#This Row],[راتب ديسمبر 2019]]</f>
        <v>4230</v>
      </c>
      <c r="AR79" s="611">
        <f>IF(Table1[[#This Row],[Column3]]&lt;0,0,Table1[[#This Row],[Column3]])</f>
        <v>4770</v>
      </c>
      <c r="AS79" s="599">
        <f>VLOOKUP(Table1[[#This Row],[درجه التوسيط]],Table10[],3,)</f>
        <v>9000</v>
      </c>
      <c r="AT79" s="608">
        <f>Table1[[#This Row],[الراتب 2018+النسبه]]+Table1[[#This Row],[فروقات الحد الادني]]</f>
        <v>9000</v>
      </c>
      <c r="AU79" s="629">
        <f>Table1[[#This Row],[الراتب 2018 + النسبه + الفرق]]-Table1[[#This Row],[راتب ديسمبر 2019]]</f>
        <v>4770</v>
      </c>
      <c r="AV79" s="628">
        <f>Table1[[#This Row],[الزياده]]/Table1[[#This Row],[راتب ديسمبر 2019]]%</f>
        <v>112.76595744680851</v>
      </c>
      <c r="AW79" s="659">
        <f>IF(Table1[[#This Row],[Column4]]&lt;0,0,Table1[[#This Row],[Column4]])</f>
        <v>0</v>
      </c>
      <c r="AX79" s="611">
        <f>Table1[[#This Row],[الجبر حتي]]-Table1[[#This Row],[رن]]</f>
        <v>9.6599999999998545</v>
      </c>
      <c r="AY79" s="611">
        <f>Table1[[#This Row],[الزياده]]+Table1[[#This Row],[التعديل]]+Table1[[#This Row],[جبر الرقم]]</f>
        <v>4779.66</v>
      </c>
      <c r="AZ79" s="611">
        <f>Table1[[#This Row],[الراتب 2018 + النسبه + الفرق]]+Table1[[#This Row],[جبر الرقم]]+Table1[[#This Row],[التعديل]]</f>
        <v>9009.66</v>
      </c>
      <c r="BA79" s="631">
        <f>Table1[[#This Row],[الزياده النهائيه]]/Table1[[#This Row],[راتب ديسمبر 2019]]%</f>
        <v>112.99432624113476</v>
      </c>
      <c r="BB79" s="612">
        <f>VLOOKUP(Table1[[#This Row],[الرقم الوظيفي]],Table6[],8,)</f>
        <v>4230</v>
      </c>
      <c r="BC79" s="7"/>
      <c r="BD79" s="7">
        <v>6600</v>
      </c>
      <c r="BE79" s="7">
        <v>6590.34</v>
      </c>
      <c r="BF79" s="5">
        <f>Table1[[#This Row],[الحد الادني]]-Table1[[#This Row],[الراتب 2018+النسبه]]</f>
        <v>4770</v>
      </c>
      <c r="BG79" s="5">
        <f>Table1[[#This Row],[التعديل حتي]]-Table1[[#This Row],[kkk]]</f>
        <v>-6590.34</v>
      </c>
      <c r="BH79" s="5">
        <v>6590.34</v>
      </c>
      <c r="BI79" s="5">
        <f>IF(Table1[[#This Row],[Column4]]&lt;0,0,Table1[[#This Row],[Column4]])</f>
        <v>0</v>
      </c>
    </row>
    <row r="80" spans="1:61" ht="21" customHeight="1">
      <c r="A80" s="602">
        <v>363</v>
      </c>
      <c r="B80" s="599" t="str">
        <f>VLOOKUP(Table1[[#This Row],[الرقم الوظيفي]],[1]Sheet2!$1:$1048576,2,)</f>
        <v>محمد عبدالله محمد الطاهر</v>
      </c>
      <c r="C80" s="599" t="str">
        <f>VLOOKUP(Table1[[#This Row],[الرقم الوظيفي]],[1]Sheet2!$1:$1048576,7,)</f>
        <v>المصنع</v>
      </c>
      <c r="D80" s="599" t="str">
        <f>VLOOKUP(Table1[[#This Row],[الرقم الوظيفي]],[1]Sheet2!$1:$1048576,8,)</f>
        <v>الانتاج</v>
      </c>
      <c r="E80" s="599" t="str">
        <f>VLOOKUP(Table1[[#This Row],[الرقم الوظيفي]],[1]Sheet2!$1:$1048576,9,)</f>
        <v>المواسير</v>
      </c>
      <c r="F80" s="599" t="str">
        <f>VLOOKUP(Table1[[#This Row],[الرقم الوظيفي]],[1]Sheet2!$1:$1048576,12,)</f>
        <v>مساعد مشغل</v>
      </c>
      <c r="G80" s="599">
        <f>VLOOKUP(Table1[[#This Row],[الرقم الوظيفي]],[1]Sheet2!$1:$1048576,72,)</f>
        <v>0</v>
      </c>
      <c r="H80" s="599">
        <f>VLOOKUP(Table1[[#This Row],[الرقم الوظيفي]],[1]Sheet2!$1:$1048576,71,)</f>
        <v>0</v>
      </c>
      <c r="I80" s="599" t="str">
        <f>VLOOKUP(Table1[[#This Row],[المؤهل الرئيسي]],Table4[],3,)</f>
        <v>H</v>
      </c>
      <c r="J80" s="599" t="s">
        <v>925</v>
      </c>
      <c r="K80" s="615">
        <f>VLOOKUP(Table1[[#This Row],[الرقم الوظيفي]],[1]Sheet2!$1:$1048576,13,)</f>
        <v>41232</v>
      </c>
      <c r="L80" s="615">
        <v>43830</v>
      </c>
      <c r="M80" s="599">
        <f>DATEDIF(Table1[[#This Row],[تاريخ التعيين]],Table1[[#This Row],[اخر العام]],"y")</f>
        <v>7</v>
      </c>
      <c r="N80" s="599">
        <f>DATEDIF(Table1[[#This Row],[تاريخ التعيين]],Table1[[#This Row],[اخر العام]],"ym")</f>
        <v>1</v>
      </c>
      <c r="O80" s="610">
        <f>Table1[[#This Row],[سنوات الخدمه]]*1+Table1[[#This Row],[الشهور اقل من سنه]]*0.08</f>
        <v>7.08</v>
      </c>
      <c r="P80" s="616">
        <v>4220</v>
      </c>
      <c r="Q80" s="617">
        <v>513.15200000000004</v>
      </c>
      <c r="R80" s="612"/>
      <c r="S80" s="599"/>
      <c r="T80" s="612"/>
      <c r="U80" s="612"/>
      <c r="V80" s="612"/>
      <c r="W80" s="612"/>
      <c r="X80" s="612"/>
      <c r="Y80" s="612"/>
      <c r="Z80" s="612"/>
      <c r="AA8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0" s="612"/>
      <c r="AC80" s="599"/>
      <c r="AD80" s="612"/>
      <c r="AE80" s="612"/>
      <c r="AF80" s="612"/>
      <c r="AG80" s="612"/>
      <c r="AH80" s="619">
        <f>SUM(Table1[[#This Row],[التقييد  باللوائح و تنفيذالتوجيه]:[اتباع اجراءات السلامه]])</f>
        <v>0</v>
      </c>
      <c r="AI80" s="619">
        <f>Table1[[#This Row],[المجموع]]+Table1[[#This Row],[المجموع2]]</f>
        <v>0</v>
      </c>
      <c r="AJ80" s="612"/>
      <c r="AK80" s="612"/>
      <c r="AL80" s="612"/>
      <c r="AM80" s="612"/>
      <c r="AN80" s="612"/>
      <c r="AO80" s="606">
        <f>Table1[[#This Row],[المجموع 1+2]]*$AO$2</f>
        <v>0</v>
      </c>
      <c r="AP80" s="648">
        <f>Table1[[#This Row],[راتب ديسمبر 2019]]*Table1[[#This Row],[نسبه التقييم الرئيسي 2018]]%</f>
        <v>0</v>
      </c>
      <c r="AQ80" s="627">
        <f>Table1[[#This Row],[مبلغ التقييم النسبي 2018]]+Table1[[#This Row],[راتب ديسمبر 2019]]</f>
        <v>4220</v>
      </c>
      <c r="AR80" s="10">
        <f>IF(Table1[[#This Row],[Column3]]&lt;0,0,Table1[[#This Row],[Column3]])</f>
        <v>4780</v>
      </c>
      <c r="AS80" s="599">
        <f>VLOOKUP(Table1[[#This Row],[درجه التوسيط]],Table10[],3,)</f>
        <v>9000</v>
      </c>
      <c r="AT80" s="608">
        <f>Table1[[#This Row],[الراتب 2018+النسبه]]+Table1[[#This Row],[فروقات الحد الادني]]</f>
        <v>9000</v>
      </c>
      <c r="AU80" s="629">
        <f>Table1[[#This Row],[الراتب 2018 + النسبه + الفرق]]-Table1[[#This Row],[راتب ديسمبر 2019]]</f>
        <v>4780</v>
      </c>
      <c r="AV80" s="628">
        <f>Table1[[#This Row],[الزياده]]/Table1[[#This Row],[راتب ديسمبر 2019]]%</f>
        <v>113.27014218009478</v>
      </c>
      <c r="AW80" s="659">
        <f>IF(Table1[[#This Row],[Column4]]&lt;0,0,Table1[[#This Row],[Column4]])</f>
        <v>0</v>
      </c>
      <c r="AX80" s="611">
        <f>Table1[[#This Row],[الجبر حتي]]-Table1[[#This Row],[رن]]</f>
        <v>5.2399999999997817</v>
      </c>
      <c r="AY80" s="611">
        <f>Table1[[#This Row],[الزياده]]+Table1[[#This Row],[التعديل]]+Table1[[#This Row],[جبر الرقم]]</f>
        <v>4785.24</v>
      </c>
      <c r="AZ80" s="611">
        <f>Table1[[#This Row],[الراتب 2018 + النسبه + الفرق]]+Table1[[#This Row],[جبر الرقم]]+Table1[[#This Row],[التعديل]]</f>
        <v>9005.24</v>
      </c>
      <c r="BA80" s="631">
        <f>Table1[[#This Row],[الزياده النهائيه]]/Table1[[#This Row],[راتب ديسمبر 2019]]%</f>
        <v>113.39431279620852</v>
      </c>
      <c r="BB80" s="612">
        <f>VLOOKUP(Table1[[#This Row],[الرقم الوظيفي]],Table6[],8,)</f>
        <v>4220</v>
      </c>
      <c r="BC80" s="7"/>
      <c r="BD80" s="7">
        <v>6580</v>
      </c>
      <c r="BE80" s="7">
        <v>6574.76</v>
      </c>
      <c r="BF80" s="5">
        <f>Table1[[#This Row],[الحد الادني]]-Table1[[#This Row],[الراتب 2018+النسبه]]</f>
        <v>4780</v>
      </c>
      <c r="BG80" s="5">
        <f>Table1[[#This Row],[التعديل حتي]]-Table1[[#This Row],[kkk]]</f>
        <v>-6574.76</v>
      </c>
      <c r="BH80" s="5">
        <v>6574.76</v>
      </c>
      <c r="BI80" s="5">
        <f>IF(Table1[[#This Row],[Column4]]&lt;0,0,Table1[[#This Row],[Column4]])</f>
        <v>0</v>
      </c>
    </row>
    <row r="81" spans="1:61" ht="21" customHeight="1">
      <c r="A81" s="602">
        <v>372</v>
      </c>
      <c r="B81" s="618" t="str">
        <f>VLOOKUP(Table1[[#This Row],[الرقم الوظيفي]],[1]Sheet2!$1:$1048576,2,)</f>
        <v>معتز عوض مساعد محمد على</v>
      </c>
      <c r="C81" s="618" t="str">
        <f>VLOOKUP(Table1[[#This Row],[الرقم الوظيفي]],[1]Sheet2!$1:$1048576,7,)</f>
        <v>المصنع</v>
      </c>
      <c r="D81" s="618" t="str">
        <f>VLOOKUP(Table1[[#This Row],[الرقم الوظيفي]],[1]Sheet2!$1:$1048576,8,)</f>
        <v>الجوده</v>
      </c>
      <c r="E81" s="599">
        <f>VLOOKUP(Table1[[#This Row],[الرقم الوظيفي]],[1]Sheet2!$1:$1048576,9,)</f>
        <v>0</v>
      </c>
      <c r="F81" s="599" t="str">
        <f>VLOOKUP(Table1[[#This Row],[الرقم الوظيفي]],[1]Sheet2!$1:$1048576,12,)</f>
        <v>مراقب انتاج</v>
      </c>
      <c r="G81" s="599" t="str">
        <f>VLOOKUP(Table1[[#This Row],[الرقم الوظيفي]],[1]Sheet2!$1:$1048576,72,)</f>
        <v>بكلاريوس الشرف</v>
      </c>
      <c r="H81" s="599" t="str">
        <f>VLOOKUP(Table1[[#This Row],[الرقم الوظيفي]],[1]Sheet2!$1:$1048576,71,)</f>
        <v>التامين</v>
      </c>
      <c r="I81" s="599" t="str">
        <f>VLOOKUP(Table1[[#This Row],[المؤهل الرئيسي]],Table4[],3,)</f>
        <v>C</v>
      </c>
      <c r="J81" s="599" t="s">
        <v>928</v>
      </c>
      <c r="K81" s="615">
        <f>VLOOKUP(Table1[[#This Row],[الرقم الوظيفي]],[1]Sheet2!$1:$1048576,13,)</f>
        <v>43144</v>
      </c>
      <c r="L81" s="615">
        <v>43830</v>
      </c>
      <c r="M81" s="599">
        <f>DATEDIF(Table1[[#This Row],[تاريخ التعيين]],Table1[[#This Row],[اخر العام]],"y")</f>
        <v>1</v>
      </c>
      <c r="N81" s="599">
        <f>DATEDIF(Table1[[#This Row],[تاريخ التعيين]],Table1[[#This Row],[اخر العام]],"ym")</f>
        <v>10</v>
      </c>
      <c r="O81" s="610">
        <f>Table1[[#This Row],[سنوات الخدمه]]*1+Table1[[#This Row],[الشهور اقل من سنه]]*0.08</f>
        <v>1.8</v>
      </c>
      <c r="P81" s="616">
        <v>3000</v>
      </c>
      <c r="Q81" s="617">
        <v>48</v>
      </c>
      <c r="R81" s="612"/>
      <c r="S81" s="599"/>
      <c r="T81" s="612"/>
      <c r="U81" s="612"/>
      <c r="V81" s="612"/>
      <c r="W81" s="612"/>
      <c r="X81" s="612"/>
      <c r="Y81" s="612"/>
      <c r="Z81" s="612"/>
      <c r="AA8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1" s="612"/>
      <c r="AC81" s="599"/>
      <c r="AD81" s="612"/>
      <c r="AE81" s="612"/>
      <c r="AF81" s="612"/>
      <c r="AG81" s="612"/>
      <c r="AH81" s="619">
        <f>SUM(Table1[[#This Row],[التقييد  باللوائح و تنفيذالتوجيه]:[اتباع اجراءات السلامه]])</f>
        <v>0</v>
      </c>
      <c r="AI81" s="619">
        <f>Table1[[#This Row],[المجموع]]+Table1[[#This Row],[المجموع2]]</f>
        <v>0</v>
      </c>
      <c r="AJ81" s="612">
        <v>9</v>
      </c>
      <c r="AK81" s="612"/>
      <c r="AL81" s="612"/>
      <c r="AM81" s="612"/>
      <c r="AN81" s="612"/>
      <c r="AO81" s="606">
        <f>Table1[[#This Row],[المجموع 1+2]]*$AO$2</f>
        <v>0</v>
      </c>
      <c r="AP81" s="648">
        <f>Table1[[#This Row],[راتب ديسمبر 2019]]*Table1[[#This Row],[نسبه التقييم الرئيسي 2018]]%</f>
        <v>0</v>
      </c>
      <c r="AQ81" s="627">
        <f>Table1[[#This Row],[مبلغ التقييم النسبي 2018]]+Table1[[#This Row],[راتب ديسمبر 2019]]</f>
        <v>3000</v>
      </c>
      <c r="AR81" s="611">
        <f>IF(Table1[[#This Row],[Column3]]&lt;0,0,Table1[[#This Row],[Column3]])</f>
        <v>4000</v>
      </c>
      <c r="AS81" s="599">
        <f>VLOOKUP(Table1[[#This Row],[درجه التوسيط]],Table10[],3,)</f>
        <v>7000</v>
      </c>
      <c r="AT81" s="608">
        <f>Table1[[#This Row],[الراتب 2018+النسبه]]+Table1[[#This Row],[فروقات الحد الادني]]</f>
        <v>7000</v>
      </c>
      <c r="AU81" s="629">
        <f>Table1[[#This Row],[الراتب 2018 + النسبه + الفرق]]-Table1[[#This Row],[راتب ديسمبر 2019]]</f>
        <v>4000</v>
      </c>
      <c r="AV81" s="628">
        <f>Table1[[#This Row],[الزياده]]/Table1[[#This Row],[راتب ديسمبر 2019]]%</f>
        <v>133.33333333333334</v>
      </c>
      <c r="AW81" s="659">
        <f>IF(Table1[[#This Row],[Column4]]&lt;0,0,Table1[[#This Row],[Column4]])</f>
        <v>0</v>
      </c>
      <c r="AX81" s="611">
        <f>Table1[[#This Row],[الجبر حتي]]-Table1[[#This Row],[رن]]</f>
        <v>0</v>
      </c>
      <c r="AY81" s="611">
        <f>Table1[[#This Row],[الزياده]]+Table1[[#This Row],[التعديل]]+Table1[[#This Row],[جبر الرقم]]</f>
        <v>4000</v>
      </c>
      <c r="AZ81" s="611">
        <f>Table1[[#This Row],[الراتب 2018 + النسبه + الفرق]]+Table1[[#This Row],[جبر الرقم]]+Table1[[#This Row],[التعديل]]</f>
        <v>7000</v>
      </c>
      <c r="BA81" s="631">
        <f>Table1[[#This Row],[الزياده النهائيه]]/Table1[[#This Row],[راتب ديسمبر 2019]]%</f>
        <v>133.33333333333334</v>
      </c>
      <c r="BB81" s="612">
        <f>VLOOKUP(Table1[[#This Row],[الرقم الوظيفي]],Table6[],8,)</f>
        <v>3000</v>
      </c>
      <c r="BC81" s="7"/>
      <c r="BD81" s="7">
        <v>5000</v>
      </c>
      <c r="BE81" s="7">
        <v>5000</v>
      </c>
      <c r="BF81" s="5">
        <f>Table1[[#This Row],[الحد الادني]]-Table1[[#This Row],[الراتب 2018+النسبه]]</f>
        <v>4000</v>
      </c>
      <c r="BG81" s="5">
        <f>Table1[[#This Row],[التعديل حتي]]-Table1[[#This Row],[kkk]]</f>
        <v>-5000</v>
      </c>
      <c r="BH81" s="5">
        <v>5000</v>
      </c>
      <c r="BI81" s="5">
        <f>IF(Table1[[#This Row],[Column4]]&lt;0,0,Table1[[#This Row],[Column4]])</f>
        <v>0</v>
      </c>
    </row>
    <row r="82" spans="1:61" ht="21" customHeight="1">
      <c r="A82" s="602">
        <v>373</v>
      </c>
      <c r="B82" s="618" t="str">
        <f>VLOOKUP(Table1[[#This Row],[الرقم الوظيفي]],[1]Sheet2!$1:$1048576,2,)</f>
        <v>عبدالحليم صالح احمد موسى</v>
      </c>
      <c r="C82" s="618" t="str">
        <f>VLOOKUP(Table1[[#This Row],[الرقم الوظيفي]],[1]Sheet2!$1:$1048576,7,)</f>
        <v>المصنع</v>
      </c>
      <c r="D82" s="618" t="str">
        <f>VLOOKUP(Table1[[#This Row],[الرقم الوظيفي]],[1]Sheet2!$1:$1048576,8,)</f>
        <v>الانتاج</v>
      </c>
      <c r="E82" s="599" t="str">
        <f>VLOOKUP(Table1[[#This Row],[الرقم الوظيفي]],[1]Sheet2!$1:$1048576,9,)</f>
        <v>المواسير</v>
      </c>
      <c r="F82" s="599" t="str">
        <f>VLOOKUP(Table1[[#This Row],[الرقم الوظيفي]],[1]Sheet2!$1:$1048576,12,)</f>
        <v>مشغل</v>
      </c>
      <c r="G82" s="599" t="str">
        <f>VLOOKUP(Table1[[#This Row],[الرقم الوظيفي]],[1]Sheet2!$1:$1048576,72,)</f>
        <v>دبلوم وسيط</v>
      </c>
      <c r="H82" s="599" t="str">
        <f>VLOOKUP(Table1[[#This Row],[الرقم الوظيفي]],[1]Sheet2!$1:$1048576,71,)</f>
        <v>العلوم الإدارية</v>
      </c>
      <c r="I82" s="599" t="str">
        <f>VLOOKUP(Table1[[#This Row],[المؤهل الرئيسي]],Table4[],3,)</f>
        <v>E</v>
      </c>
      <c r="J82" s="599" t="s">
        <v>923</v>
      </c>
      <c r="K82" s="615">
        <f>VLOOKUP(Table1[[#This Row],[الرقم الوظيفي]],[1]Sheet2!$1:$1048576,13,)</f>
        <v>41214</v>
      </c>
      <c r="L82" s="615">
        <v>43830</v>
      </c>
      <c r="M82" s="599">
        <f>DATEDIF(Table1[[#This Row],[تاريخ التعيين]],Table1[[#This Row],[اخر العام]],"y")</f>
        <v>7</v>
      </c>
      <c r="N82" s="599">
        <f>DATEDIF(Table1[[#This Row],[تاريخ التعيين]],Table1[[#This Row],[اخر العام]],"ym")</f>
        <v>1</v>
      </c>
      <c r="O82" s="610">
        <f>Table1[[#This Row],[سنوات الخدمه]]*1+Table1[[#This Row],[الشهور اقل من سنه]]*0.08</f>
        <v>7.08</v>
      </c>
      <c r="P82" s="616">
        <v>4220</v>
      </c>
      <c r="Q82" s="617">
        <v>513.15200000000004</v>
      </c>
      <c r="R82" s="612"/>
      <c r="S82" s="599"/>
      <c r="T82" s="612"/>
      <c r="U82" s="612"/>
      <c r="V82" s="612"/>
      <c r="W82" s="612"/>
      <c r="X82" s="612"/>
      <c r="Y82" s="612"/>
      <c r="Z82" s="612"/>
      <c r="AA8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2" s="612"/>
      <c r="AC82" s="599"/>
      <c r="AD82" s="612"/>
      <c r="AE82" s="612"/>
      <c r="AF82" s="612"/>
      <c r="AG82" s="612"/>
      <c r="AH82" s="619">
        <f>SUM(Table1[[#This Row],[التقييد  باللوائح و تنفيذالتوجيه]:[اتباع اجراءات السلامه]])</f>
        <v>0</v>
      </c>
      <c r="AI82" s="619">
        <f>Table1[[#This Row],[المجموع]]+Table1[[#This Row],[المجموع2]]</f>
        <v>0</v>
      </c>
      <c r="AJ82" s="612"/>
      <c r="AK82" s="612"/>
      <c r="AL82" s="612"/>
      <c r="AM82" s="612"/>
      <c r="AN82" s="612"/>
      <c r="AO82" s="606">
        <f>Table1[[#This Row],[المجموع 1+2]]*$AO$2</f>
        <v>0</v>
      </c>
      <c r="AP82" s="648">
        <f>Table1[[#This Row],[راتب ديسمبر 2019]]*Table1[[#This Row],[نسبه التقييم الرئيسي 2018]]%</f>
        <v>0</v>
      </c>
      <c r="AQ82" s="627">
        <f>Table1[[#This Row],[مبلغ التقييم النسبي 2018]]+Table1[[#This Row],[راتب ديسمبر 2019]]</f>
        <v>4220</v>
      </c>
      <c r="AR82" s="611">
        <f>IF(Table1[[#This Row],[Column3]]&lt;0,0,Table1[[#This Row],[Column3]])</f>
        <v>5780</v>
      </c>
      <c r="AS82" s="599">
        <f>VLOOKUP(Table1[[#This Row],[درجه التوسيط]],Table10[],3,)</f>
        <v>10000</v>
      </c>
      <c r="AT82" s="608">
        <f>Table1[[#This Row],[الراتب 2018+النسبه]]+Table1[[#This Row],[فروقات الحد الادني]]</f>
        <v>10000</v>
      </c>
      <c r="AU82" s="629">
        <f>Table1[[#This Row],[الراتب 2018 + النسبه + الفرق]]-Table1[[#This Row],[راتب ديسمبر 2019]]</f>
        <v>5780</v>
      </c>
      <c r="AV82" s="628">
        <f>Table1[[#This Row],[الزياده]]/Table1[[#This Row],[راتب ديسمبر 2019]]%</f>
        <v>136.96682464454975</v>
      </c>
      <c r="AW82" s="659">
        <f>IF(Table1[[#This Row],[Column4]]&lt;0,0,Table1[[#This Row],[Column4]])</f>
        <v>500</v>
      </c>
      <c r="AX82" s="611">
        <f>Table1[[#This Row],[الجبر حتي]]-Table1[[#This Row],[رن]]</f>
        <v>0</v>
      </c>
      <c r="AY82" s="611">
        <f>Table1[[#This Row],[الزياده]]+Table1[[#This Row],[التعديل]]+Table1[[#This Row],[جبر الرقم]]</f>
        <v>6280</v>
      </c>
      <c r="AZ82" s="611">
        <f>Table1[[#This Row],[الراتب 2018 + النسبه + الفرق]]+Table1[[#This Row],[جبر الرقم]]+Table1[[#This Row],[التعديل]]</f>
        <v>10500</v>
      </c>
      <c r="BA82" s="631">
        <f>Table1[[#This Row],[الزياده النهائيه]]/Table1[[#This Row],[راتب ديسمبر 2019]]%</f>
        <v>148.81516587677723</v>
      </c>
      <c r="BB82" s="612">
        <f>VLOOKUP(Table1[[#This Row],[الرقم الوظيفي]],Table6[],8,)</f>
        <v>4220</v>
      </c>
      <c r="BC82" s="7">
        <v>7000</v>
      </c>
      <c r="BD82" s="7">
        <v>7000</v>
      </c>
      <c r="BE82" s="7">
        <v>7000</v>
      </c>
      <c r="BF82" s="5">
        <f>Table1[[#This Row],[الحد الادني]]-Table1[[#This Row],[الراتب 2018+النسبه]]</f>
        <v>5780</v>
      </c>
      <c r="BG82" s="5">
        <f>Table1[[#This Row],[التعديل حتي]]-Table1[[#This Row],[kkk]]</f>
        <v>500</v>
      </c>
      <c r="BH82" s="5">
        <v>6500</v>
      </c>
      <c r="BI82" s="5">
        <f>IF(Table1[[#This Row],[Column4]]&lt;0,0,Table1[[#This Row],[Column4]])</f>
        <v>500</v>
      </c>
    </row>
    <row r="83" spans="1:61" ht="21" customHeight="1">
      <c r="A83" s="602">
        <v>374</v>
      </c>
      <c r="B83" s="618" t="str">
        <f>VLOOKUP(Table1[[#This Row],[الرقم الوظيفي]],[1]Sheet2!$1:$1048576,2,)</f>
        <v>علم الدين ابراهيم النور اسحق</v>
      </c>
      <c r="C83" s="618" t="str">
        <f>VLOOKUP(Table1[[#This Row],[الرقم الوظيفي]],[1]Sheet2!$1:$1048576,7,)</f>
        <v>المصنع</v>
      </c>
      <c r="D83" s="618" t="str">
        <f>VLOOKUP(Table1[[#This Row],[الرقم الوظيفي]],[1]Sheet2!$1:$1048576,8,)</f>
        <v>الامن و الحركه</v>
      </c>
      <c r="E83" s="599" t="str">
        <f>VLOOKUP(Table1[[#This Row],[الرقم الوظيفي]],[1]Sheet2!$1:$1048576,9,)</f>
        <v>الامن</v>
      </c>
      <c r="F83" s="599" t="str">
        <f>VLOOKUP(Table1[[#This Row],[الرقم الوظيفي]],[1]Sheet2!$1:$1048576,12,)</f>
        <v>فرد امن</v>
      </c>
      <c r="G83" s="599">
        <f>VLOOKUP(Table1[[#This Row],[الرقم الوظيفي]],[1]Sheet2!$1:$1048576,72,)</f>
        <v>0</v>
      </c>
      <c r="H83" s="599">
        <f>VLOOKUP(Table1[[#This Row],[الرقم الوظيفي]],[1]Sheet2!$1:$1048576,71,)</f>
        <v>0</v>
      </c>
      <c r="I83" s="599" t="str">
        <f>VLOOKUP(Table1[[#This Row],[المؤهل الرئيسي]],Table4[],3,)</f>
        <v>H</v>
      </c>
      <c r="J83" s="599" t="s">
        <v>924</v>
      </c>
      <c r="K83" s="615">
        <f>VLOOKUP(Table1[[#This Row],[الرقم الوظيفي]],[1]Sheet2!$1:$1048576,13,)</f>
        <v>41247</v>
      </c>
      <c r="L83" s="615">
        <v>43830</v>
      </c>
      <c r="M83" s="599">
        <f>DATEDIF(Table1[[#This Row],[تاريخ التعيين]],Table1[[#This Row],[اخر العام]],"y")</f>
        <v>7</v>
      </c>
      <c r="N83" s="599">
        <f>DATEDIF(Table1[[#This Row],[تاريخ التعيين]],Table1[[#This Row],[اخر العام]],"ym")</f>
        <v>0</v>
      </c>
      <c r="O83" s="610">
        <f>Table1[[#This Row],[سنوات الخدمه]]*1+Table1[[#This Row],[الشهور اقل من سنه]]*0.08</f>
        <v>7</v>
      </c>
      <c r="P83" s="616">
        <v>4200</v>
      </c>
      <c r="Q83" s="617">
        <v>504</v>
      </c>
      <c r="R83" s="612"/>
      <c r="S83" s="599"/>
      <c r="T83" s="612"/>
      <c r="U83" s="612"/>
      <c r="V83" s="612"/>
      <c r="W83" s="612"/>
      <c r="X83" s="612"/>
      <c r="Y83" s="612"/>
      <c r="Z83" s="612"/>
      <c r="AA8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3" s="612"/>
      <c r="AC83" s="599"/>
      <c r="AD83" s="612"/>
      <c r="AE83" s="612"/>
      <c r="AF83" s="612"/>
      <c r="AG83" s="612"/>
      <c r="AH83" s="619">
        <f>SUM(Table1[[#This Row],[التقييد  باللوائح و تنفيذالتوجيه]:[اتباع اجراءات السلامه]])</f>
        <v>0</v>
      </c>
      <c r="AI83" s="619">
        <f>Table1[[#This Row],[المجموع]]+Table1[[#This Row],[المجموع2]]</f>
        <v>0</v>
      </c>
      <c r="AJ83" s="612"/>
      <c r="AK83" s="612"/>
      <c r="AL83" s="612"/>
      <c r="AM83" s="612"/>
      <c r="AN83" s="612"/>
      <c r="AO83" s="606">
        <f>Table1[[#This Row],[المجموع 1+2]]*$AO$2</f>
        <v>0</v>
      </c>
      <c r="AP83" s="648">
        <f>Table1[[#This Row],[راتب ديسمبر 2019]]*Table1[[#This Row],[نسبه التقييم الرئيسي 2018]]%</f>
        <v>0</v>
      </c>
      <c r="AQ83" s="627">
        <f>Table1[[#This Row],[مبلغ التقييم النسبي 2018]]+Table1[[#This Row],[راتب ديسمبر 2019]]</f>
        <v>4200</v>
      </c>
      <c r="AR83" s="611">
        <f>IF(Table1[[#This Row],[Column3]]&lt;0,0,Table1[[#This Row],[Column3]])</f>
        <v>4800</v>
      </c>
      <c r="AS83" s="599">
        <f>VLOOKUP(Table1[[#This Row],[درجه التوسيط]],Table10[],3,)</f>
        <v>9000</v>
      </c>
      <c r="AT83" s="608">
        <f>Table1[[#This Row],[الراتب 2018+النسبه]]+Table1[[#This Row],[فروقات الحد الادني]]</f>
        <v>9000</v>
      </c>
      <c r="AU83" s="629">
        <f>Table1[[#This Row],[الراتب 2018 + النسبه + الفرق]]-Table1[[#This Row],[راتب ديسمبر 2019]]</f>
        <v>4800</v>
      </c>
      <c r="AV83" s="628">
        <f>Table1[[#This Row],[الزياده]]/Table1[[#This Row],[راتب ديسمبر 2019]]%</f>
        <v>114.28571428571429</v>
      </c>
      <c r="AW83" s="659">
        <f>IF(Table1[[#This Row],[Column4]]&lt;0,0,Table1[[#This Row],[Column4]])</f>
        <v>0</v>
      </c>
      <c r="AX83" s="611">
        <f>Table1[[#This Row],[الجبر حتي]]-Table1[[#This Row],[رن]]</f>
        <v>0.3999999999996362</v>
      </c>
      <c r="AY83" s="611">
        <f>Table1[[#This Row],[الزياده]]+Table1[[#This Row],[التعديل]]+Table1[[#This Row],[جبر الرقم]]</f>
        <v>4800.3999999999996</v>
      </c>
      <c r="AZ83" s="611">
        <f>Table1[[#This Row],[الراتب 2018 + النسبه + الفرق]]+Table1[[#This Row],[جبر الرقم]]+Table1[[#This Row],[التعديل]]</f>
        <v>9000.4</v>
      </c>
      <c r="BA83" s="631">
        <f>Table1[[#This Row],[الزياده النهائيه]]/Table1[[#This Row],[راتب ديسمبر 2019]]%</f>
        <v>114.29523809523809</v>
      </c>
      <c r="BB83" s="612">
        <f>VLOOKUP(Table1[[#This Row],[الرقم الوظيفي]],Table6[],8,)</f>
        <v>4200</v>
      </c>
      <c r="BC83" s="7"/>
      <c r="BD83" s="7">
        <v>6670</v>
      </c>
      <c r="BE83" s="7">
        <v>6669.6</v>
      </c>
      <c r="BF83" s="5">
        <f>Table1[[#This Row],[الحد الادني]]-Table1[[#This Row],[الراتب 2018+النسبه]]</f>
        <v>4800</v>
      </c>
      <c r="BG83" s="5">
        <f>Table1[[#This Row],[التعديل حتي]]-Table1[[#This Row],[kkk]]</f>
        <v>-6669.6</v>
      </c>
      <c r="BH83" s="5">
        <v>6669.6</v>
      </c>
      <c r="BI83" s="5">
        <f>IF(Table1[[#This Row],[Column4]]&lt;0,0,Table1[[#This Row],[Column4]])</f>
        <v>0</v>
      </c>
    </row>
    <row r="84" spans="1:61" ht="21" customHeight="1">
      <c r="A84" s="602">
        <v>376</v>
      </c>
      <c r="B84" s="618" t="str">
        <f>VLOOKUP(Table1[[#This Row],[الرقم الوظيفي]],[1]Sheet2!$1:$1048576,2,)</f>
        <v>خضر ابراهيم خضر محمد</v>
      </c>
      <c r="C84" s="618" t="str">
        <f>VLOOKUP(Table1[[#This Row],[الرقم الوظيفي]],[1]Sheet2!$1:$1048576,7,)</f>
        <v>المصنع</v>
      </c>
      <c r="D84" s="618" t="str">
        <f>VLOOKUP(Table1[[#This Row],[الرقم الوظيفي]],[1]Sheet2!$1:$1048576,8,)</f>
        <v>الانتاج</v>
      </c>
      <c r="E84" s="599" t="str">
        <f>VLOOKUP(Table1[[#This Row],[الرقم الوظيفي]],[1]Sheet2!$1:$1048576,9,)</f>
        <v>الاكسبنده</v>
      </c>
      <c r="F84" s="599" t="str">
        <f>VLOOKUP(Table1[[#This Row],[الرقم الوظيفي]],[1]Sheet2!$1:$1048576,12,)</f>
        <v>عامل</v>
      </c>
      <c r="G84" s="599">
        <f>VLOOKUP(Table1[[#This Row],[الرقم الوظيفي]],[1]Sheet2!$1:$1048576,72,)</f>
        <v>0</v>
      </c>
      <c r="H84" s="599">
        <f>VLOOKUP(Table1[[#This Row],[الرقم الوظيفي]],[1]Sheet2!$1:$1048576,71,)</f>
        <v>0</v>
      </c>
      <c r="I84" s="599" t="str">
        <f>VLOOKUP(Table1[[#This Row],[المؤهل الرئيسي]],Table4[],3,)</f>
        <v>H</v>
      </c>
      <c r="J84" s="599" t="s">
        <v>42</v>
      </c>
      <c r="K84" s="615">
        <f>VLOOKUP(Table1[[#This Row],[الرقم الوظيفي]],[1]Sheet2!$1:$1048576,13,)</f>
        <v>41249</v>
      </c>
      <c r="L84" s="615">
        <v>43830</v>
      </c>
      <c r="M84" s="599">
        <f>DATEDIF(Table1[[#This Row],[تاريخ التعيين]],Table1[[#This Row],[اخر العام]],"y")</f>
        <v>7</v>
      </c>
      <c r="N84" s="599">
        <f>DATEDIF(Table1[[#This Row],[تاريخ التعيين]],Table1[[#This Row],[اخر العام]],"ym")</f>
        <v>0</v>
      </c>
      <c r="O84" s="610">
        <f>Table1[[#This Row],[سنوات الخدمه]]*1+Table1[[#This Row],[الشهور اقل من سنه]]*0.08</f>
        <v>7</v>
      </c>
      <c r="P84" s="616">
        <v>3200</v>
      </c>
      <c r="Q84" s="617">
        <v>384</v>
      </c>
      <c r="R84" s="612"/>
      <c r="S84" s="599"/>
      <c r="T84" s="612"/>
      <c r="U84" s="612"/>
      <c r="V84" s="612"/>
      <c r="W84" s="612"/>
      <c r="X84" s="612"/>
      <c r="Y84" s="612"/>
      <c r="Z84" s="612"/>
      <c r="AA8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4" s="612"/>
      <c r="AC84" s="599"/>
      <c r="AD84" s="612"/>
      <c r="AE84" s="612"/>
      <c r="AF84" s="612"/>
      <c r="AG84" s="612"/>
      <c r="AH84" s="619">
        <f>SUM(Table1[[#This Row],[التقييد  باللوائح و تنفيذالتوجيه]:[اتباع اجراءات السلامه]])</f>
        <v>0</v>
      </c>
      <c r="AI84" s="619">
        <f>Table1[[#This Row],[المجموع]]+Table1[[#This Row],[المجموع2]]</f>
        <v>0</v>
      </c>
      <c r="AJ84" s="612"/>
      <c r="AK84" s="612"/>
      <c r="AL84" s="612"/>
      <c r="AM84" s="612"/>
      <c r="AN84" s="612"/>
      <c r="AO84" s="606">
        <f>Table1[[#This Row],[المجموع 1+2]]*$AO$2</f>
        <v>0</v>
      </c>
      <c r="AP84" s="648">
        <f>Table1[[#This Row],[راتب ديسمبر 2019]]*Table1[[#This Row],[نسبه التقييم الرئيسي 2018]]%</f>
        <v>0</v>
      </c>
      <c r="AQ84" s="627">
        <f>Table1[[#This Row],[مبلغ التقييم النسبي 2018]]+Table1[[#This Row],[راتب ديسمبر 2019]]</f>
        <v>3200</v>
      </c>
      <c r="AR84" s="611">
        <f>IF(Table1[[#This Row],[Column3]]&lt;0,0,Table1[[#This Row],[Column3]])</f>
        <v>1800</v>
      </c>
      <c r="AS84" s="599">
        <f>VLOOKUP(Table1[[#This Row],[درجه التوسيط]],Table10[],3,)</f>
        <v>5000</v>
      </c>
      <c r="AT84" s="608">
        <f>Table1[[#This Row],[الراتب 2018+النسبه]]+Table1[[#This Row],[فروقات الحد الادني]]</f>
        <v>5000</v>
      </c>
      <c r="AU84" s="629">
        <f>Table1[[#This Row],[الراتب 2018 + النسبه + الفرق]]-Table1[[#This Row],[راتب ديسمبر 2019]]</f>
        <v>1800</v>
      </c>
      <c r="AV84" s="628">
        <f>Table1[[#This Row],[الزياده]]/Table1[[#This Row],[راتب ديسمبر 2019]]%</f>
        <v>56.25</v>
      </c>
      <c r="AW84" s="659">
        <f>IF(Table1[[#This Row],[Column4]]&lt;0,0,Table1[[#This Row],[Column4]])</f>
        <v>0</v>
      </c>
      <c r="AX84" s="611">
        <f>Table1[[#This Row],[الجبر حتي]]-Table1[[#This Row],[رن]]</f>
        <v>4</v>
      </c>
      <c r="AY84" s="611">
        <f>Table1[[#This Row],[الزياده]]+Table1[[#This Row],[التعديل]]+Table1[[#This Row],[جبر الرقم]]</f>
        <v>1804</v>
      </c>
      <c r="AZ84" s="611">
        <f>Table1[[#This Row],[الراتب 2018 + النسبه + الفرق]]+Table1[[#This Row],[جبر الرقم]]+Table1[[#This Row],[التعديل]]</f>
        <v>5004</v>
      </c>
      <c r="BA84" s="631">
        <f>Table1[[#This Row],[الزياده النهائيه]]/Table1[[#This Row],[راتب ديسمبر 2019]]%</f>
        <v>56.375</v>
      </c>
      <c r="BB84" s="612">
        <f>VLOOKUP(Table1[[#This Row],[الرقم الوظيفي]],Table6[],8,)</f>
        <v>3200</v>
      </c>
      <c r="BC84" s="7"/>
      <c r="BD84" s="7">
        <v>4740</v>
      </c>
      <c r="BE84" s="7">
        <v>4736</v>
      </c>
      <c r="BF84" s="5">
        <f>Table1[[#This Row],[الحد الادني]]-Table1[[#This Row],[الراتب 2018+النسبه]]</f>
        <v>1800</v>
      </c>
      <c r="BG84" s="5">
        <f>Table1[[#This Row],[التعديل حتي]]-Table1[[#This Row],[kkk]]</f>
        <v>-4736</v>
      </c>
      <c r="BH84" s="5">
        <v>4736</v>
      </c>
      <c r="BI84" s="5">
        <f>IF(Table1[[#This Row],[Column4]]&lt;0,0,Table1[[#This Row],[Column4]])</f>
        <v>0</v>
      </c>
    </row>
    <row r="85" spans="1:61" ht="21" customHeight="1">
      <c r="A85" s="602">
        <v>403</v>
      </c>
      <c r="B85" s="618" t="str">
        <f>VLOOKUP(Table1[[#This Row],[الرقم الوظيفي]],[1]Sheet2!$1:$1048576,2,)</f>
        <v>محمد صلاح جعفر حمد</v>
      </c>
      <c r="C85" s="618" t="str">
        <f>VLOOKUP(Table1[[#This Row],[الرقم الوظيفي]],[1]Sheet2!$1:$1048576,7,)</f>
        <v>المصنع</v>
      </c>
      <c r="D85" s="618" t="str">
        <f>VLOOKUP(Table1[[#This Row],[الرقم الوظيفي]],[1]Sheet2!$1:$1048576,8,)</f>
        <v>المستودعات</v>
      </c>
      <c r="E85" s="599" t="str">
        <f>VLOOKUP(Table1[[#This Row],[الرقم الوظيفي]],[1]Sheet2!$1:$1048576,9,)</f>
        <v>الخام</v>
      </c>
      <c r="F85" s="599" t="str">
        <f>VLOOKUP(Table1[[#This Row],[الرقم الوظيفي]],[1]Sheet2!$1:$1048576,12,)</f>
        <v>امين مستودع خام</v>
      </c>
      <c r="G85" s="599" t="str">
        <f>VLOOKUP(Table1[[#This Row],[الرقم الوظيفي]],[1]Sheet2!$1:$1048576,72,)</f>
        <v>بكلاريوس</v>
      </c>
      <c r="H85" s="599" t="str">
        <f>VLOOKUP(Table1[[#This Row],[الرقم الوظيفي]],[1]Sheet2!$1:$1048576,71,)</f>
        <v>الاقتصاد</v>
      </c>
      <c r="I85" s="599" t="str">
        <f>VLOOKUP(Table1[[#This Row],[المؤهل الرئيسي]],Table4[],3,)</f>
        <v>C</v>
      </c>
      <c r="J85" s="599" t="s">
        <v>923</v>
      </c>
      <c r="K85" s="615">
        <f>VLOOKUP(Table1[[#This Row],[الرقم الوظيفي]],[1]Sheet2!$1:$1048576,13,)</f>
        <v>42472</v>
      </c>
      <c r="L85" s="615">
        <v>43830</v>
      </c>
      <c r="M85" s="599">
        <f>DATEDIF(Table1[[#This Row],[تاريخ التعيين]],Table1[[#This Row],[اخر العام]],"y")</f>
        <v>3</v>
      </c>
      <c r="N85" s="599">
        <f>DATEDIF(Table1[[#This Row],[تاريخ التعيين]],Table1[[#This Row],[اخر العام]],"ym")</f>
        <v>8</v>
      </c>
      <c r="O85" s="610">
        <f>Table1[[#This Row],[سنوات الخدمه]]*1+Table1[[#This Row],[الشهور اقل من سنه]]*0.08</f>
        <v>3.64</v>
      </c>
      <c r="P85" s="616">
        <v>5070</v>
      </c>
      <c r="Q85" s="617">
        <v>267.69600000000003</v>
      </c>
      <c r="R85" s="612"/>
      <c r="S85" s="599"/>
      <c r="T85" s="612"/>
      <c r="U85" s="612"/>
      <c r="V85" s="612"/>
      <c r="W85" s="612"/>
      <c r="X85" s="612"/>
      <c r="Y85" s="612"/>
      <c r="Z85" s="612"/>
      <c r="AA8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5" s="612"/>
      <c r="AC85" s="599"/>
      <c r="AD85" s="612"/>
      <c r="AE85" s="612"/>
      <c r="AF85" s="612"/>
      <c r="AG85" s="612"/>
      <c r="AH85" s="619">
        <f>SUM(Table1[[#This Row],[التقييد  باللوائح و تنفيذالتوجيه]:[اتباع اجراءات السلامه]])</f>
        <v>0</v>
      </c>
      <c r="AI85" s="619">
        <f>Table1[[#This Row],[المجموع]]+Table1[[#This Row],[المجموع2]]</f>
        <v>0</v>
      </c>
      <c r="AJ85" s="612"/>
      <c r="AK85" s="612"/>
      <c r="AL85" s="612"/>
      <c r="AM85" s="612"/>
      <c r="AN85" s="612"/>
      <c r="AO85" s="606">
        <f>Table1[[#This Row],[المجموع 1+2]]*$AO$2</f>
        <v>0</v>
      </c>
      <c r="AP85" s="648">
        <f>Table1[[#This Row],[راتب ديسمبر 2019]]*Table1[[#This Row],[نسبه التقييم الرئيسي 2018]]%</f>
        <v>0</v>
      </c>
      <c r="AQ85" s="627">
        <f>Table1[[#This Row],[مبلغ التقييم النسبي 2018]]+Table1[[#This Row],[راتب ديسمبر 2019]]</f>
        <v>5070</v>
      </c>
      <c r="AR85" s="611">
        <f>IF(Table1[[#This Row],[Column3]]&lt;0,0,Table1[[#This Row],[Column3]])</f>
        <v>4930</v>
      </c>
      <c r="AS85" s="599">
        <f>VLOOKUP(Table1[[#This Row],[درجه التوسيط]],Table10[],3,)</f>
        <v>10000</v>
      </c>
      <c r="AT85" s="608">
        <f>Table1[[#This Row],[الراتب 2018+النسبه]]+Table1[[#This Row],[فروقات الحد الادني]]</f>
        <v>10000</v>
      </c>
      <c r="AU85" s="629">
        <f>Table1[[#This Row],[الراتب 2018 + النسبه + الفرق]]-Table1[[#This Row],[راتب ديسمبر 2019]]</f>
        <v>4930</v>
      </c>
      <c r="AV85" s="628">
        <f>Table1[[#This Row],[الزياده]]/Table1[[#This Row],[راتب ديسمبر 2019]]%</f>
        <v>97.238658777120307</v>
      </c>
      <c r="AW85" s="659">
        <f>IF(Table1[[#This Row],[Column4]]&lt;0,0,Table1[[#This Row],[Column4]])</f>
        <v>0</v>
      </c>
      <c r="AX85" s="611">
        <f>Table1[[#This Row],[الجبر حتي]]-Table1[[#This Row],[رن]]</f>
        <v>2.1999999999998181</v>
      </c>
      <c r="AY85" s="611">
        <f>Table1[[#This Row],[الزياده]]+Table1[[#This Row],[التعديل]]+Table1[[#This Row],[جبر الرقم]]</f>
        <v>4932.2</v>
      </c>
      <c r="AZ85" s="611">
        <f>Table1[[#This Row],[الراتب 2018 + النسبه + الفرق]]+Table1[[#This Row],[جبر الرقم]]+Table1[[#This Row],[التعديل]]</f>
        <v>10002.200000000001</v>
      </c>
      <c r="BA85" s="631">
        <f>Table1[[#This Row],[الزياده النهائيه]]/Table1[[#This Row],[راتب ديسمبر 2019]]%</f>
        <v>97.28205128205127</v>
      </c>
      <c r="BB85" s="612">
        <f>VLOOKUP(Table1[[#This Row],[الرقم الوظيفي]],Table6[],8,)</f>
        <v>5070</v>
      </c>
      <c r="BC85" s="7"/>
      <c r="BD85" s="7">
        <v>7810</v>
      </c>
      <c r="BE85" s="7">
        <v>7807.8</v>
      </c>
      <c r="BF85" s="5">
        <f>Table1[[#This Row],[الحد الادني]]-Table1[[#This Row],[الراتب 2018+النسبه]]</f>
        <v>4930</v>
      </c>
      <c r="BG85" s="5">
        <f>Table1[[#This Row],[التعديل حتي]]-Table1[[#This Row],[kkk]]</f>
        <v>-7807.8</v>
      </c>
      <c r="BH85" s="5">
        <v>7807.8</v>
      </c>
      <c r="BI85" s="5">
        <f>IF(Table1[[#This Row],[Column4]]&lt;0,0,Table1[[#This Row],[Column4]])</f>
        <v>0</v>
      </c>
    </row>
    <row r="86" spans="1:61">
      <c r="A86" s="602">
        <v>408</v>
      </c>
      <c r="B86" s="618" t="str">
        <f>VLOOKUP(Table1[[#This Row],[الرقم الوظيفي]],[1]Sheet2!$1:$1048576,2,)</f>
        <v>احمد محمد موسى حسن</v>
      </c>
      <c r="C86" s="618" t="str">
        <f>VLOOKUP(Table1[[#This Row],[الرقم الوظيفي]],[1]Sheet2!$1:$1048576,7,)</f>
        <v>المصنع</v>
      </c>
      <c r="D86" s="618" t="str">
        <f>VLOOKUP(Table1[[#This Row],[الرقم الوظيفي]],[1]Sheet2!$1:$1048576,8,)</f>
        <v>الانتاج</v>
      </c>
      <c r="E86" s="599" t="str">
        <f>VLOOKUP(Table1[[#This Row],[الرقم الوظيفي]],[1]Sheet2!$1:$1048576,9,)</f>
        <v>اليات</v>
      </c>
      <c r="F86" s="599" t="str">
        <f>VLOOKUP(Table1[[#This Row],[الرقم الوظيفي]],[1]Sheet2!$1:$1048576,12,)</f>
        <v>سائق اليات</v>
      </c>
      <c r="G86" s="599">
        <f>VLOOKUP(Table1[[#This Row],[الرقم الوظيفي]],[1]Sheet2!$1:$1048576,72,)</f>
        <v>0</v>
      </c>
      <c r="H86" s="599">
        <f>VLOOKUP(Table1[[#This Row],[الرقم الوظيفي]],[1]Sheet2!$1:$1048576,71,)</f>
        <v>0</v>
      </c>
      <c r="I86" s="599" t="str">
        <f>VLOOKUP(Table1[[#This Row],[المؤهل الرئيسي]],Table4[],3,)</f>
        <v>H</v>
      </c>
      <c r="J86" s="599" t="s">
        <v>922</v>
      </c>
      <c r="K86" s="615">
        <f>VLOOKUP(Table1[[#This Row],[الرقم الوظيفي]],[1]Sheet2!$1:$1048576,13,)</f>
        <v>41282</v>
      </c>
      <c r="L86" s="615">
        <v>43830</v>
      </c>
      <c r="M86" s="599">
        <f>DATEDIF(Table1[[#This Row],[تاريخ التعيين]],Table1[[#This Row],[اخر العام]],"y")</f>
        <v>6</v>
      </c>
      <c r="N86" s="599">
        <f>DATEDIF(Table1[[#This Row],[تاريخ التعيين]],Table1[[#This Row],[اخر العام]],"ym")</f>
        <v>11</v>
      </c>
      <c r="O86" s="610">
        <f>Table1[[#This Row],[سنوات الخدمه]]*1+Table1[[#This Row],[الشهور اقل من سنه]]*0.08</f>
        <v>6.88</v>
      </c>
      <c r="P86" s="616">
        <v>4800</v>
      </c>
      <c r="Q86" s="617">
        <v>564.48</v>
      </c>
      <c r="R86" s="612"/>
      <c r="S86" s="599"/>
      <c r="T86" s="612"/>
      <c r="U86" s="612"/>
      <c r="V86" s="612"/>
      <c r="W86" s="612"/>
      <c r="X86" s="612"/>
      <c r="Y86" s="612"/>
      <c r="Z86" s="612"/>
      <c r="AA8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6" s="612"/>
      <c r="AC86" s="599"/>
      <c r="AD86" s="612"/>
      <c r="AE86" s="612"/>
      <c r="AF86" s="612"/>
      <c r="AG86" s="612"/>
      <c r="AH86" s="619">
        <f>SUM(Table1[[#This Row],[التقييد  باللوائح و تنفيذالتوجيه]:[اتباع اجراءات السلامه]])</f>
        <v>0</v>
      </c>
      <c r="AI86" s="619">
        <f>Table1[[#This Row],[المجموع]]+Table1[[#This Row],[المجموع2]]</f>
        <v>0</v>
      </c>
      <c r="AJ86" s="612"/>
      <c r="AK86" s="612"/>
      <c r="AL86" s="612"/>
      <c r="AM86" s="612"/>
      <c r="AN86" s="612"/>
      <c r="AO86" s="606">
        <f>Table1[[#This Row],[المجموع 1+2]]*$AO$2</f>
        <v>0</v>
      </c>
      <c r="AP86" s="648">
        <f>Table1[[#This Row],[راتب ديسمبر 2019]]*Table1[[#This Row],[نسبه التقييم الرئيسي 2018]]%</f>
        <v>0</v>
      </c>
      <c r="AQ86" s="627">
        <f>Table1[[#This Row],[مبلغ التقييم النسبي 2018]]+Table1[[#This Row],[راتب ديسمبر 2019]]</f>
        <v>4800</v>
      </c>
      <c r="AR86" s="611">
        <f>IF(Table1[[#This Row],[Column3]]&lt;0,0,Table1[[#This Row],[Column3]])</f>
        <v>6200</v>
      </c>
      <c r="AS86" s="599">
        <f>VLOOKUP(Table1[[#This Row],[درجه التوسيط]],Table10[],3,)</f>
        <v>11000</v>
      </c>
      <c r="AT86" s="608">
        <f>Table1[[#This Row],[الراتب 2018+النسبه]]+Table1[[#This Row],[فروقات الحد الادني]]</f>
        <v>11000</v>
      </c>
      <c r="AU86" s="629">
        <f>Table1[[#This Row],[الراتب 2018 + النسبه + الفرق]]-Table1[[#This Row],[راتب ديسمبر 2019]]</f>
        <v>6200</v>
      </c>
      <c r="AV86" s="628">
        <f>Table1[[#This Row],[الزياده]]/Table1[[#This Row],[راتب ديسمبر 2019]]%</f>
        <v>129.16666666666666</v>
      </c>
      <c r="AW86" s="659">
        <f>IF(Table1[[#This Row],[Column4]]&lt;0,0,Table1[[#This Row],[Column4]])</f>
        <v>992.80000000000018</v>
      </c>
      <c r="AX86" s="611">
        <f>Table1[[#This Row],[الجبر حتي]]-Table1[[#This Row],[رن]]</f>
        <v>0</v>
      </c>
      <c r="AY86" s="611">
        <f>Table1[[#This Row],[الزياده]]+Table1[[#This Row],[التعديل]]+Table1[[#This Row],[جبر الرقم]]</f>
        <v>7192.8</v>
      </c>
      <c r="AZ86" s="611">
        <f>Table1[[#This Row],[الراتب 2018 + النسبه + الفرق]]+Table1[[#This Row],[جبر الرقم]]+Table1[[#This Row],[التعديل]]</f>
        <v>11992.8</v>
      </c>
      <c r="BA86" s="631">
        <f>Table1[[#This Row],[الزياده النهائيه]]/Table1[[#This Row],[راتب ديسمبر 2019]]%</f>
        <v>149.85</v>
      </c>
      <c r="BB86" s="612">
        <f>VLOOKUP(Table1[[#This Row],[الرقم الوظيفي]],Table6[],8,)</f>
        <v>4800</v>
      </c>
      <c r="BC86" s="7">
        <v>8500</v>
      </c>
      <c r="BD86" s="7">
        <v>8500</v>
      </c>
      <c r="BE86" s="7">
        <v>8500</v>
      </c>
      <c r="BF86" s="5">
        <f>Table1[[#This Row],[الحد الادني]]-Table1[[#This Row],[الراتب 2018+النسبه]]</f>
        <v>6200</v>
      </c>
      <c r="BG86" s="5">
        <f>Table1[[#This Row],[التعديل حتي]]-Table1[[#This Row],[kkk]]</f>
        <v>992.80000000000018</v>
      </c>
      <c r="BH86" s="5">
        <v>7507.2</v>
      </c>
      <c r="BI86" s="5">
        <v>8500</v>
      </c>
    </row>
    <row r="87" spans="1:61" ht="21" customHeight="1">
      <c r="A87" s="602">
        <v>410</v>
      </c>
      <c r="B87" s="618" t="str">
        <f>VLOOKUP(Table1[[#This Row],[الرقم الوظيفي]],[1]Sheet2!$1:$1048576,2,)</f>
        <v>امير احمد البشرى عبدالرحيم</v>
      </c>
      <c r="C87" s="618" t="str">
        <f>VLOOKUP(Table1[[#This Row],[الرقم الوظيفي]],[1]Sheet2!$1:$1048576,7,)</f>
        <v>المصنع</v>
      </c>
      <c r="D87" s="618" t="str">
        <f>VLOOKUP(Table1[[#This Row],[الرقم الوظيفي]],[1]Sheet2!$1:$1048576,8,)</f>
        <v>الكمبيوتر</v>
      </c>
      <c r="E87" s="599" t="str">
        <f>VLOOKUP(Table1[[#This Row],[الرقم الوظيفي]],[1]Sheet2!$1:$1048576,9,)</f>
        <v>الكمبيوتر</v>
      </c>
      <c r="F87" s="599" t="str">
        <f>VLOOKUP(Table1[[#This Row],[الرقم الوظيفي]],[1]Sheet2!$1:$1048576,12,)</f>
        <v>مهندس كمبيوتر</v>
      </c>
      <c r="G87" s="599" t="str">
        <f>VLOOKUP(Table1[[#This Row],[الرقم الوظيفي]],[1]Sheet2!$1:$1048576,72,)</f>
        <v>دبلوم تقني</v>
      </c>
      <c r="H87" s="599" t="str">
        <f>VLOOKUP(Table1[[#This Row],[الرقم الوظيفي]],[1]Sheet2!$1:$1048576,71,)</f>
        <v>هندسة حاسوب</v>
      </c>
      <c r="I87" s="599" t="str">
        <f>VLOOKUP(Table1[[#This Row],[المؤهل الرئيسي]],Table4[],3,)</f>
        <v>D</v>
      </c>
      <c r="J87" s="599" t="s">
        <v>983</v>
      </c>
      <c r="K87" s="615">
        <f>VLOOKUP(Table1[[#This Row],[الرقم الوظيفي]],[1]Sheet2!$1:$1048576,13,)</f>
        <v>41275</v>
      </c>
      <c r="L87" s="615">
        <v>43830</v>
      </c>
      <c r="M87" s="599">
        <f>DATEDIF(Table1[[#This Row],[تاريخ التعيين]],Table1[[#This Row],[اخر العام]],"y")</f>
        <v>6</v>
      </c>
      <c r="N87" s="599">
        <f>DATEDIF(Table1[[#This Row],[تاريخ التعيين]],Table1[[#This Row],[اخر العام]],"ym")</f>
        <v>11</v>
      </c>
      <c r="O87" s="610">
        <f>Table1[[#This Row],[سنوات الخدمه]]*1+Table1[[#This Row],[الشهور اقل من سنه]]*0.08</f>
        <v>6.88</v>
      </c>
      <c r="P87" s="616">
        <v>5260</v>
      </c>
      <c r="Q87" s="617">
        <v>618.57600000000002</v>
      </c>
      <c r="R87" s="612"/>
      <c r="S87" s="599"/>
      <c r="T87" s="612"/>
      <c r="U87" s="612"/>
      <c r="V87" s="612"/>
      <c r="W87" s="612"/>
      <c r="X87" s="612"/>
      <c r="Y87" s="612"/>
      <c r="Z87" s="612"/>
      <c r="AA8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7" s="612"/>
      <c r="AC87" s="599"/>
      <c r="AD87" s="612"/>
      <c r="AE87" s="612"/>
      <c r="AF87" s="612"/>
      <c r="AG87" s="612"/>
      <c r="AH87" s="619">
        <f>SUM(Table1[[#This Row],[التقييد  باللوائح و تنفيذالتوجيه]:[اتباع اجراءات السلامه]])</f>
        <v>0</v>
      </c>
      <c r="AI87" s="619">
        <f>Table1[[#This Row],[المجموع]]+Table1[[#This Row],[المجموع2]]</f>
        <v>0</v>
      </c>
      <c r="AJ87" s="612">
        <v>10</v>
      </c>
      <c r="AK87" s="612"/>
      <c r="AL87" s="612"/>
      <c r="AM87" s="612"/>
      <c r="AN87" s="612"/>
      <c r="AO87" s="606">
        <f>Table1[[#This Row],[المجموع 1+2]]*$AO$2</f>
        <v>0</v>
      </c>
      <c r="AP87" s="648">
        <f>Table1[[#This Row],[راتب ديسمبر 2019]]*Table1[[#This Row],[نسبه التقييم الرئيسي 2018]]%</f>
        <v>0</v>
      </c>
      <c r="AQ87" s="627">
        <f>Table1[[#This Row],[مبلغ التقييم النسبي 2018]]+Table1[[#This Row],[راتب ديسمبر 2019]]</f>
        <v>5260</v>
      </c>
      <c r="AR87" s="611">
        <f>IF(Table1[[#This Row],[Column3]]&lt;0,0,Table1[[#This Row],[Column3]])</f>
        <v>9740</v>
      </c>
      <c r="AS87" s="599">
        <f>VLOOKUP(Table1[[#This Row],[درجه التوسيط]],Table10[],3,)</f>
        <v>15000</v>
      </c>
      <c r="AT87" s="608">
        <f>Table1[[#This Row],[الراتب 2018+النسبه]]+Table1[[#This Row],[فروقات الحد الادني]]</f>
        <v>15000</v>
      </c>
      <c r="AU87" s="629">
        <f>Table1[[#This Row],[الراتب 2018 + النسبه + الفرق]]-Table1[[#This Row],[راتب ديسمبر 2019]]</f>
        <v>9740</v>
      </c>
      <c r="AV87" s="628">
        <f>Table1[[#This Row],[الزياده]]/Table1[[#This Row],[راتب ديسمبر 2019]]%</f>
        <v>185.17110266159696</v>
      </c>
      <c r="AW87" s="659">
        <f>IF(Table1[[#This Row],[Column4]]&lt;0,0,Table1[[#This Row],[Column4]])</f>
        <v>5000</v>
      </c>
      <c r="AX87" s="611">
        <f>Table1[[#This Row],[الجبر حتي]]-Table1[[#This Row],[رن]]</f>
        <v>0</v>
      </c>
      <c r="AY87" s="611">
        <f>Table1[[#This Row],[الزياده]]+Table1[[#This Row],[التعديل]]+Table1[[#This Row],[جبر الرقم]]</f>
        <v>14740</v>
      </c>
      <c r="AZ87" s="611">
        <f>Table1[[#This Row],[الراتب 2018 + النسبه + الفرق]]+Table1[[#This Row],[جبر الرقم]]+Table1[[#This Row],[التعديل]]</f>
        <v>20000</v>
      </c>
      <c r="BA87" s="631">
        <f>Table1[[#This Row],[الزياده النهائيه]]/Table1[[#This Row],[راتب ديسمبر 2019]]%</f>
        <v>280.22813688212926</v>
      </c>
      <c r="BB87" s="612">
        <f>VLOOKUP(Table1[[#This Row],[الرقم الوظيفي]],Table6[],8,)</f>
        <v>5260</v>
      </c>
      <c r="BC87" s="7">
        <v>15000</v>
      </c>
      <c r="BD87" s="7">
        <v>10000</v>
      </c>
      <c r="BE87" s="7">
        <v>10000</v>
      </c>
      <c r="BF87" s="5">
        <f>Table1[[#This Row],[الحد الادني]]-Table1[[#This Row],[الراتب 2018+النسبه]]</f>
        <v>9740</v>
      </c>
      <c r="BG87" s="5">
        <f>Table1[[#This Row],[التعديل حتي]]-Table1[[#This Row],[kkk]]</f>
        <v>5000</v>
      </c>
      <c r="BH87" s="5">
        <v>10000</v>
      </c>
      <c r="BI87" s="5"/>
    </row>
    <row r="88" spans="1:61" ht="21" customHeight="1">
      <c r="A88" s="602">
        <v>411</v>
      </c>
      <c r="B88" s="618" t="str">
        <f>VLOOKUP(Table1[[#This Row],[الرقم الوظيفي]],[1]Sheet2!$1:$1048576,2,)</f>
        <v>الحاج بليله عمر بليله</v>
      </c>
      <c r="C88" s="618" t="str">
        <f>VLOOKUP(Table1[[#This Row],[الرقم الوظيفي]],[1]Sheet2!$1:$1048576,7,)</f>
        <v>المصنع</v>
      </c>
      <c r="D88" s="618" t="str">
        <f>VLOOKUP(Table1[[#This Row],[الرقم الوظيفي]],[1]Sheet2!$1:$1048576,8,)</f>
        <v>الانتاج</v>
      </c>
      <c r="E88" s="599">
        <f>VLOOKUP(Table1[[#This Row],[الرقم الوظيفي]],[1]Sheet2!$1:$1048576,9,)</f>
        <v>0</v>
      </c>
      <c r="F88" s="599" t="str">
        <f>VLOOKUP(Table1[[#This Row],[الرقم الوظيفي]],[1]Sheet2!$1:$1048576,12,)</f>
        <v>مشغل كرين</v>
      </c>
      <c r="G88" s="599" t="str">
        <f>VLOOKUP(Table1[[#This Row],[الرقم الوظيفي]],[1]Sheet2!$1:$1048576,72,)</f>
        <v>شهاده ثانويه</v>
      </c>
      <c r="H88" s="599">
        <f>VLOOKUP(Table1[[#This Row],[الرقم الوظيفي]],[1]Sheet2!$1:$1048576,71,)</f>
        <v>0</v>
      </c>
      <c r="I88" s="599" t="str">
        <f>VLOOKUP(Table1[[#This Row],[المؤهل الرئيسي]],Table4[],3,)</f>
        <v>F</v>
      </c>
      <c r="J88" s="599" t="s">
        <v>925</v>
      </c>
      <c r="K88" s="615">
        <f>VLOOKUP(Table1[[#This Row],[الرقم الوظيفي]],[1]Sheet2!$1:$1048576,13,)</f>
        <v>41296</v>
      </c>
      <c r="L88" s="615">
        <v>43830</v>
      </c>
      <c r="M88" s="599">
        <f>DATEDIF(Table1[[#This Row],[تاريخ التعيين]],Table1[[#This Row],[اخر العام]],"y")</f>
        <v>6</v>
      </c>
      <c r="N88" s="599">
        <f>DATEDIF(Table1[[#This Row],[تاريخ التعيين]],Table1[[#This Row],[اخر العام]],"ym")</f>
        <v>11</v>
      </c>
      <c r="O88" s="610">
        <f>Table1[[#This Row],[سنوات الخدمه]]*1+Table1[[#This Row],[الشهور اقل من سنه]]*0.08</f>
        <v>6.88</v>
      </c>
      <c r="P88" s="616">
        <v>4200</v>
      </c>
      <c r="Q88" s="617">
        <v>493.92</v>
      </c>
      <c r="R88" s="612"/>
      <c r="S88" s="599"/>
      <c r="T88" s="612"/>
      <c r="U88" s="612"/>
      <c r="V88" s="612"/>
      <c r="W88" s="612"/>
      <c r="X88" s="612"/>
      <c r="Y88" s="612"/>
      <c r="Z88" s="612"/>
      <c r="AA8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8" s="612"/>
      <c r="AC88" s="599"/>
      <c r="AD88" s="612"/>
      <c r="AE88" s="612"/>
      <c r="AF88" s="612"/>
      <c r="AG88" s="612"/>
      <c r="AH88" s="619">
        <f>SUM(Table1[[#This Row],[التقييد  باللوائح و تنفيذالتوجيه]:[اتباع اجراءات السلامه]])</f>
        <v>0</v>
      </c>
      <c r="AI88" s="619">
        <f>Table1[[#This Row],[المجموع]]+Table1[[#This Row],[المجموع2]]</f>
        <v>0</v>
      </c>
      <c r="AJ88" s="612"/>
      <c r="AK88" s="612"/>
      <c r="AL88" s="612"/>
      <c r="AM88" s="612"/>
      <c r="AN88" s="612"/>
      <c r="AO88" s="606">
        <f>Table1[[#This Row],[المجموع 1+2]]*$AO$2</f>
        <v>0</v>
      </c>
      <c r="AP88" s="648">
        <f>Table1[[#This Row],[راتب ديسمبر 2019]]*Table1[[#This Row],[نسبه التقييم الرئيسي 2018]]%</f>
        <v>0</v>
      </c>
      <c r="AQ88" s="627">
        <f>Table1[[#This Row],[مبلغ التقييم النسبي 2018]]+Table1[[#This Row],[راتب ديسمبر 2019]]</f>
        <v>4200</v>
      </c>
      <c r="AR88" s="611">
        <f>IF(Table1[[#This Row],[Column3]]&lt;0,0,Table1[[#This Row],[Column3]])</f>
        <v>4800</v>
      </c>
      <c r="AS88" s="599">
        <f>VLOOKUP(Table1[[#This Row],[درجه التوسيط]],Table10[],3,)</f>
        <v>9000</v>
      </c>
      <c r="AT88" s="608">
        <f>Table1[[#This Row],[الراتب 2018+النسبه]]+Table1[[#This Row],[فروقات الحد الادني]]</f>
        <v>9000</v>
      </c>
      <c r="AU88" s="629">
        <f>Table1[[#This Row],[الراتب 2018 + النسبه + الفرق]]-Table1[[#This Row],[راتب ديسمبر 2019]]</f>
        <v>4800</v>
      </c>
      <c r="AV88" s="628">
        <f>Table1[[#This Row],[الزياده]]/Table1[[#This Row],[راتب ديسمبر 2019]]%</f>
        <v>114.28571428571429</v>
      </c>
      <c r="AW88" s="659">
        <f>IF(Table1[[#This Row],[Column4]]&lt;0,0,Table1[[#This Row],[Column4]])</f>
        <v>0</v>
      </c>
      <c r="AX88" s="611">
        <f>Table1[[#This Row],[الجبر حتي]]-Table1[[#This Row],[رن]]</f>
        <v>0.8000000000001819</v>
      </c>
      <c r="AY88" s="611">
        <f>Table1[[#This Row],[الزياده]]+Table1[[#This Row],[التعديل]]+Table1[[#This Row],[جبر الرقم]]</f>
        <v>4800.8</v>
      </c>
      <c r="AZ88" s="611">
        <f>Table1[[#This Row],[الراتب 2018 + النسبه + الفرق]]+Table1[[#This Row],[جبر الرقم]]+Table1[[#This Row],[التعديل]]</f>
        <v>9000.7999999999993</v>
      </c>
      <c r="BA88" s="631">
        <f>Table1[[#This Row],[الزياده النهائيه]]/Table1[[#This Row],[راتب ديسمبر 2019]]%</f>
        <v>114.3047619047619</v>
      </c>
      <c r="BB88" s="612">
        <f>VLOOKUP(Table1[[#This Row],[الرقم الوظيفي]],Table6[],8,)</f>
        <v>4200</v>
      </c>
      <c r="BC88" s="7"/>
      <c r="BD88" s="7">
        <v>6620</v>
      </c>
      <c r="BE88" s="7">
        <v>6619.2</v>
      </c>
      <c r="BF88" s="5">
        <f>Table1[[#This Row],[الحد الادني]]-Table1[[#This Row],[الراتب 2018+النسبه]]</f>
        <v>4800</v>
      </c>
      <c r="BG88" s="5">
        <f>Table1[[#This Row],[التعديل حتي]]-Table1[[#This Row],[kkk]]</f>
        <v>-6619.2</v>
      </c>
      <c r="BH88" s="5">
        <v>6619.2</v>
      </c>
      <c r="BI88" s="5"/>
    </row>
    <row r="89" spans="1:61" ht="21" customHeight="1">
      <c r="A89" s="602">
        <v>415</v>
      </c>
      <c r="B89" s="618" t="str">
        <f>VLOOKUP(Table1[[#This Row],[الرقم الوظيفي]],[1]Sheet2!$1:$1048576,2,)</f>
        <v>عبدالخالق حسن محمد ابراهيم</v>
      </c>
      <c r="C89" s="618" t="str">
        <f>VLOOKUP(Table1[[#This Row],[الرقم الوظيفي]],[1]Sheet2!$1:$1048576,7,)</f>
        <v>المصنع</v>
      </c>
      <c r="D89" s="618" t="str">
        <f>VLOOKUP(Table1[[#This Row],[الرقم الوظيفي]],[1]Sheet2!$1:$1048576,8,)</f>
        <v>الميكانيكا</v>
      </c>
      <c r="E89" s="599" t="str">
        <f>VLOOKUP(Table1[[#This Row],[الرقم الوظيفي]],[1]Sheet2!$1:$1048576,9,)</f>
        <v>الميكانيكا</v>
      </c>
      <c r="F89" s="599" t="str">
        <f>VLOOKUP(Table1[[#This Row],[الرقم الوظيفي]],[1]Sheet2!$1:$1048576,12,)</f>
        <v>تقنى ميكانيكا</v>
      </c>
      <c r="G89" s="599" t="str">
        <f>VLOOKUP(Table1[[#This Row],[الرقم الوظيفي]],[1]Sheet2!$1:$1048576,72,)</f>
        <v>دبلوم تقني</v>
      </c>
      <c r="H89" s="599" t="str">
        <f>VLOOKUP(Table1[[#This Row],[الرقم الوظيفي]],[1]Sheet2!$1:$1048576,71,)</f>
        <v>هندسة ميكانيكية ( إنتاج )</v>
      </c>
      <c r="I89" s="599" t="str">
        <f>VLOOKUP(Table1[[#This Row],[المؤهل الرئيسي]],Table4[],3,)</f>
        <v>D</v>
      </c>
      <c r="J89" s="599" t="s">
        <v>922</v>
      </c>
      <c r="K89" s="615">
        <f>VLOOKUP(Table1[[#This Row],[الرقم الوظيفي]],[1]Sheet2!$1:$1048576,13,)</f>
        <v>41312</v>
      </c>
      <c r="L89" s="615">
        <v>43830</v>
      </c>
      <c r="M89" s="599">
        <f>DATEDIF(Table1[[#This Row],[تاريخ التعيين]],Table1[[#This Row],[اخر العام]],"y")</f>
        <v>6</v>
      </c>
      <c r="N89" s="599">
        <f>DATEDIF(Table1[[#This Row],[تاريخ التعيين]],Table1[[#This Row],[اخر العام]],"ym")</f>
        <v>10</v>
      </c>
      <c r="O89" s="610">
        <f>Table1[[#This Row],[سنوات الخدمه]]*1+Table1[[#This Row],[الشهور اقل من سنه]]*0.08</f>
        <v>6.8</v>
      </c>
      <c r="P89" s="616">
        <v>4730</v>
      </c>
      <c r="Q89" s="617">
        <v>548.67999999999995</v>
      </c>
      <c r="R89" s="612"/>
      <c r="S89" s="599"/>
      <c r="T89" s="612"/>
      <c r="U89" s="612"/>
      <c r="V89" s="612"/>
      <c r="W89" s="612"/>
      <c r="X89" s="612"/>
      <c r="Y89" s="612"/>
      <c r="Z89" s="612"/>
      <c r="AA8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89" s="612"/>
      <c r="AC89" s="599"/>
      <c r="AD89" s="612"/>
      <c r="AE89" s="612"/>
      <c r="AF89" s="612"/>
      <c r="AG89" s="612"/>
      <c r="AH89" s="619">
        <f>SUM(Table1[[#This Row],[التقييد  باللوائح و تنفيذالتوجيه]:[اتباع اجراءات السلامه]])</f>
        <v>0</v>
      </c>
      <c r="AI89" s="619">
        <f>Table1[[#This Row],[المجموع]]+Table1[[#This Row],[المجموع2]]</f>
        <v>0</v>
      </c>
      <c r="AJ89" s="612">
        <v>10</v>
      </c>
      <c r="AK89" s="612"/>
      <c r="AL89" s="612"/>
      <c r="AM89" s="612"/>
      <c r="AN89" s="612"/>
      <c r="AO89" s="606">
        <f>Table1[[#This Row],[المجموع 1+2]]*$AO$2</f>
        <v>0</v>
      </c>
      <c r="AP89" s="648">
        <f>Table1[[#This Row],[راتب ديسمبر 2019]]*Table1[[#This Row],[نسبه التقييم الرئيسي 2018]]%</f>
        <v>0</v>
      </c>
      <c r="AQ89" s="627">
        <f>Table1[[#This Row],[مبلغ التقييم النسبي 2018]]+Table1[[#This Row],[راتب ديسمبر 2019]]</f>
        <v>4730</v>
      </c>
      <c r="AR89" s="611">
        <f>IF(Table1[[#This Row],[Column3]]&lt;0,0,Table1[[#This Row],[Column3]])</f>
        <v>6270</v>
      </c>
      <c r="AS89" s="599">
        <f>VLOOKUP(Table1[[#This Row],[درجه التوسيط]],Table10[],3,)</f>
        <v>11000</v>
      </c>
      <c r="AT89" s="608">
        <f>Table1[[#This Row],[الراتب 2018+النسبه]]+Table1[[#This Row],[فروقات الحد الادني]]</f>
        <v>11000</v>
      </c>
      <c r="AU89" s="629">
        <f>Table1[[#This Row],[الراتب 2018 + النسبه + الفرق]]-Table1[[#This Row],[راتب ديسمبر 2019]]</f>
        <v>6270</v>
      </c>
      <c r="AV89" s="628">
        <f>Table1[[#This Row],[الزياده]]/Table1[[#This Row],[راتب ديسمبر 2019]]%</f>
        <v>132.55813953488374</v>
      </c>
      <c r="AW89" s="659">
        <f>IF(Table1[[#This Row],[Column4]]&lt;0,0,Table1[[#This Row],[Column4]])</f>
        <v>0</v>
      </c>
      <c r="AX89" s="611">
        <f>Table1[[#This Row],[الجبر حتي]]-Table1[[#This Row],[رن]]</f>
        <v>5.7999999999992724</v>
      </c>
      <c r="AY89" s="611">
        <f>Table1[[#This Row],[الزياده]]+Table1[[#This Row],[التعديل]]+Table1[[#This Row],[جبر الرقم]]</f>
        <v>6275.7999999999993</v>
      </c>
      <c r="AZ89" s="611">
        <f>Table1[[#This Row],[الراتب 2018 + النسبه + الفرق]]+Table1[[#This Row],[جبر الرقم]]+Table1[[#This Row],[التعديل]]</f>
        <v>11005.8</v>
      </c>
      <c r="BA89" s="631">
        <f>Table1[[#This Row],[الزياده النهائيه]]/Table1[[#This Row],[راتب ديسمبر 2019]]%</f>
        <v>132.68076109936575</v>
      </c>
      <c r="BB89" s="612">
        <f>VLOOKUP(Table1[[#This Row],[الرقم الوظيفي]],Table6[],8,)</f>
        <v>4730</v>
      </c>
      <c r="BC89" s="7"/>
      <c r="BD89" s="7">
        <v>7290</v>
      </c>
      <c r="BE89" s="7">
        <v>7284.2000000000007</v>
      </c>
      <c r="BF89" s="5">
        <f>Table1[[#This Row],[الحد الادني]]-Table1[[#This Row],[الراتب 2018+النسبه]]</f>
        <v>6270</v>
      </c>
      <c r="BG89" s="5">
        <f>Table1[[#This Row],[التعديل حتي]]-Table1[[#This Row],[kkk]]</f>
        <v>-7284.2000000000007</v>
      </c>
      <c r="BH89" s="5">
        <v>7284.2000000000007</v>
      </c>
      <c r="BI89" s="5"/>
    </row>
    <row r="90" spans="1:61" ht="21" customHeight="1">
      <c r="A90" s="602">
        <v>418</v>
      </c>
      <c r="B90" s="618" t="str">
        <f>VLOOKUP(Table1[[#This Row],[الرقم الوظيفي]],[1]Sheet2!$1:$1048576,2,)</f>
        <v>معتز موسى وجين دارموس</v>
      </c>
      <c r="C90" s="618" t="str">
        <f>VLOOKUP(Table1[[#This Row],[الرقم الوظيفي]],[1]Sheet2!$1:$1048576,7,)</f>
        <v>المصنع</v>
      </c>
      <c r="D90" s="618" t="str">
        <f>VLOOKUP(Table1[[#This Row],[الرقم الوظيفي]],[1]Sheet2!$1:$1048576,8,)</f>
        <v>الجوده</v>
      </c>
      <c r="E90" s="599">
        <f>VLOOKUP(Table1[[#This Row],[الرقم الوظيفي]],[1]Sheet2!$1:$1048576,9,)</f>
        <v>0</v>
      </c>
      <c r="F90" s="599" t="str">
        <f>VLOOKUP(Table1[[#This Row],[الرقم الوظيفي]],[1]Sheet2!$1:$1048576,12,)</f>
        <v>مراقب انتاج</v>
      </c>
      <c r="G90" s="599" t="str">
        <f>VLOOKUP(Table1[[#This Row],[الرقم الوظيفي]],[1]Sheet2!$1:$1048576,72,)</f>
        <v>دبلوم تقني</v>
      </c>
      <c r="H90" s="599" t="str">
        <f>VLOOKUP(Table1[[#This Row],[الرقم الوظيفي]],[1]Sheet2!$1:$1048576,71,)</f>
        <v>هندسة حاسوب</v>
      </c>
      <c r="I90" s="599" t="str">
        <f>VLOOKUP(Table1[[#This Row],[المؤهل الرئيسي]],Table4[],3,)</f>
        <v>D</v>
      </c>
      <c r="J90" s="599" t="s">
        <v>928</v>
      </c>
      <c r="K90" s="615">
        <f>VLOOKUP(Table1[[#This Row],[الرقم الوظيفي]],[1]Sheet2!$1:$1048576,13,)</f>
        <v>43193</v>
      </c>
      <c r="L90" s="615">
        <v>43830</v>
      </c>
      <c r="M90" s="599">
        <f>DATEDIF(Table1[[#This Row],[تاريخ التعيين]],Table1[[#This Row],[اخر العام]],"y")</f>
        <v>1</v>
      </c>
      <c r="N90" s="599">
        <f>DATEDIF(Table1[[#This Row],[تاريخ التعيين]],Table1[[#This Row],[اخر العام]],"ym")</f>
        <v>8</v>
      </c>
      <c r="O90" s="610">
        <f>Table1[[#This Row],[سنوات الخدمه]]*1+Table1[[#This Row],[الشهور اقل من سنه]]*0.08</f>
        <v>1.6400000000000001</v>
      </c>
      <c r="P90" s="616">
        <v>3000</v>
      </c>
      <c r="Q90" s="617">
        <v>38.4</v>
      </c>
      <c r="R90" s="612"/>
      <c r="S90" s="599"/>
      <c r="T90" s="612"/>
      <c r="U90" s="612"/>
      <c r="V90" s="612"/>
      <c r="W90" s="612"/>
      <c r="X90" s="612"/>
      <c r="Y90" s="612"/>
      <c r="Z90" s="612"/>
      <c r="AA9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0" s="612"/>
      <c r="AC90" s="599"/>
      <c r="AD90" s="612"/>
      <c r="AE90" s="612"/>
      <c r="AF90" s="612"/>
      <c r="AG90" s="612"/>
      <c r="AH90" s="619">
        <f>SUM(Table1[[#This Row],[التقييد  باللوائح و تنفيذالتوجيه]:[اتباع اجراءات السلامه]])</f>
        <v>0</v>
      </c>
      <c r="AI90" s="619">
        <f>Table1[[#This Row],[المجموع]]+Table1[[#This Row],[المجموع2]]</f>
        <v>0</v>
      </c>
      <c r="AJ90" s="612">
        <v>9</v>
      </c>
      <c r="AK90" s="612"/>
      <c r="AL90" s="612"/>
      <c r="AM90" s="612"/>
      <c r="AN90" s="612"/>
      <c r="AO90" s="606">
        <f>Table1[[#This Row],[المجموع 1+2]]*$AO$2</f>
        <v>0</v>
      </c>
      <c r="AP90" s="648">
        <f>Table1[[#This Row],[راتب ديسمبر 2019]]*Table1[[#This Row],[نسبه التقييم الرئيسي 2018]]%</f>
        <v>0</v>
      </c>
      <c r="AQ90" s="627">
        <f>Table1[[#This Row],[مبلغ التقييم النسبي 2018]]+Table1[[#This Row],[راتب ديسمبر 2019]]</f>
        <v>3000</v>
      </c>
      <c r="AR90" s="611">
        <f>IF(Table1[[#This Row],[Column3]]&lt;0,0,Table1[[#This Row],[Column3]])</f>
        <v>4000</v>
      </c>
      <c r="AS90" s="599">
        <f>VLOOKUP(Table1[[#This Row],[درجه التوسيط]],Table10[],3,)</f>
        <v>7000</v>
      </c>
      <c r="AT90" s="608">
        <f>Table1[[#This Row],[الراتب 2018+النسبه]]+Table1[[#This Row],[فروقات الحد الادني]]</f>
        <v>7000</v>
      </c>
      <c r="AU90" s="629">
        <f>Table1[[#This Row],[الراتب 2018 + النسبه + الفرق]]-Table1[[#This Row],[راتب ديسمبر 2019]]</f>
        <v>4000</v>
      </c>
      <c r="AV90" s="628">
        <f>Table1[[#This Row],[الزياده]]/Table1[[#This Row],[راتب ديسمبر 2019]]%</f>
        <v>133.33333333333334</v>
      </c>
      <c r="AW90" s="659">
        <f>IF(Table1[[#This Row],[Column4]]&lt;0,0,Table1[[#This Row],[Column4]])</f>
        <v>0</v>
      </c>
      <c r="AX90" s="611">
        <f>Table1[[#This Row],[الجبر حتي]]-Table1[[#This Row],[رن]]</f>
        <v>0</v>
      </c>
      <c r="AY90" s="611">
        <f>Table1[[#This Row],[الزياده]]+Table1[[#This Row],[التعديل]]+Table1[[#This Row],[جبر الرقم]]</f>
        <v>4000</v>
      </c>
      <c r="AZ90" s="611">
        <f>Table1[[#This Row],[الراتب 2018 + النسبه + الفرق]]+Table1[[#This Row],[جبر الرقم]]+Table1[[#This Row],[التعديل]]</f>
        <v>7000</v>
      </c>
      <c r="BA90" s="631">
        <f>Table1[[#This Row],[الزياده النهائيه]]/Table1[[#This Row],[راتب ديسمبر 2019]]%</f>
        <v>133.33333333333334</v>
      </c>
      <c r="BB90" s="612">
        <f>VLOOKUP(Table1[[#This Row],[الرقم الوظيفي]],Table6[],8,)</f>
        <v>3000</v>
      </c>
      <c r="BC90" s="7"/>
      <c r="BD90" s="7">
        <v>5000</v>
      </c>
      <c r="BE90" s="7">
        <v>5000</v>
      </c>
      <c r="BF90" s="5">
        <f>Table1[[#This Row],[الحد الادني]]-Table1[[#This Row],[الراتب 2018+النسبه]]</f>
        <v>4000</v>
      </c>
      <c r="BG90" s="5">
        <f>Table1[[#This Row],[التعديل حتي]]-Table1[[#This Row],[kkk]]</f>
        <v>-5000</v>
      </c>
      <c r="BH90" s="5">
        <v>5000</v>
      </c>
      <c r="BI90" s="5"/>
    </row>
    <row r="91" spans="1:61" ht="21" customHeight="1">
      <c r="A91" s="602">
        <v>425</v>
      </c>
      <c r="B91" s="618" t="str">
        <f>VLOOKUP(Table1[[#This Row],[الرقم الوظيفي]],[1]Sheet2!$1:$1048576,2,)</f>
        <v>الفاتح محمد عامر سليمان</v>
      </c>
      <c r="C91" s="618" t="str">
        <f>VLOOKUP(Table1[[#This Row],[الرقم الوظيفي]],[1]Sheet2!$1:$1048576,7,)</f>
        <v>المصنع</v>
      </c>
      <c r="D91" s="618" t="str">
        <f>VLOOKUP(Table1[[#This Row],[الرقم الوظيفي]],[1]Sheet2!$1:$1048576,8,)</f>
        <v>الميكانيكا</v>
      </c>
      <c r="E91" s="599" t="str">
        <f>VLOOKUP(Table1[[#This Row],[الرقم الوظيفي]],[1]Sheet2!$1:$1048576,9,)</f>
        <v>مشرف صيانه</v>
      </c>
      <c r="F91" s="599" t="str">
        <f>VLOOKUP(Table1[[#This Row],[الرقم الوظيفي]],[1]Sheet2!$1:$1048576,12,)</f>
        <v>مشرف صيانه</v>
      </c>
      <c r="G91" s="599">
        <f>VLOOKUP(Table1[[#This Row],[الرقم الوظيفي]],[1]Sheet2!$1:$1048576,72,)</f>
        <v>0</v>
      </c>
      <c r="H91" s="599">
        <f>VLOOKUP(Table1[[#This Row],[الرقم الوظيفي]],[1]Sheet2!$1:$1048576,71,)</f>
        <v>0</v>
      </c>
      <c r="I91" s="599" t="str">
        <f>VLOOKUP(Table1[[#This Row],[المؤهل الرئيسي]],Table4[],3,)</f>
        <v>H</v>
      </c>
      <c r="J91" s="599" t="s">
        <v>495</v>
      </c>
      <c r="K91" s="615">
        <f>VLOOKUP(Table1[[#This Row],[الرقم الوظيفي]],[1]Sheet2!$1:$1048576,13,)</f>
        <v>41334</v>
      </c>
      <c r="L91" s="615">
        <v>43830</v>
      </c>
      <c r="M91" s="599">
        <f>DATEDIF(Table1[[#This Row],[تاريخ التعيين]],Table1[[#This Row],[اخر العام]],"y")</f>
        <v>6</v>
      </c>
      <c r="N91" s="599">
        <f>DATEDIF(Table1[[#This Row],[تاريخ التعيين]],Table1[[#This Row],[اخر العام]],"ym")</f>
        <v>9</v>
      </c>
      <c r="O91" s="610">
        <f>Table1[[#This Row],[سنوات الخدمه]]*1+Table1[[#This Row],[الشهور اقل من سنه]]*0.08</f>
        <v>6.72</v>
      </c>
      <c r="P91" s="616">
        <v>7460</v>
      </c>
      <c r="Q91" s="617">
        <v>853.42399999999998</v>
      </c>
      <c r="R91" s="612"/>
      <c r="S91" s="599"/>
      <c r="T91" s="612"/>
      <c r="U91" s="612"/>
      <c r="V91" s="612"/>
      <c r="W91" s="612"/>
      <c r="X91" s="612"/>
      <c r="Y91" s="612"/>
      <c r="Z91" s="612"/>
      <c r="AA9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1" s="612"/>
      <c r="AC91" s="599"/>
      <c r="AD91" s="612"/>
      <c r="AE91" s="612"/>
      <c r="AF91" s="612"/>
      <c r="AG91" s="612"/>
      <c r="AH91" s="619">
        <f>SUM(Table1[[#This Row],[التقييد  باللوائح و تنفيذالتوجيه]:[اتباع اجراءات السلامه]])</f>
        <v>0</v>
      </c>
      <c r="AI91" s="619">
        <f>Table1[[#This Row],[المجموع]]+Table1[[#This Row],[المجموع2]]</f>
        <v>0</v>
      </c>
      <c r="AJ91" s="612"/>
      <c r="AK91" s="612"/>
      <c r="AL91" s="612"/>
      <c r="AM91" s="612"/>
      <c r="AN91" s="612"/>
      <c r="AO91" s="606">
        <f>Table1[[#This Row],[المجموع 1+2]]*$AO$2</f>
        <v>0</v>
      </c>
      <c r="AP91" s="648">
        <f>Table1[[#This Row],[راتب ديسمبر 2019]]*Table1[[#This Row],[نسبه التقييم الرئيسي 2018]]%</f>
        <v>0</v>
      </c>
      <c r="AQ91" s="627">
        <f>Table1[[#This Row],[مبلغ التقييم النسبي 2018]]+Table1[[#This Row],[راتب ديسمبر 2019]]</f>
        <v>7460</v>
      </c>
      <c r="AR91" s="611">
        <f>IF(Table1[[#This Row],[Column3]]&lt;0,0,Table1[[#This Row],[Column3]])</f>
        <v>6540</v>
      </c>
      <c r="AS91" s="599">
        <f>VLOOKUP(Table1[[#This Row],[درجه التوسيط]],Table10[],3,)</f>
        <v>14000</v>
      </c>
      <c r="AT91" s="608">
        <f>Table1[[#This Row],[الراتب 2018+النسبه]]+Table1[[#This Row],[فروقات الحد الادني]]</f>
        <v>14000</v>
      </c>
      <c r="AU91" s="629">
        <f>Table1[[#This Row],[الراتب 2018 + النسبه + الفرق]]-Table1[[#This Row],[راتب ديسمبر 2019]]</f>
        <v>6540</v>
      </c>
      <c r="AV91" s="628">
        <f>Table1[[#This Row],[الزياده]]/Table1[[#This Row],[راتب ديسمبر 2019]]%</f>
        <v>87.667560321715825</v>
      </c>
      <c r="AW91" s="659">
        <f>IF(Table1[[#This Row],[Column4]]&lt;0,0,Table1[[#This Row],[Column4]])</f>
        <v>1005.880000000001</v>
      </c>
      <c r="AX91" s="611">
        <f>Table1[[#This Row],[الجبر حتي]]-Table1[[#This Row],[رن]]</f>
        <v>0</v>
      </c>
      <c r="AY91" s="611">
        <f>Table1[[#This Row],[الزياده]]+Table1[[#This Row],[التعديل]]+Table1[[#This Row],[جبر الرقم]]</f>
        <v>7545.880000000001</v>
      </c>
      <c r="AZ91" s="611">
        <f>Table1[[#This Row],[الراتب 2018 + النسبه + الفرق]]+Table1[[#This Row],[جبر الرقم]]+Table1[[#This Row],[التعديل]]</f>
        <v>15005.880000000001</v>
      </c>
      <c r="BA91" s="631">
        <f>Table1[[#This Row],[الزياده النهائيه]]/Table1[[#This Row],[راتب ديسمبر 2019]]%</f>
        <v>101.15120643431638</v>
      </c>
      <c r="BB91" s="612">
        <f>VLOOKUP(Table1[[#This Row],[الرقم الوظيفي]],Table6[],8,)</f>
        <v>7460</v>
      </c>
      <c r="BC91" s="7">
        <v>12360</v>
      </c>
      <c r="BD91" s="7">
        <v>11360</v>
      </c>
      <c r="BE91" s="7">
        <v>11360</v>
      </c>
      <c r="BF91" s="5">
        <f>Table1[[#This Row],[الحد الادني]]-Table1[[#This Row],[الراتب 2018+النسبه]]</f>
        <v>6540</v>
      </c>
      <c r="BG91" s="5">
        <f>Table1[[#This Row],[التعديل حتي]]-Table1[[#This Row],[kkk]]</f>
        <v>1005.880000000001</v>
      </c>
      <c r="BH91" s="5">
        <v>11354.119999999999</v>
      </c>
      <c r="BI91" s="5"/>
    </row>
    <row r="92" spans="1:61" ht="21" customHeight="1">
      <c r="A92" s="602">
        <v>434</v>
      </c>
      <c r="B92" s="618" t="str">
        <f>VLOOKUP(Table1[[#This Row],[الرقم الوظيفي]],[1]Sheet2!$1:$1048576,2,)</f>
        <v>معاذ مجزوب بشير محمد</v>
      </c>
      <c r="C92" s="618" t="str">
        <f>VLOOKUP(Table1[[#This Row],[الرقم الوظيفي]],[1]Sheet2!$1:$1048576,7,)</f>
        <v>المصنع</v>
      </c>
      <c r="D92" s="618" t="str">
        <f>VLOOKUP(Table1[[#This Row],[الرقم الوظيفي]],[1]Sheet2!$1:$1048576,8,)</f>
        <v>الانتاج</v>
      </c>
      <c r="E92" s="599" t="str">
        <f>VLOOKUP(Table1[[#This Row],[الرقم الوظيفي]],[1]Sheet2!$1:$1048576,9,)</f>
        <v>المواسير</v>
      </c>
      <c r="F92" s="599" t="str">
        <f>VLOOKUP(Table1[[#This Row],[الرقم الوظيفي]],[1]Sheet2!$1:$1048576,12,)</f>
        <v>مساعد مشغل</v>
      </c>
      <c r="G92" s="599">
        <f>VLOOKUP(Table1[[#This Row],[الرقم الوظيفي]],[1]Sheet2!$1:$1048576,72,)</f>
        <v>0</v>
      </c>
      <c r="H92" s="599">
        <f>VLOOKUP(Table1[[#This Row],[الرقم الوظيفي]],[1]Sheet2!$1:$1048576,71,)</f>
        <v>0</v>
      </c>
      <c r="I92" s="599" t="str">
        <f>VLOOKUP(Table1[[#This Row],[المؤهل الرئيسي]],Table4[],3,)</f>
        <v>H</v>
      </c>
      <c r="J92" s="599" t="s">
        <v>926</v>
      </c>
      <c r="K92" s="615">
        <f>VLOOKUP(Table1[[#This Row],[الرقم الوظيفي]],[1]Sheet2!$1:$1048576,13,)</f>
        <v>41352</v>
      </c>
      <c r="L92" s="615">
        <v>43830</v>
      </c>
      <c r="M92" s="599">
        <f>DATEDIF(Table1[[#This Row],[تاريخ التعيين]],Table1[[#This Row],[اخر العام]],"y")</f>
        <v>6</v>
      </c>
      <c r="N92" s="599">
        <f>DATEDIF(Table1[[#This Row],[تاريخ التعيين]],Table1[[#This Row],[اخر العام]],"ym")</f>
        <v>9</v>
      </c>
      <c r="O92" s="610">
        <f>Table1[[#This Row],[سنوات الخدمه]]*1+Table1[[#This Row],[الشهور اقل من سنه]]*0.08</f>
        <v>6.72</v>
      </c>
      <c r="P92" s="616">
        <v>4220</v>
      </c>
      <c r="Q92" s="617">
        <v>482.76799999999997</v>
      </c>
      <c r="R92" s="612"/>
      <c r="S92" s="599"/>
      <c r="T92" s="612"/>
      <c r="U92" s="612"/>
      <c r="V92" s="612"/>
      <c r="W92" s="612"/>
      <c r="X92" s="612"/>
      <c r="Y92" s="612"/>
      <c r="Z92" s="612"/>
      <c r="AA9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2" s="612"/>
      <c r="AC92" s="599"/>
      <c r="AD92" s="612"/>
      <c r="AE92" s="612"/>
      <c r="AF92" s="612"/>
      <c r="AG92" s="612"/>
      <c r="AH92" s="619">
        <f>SUM(Table1[[#This Row],[التقييد  باللوائح و تنفيذالتوجيه]:[اتباع اجراءات السلامه]])</f>
        <v>0</v>
      </c>
      <c r="AI92" s="619">
        <f>Table1[[#This Row],[المجموع]]+Table1[[#This Row],[المجموع2]]</f>
        <v>0</v>
      </c>
      <c r="AJ92" s="612"/>
      <c r="AK92" s="612"/>
      <c r="AL92" s="612"/>
      <c r="AM92" s="612"/>
      <c r="AN92" s="612"/>
      <c r="AO92" s="606">
        <f>Table1[[#This Row],[المجموع 1+2]]*$AO$2</f>
        <v>0</v>
      </c>
      <c r="AP92" s="648">
        <f>Table1[[#This Row],[راتب ديسمبر 2019]]*Table1[[#This Row],[نسبه التقييم الرئيسي 2018]]%</f>
        <v>0</v>
      </c>
      <c r="AQ92" s="627">
        <f>Table1[[#This Row],[مبلغ التقييم النسبي 2018]]+Table1[[#This Row],[راتب ديسمبر 2019]]</f>
        <v>4220</v>
      </c>
      <c r="AR92" s="611">
        <f>IF(Table1[[#This Row],[Column3]]&lt;0,0,Table1[[#This Row],[Column3]])</f>
        <v>3780</v>
      </c>
      <c r="AS92" s="599">
        <f>VLOOKUP(Table1[[#This Row],[درجه التوسيط]],Table10[],3,)</f>
        <v>8000</v>
      </c>
      <c r="AT92" s="608">
        <f>Table1[[#This Row],[الراتب 2018+النسبه]]+Table1[[#This Row],[فروقات الحد الادني]]</f>
        <v>8000</v>
      </c>
      <c r="AU92" s="629">
        <f>Table1[[#This Row],[الراتب 2018 + النسبه + الفرق]]-Table1[[#This Row],[راتب ديسمبر 2019]]</f>
        <v>3780</v>
      </c>
      <c r="AV92" s="628">
        <f>Table1[[#This Row],[الزياده]]/Table1[[#This Row],[راتب ديسمبر 2019]]%</f>
        <v>89.5734597156398</v>
      </c>
      <c r="AW92" s="659">
        <f>IF(Table1[[#This Row],[Column4]]&lt;0,0,Table1[[#This Row],[Column4]])</f>
        <v>0</v>
      </c>
      <c r="AX92" s="611">
        <f>Table1[[#This Row],[الجبر حتي]]-Table1[[#This Row],[رن]]</f>
        <v>9.0799999999999272</v>
      </c>
      <c r="AY92" s="611">
        <f>Table1[[#This Row],[الزياده]]+Table1[[#This Row],[التعديل]]+Table1[[#This Row],[جبر الرقم]]</f>
        <v>3789.08</v>
      </c>
      <c r="AZ92" s="611">
        <f>Table1[[#This Row],[الراتب 2018 + النسبه + الفرق]]+Table1[[#This Row],[جبر الرقم]]+Table1[[#This Row],[التعديل]]</f>
        <v>8009.08</v>
      </c>
      <c r="BA92" s="631">
        <f>Table1[[#This Row],[الزياده النهائيه]]/Table1[[#This Row],[راتب ديسمبر 2019]]%</f>
        <v>89.788625592417048</v>
      </c>
      <c r="BB92" s="612">
        <f>VLOOKUP(Table1[[#This Row],[الرقم الوظيفي]],Table6[],8,)</f>
        <v>4220</v>
      </c>
      <c r="BC92" s="7"/>
      <c r="BD92" s="7">
        <v>6280</v>
      </c>
      <c r="BE92" s="7">
        <v>6270.92</v>
      </c>
      <c r="BF92" s="5">
        <f>Table1[[#This Row],[الحد الادني]]-Table1[[#This Row],[الراتب 2018+النسبه]]</f>
        <v>3780</v>
      </c>
      <c r="BG92" s="5">
        <f>Table1[[#This Row],[التعديل حتي]]-Table1[[#This Row],[kkk]]</f>
        <v>-6270.92</v>
      </c>
      <c r="BH92" s="5">
        <v>6270.92</v>
      </c>
      <c r="BI92" s="5"/>
    </row>
    <row r="93" spans="1:61" ht="21" customHeight="1">
      <c r="A93" s="602">
        <v>436</v>
      </c>
      <c r="B93" s="618" t="str">
        <f>VLOOKUP(Table1[[#This Row],[الرقم الوظيفي]],[1]Sheet2!$1:$1048576,2,)</f>
        <v>يوسف دفع الله الحسين بابكر</v>
      </c>
      <c r="C93" s="618" t="str">
        <f>VLOOKUP(Table1[[#This Row],[الرقم الوظيفي]],[1]Sheet2!$1:$1048576,7,)</f>
        <v>المصنع</v>
      </c>
      <c r="D93" s="618" t="str">
        <f>VLOOKUP(Table1[[#This Row],[الرقم الوظيفي]],[1]Sheet2!$1:$1048576,8,)</f>
        <v>الانتاج</v>
      </c>
      <c r="E93" s="599" t="str">
        <f>VLOOKUP(Table1[[#This Row],[الرقم الوظيفي]],[1]Sheet2!$1:$1048576,9,)</f>
        <v>المواسير</v>
      </c>
      <c r="F93" s="599" t="str">
        <f>VLOOKUP(Table1[[#This Row],[الرقم الوظيفي]],[1]Sheet2!$1:$1048576,12,)</f>
        <v>مساعد مشغل</v>
      </c>
      <c r="G93" s="599" t="str">
        <f>VLOOKUP(Table1[[#This Row],[الرقم الوظيفي]],[1]Sheet2!$1:$1048576,72,)</f>
        <v>تدريب مهني</v>
      </c>
      <c r="H93" s="599">
        <f>VLOOKUP(Table1[[#This Row],[الرقم الوظيفي]],[1]Sheet2!$1:$1048576,71,)</f>
        <v>0</v>
      </c>
      <c r="I93" s="599" t="str">
        <f>VLOOKUP(Table1[[#This Row],[المؤهل الرئيسي]],Table4[],3,)</f>
        <v>F</v>
      </c>
      <c r="J93" s="599" t="s">
        <v>923</v>
      </c>
      <c r="K93" s="615">
        <f>VLOOKUP(Table1[[#This Row],[الرقم الوظيفي]],[1]Sheet2!$1:$1048576,13,)</f>
        <v>41356</v>
      </c>
      <c r="L93" s="615">
        <v>43830</v>
      </c>
      <c r="M93" s="599">
        <f>DATEDIF(Table1[[#This Row],[تاريخ التعيين]],Table1[[#This Row],[اخر العام]],"y")</f>
        <v>6</v>
      </c>
      <c r="N93" s="599">
        <f>DATEDIF(Table1[[#This Row],[تاريخ التعيين]],Table1[[#This Row],[اخر العام]],"ym")</f>
        <v>9</v>
      </c>
      <c r="O93" s="610">
        <f>Table1[[#This Row],[سنوات الخدمه]]*1+Table1[[#This Row],[الشهور اقل من سنه]]*0.08</f>
        <v>6.72</v>
      </c>
      <c r="P93" s="616">
        <v>4220</v>
      </c>
      <c r="Q93" s="617">
        <v>482.76799999999997</v>
      </c>
      <c r="R93" s="612"/>
      <c r="S93" s="599"/>
      <c r="T93" s="612"/>
      <c r="U93" s="612"/>
      <c r="V93" s="612"/>
      <c r="W93" s="612"/>
      <c r="X93" s="612"/>
      <c r="Y93" s="612"/>
      <c r="Z93" s="612"/>
      <c r="AA9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3" s="612"/>
      <c r="AC93" s="599"/>
      <c r="AD93" s="612"/>
      <c r="AE93" s="612"/>
      <c r="AF93" s="612"/>
      <c r="AG93" s="612"/>
      <c r="AH93" s="619">
        <f>SUM(Table1[[#This Row],[التقييد  باللوائح و تنفيذالتوجيه]:[اتباع اجراءات السلامه]])</f>
        <v>0</v>
      </c>
      <c r="AI93" s="619">
        <f>Table1[[#This Row],[المجموع]]+Table1[[#This Row],[المجموع2]]</f>
        <v>0</v>
      </c>
      <c r="AJ93" s="612"/>
      <c r="AK93" s="612"/>
      <c r="AL93" s="612"/>
      <c r="AM93" s="612"/>
      <c r="AN93" s="612"/>
      <c r="AO93" s="606">
        <f>Table1[[#This Row],[المجموع 1+2]]*$AO$2</f>
        <v>0</v>
      </c>
      <c r="AP93" s="648">
        <f>Table1[[#This Row],[راتب ديسمبر 2019]]*Table1[[#This Row],[نسبه التقييم الرئيسي 2018]]%</f>
        <v>0</v>
      </c>
      <c r="AQ93" s="627">
        <f>Table1[[#This Row],[مبلغ التقييم النسبي 2018]]+Table1[[#This Row],[راتب ديسمبر 2019]]</f>
        <v>4220</v>
      </c>
      <c r="AR93" s="611">
        <f>IF(Table1[[#This Row],[Column3]]&lt;0,0,Table1[[#This Row],[Column3]])</f>
        <v>5780</v>
      </c>
      <c r="AS93" s="599">
        <f>VLOOKUP(Table1[[#This Row],[درجه التوسيط]],Table10[],3,)</f>
        <v>10000</v>
      </c>
      <c r="AT93" s="608">
        <f>Table1[[#This Row],[الراتب 2018+النسبه]]+Table1[[#This Row],[فروقات الحد الادني]]</f>
        <v>10000</v>
      </c>
      <c r="AU93" s="629">
        <f>Table1[[#This Row],[الراتب 2018 + النسبه + الفرق]]-Table1[[#This Row],[راتب ديسمبر 2019]]</f>
        <v>5780</v>
      </c>
      <c r="AV93" s="628">
        <f>Table1[[#This Row],[الزياده]]/Table1[[#This Row],[راتب ديسمبر 2019]]%</f>
        <v>136.96682464454975</v>
      </c>
      <c r="AW93" s="659">
        <f>IF(Table1[[#This Row],[Column4]]&lt;0,0,Table1[[#This Row],[Column4]])</f>
        <v>0</v>
      </c>
      <c r="AX93" s="611">
        <f>Table1[[#This Row],[الجبر حتي]]-Table1[[#This Row],[رن]]</f>
        <v>0</v>
      </c>
      <c r="AY93" s="611">
        <f>Table1[[#This Row],[الزياده]]+Table1[[#This Row],[التعديل]]+Table1[[#This Row],[جبر الرقم]]</f>
        <v>5780</v>
      </c>
      <c r="AZ93" s="611">
        <f>Table1[[#This Row],[الراتب 2018 + النسبه + الفرق]]+Table1[[#This Row],[جبر الرقم]]+Table1[[#This Row],[التعديل]]</f>
        <v>10000</v>
      </c>
      <c r="BA93" s="631">
        <f>Table1[[#This Row],[الزياده النهائيه]]/Table1[[#This Row],[راتب ديسمبر 2019]]%</f>
        <v>136.96682464454975</v>
      </c>
      <c r="BB93" s="612">
        <f>VLOOKUP(Table1[[#This Row],[الرقم الوظيفي]],Table6[],8,)</f>
        <v>4220</v>
      </c>
      <c r="BC93" s="7"/>
      <c r="BD93" s="7">
        <v>6500</v>
      </c>
      <c r="BE93" s="7">
        <v>6500</v>
      </c>
      <c r="BF93" s="5">
        <f>Table1[[#This Row],[الحد الادني]]-Table1[[#This Row],[الراتب 2018+النسبه]]</f>
        <v>5780</v>
      </c>
      <c r="BG93" s="5">
        <f>Table1[[#This Row],[التعديل حتي]]-Table1[[#This Row],[kkk]]</f>
        <v>-6500</v>
      </c>
      <c r="BH93" s="5">
        <v>6500</v>
      </c>
      <c r="BI93" s="5"/>
    </row>
    <row r="94" spans="1:61" ht="21" customHeight="1">
      <c r="A94" s="602">
        <v>439</v>
      </c>
      <c r="B94" s="618" t="str">
        <f>VLOOKUP(Table1[[#This Row],[الرقم الوظيفي]],[1]Sheet2!$1:$1048576,2,)</f>
        <v>مصعب اسماعيل الشيخ محمد</v>
      </c>
      <c r="C94" s="618" t="str">
        <f>VLOOKUP(Table1[[#This Row],[الرقم الوظيفي]],[1]Sheet2!$1:$1048576,7,)</f>
        <v>المصنع</v>
      </c>
      <c r="D94" s="618" t="str">
        <f>VLOOKUP(Table1[[#This Row],[الرقم الوظيفي]],[1]Sheet2!$1:$1048576,8,)</f>
        <v>الانتاج</v>
      </c>
      <c r="E94" s="599" t="str">
        <f>VLOOKUP(Table1[[#This Row],[الرقم الوظيفي]],[1]Sheet2!$1:$1048576,9,)</f>
        <v>عداد</v>
      </c>
      <c r="F94" s="599" t="str">
        <f>VLOOKUP(Table1[[#This Row],[الرقم الوظيفي]],[1]Sheet2!$1:$1048576,12,)</f>
        <v>مراجع</v>
      </c>
      <c r="G94" s="599" t="str">
        <f>VLOOKUP(Table1[[#This Row],[الرقم الوظيفي]],[1]Sheet2!$1:$1048576,72,)</f>
        <v>دبلوم تقني</v>
      </c>
      <c r="H94" s="599" t="str">
        <f>VLOOKUP(Table1[[#This Row],[الرقم الوظيفي]],[1]Sheet2!$1:$1048576,71,)</f>
        <v>بنوك وحسابات</v>
      </c>
      <c r="I94" s="599" t="str">
        <f>VLOOKUP(Table1[[#This Row],[المؤهل الرئيسي]],Table4[],3,)</f>
        <v>D</v>
      </c>
      <c r="J94" s="599" t="s">
        <v>923</v>
      </c>
      <c r="K94" s="615">
        <f>VLOOKUP(Table1[[#This Row],[الرقم الوظيفي]],[1]Sheet2!$1:$1048576,13,)</f>
        <v>41356</v>
      </c>
      <c r="L94" s="615">
        <v>43830</v>
      </c>
      <c r="M94" s="599">
        <f>DATEDIF(Table1[[#This Row],[تاريخ التعيين]],Table1[[#This Row],[اخر العام]],"y")</f>
        <v>6</v>
      </c>
      <c r="N94" s="599">
        <f>DATEDIF(Table1[[#This Row],[تاريخ التعيين]],Table1[[#This Row],[اخر العام]],"ym")</f>
        <v>9</v>
      </c>
      <c r="O94" s="610">
        <f>Table1[[#This Row],[سنوات الخدمه]]*1+Table1[[#This Row],[الشهور اقل من سنه]]*0.08</f>
        <v>6.72</v>
      </c>
      <c r="P94" s="616">
        <v>4710</v>
      </c>
      <c r="Q94" s="617">
        <v>538.82399999999996</v>
      </c>
      <c r="R94" s="612"/>
      <c r="S94" s="599"/>
      <c r="T94" s="612"/>
      <c r="U94" s="612"/>
      <c r="V94" s="612"/>
      <c r="W94" s="612"/>
      <c r="X94" s="612"/>
      <c r="Y94" s="612"/>
      <c r="Z94" s="612"/>
      <c r="AA9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4" s="612"/>
      <c r="AC94" s="599"/>
      <c r="AD94" s="612"/>
      <c r="AE94" s="612"/>
      <c r="AF94" s="612"/>
      <c r="AG94" s="612"/>
      <c r="AH94" s="619">
        <f>SUM(Table1[[#This Row],[التقييد  باللوائح و تنفيذالتوجيه]:[اتباع اجراءات السلامه]])</f>
        <v>0</v>
      </c>
      <c r="AI94" s="619">
        <f>Table1[[#This Row],[المجموع]]+Table1[[#This Row],[المجموع2]]</f>
        <v>0</v>
      </c>
      <c r="AJ94" s="612"/>
      <c r="AK94" s="612"/>
      <c r="AL94" s="612"/>
      <c r="AM94" s="612"/>
      <c r="AN94" s="612"/>
      <c r="AO94" s="606">
        <f>Table1[[#This Row],[المجموع 1+2]]*$AO$2</f>
        <v>0</v>
      </c>
      <c r="AP94" s="648">
        <f>Table1[[#This Row],[راتب ديسمبر 2019]]*Table1[[#This Row],[نسبه التقييم الرئيسي 2018]]%</f>
        <v>0</v>
      </c>
      <c r="AQ94" s="627">
        <f>Table1[[#This Row],[مبلغ التقييم النسبي 2018]]+Table1[[#This Row],[راتب ديسمبر 2019]]</f>
        <v>4710</v>
      </c>
      <c r="AR94" s="611">
        <f>IF(Table1[[#This Row],[Column3]]&lt;0,0,Table1[[#This Row],[Column3]])</f>
        <v>5290</v>
      </c>
      <c r="AS94" s="599">
        <f>VLOOKUP(Table1[[#This Row],[درجه التوسيط]],Table10[],3,)</f>
        <v>10000</v>
      </c>
      <c r="AT94" s="608">
        <f>Table1[[#This Row],[الراتب 2018+النسبه]]+Table1[[#This Row],[فروقات الحد الادني]]</f>
        <v>10000</v>
      </c>
      <c r="AU94" s="629">
        <f>Table1[[#This Row],[الراتب 2018 + النسبه + الفرق]]-Table1[[#This Row],[راتب ديسمبر 2019]]</f>
        <v>5290</v>
      </c>
      <c r="AV94" s="628">
        <f>Table1[[#This Row],[الزياده]]/Table1[[#This Row],[راتب ديسمبر 2019]]%</f>
        <v>112.31422505307856</v>
      </c>
      <c r="AW94" s="659">
        <f>IF(Table1[[#This Row],[Column4]]&lt;0,0,Table1[[#This Row],[Column4]])</f>
        <v>492.26000000000022</v>
      </c>
      <c r="AX94" s="611">
        <f>Table1[[#This Row],[الجبر حتي]]-Table1[[#This Row],[رن]]</f>
        <v>0</v>
      </c>
      <c r="AY94" s="611">
        <f>Table1[[#This Row],[الزياده]]+Table1[[#This Row],[التعديل]]+Table1[[#This Row],[جبر الرقم]]</f>
        <v>5782.26</v>
      </c>
      <c r="AZ94" s="611">
        <f>Table1[[#This Row],[الراتب 2018 + النسبه + الفرق]]+Table1[[#This Row],[جبر الرقم]]+Table1[[#This Row],[التعديل]]</f>
        <v>10492.26</v>
      </c>
      <c r="BA94" s="631">
        <f>Table1[[#This Row],[الزياده النهائيه]]/Table1[[#This Row],[راتب ديسمبر 2019]]%</f>
        <v>122.7656050955414</v>
      </c>
      <c r="BB94" s="612">
        <f>VLOOKUP(Table1[[#This Row],[الرقم الوظيفي]],Table6[],8,)</f>
        <v>4710</v>
      </c>
      <c r="BC94" s="7">
        <v>8000</v>
      </c>
      <c r="BD94" s="7">
        <v>8000</v>
      </c>
      <c r="BE94" s="7">
        <v>8000</v>
      </c>
      <c r="BF94" s="5">
        <f>Table1[[#This Row],[الحد الادني]]-Table1[[#This Row],[الراتب 2018+النسبه]]</f>
        <v>5290</v>
      </c>
      <c r="BG94" s="5">
        <f>Table1[[#This Row],[التعديل حتي]]-Table1[[#This Row],[kkk]]</f>
        <v>492.26000000000022</v>
      </c>
      <c r="BH94" s="5">
        <v>7507.74</v>
      </c>
      <c r="BI94" s="5"/>
    </row>
    <row r="95" spans="1:61">
      <c r="A95" s="602">
        <v>440</v>
      </c>
      <c r="B95" s="618" t="str">
        <f>VLOOKUP(Table1[[#This Row],[الرقم الوظيفي]],[1]Sheet2!$1:$1048576,2,)</f>
        <v>عبدالله فيصل بدوى احمد</v>
      </c>
      <c r="C95" s="618" t="str">
        <f>VLOOKUP(Table1[[#This Row],[الرقم الوظيفي]],[1]Sheet2!$1:$1048576,7,)</f>
        <v>المصنع</v>
      </c>
      <c r="D95" s="618" t="str">
        <f>VLOOKUP(Table1[[#This Row],[الرقم الوظيفي]],[1]Sheet2!$1:$1048576,8,)</f>
        <v>المستودعات</v>
      </c>
      <c r="E95" s="599" t="str">
        <f>VLOOKUP(Table1[[#This Row],[الرقم الوظيفي]],[1]Sheet2!$1:$1048576,9,)</f>
        <v>الاسكلبات</v>
      </c>
      <c r="F95" s="599" t="str">
        <f>VLOOKUP(Table1[[#This Row],[الرقم الوظيفي]],[1]Sheet2!$1:$1048576,12,)</f>
        <v>امين مستودع ا س</v>
      </c>
      <c r="G95" s="599" t="str">
        <f>VLOOKUP(Table1[[#This Row],[الرقم الوظيفي]],[1]Sheet2!$1:$1048576,72,)</f>
        <v>دبلوم تقني</v>
      </c>
      <c r="H95" s="599" t="str">
        <f>VLOOKUP(Table1[[#This Row],[الرقم الوظيفي]],[1]Sheet2!$1:$1048576,71,)</f>
        <v>إدارة الاعمال</v>
      </c>
      <c r="I95" s="599" t="str">
        <f>VLOOKUP(Table1[[#This Row],[المؤهل الرئيسي]],Table4[],3,)</f>
        <v>D</v>
      </c>
      <c r="J95" s="599" t="s">
        <v>923</v>
      </c>
      <c r="K95" s="615">
        <f>VLOOKUP(Table1[[#This Row],[الرقم الوظيفي]],[1]Sheet2!$1:$1048576,13,)</f>
        <v>41357</v>
      </c>
      <c r="L95" s="615">
        <v>43830</v>
      </c>
      <c r="M95" s="599">
        <f>DATEDIF(Table1[[#This Row],[تاريخ التعيين]],Table1[[#This Row],[اخر العام]],"y")</f>
        <v>6</v>
      </c>
      <c r="N95" s="599">
        <f>DATEDIF(Table1[[#This Row],[تاريخ التعيين]],Table1[[#This Row],[اخر العام]],"ym")</f>
        <v>9</v>
      </c>
      <c r="O95" s="610">
        <f>Table1[[#This Row],[سنوات الخدمه]]*1+Table1[[#This Row],[الشهور اقل من سنه]]*0.08</f>
        <v>6.72</v>
      </c>
      <c r="P95" s="616">
        <v>3710</v>
      </c>
      <c r="Q95" s="617">
        <v>424.42399999999998</v>
      </c>
      <c r="R95" s="612"/>
      <c r="S95" s="599"/>
      <c r="T95" s="612"/>
      <c r="U95" s="612"/>
      <c r="V95" s="612"/>
      <c r="W95" s="612"/>
      <c r="X95" s="612"/>
      <c r="Y95" s="612"/>
      <c r="Z95" s="612"/>
      <c r="AA9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5" s="612"/>
      <c r="AC95" s="599"/>
      <c r="AD95" s="612"/>
      <c r="AE95" s="612"/>
      <c r="AF95" s="612"/>
      <c r="AG95" s="612"/>
      <c r="AH95" s="619">
        <f>SUM(Table1[[#This Row],[التقييد  باللوائح و تنفيذالتوجيه]:[اتباع اجراءات السلامه]])</f>
        <v>0</v>
      </c>
      <c r="AI95" s="619">
        <f>Table1[[#This Row],[المجموع]]+Table1[[#This Row],[المجموع2]]</f>
        <v>0</v>
      </c>
      <c r="AJ95" s="612"/>
      <c r="AK95" s="612"/>
      <c r="AL95" s="612"/>
      <c r="AM95" s="612"/>
      <c r="AN95" s="612"/>
      <c r="AO95" s="606">
        <f>Table1[[#This Row],[المجموع 1+2]]*$AO$2</f>
        <v>0</v>
      </c>
      <c r="AP95" s="648">
        <f>Table1[[#This Row],[راتب ديسمبر 2019]]*Table1[[#This Row],[نسبه التقييم الرئيسي 2018]]%</f>
        <v>0</v>
      </c>
      <c r="AQ95" s="627">
        <f>Table1[[#This Row],[مبلغ التقييم النسبي 2018]]+Table1[[#This Row],[راتب ديسمبر 2019]]</f>
        <v>3710</v>
      </c>
      <c r="AR95" s="611">
        <f>IF(Table1[[#This Row],[Column3]]&lt;0,0,Table1[[#This Row],[Column3]])</f>
        <v>6290</v>
      </c>
      <c r="AS95" s="599">
        <f>VLOOKUP(Table1[[#This Row],[درجه التوسيط]],Table10[],3,)</f>
        <v>10000</v>
      </c>
      <c r="AT95" s="608">
        <f>Table1[[#This Row],[الراتب 2018+النسبه]]+Table1[[#This Row],[فروقات الحد الادني]]</f>
        <v>10000</v>
      </c>
      <c r="AU95" s="629">
        <f>Table1[[#This Row],[الراتب 2018 + النسبه + الفرق]]-Table1[[#This Row],[راتب ديسمبر 2019]]</f>
        <v>6290</v>
      </c>
      <c r="AV95" s="628">
        <f>Table1[[#This Row],[الزياده]]/Table1[[#This Row],[راتب ديسمبر 2019]]%</f>
        <v>169.54177897574124</v>
      </c>
      <c r="AW95" s="659">
        <f>IF(Table1[[#This Row],[Column4]]&lt;0,0,Table1[[#This Row],[Column4]])</f>
        <v>0</v>
      </c>
      <c r="AX95" s="611">
        <f>Table1[[#This Row],[الجبر حتي]]-Table1[[#This Row],[رن]]</f>
        <v>0</v>
      </c>
      <c r="AY95" s="611">
        <f>Table1[[#This Row],[الزياده]]+Table1[[#This Row],[التعديل]]+Table1[[#This Row],[جبر الرقم]]</f>
        <v>6290</v>
      </c>
      <c r="AZ95" s="611">
        <f>Table1[[#This Row],[الراتب 2018 + النسبه + الفرق]]+Table1[[#This Row],[جبر الرقم]]+Table1[[#This Row],[التعديل]]</f>
        <v>10000</v>
      </c>
      <c r="BA95" s="631">
        <f>Table1[[#This Row],[الزياده النهائيه]]/Table1[[#This Row],[راتب ديسمبر 2019]]%</f>
        <v>169.54177897574124</v>
      </c>
      <c r="BB95" s="612">
        <f>VLOOKUP(Table1[[#This Row],[الرقم الوظيفي]],Table6[],8,)</f>
        <v>3710</v>
      </c>
      <c r="BC95" s="7"/>
      <c r="BD95" s="7">
        <v>6500</v>
      </c>
      <c r="BE95" s="7">
        <v>6500</v>
      </c>
      <c r="BF95" s="5">
        <f>Table1[[#This Row],[الحد الادني]]-Table1[[#This Row],[الراتب 2018+النسبه]]</f>
        <v>6290</v>
      </c>
      <c r="BG95" s="5">
        <f>Table1[[#This Row],[التعديل حتي]]-Table1[[#This Row],[kkk]]</f>
        <v>-6500</v>
      </c>
      <c r="BH95" s="5">
        <v>6500</v>
      </c>
      <c r="BI95" s="5"/>
    </row>
    <row r="96" spans="1:61" ht="21" customHeight="1">
      <c r="A96" s="602">
        <v>441</v>
      </c>
      <c r="B96" s="618" t="str">
        <f>VLOOKUP(Table1[[#This Row],[الرقم الوظيفي]],[1]Sheet2!$1:$1048576,2,)</f>
        <v>يوسف حمد خالد على</v>
      </c>
      <c r="C96" s="618" t="str">
        <f>VLOOKUP(Table1[[#This Row],[الرقم الوظيفي]],[1]Sheet2!$1:$1048576,7,)</f>
        <v>المصنع</v>
      </c>
      <c r="D96" s="618" t="str">
        <f>VLOOKUP(Table1[[#This Row],[الرقم الوظيفي]],[1]Sheet2!$1:$1048576,8,)</f>
        <v>الانتاج</v>
      </c>
      <c r="E96" s="599" t="str">
        <f>VLOOKUP(Table1[[#This Row],[الرقم الوظيفي]],[1]Sheet2!$1:$1048576,9,)</f>
        <v>عداد</v>
      </c>
      <c r="F96" s="599" t="str">
        <f>VLOOKUP(Table1[[#This Row],[الرقم الوظيفي]],[1]Sheet2!$1:$1048576,12,)</f>
        <v>عامل</v>
      </c>
      <c r="G96" s="599" t="str">
        <f>VLOOKUP(Table1[[#This Row],[الرقم الوظيفي]],[1]Sheet2!$1:$1048576,72,)</f>
        <v>دبلوم تقني</v>
      </c>
      <c r="H96" s="599" t="str">
        <f>VLOOKUP(Table1[[#This Row],[الرقم الوظيفي]],[1]Sheet2!$1:$1048576,71,)</f>
        <v>الاقتصاد</v>
      </c>
      <c r="I96" s="599" t="str">
        <f>VLOOKUP(Table1[[#This Row],[المؤهل الرئيسي]],Table4[],3,)</f>
        <v>D</v>
      </c>
      <c r="J96" s="599" t="s">
        <v>925</v>
      </c>
      <c r="K96" s="615">
        <f>VLOOKUP(Table1[[#This Row],[الرقم الوظيفي]],[1]Sheet2!$1:$1048576,13,)</f>
        <v>41357</v>
      </c>
      <c r="L96" s="615">
        <v>43830</v>
      </c>
      <c r="M96" s="599">
        <f>DATEDIF(Table1[[#This Row],[تاريخ التعيين]],Table1[[#This Row],[اخر العام]],"y")</f>
        <v>6</v>
      </c>
      <c r="N96" s="599">
        <f>DATEDIF(Table1[[#This Row],[تاريخ التعيين]],Table1[[#This Row],[اخر العام]],"ym")</f>
        <v>9</v>
      </c>
      <c r="O96" s="610">
        <f>Table1[[#This Row],[سنوات الخدمه]]*1+Table1[[#This Row],[الشهور اقل من سنه]]*0.08</f>
        <v>6.72</v>
      </c>
      <c r="P96" s="616">
        <v>3180</v>
      </c>
      <c r="Q96" s="617">
        <v>363.79199999999997</v>
      </c>
      <c r="R96" s="612"/>
      <c r="S96" s="599"/>
      <c r="T96" s="612"/>
      <c r="U96" s="612"/>
      <c r="V96" s="612"/>
      <c r="W96" s="612"/>
      <c r="X96" s="612"/>
      <c r="Y96" s="612"/>
      <c r="Z96" s="612"/>
      <c r="AA9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6" s="612"/>
      <c r="AC96" s="599"/>
      <c r="AD96" s="612"/>
      <c r="AE96" s="612"/>
      <c r="AF96" s="612"/>
      <c r="AG96" s="612"/>
      <c r="AH96" s="619">
        <f>SUM(Table1[[#This Row],[التقييد  باللوائح و تنفيذالتوجيه]:[اتباع اجراءات السلامه]])</f>
        <v>0</v>
      </c>
      <c r="AI96" s="619">
        <f>Table1[[#This Row],[المجموع]]+Table1[[#This Row],[المجموع2]]</f>
        <v>0</v>
      </c>
      <c r="AJ96" s="612"/>
      <c r="AK96" s="612"/>
      <c r="AL96" s="612"/>
      <c r="AM96" s="612"/>
      <c r="AN96" s="612"/>
      <c r="AO96" s="606">
        <f>Table1[[#This Row],[المجموع 1+2]]*$AO$2</f>
        <v>0</v>
      </c>
      <c r="AP96" s="648">
        <f>Table1[[#This Row],[راتب ديسمبر 2019]]*Table1[[#This Row],[نسبه التقييم الرئيسي 2018]]%</f>
        <v>0</v>
      </c>
      <c r="AQ96" s="627">
        <f>Table1[[#This Row],[مبلغ التقييم النسبي 2018]]+Table1[[#This Row],[راتب ديسمبر 2019]]</f>
        <v>3180</v>
      </c>
      <c r="AR96" s="611">
        <f>IF(Table1[[#This Row],[Column3]]&lt;0,0,Table1[[#This Row],[Column3]])</f>
        <v>5820</v>
      </c>
      <c r="AS96" s="599">
        <f>VLOOKUP(Table1[[#This Row],[درجه التوسيط]],Table10[],3,)</f>
        <v>9000</v>
      </c>
      <c r="AT96" s="608">
        <f>Table1[[#This Row],[الراتب 2018+النسبه]]+Table1[[#This Row],[فروقات الحد الادني]]</f>
        <v>9000</v>
      </c>
      <c r="AU96" s="629">
        <f>Table1[[#This Row],[الراتب 2018 + النسبه + الفرق]]-Table1[[#This Row],[راتب ديسمبر 2019]]</f>
        <v>5820</v>
      </c>
      <c r="AV96" s="628">
        <f>Table1[[#This Row],[الزياده]]/Table1[[#This Row],[راتب ديسمبر 2019]]%</f>
        <v>183.01886792452831</v>
      </c>
      <c r="AW96" s="659">
        <f>IF(Table1[[#This Row],[Column4]]&lt;0,0,Table1[[#This Row],[Column4]])</f>
        <v>0</v>
      </c>
      <c r="AX96" s="611">
        <f>Table1[[#This Row],[الجبر حتي]]-Table1[[#This Row],[رن]]</f>
        <v>0</v>
      </c>
      <c r="AY96" s="611">
        <f>Table1[[#This Row],[الزياده]]+Table1[[#This Row],[التعديل]]+Table1[[#This Row],[جبر الرقم]]</f>
        <v>5820</v>
      </c>
      <c r="AZ96" s="611">
        <f>Table1[[#This Row],[الراتب 2018 + النسبه + الفرق]]+Table1[[#This Row],[جبر الرقم]]+Table1[[#This Row],[التعديل]]</f>
        <v>9000</v>
      </c>
      <c r="BA96" s="631">
        <f>Table1[[#This Row],[الزياده النهائيه]]/Table1[[#This Row],[راتب ديسمبر 2019]]%</f>
        <v>183.01886792452831</v>
      </c>
      <c r="BB96" s="612">
        <f>VLOOKUP(Table1[[#This Row],[الرقم الوظيفي]],Table6[],8,)</f>
        <v>3180</v>
      </c>
      <c r="BC96" s="7"/>
      <c r="BD96" s="7">
        <v>6000</v>
      </c>
      <c r="BE96" s="7">
        <v>6000</v>
      </c>
      <c r="BF96" s="5">
        <f>Table1[[#This Row],[الحد الادني]]-Table1[[#This Row],[الراتب 2018+النسبه]]</f>
        <v>5820</v>
      </c>
      <c r="BG96" s="5">
        <f>Table1[[#This Row],[التعديل حتي]]-Table1[[#This Row],[kkk]]</f>
        <v>-6000</v>
      </c>
      <c r="BH96" s="5">
        <v>6000</v>
      </c>
      <c r="BI96" s="5"/>
    </row>
    <row r="97" spans="1:61" ht="21" customHeight="1">
      <c r="A97" s="602">
        <v>453</v>
      </c>
      <c r="B97" s="618" t="str">
        <f>VLOOKUP(Table1[[#This Row],[الرقم الوظيفي]],[1]Sheet2!$1:$1048576,2,)</f>
        <v>احمد ابكر على محمد</v>
      </c>
      <c r="C97" s="618" t="str">
        <f>VLOOKUP(Table1[[#This Row],[الرقم الوظيفي]],[1]Sheet2!$1:$1048576,7,)</f>
        <v>المصنع</v>
      </c>
      <c r="D97" s="618" t="str">
        <f>VLOOKUP(Table1[[#This Row],[الرقم الوظيفي]],[1]Sheet2!$1:$1048576,8,)</f>
        <v>الانتاج</v>
      </c>
      <c r="E97" s="599" t="str">
        <f>VLOOKUP(Table1[[#This Row],[الرقم الوظيفي]],[1]Sheet2!$1:$1048576,9,)</f>
        <v>الاكسبنده</v>
      </c>
      <c r="F97" s="599" t="str">
        <f>VLOOKUP(Table1[[#This Row],[الرقم الوظيفي]],[1]Sheet2!$1:$1048576,12,)</f>
        <v>مشغل</v>
      </c>
      <c r="G97" s="599" t="str">
        <f>VLOOKUP(Table1[[#This Row],[الرقم الوظيفي]],[1]Sheet2!$1:$1048576,72,)</f>
        <v>شهاده ثانويه</v>
      </c>
      <c r="H97" s="599">
        <f>VLOOKUP(Table1[[#This Row],[الرقم الوظيفي]],[1]Sheet2!$1:$1048576,71,)</f>
        <v>0</v>
      </c>
      <c r="I97" s="599" t="str">
        <f>VLOOKUP(Table1[[#This Row],[المؤهل الرئيسي]],Table4[],3,)</f>
        <v>F</v>
      </c>
      <c r="J97" s="599" t="s">
        <v>922</v>
      </c>
      <c r="K97" s="615">
        <f>VLOOKUP(Table1[[#This Row],[الرقم الوظيفي]],[1]Sheet2!$1:$1048576,13,)</f>
        <v>41365</v>
      </c>
      <c r="L97" s="615">
        <v>43830</v>
      </c>
      <c r="M97" s="599">
        <f>DATEDIF(Table1[[#This Row],[تاريخ التعيين]],Table1[[#This Row],[اخر العام]],"y")</f>
        <v>6</v>
      </c>
      <c r="N97" s="599">
        <f>DATEDIF(Table1[[#This Row],[تاريخ التعيين]],Table1[[#This Row],[اخر العام]],"ym")</f>
        <v>8</v>
      </c>
      <c r="O97" s="610">
        <f>Table1[[#This Row],[سنوات الخدمه]]*1+Table1[[#This Row],[الشهور اقل من سنه]]*0.08</f>
        <v>6.64</v>
      </c>
      <c r="P97" s="616">
        <v>4750</v>
      </c>
      <c r="Q97" s="617">
        <v>535.79999999999995</v>
      </c>
      <c r="R97" s="612"/>
      <c r="S97" s="599"/>
      <c r="T97" s="612"/>
      <c r="U97" s="612"/>
      <c r="V97" s="612"/>
      <c r="W97" s="612"/>
      <c r="X97" s="612"/>
      <c r="Y97" s="612"/>
      <c r="Z97" s="612"/>
      <c r="AA9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7" s="612"/>
      <c r="AC97" s="599"/>
      <c r="AD97" s="612"/>
      <c r="AE97" s="612"/>
      <c r="AF97" s="612"/>
      <c r="AG97" s="612"/>
      <c r="AH97" s="619">
        <f>SUM(Table1[[#This Row],[التقييد  باللوائح و تنفيذالتوجيه]:[اتباع اجراءات السلامه]])</f>
        <v>0</v>
      </c>
      <c r="AI97" s="619">
        <f>Table1[[#This Row],[المجموع]]+Table1[[#This Row],[المجموع2]]</f>
        <v>0</v>
      </c>
      <c r="AJ97" s="612"/>
      <c r="AK97" s="612"/>
      <c r="AL97" s="612"/>
      <c r="AM97" s="612"/>
      <c r="AN97" s="612"/>
      <c r="AO97" s="606">
        <f>Table1[[#This Row],[المجموع 1+2]]*$AO$2</f>
        <v>0</v>
      </c>
      <c r="AP97" s="648">
        <f>Table1[[#This Row],[راتب ديسمبر 2019]]*Table1[[#This Row],[نسبه التقييم الرئيسي 2018]]%</f>
        <v>0</v>
      </c>
      <c r="AQ97" s="627">
        <f>Table1[[#This Row],[مبلغ التقييم النسبي 2018]]+Table1[[#This Row],[راتب ديسمبر 2019]]</f>
        <v>4750</v>
      </c>
      <c r="AR97" s="611">
        <f>IF(Table1[[#This Row],[Column3]]&lt;0,0,Table1[[#This Row],[Column3]])</f>
        <v>6250</v>
      </c>
      <c r="AS97" s="599">
        <f>VLOOKUP(Table1[[#This Row],[درجه التوسيط]],Table10[],3,)</f>
        <v>11000</v>
      </c>
      <c r="AT97" s="608">
        <f>Table1[[#This Row],[الراتب 2018+النسبه]]+Table1[[#This Row],[فروقات الحد الادني]]</f>
        <v>11000</v>
      </c>
      <c r="AU97" s="629">
        <f>Table1[[#This Row],[الراتب 2018 + النسبه + الفرق]]-Table1[[#This Row],[راتب ديسمبر 2019]]</f>
        <v>6250</v>
      </c>
      <c r="AV97" s="628">
        <f>Table1[[#This Row],[الزياده]]/Table1[[#This Row],[راتب ديسمبر 2019]]%</f>
        <v>131.57894736842104</v>
      </c>
      <c r="AW97" s="659">
        <f>IF(Table1[[#This Row],[Column4]]&lt;0,0,Table1[[#This Row],[Column4]])</f>
        <v>0</v>
      </c>
      <c r="AX97" s="611">
        <f>Table1[[#This Row],[الجبر حتي]]-Table1[[#This Row],[رن]]</f>
        <v>7</v>
      </c>
      <c r="AY97" s="611">
        <f>Table1[[#This Row],[الزياده]]+Table1[[#This Row],[التعديل]]+Table1[[#This Row],[جبر الرقم]]</f>
        <v>6257</v>
      </c>
      <c r="AZ97" s="611">
        <f>Table1[[#This Row],[الراتب 2018 + النسبه + الفرق]]+Table1[[#This Row],[جبر الرقم]]+Table1[[#This Row],[التعديل]]</f>
        <v>11007</v>
      </c>
      <c r="BA97" s="631">
        <f>Table1[[#This Row],[الزياده النهائيه]]/Table1[[#This Row],[راتب ديسمبر 2019]]%</f>
        <v>131.72631578947369</v>
      </c>
      <c r="BB97" s="612">
        <f>VLOOKUP(Table1[[#This Row],[الرقم الوظيفي]],Table6[],8,)</f>
        <v>4750</v>
      </c>
      <c r="BC97" s="7"/>
      <c r="BD97" s="7">
        <v>7550</v>
      </c>
      <c r="BE97" s="7">
        <v>7543</v>
      </c>
      <c r="BF97" s="5">
        <f>Table1[[#This Row],[الحد الادني]]-Table1[[#This Row],[الراتب 2018+النسبه]]</f>
        <v>6250</v>
      </c>
      <c r="BG97" s="5">
        <f>Table1[[#This Row],[التعديل حتي]]-Table1[[#This Row],[kkk]]</f>
        <v>-7543</v>
      </c>
      <c r="BH97" s="5">
        <v>7543</v>
      </c>
      <c r="BI97" s="5"/>
    </row>
    <row r="98" spans="1:61" ht="21" customHeight="1">
      <c r="A98" s="602">
        <v>455</v>
      </c>
      <c r="B98" s="618" t="str">
        <f>VLOOKUP(Table1[[#This Row],[الرقم الوظيفي]],[1]Sheet2!$1:$1048576,2,)</f>
        <v>عصام الامين الحاج البشير</v>
      </c>
      <c r="C98" s="618" t="str">
        <f>VLOOKUP(Table1[[#This Row],[الرقم الوظيفي]],[1]Sheet2!$1:$1048576,7,)</f>
        <v>المصنع</v>
      </c>
      <c r="D98" s="618" t="str">
        <f>VLOOKUP(Table1[[#This Row],[الرقم الوظيفي]],[1]Sheet2!$1:$1048576,8,)</f>
        <v>الوحده العلاجيه</v>
      </c>
      <c r="E98" s="599">
        <f>VLOOKUP(Table1[[#This Row],[الرقم الوظيفي]],[1]Sheet2!$1:$1048576,9,)</f>
        <v>0</v>
      </c>
      <c r="F98" s="599" t="str">
        <f>VLOOKUP(Table1[[#This Row],[الرقم الوظيفي]],[1]Sheet2!$1:$1048576,12,)</f>
        <v>ممرض</v>
      </c>
      <c r="G98" s="599" t="str">
        <f>VLOOKUP(Table1[[#This Row],[الرقم الوظيفي]],[1]Sheet2!$1:$1048576,72,)</f>
        <v>شهاده دورة تدريب</v>
      </c>
      <c r="H98" s="599" t="str">
        <f>VLOOKUP(Table1[[#This Row],[الرقم الوظيفي]],[1]Sheet2!$1:$1048576,71,)</f>
        <v>شهادة تمريض</v>
      </c>
      <c r="I98" s="599" t="str">
        <f>VLOOKUP(Table1[[#This Row],[المؤهل الرئيسي]],Table4[],3,)</f>
        <v>F</v>
      </c>
      <c r="J98" s="599" t="s">
        <v>924</v>
      </c>
      <c r="K98" s="615">
        <f>VLOOKUP(Table1[[#This Row],[الرقم الوظيفي]],[1]Sheet2!$1:$1048576,13,)</f>
        <v>41365</v>
      </c>
      <c r="L98" s="615">
        <v>43830</v>
      </c>
      <c r="M98" s="599">
        <f>DATEDIF(Table1[[#This Row],[تاريخ التعيين]],Table1[[#This Row],[اخر العام]],"y")</f>
        <v>6</v>
      </c>
      <c r="N98" s="599">
        <f>DATEDIF(Table1[[#This Row],[تاريخ التعيين]],Table1[[#This Row],[اخر العام]],"ym")</f>
        <v>8</v>
      </c>
      <c r="O98" s="610">
        <f>Table1[[#This Row],[سنوات الخدمه]]*1+Table1[[#This Row],[الشهور اقل من سنه]]*0.08</f>
        <v>6.64</v>
      </c>
      <c r="P98" s="616">
        <v>4220</v>
      </c>
      <c r="Q98" s="617">
        <v>476.01600000000002</v>
      </c>
      <c r="R98" s="612"/>
      <c r="S98" s="599"/>
      <c r="T98" s="612"/>
      <c r="U98" s="612"/>
      <c r="V98" s="612"/>
      <c r="W98" s="612"/>
      <c r="X98" s="612"/>
      <c r="Y98" s="612"/>
      <c r="Z98" s="612"/>
      <c r="AA9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8" s="612"/>
      <c r="AC98" s="599"/>
      <c r="AD98" s="612"/>
      <c r="AE98" s="612"/>
      <c r="AF98" s="612"/>
      <c r="AG98" s="612"/>
      <c r="AH98" s="619">
        <f>SUM(Table1[[#This Row],[التقييد  باللوائح و تنفيذالتوجيه]:[اتباع اجراءات السلامه]])</f>
        <v>0</v>
      </c>
      <c r="AI98" s="619">
        <f>Table1[[#This Row],[المجموع]]+Table1[[#This Row],[المجموع2]]</f>
        <v>0</v>
      </c>
      <c r="AJ98" s="612">
        <v>10</v>
      </c>
      <c r="AK98" s="612"/>
      <c r="AL98" s="612"/>
      <c r="AM98" s="612"/>
      <c r="AN98" s="612"/>
      <c r="AO98" s="606">
        <f>Table1[[#This Row],[المجموع 1+2]]*$AO$2</f>
        <v>0</v>
      </c>
      <c r="AP98" s="648">
        <f>Table1[[#This Row],[راتب ديسمبر 2019]]*Table1[[#This Row],[نسبه التقييم الرئيسي 2018]]%</f>
        <v>0</v>
      </c>
      <c r="AQ98" s="627">
        <f>Table1[[#This Row],[مبلغ التقييم النسبي 2018]]+Table1[[#This Row],[راتب ديسمبر 2019]]</f>
        <v>4220</v>
      </c>
      <c r="AR98" s="611">
        <f>IF(Table1[[#This Row],[Column3]]&lt;0,0,Table1[[#This Row],[Column3]])</f>
        <v>4780</v>
      </c>
      <c r="AS98" s="599">
        <f>VLOOKUP(Table1[[#This Row],[درجه التوسيط]],Table10[],3,)</f>
        <v>9000</v>
      </c>
      <c r="AT98" s="608">
        <f>Table1[[#This Row],[الراتب 2018+النسبه]]+Table1[[#This Row],[فروقات الحد الادني]]</f>
        <v>9000</v>
      </c>
      <c r="AU98" s="629">
        <f>Table1[[#This Row],[الراتب 2018 + النسبه + الفرق]]-Table1[[#This Row],[راتب ديسمبر 2019]]</f>
        <v>4780</v>
      </c>
      <c r="AV98" s="628">
        <f>Table1[[#This Row],[الزياده]]/Table1[[#This Row],[راتب ديسمبر 2019]]%</f>
        <v>113.27014218009478</v>
      </c>
      <c r="AW98" s="659">
        <f>IF(Table1[[#This Row],[Column4]]&lt;0,0,Table1[[#This Row],[Column4]])</f>
        <v>0</v>
      </c>
      <c r="AX98" s="611">
        <f>Table1[[#This Row],[الجبر حتي]]-Table1[[#This Row],[رن]]</f>
        <v>5.2399999999997817</v>
      </c>
      <c r="AY98" s="611">
        <f>Table1[[#This Row],[الزياده]]+Table1[[#This Row],[التعديل]]+Table1[[#This Row],[جبر الرقم]]</f>
        <v>4785.24</v>
      </c>
      <c r="AZ98" s="611">
        <f>Table1[[#This Row],[الراتب 2018 + النسبه + الفرق]]+Table1[[#This Row],[جبر الرقم]]+Table1[[#This Row],[التعديل]]</f>
        <v>9005.24</v>
      </c>
      <c r="BA98" s="631">
        <f>Table1[[#This Row],[الزياده النهائيه]]/Table1[[#This Row],[راتب ديسمبر 2019]]%</f>
        <v>113.39431279620852</v>
      </c>
      <c r="BB98" s="612">
        <f>VLOOKUP(Table1[[#This Row],[الرقم الوظيفي]],Table6[],8,)</f>
        <v>4220</v>
      </c>
      <c r="BC98" s="7"/>
      <c r="BD98" s="7">
        <v>6580</v>
      </c>
      <c r="BE98" s="7">
        <v>6574.76</v>
      </c>
      <c r="BF98" s="5">
        <f>Table1[[#This Row],[الحد الادني]]-Table1[[#This Row],[الراتب 2018+النسبه]]</f>
        <v>4780</v>
      </c>
      <c r="BG98" s="5">
        <f>Table1[[#This Row],[التعديل حتي]]-Table1[[#This Row],[kkk]]</f>
        <v>-6574.76</v>
      </c>
      <c r="BH98" s="5">
        <v>6574.76</v>
      </c>
      <c r="BI98" s="5"/>
    </row>
    <row r="99" spans="1:61" ht="21" customHeight="1">
      <c r="A99" s="602">
        <v>459</v>
      </c>
      <c r="B99" s="618" t="str">
        <f>VLOOKUP(Table1[[#This Row],[الرقم الوظيفي]],[1]Sheet2!$1:$1048576,2,)</f>
        <v>على عمر احمد سبوبه</v>
      </c>
      <c r="C99" s="618" t="str">
        <f>VLOOKUP(Table1[[#This Row],[الرقم الوظيفي]],[1]Sheet2!$1:$1048576,7,)</f>
        <v>المصنع</v>
      </c>
      <c r="D99" s="618" t="str">
        <f>VLOOKUP(Table1[[#This Row],[الرقم الوظيفي]],[1]Sheet2!$1:$1048576,8,)</f>
        <v>الميكانيكا</v>
      </c>
      <c r="E99" s="599" t="str">
        <f>VLOOKUP(Table1[[#This Row],[الرقم الوظيفي]],[1]Sheet2!$1:$1048576,9,)</f>
        <v>المخارط</v>
      </c>
      <c r="F99" s="599" t="str">
        <f>VLOOKUP(Table1[[#This Row],[الرقم الوظيفي]],[1]Sheet2!$1:$1048576,12,)</f>
        <v>خراط</v>
      </c>
      <c r="G99" s="599" t="str">
        <f>VLOOKUP(Table1[[#This Row],[الرقم الوظيفي]],[1]Sheet2!$1:$1048576,72,)</f>
        <v>تدريب مهني</v>
      </c>
      <c r="H99" s="599">
        <f>VLOOKUP(Table1[[#This Row],[الرقم الوظيفي]],[1]Sheet2!$1:$1048576,71,)</f>
        <v>0</v>
      </c>
      <c r="I99" s="599" t="str">
        <f>VLOOKUP(Table1[[#This Row],[المؤهل الرئيسي]],Table4[],3,)</f>
        <v>F</v>
      </c>
      <c r="J99" s="599" t="s">
        <v>923</v>
      </c>
      <c r="K99" s="615">
        <f>VLOOKUP(Table1[[#This Row],[الرقم الوظيفي]],[1]Sheet2!$1:$1048576,13,)</f>
        <v>41368</v>
      </c>
      <c r="L99" s="615">
        <v>43830</v>
      </c>
      <c r="M99" s="599">
        <f>DATEDIF(Table1[[#This Row],[تاريخ التعيين]],Table1[[#This Row],[اخر العام]],"y")</f>
        <v>6</v>
      </c>
      <c r="N99" s="599">
        <f>DATEDIF(Table1[[#This Row],[تاريخ التعيين]],Table1[[#This Row],[اخر العام]],"ym")</f>
        <v>8</v>
      </c>
      <c r="O99" s="610">
        <f>Table1[[#This Row],[سنوات الخدمه]]*1+Table1[[#This Row],[الشهور اقل من سنه]]*0.08</f>
        <v>6.64</v>
      </c>
      <c r="P99" s="616">
        <v>4750</v>
      </c>
      <c r="Q99" s="617">
        <v>535.79999999999995</v>
      </c>
      <c r="R99" s="612"/>
      <c r="S99" s="599"/>
      <c r="T99" s="612"/>
      <c r="U99" s="612"/>
      <c r="V99" s="612"/>
      <c r="W99" s="612"/>
      <c r="X99" s="612"/>
      <c r="Y99" s="612"/>
      <c r="Z99" s="612"/>
      <c r="AA9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99" s="612"/>
      <c r="AC99" s="599"/>
      <c r="AD99" s="612"/>
      <c r="AE99" s="612"/>
      <c r="AF99" s="612"/>
      <c r="AG99" s="612"/>
      <c r="AH99" s="619">
        <f>SUM(Table1[[#This Row],[التقييد  باللوائح و تنفيذالتوجيه]:[اتباع اجراءات السلامه]])</f>
        <v>0</v>
      </c>
      <c r="AI99" s="619">
        <f>Table1[[#This Row],[المجموع]]+Table1[[#This Row],[المجموع2]]</f>
        <v>0</v>
      </c>
      <c r="AJ99" s="612">
        <v>9</v>
      </c>
      <c r="AK99" s="612"/>
      <c r="AL99" s="612"/>
      <c r="AM99" s="612"/>
      <c r="AN99" s="612"/>
      <c r="AO99" s="606">
        <f>Table1[[#This Row],[المجموع 1+2]]*$AO$2</f>
        <v>0</v>
      </c>
      <c r="AP99" s="648">
        <f>Table1[[#This Row],[راتب ديسمبر 2019]]*Table1[[#This Row],[نسبه التقييم الرئيسي 2018]]%</f>
        <v>0</v>
      </c>
      <c r="AQ99" s="627">
        <f>Table1[[#This Row],[مبلغ التقييم النسبي 2018]]+Table1[[#This Row],[راتب ديسمبر 2019]]</f>
        <v>4750</v>
      </c>
      <c r="AR99" s="611">
        <f>IF(Table1[[#This Row],[Column3]]&lt;0,0,Table1[[#This Row],[Column3]])</f>
        <v>5250</v>
      </c>
      <c r="AS99" s="599">
        <f>VLOOKUP(Table1[[#This Row],[درجه التوسيط]],Table10[],3,)</f>
        <v>10000</v>
      </c>
      <c r="AT99" s="608">
        <f>Table1[[#This Row],[الراتب 2018+النسبه]]+Table1[[#This Row],[فروقات الحد الادني]]</f>
        <v>10000</v>
      </c>
      <c r="AU99" s="629">
        <f>Table1[[#This Row],[الراتب 2018 + النسبه + الفرق]]-Table1[[#This Row],[راتب ديسمبر 2019]]</f>
        <v>5250</v>
      </c>
      <c r="AV99" s="628">
        <f>Table1[[#This Row],[الزياده]]/Table1[[#This Row],[راتب ديسمبر 2019]]%</f>
        <v>110.52631578947368</v>
      </c>
      <c r="AW99" s="659">
        <f>IF(Table1[[#This Row],[Column4]]&lt;0,0,Table1[[#This Row],[Column4]])</f>
        <v>0</v>
      </c>
      <c r="AX99" s="611">
        <f>Table1[[#This Row],[الجبر حتي]]-Table1[[#This Row],[رن]]</f>
        <v>9</v>
      </c>
      <c r="AY99" s="611">
        <f>Table1[[#This Row],[الزياده]]+Table1[[#This Row],[التعديل]]+Table1[[#This Row],[جبر الرقم]]</f>
        <v>5259</v>
      </c>
      <c r="AZ99" s="611">
        <f>Table1[[#This Row],[الراتب 2018 + النسبه + الفرق]]+Table1[[#This Row],[جبر الرقم]]+Table1[[#This Row],[التعديل]]</f>
        <v>10009</v>
      </c>
      <c r="BA99" s="631">
        <f>Table1[[#This Row],[الزياده النهائيه]]/Table1[[#This Row],[راتب ديسمبر 2019]]%</f>
        <v>110.71578947368421</v>
      </c>
      <c r="BB99" s="612">
        <f>VLOOKUP(Table1[[#This Row],[الرقم الوظيفي]],Table6[],8,)</f>
        <v>4750</v>
      </c>
      <c r="BC99" s="7"/>
      <c r="BD99" s="7">
        <v>7210</v>
      </c>
      <c r="BE99" s="7">
        <v>7201</v>
      </c>
      <c r="BF99" s="5">
        <f>Table1[[#This Row],[الحد الادني]]-Table1[[#This Row],[الراتب 2018+النسبه]]</f>
        <v>5250</v>
      </c>
      <c r="BG99" s="5">
        <f>Table1[[#This Row],[التعديل حتي]]-Table1[[#This Row],[kkk]]</f>
        <v>-7201</v>
      </c>
      <c r="BH99" s="5">
        <v>7201</v>
      </c>
      <c r="BI99" s="5"/>
    </row>
    <row r="100" spans="1:61" ht="21" customHeight="1">
      <c r="A100" s="602">
        <v>470</v>
      </c>
      <c r="B100" s="618" t="str">
        <f>VLOOKUP(Table1[[#This Row],[الرقم الوظيفي]],[1]Sheet2!$1:$1048576,2,)</f>
        <v>بشرى الطيب حسب الله ضوالبيت</v>
      </c>
      <c r="C100" s="618" t="str">
        <f>VLOOKUP(Table1[[#This Row],[الرقم الوظيفي]],[1]Sheet2!$1:$1048576,7,)</f>
        <v>المصنع</v>
      </c>
      <c r="D100" s="618" t="str">
        <f>VLOOKUP(Table1[[#This Row],[الرقم الوظيفي]],[1]Sheet2!$1:$1048576,8,)</f>
        <v>الانتاج</v>
      </c>
      <c r="E100" s="599" t="str">
        <f>VLOOKUP(Table1[[#This Row],[الرقم الوظيفي]],[1]Sheet2!$1:$1048576,9,)</f>
        <v>الزوايا</v>
      </c>
      <c r="F100" s="599" t="str">
        <f>VLOOKUP(Table1[[#This Row],[الرقم الوظيفي]],[1]Sheet2!$1:$1048576,12,)</f>
        <v>مشغل</v>
      </c>
      <c r="G100" s="599">
        <f>VLOOKUP(Table1[[#This Row],[الرقم الوظيفي]],[1]Sheet2!$1:$1048576,72,)</f>
        <v>0</v>
      </c>
      <c r="H100" s="599">
        <f>VLOOKUP(Table1[[#This Row],[الرقم الوظيفي]],[1]Sheet2!$1:$1048576,71,)</f>
        <v>0</v>
      </c>
      <c r="I100" s="599" t="str">
        <f>VLOOKUP(Table1[[#This Row],[المؤهل الرئيسي]],Table4[],3,)</f>
        <v>H</v>
      </c>
      <c r="J100" s="599" t="s">
        <v>922</v>
      </c>
      <c r="K100" s="615">
        <f>VLOOKUP(Table1[[#This Row],[الرقم الوظيفي]],[1]Sheet2!$1:$1048576,13,)</f>
        <v>41365</v>
      </c>
      <c r="L100" s="615">
        <v>43830</v>
      </c>
      <c r="M100" s="599">
        <f>DATEDIF(Table1[[#This Row],[تاريخ التعيين]],Table1[[#This Row],[اخر العام]],"y")</f>
        <v>6</v>
      </c>
      <c r="N100" s="599">
        <f>DATEDIF(Table1[[#This Row],[تاريخ التعيين]],Table1[[#This Row],[اخر العام]],"ym")</f>
        <v>8</v>
      </c>
      <c r="O100" s="610">
        <f>Table1[[#This Row],[سنوات الخدمه]]*1+Table1[[#This Row],[الشهور اقل من سنه]]*0.08</f>
        <v>6.64</v>
      </c>
      <c r="P100" s="616">
        <v>4710</v>
      </c>
      <c r="Q100" s="617">
        <v>531.28800000000001</v>
      </c>
      <c r="R100" s="612"/>
      <c r="S100" s="599"/>
      <c r="T100" s="612"/>
      <c r="U100" s="612"/>
      <c r="V100" s="612"/>
      <c r="W100" s="612"/>
      <c r="X100" s="612"/>
      <c r="Y100" s="612"/>
      <c r="Z100" s="612"/>
      <c r="AA10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0" s="612"/>
      <c r="AC100" s="599"/>
      <c r="AD100" s="612"/>
      <c r="AE100" s="612"/>
      <c r="AF100" s="612"/>
      <c r="AG100" s="612"/>
      <c r="AH100" s="619">
        <f>SUM(Table1[[#This Row],[التقييد  باللوائح و تنفيذالتوجيه]:[اتباع اجراءات السلامه]])</f>
        <v>0</v>
      </c>
      <c r="AI100" s="619">
        <f>Table1[[#This Row],[المجموع]]+Table1[[#This Row],[المجموع2]]</f>
        <v>0</v>
      </c>
      <c r="AJ100" s="612"/>
      <c r="AK100" s="612"/>
      <c r="AL100" s="612"/>
      <c r="AM100" s="612"/>
      <c r="AN100" s="612"/>
      <c r="AO100" s="606">
        <f>Table1[[#This Row],[المجموع 1+2]]*$AO$2</f>
        <v>0</v>
      </c>
      <c r="AP100" s="648">
        <f>Table1[[#This Row],[راتب ديسمبر 2019]]*Table1[[#This Row],[نسبه التقييم الرئيسي 2018]]%</f>
        <v>0</v>
      </c>
      <c r="AQ100" s="627">
        <f>Table1[[#This Row],[مبلغ التقييم النسبي 2018]]+Table1[[#This Row],[راتب ديسمبر 2019]]</f>
        <v>4710</v>
      </c>
      <c r="AR100" s="611">
        <f>IF(Table1[[#This Row],[Column3]]&lt;0,0,Table1[[#This Row],[Column3]])</f>
        <v>6290</v>
      </c>
      <c r="AS100" s="599">
        <f>VLOOKUP(Table1[[#This Row],[درجه التوسيط]],Table10[],3,)</f>
        <v>11000</v>
      </c>
      <c r="AT100" s="608">
        <f>Table1[[#This Row],[الراتب 2018+النسبه]]+Table1[[#This Row],[فروقات الحد الادني]]</f>
        <v>11000</v>
      </c>
      <c r="AU100" s="629">
        <f>Table1[[#This Row],[الراتب 2018 + النسبه + الفرق]]-Table1[[#This Row],[راتب ديسمبر 2019]]</f>
        <v>6290</v>
      </c>
      <c r="AV100" s="628">
        <f>Table1[[#This Row],[الزياده]]/Table1[[#This Row],[راتب ديسمبر 2019]]%</f>
        <v>133.54564755838641</v>
      </c>
      <c r="AW100" s="659">
        <f>IF(Table1[[#This Row],[Column4]]&lt;0,0,Table1[[#This Row],[Column4]])</f>
        <v>0</v>
      </c>
      <c r="AX100" s="611">
        <f>Table1[[#This Row],[الجبر حتي]]-Table1[[#This Row],[رن]]</f>
        <v>8.3400000000001455</v>
      </c>
      <c r="AY100" s="611">
        <f>Table1[[#This Row],[الزياده]]+Table1[[#This Row],[التعديل]]+Table1[[#This Row],[جبر الرقم]]</f>
        <v>6298.34</v>
      </c>
      <c r="AZ100" s="611">
        <f>Table1[[#This Row],[الراتب 2018 + النسبه + الفرق]]+Table1[[#This Row],[جبر الرقم]]+Table1[[#This Row],[التعديل]]</f>
        <v>11008.34</v>
      </c>
      <c r="BA100" s="631">
        <f>Table1[[#This Row],[الزياده النهائيه]]/Table1[[#This Row],[راتب ديسمبر 2019]]%</f>
        <v>133.72271762208067</v>
      </c>
      <c r="BB100" s="612">
        <f>VLOOKUP(Table1[[#This Row],[الرقم الوظيفي]],Table6[],8,)</f>
        <v>4710</v>
      </c>
      <c r="BC100" s="7"/>
      <c r="BD100" s="7">
        <v>7290</v>
      </c>
      <c r="BE100" s="7">
        <v>7281.66</v>
      </c>
      <c r="BF100" s="5">
        <f>Table1[[#This Row],[الحد الادني]]-Table1[[#This Row],[الراتب 2018+النسبه]]</f>
        <v>6290</v>
      </c>
      <c r="BG100" s="5">
        <f>Table1[[#This Row],[التعديل حتي]]-Table1[[#This Row],[kkk]]</f>
        <v>-7281.66</v>
      </c>
      <c r="BH100" s="5">
        <v>7281.66</v>
      </c>
      <c r="BI100" s="5"/>
    </row>
    <row r="101" spans="1:61" ht="21" customHeight="1">
      <c r="A101" s="602">
        <v>478</v>
      </c>
      <c r="B101" s="618" t="str">
        <f>VLOOKUP(Table1[[#This Row],[الرقم الوظيفي]],[1]Sheet2!$1:$1048576,2,)</f>
        <v>على بشير الزين بشير</v>
      </c>
      <c r="C101" s="618" t="str">
        <f>VLOOKUP(Table1[[#This Row],[الرقم الوظيفي]],[1]Sheet2!$1:$1048576,7,)</f>
        <v>المصنع</v>
      </c>
      <c r="D101" s="618" t="str">
        <f>VLOOKUP(Table1[[#This Row],[الرقم الوظيفي]],[1]Sheet2!$1:$1048576,8,)</f>
        <v>الانتاج</v>
      </c>
      <c r="E101" s="599" t="str">
        <f>VLOOKUP(Table1[[#This Row],[الرقم الوظيفي]],[1]Sheet2!$1:$1048576,9,)</f>
        <v>الاكسبنده</v>
      </c>
      <c r="F101" s="599" t="str">
        <f>VLOOKUP(Table1[[#This Row],[الرقم الوظيفي]],[1]Sheet2!$1:$1048576,12,)</f>
        <v>فورمان</v>
      </c>
      <c r="G101" s="599">
        <f>VLOOKUP(Table1[[#This Row],[الرقم الوظيفي]],[1]Sheet2!$1:$1048576,72,)</f>
        <v>0</v>
      </c>
      <c r="H101" s="599">
        <f>VLOOKUP(Table1[[#This Row],[الرقم الوظيفي]],[1]Sheet2!$1:$1048576,71,)</f>
        <v>0</v>
      </c>
      <c r="I101" s="599" t="str">
        <f>VLOOKUP(Table1[[#This Row],[المؤهل الرئيسي]],Table4[],3,)</f>
        <v>H</v>
      </c>
      <c r="J101" s="599" t="s">
        <v>38</v>
      </c>
      <c r="K101" s="615">
        <f>VLOOKUP(Table1[[#This Row],[الرقم الوظيفي]],[1]Sheet2!$1:$1048576,13,)</f>
        <v>41370</v>
      </c>
      <c r="L101" s="615">
        <v>43830</v>
      </c>
      <c r="M101" s="599">
        <f>DATEDIF(Table1[[#This Row],[تاريخ التعيين]],Table1[[#This Row],[اخر العام]],"y")</f>
        <v>6</v>
      </c>
      <c r="N101" s="599">
        <f>DATEDIF(Table1[[#This Row],[تاريخ التعيين]],Table1[[#This Row],[اخر العام]],"ym")</f>
        <v>8</v>
      </c>
      <c r="O101" s="610">
        <f>Table1[[#This Row],[سنوات الخدمه]]*1+Table1[[#This Row],[الشهور اقل من سنه]]*0.08</f>
        <v>6.64</v>
      </c>
      <c r="P101" s="616">
        <v>7000</v>
      </c>
      <c r="Q101" s="617">
        <v>789.6</v>
      </c>
      <c r="R101" s="612"/>
      <c r="S101" s="599"/>
      <c r="T101" s="612"/>
      <c r="U101" s="612"/>
      <c r="V101" s="612"/>
      <c r="W101" s="612"/>
      <c r="X101" s="612"/>
      <c r="Y101" s="612"/>
      <c r="Z101" s="612"/>
      <c r="AA10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1" s="612"/>
      <c r="AC101" s="599"/>
      <c r="AD101" s="612"/>
      <c r="AE101" s="612"/>
      <c r="AF101" s="612"/>
      <c r="AG101" s="612"/>
      <c r="AH101" s="619">
        <f>SUM(Table1[[#This Row],[التقييد  باللوائح و تنفيذالتوجيه]:[اتباع اجراءات السلامه]])</f>
        <v>0</v>
      </c>
      <c r="AI101" s="619">
        <f>Table1[[#This Row],[المجموع]]+Table1[[#This Row],[المجموع2]]</f>
        <v>0</v>
      </c>
      <c r="AJ101" s="612"/>
      <c r="AK101" s="612"/>
      <c r="AL101" s="612"/>
      <c r="AM101" s="612"/>
      <c r="AN101" s="612"/>
      <c r="AO101" s="606">
        <f>Table1[[#This Row],[المجموع 1+2]]*$AO$2</f>
        <v>0</v>
      </c>
      <c r="AP101" s="648">
        <f>Table1[[#This Row],[راتب ديسمبر 2019]]*Table1[[#This Row],[نسبه التقييم الرئيسي 2018]]%</f>
        <v>0</v>
      </c>
      <c r="AQ101" s="627">
        <f>Table1[[#This Row],[مبلغ التقييم النسبي 2018]]+Table1[[#This Row],[راتب ديسمبر 2019]]</f>
        <v>7000</v>
      </c>
      <c r="AR101" s="611">
        <f>IF(Table1[[#This Row],[Column3]]&lt;0,0,Table1[[#This Row],[Column3]])</f>
        <v>10000</v>
      </c>
      <c r="AS101" s="599">
        <f>VLOOKUP(Table1[[#This Row],[درجه التوسيط]],Table10[],3,)</f>
        <v>17000</v>
      </c>
      <c r="AT101" s="608">
        <f>Table1[[#This Row],[الراتب 2018+النسبه]]+Table1[[#This Row],[فروقات الحد الادني]]</f>
        <v>17000</v>
      </c>
      <c r="AU101" s="629">
        <f>Table1[[#This Row],[الراتب 2018 + النسبه + الفرق]]-Table1[[#This Row],[راتب ديسمبر 2019]]</f>
        <v>10000</v>
      </c>
      <c r="AV101" s="628">
        <f>Table1[[#This Row],[الزياده]]/Table1[[#This Row],[راتب ديسمبر 2019]]%</f>
        <v>142.85714285714286</v>
      </c>
      <c r="AW101" s="659">
        <f>IF(Table1[[#This Row],[Column4]]&lt;0,0,Table1[[#This Row],[Column4]])</f>
        <v>0</v>
      </c>
      <c r="AX101" s="611">
        <f>Table1[[#This Row],[الجبر حتي]]-Table1[[#This Row],[رن]]</f>
        <v>0</v>
      </c>
      <c r="AY101" s="611">
        <f>Table1[[#This Row],[الزياده]]+Table1[[#This Row],[التعديل]]+Table1[[#This Row],[جبر الرقم]]</f>
        <v>10000</v>
      </c>
      <c r="AZ101" s="611">
        <f>Table1[[#This Row],[الراتب 2018 + النسبه + الفرق]]+Table1[[#This Row],[جبر الرقم]]+Table1[[#This Row],[التعديل]]</f>
        <v>17000</v>
      </c>
      <c r="BA101" s="631">
        <f>Table1[[#This Row],[الزياده النهائيه]]/Table1[[#This Row],[راتب ديسمبر 2019]]%</f>
        <v>142.85714285714286</v>
      </c>
      <c r="BB101" s="612">
        <f>VLOOKUP(Table1[[#This Row],[الرقم الوظيفي]],Table6[],8,)</f>
        <v>7000</v>
      </c>
      <c r="BC101" s="7"/>
      <c r="BD101" s="7">
        <v>12000</v>
      </c>
      <c r="BE101" s="7">
        <v>12000</v>
      </c>
      <c r="BF101" s="5">
        <f>Table1[[#This Row],[الحد الادني]]-Table1[[#This Row],[الراتب 2018+النسبه]]</f>
        <v>10000</v>
      </c>
      <c r="BG101" s="5">
        <f>Table1[[#This Row],[التعديل حتي]]-Table1[[#This Row],[kkk]]</f>
        <v>-12000</v>
      </c>
      <c r="BH101" s="5">
        <v>12000</v>
      </c>
      <c r="BI101" s="5"/>
    </row>
    <row r="102" spans="1:61" ht="21" customHeight="1">
      <c r="A102" s="602">
        <v>479</v>
      </c>
      <c r="B102" s="618" t="str">
        <f>VLOOKUP(Table1[[#This Row],[الرقم الوظيفي]],[1]Sheet2!$1:$1048576,2,)</f>
        <v>الهادى محى الدين احمد النزير</v>
      </c>
      <c r="C102" s="618" t="str">
        <f>VLOOKUP(Table1[[#This Row],[الرقم الوظيفي]],[1]Sheet2!$1:$1048576,7,)</f>
        <v>المصنع</v>
      </c>
      <c r="D102" s="618" t="str">
        <f>VLOOKUP(Table1[[#This Row],[الرقم الوظيفي]],[1]Sheet2!$1:$1048576,8,)</f>
        <v>الانتاج</v>
      </c>
      <c r="E102" s="599" t="str">
        <f>VLOOKUP(Table1[[#This Row],[الرقم الوظيفي]],[1]Sheet2!$1:$1048576,9,)</f>
        <v>الزوايا</v>
      </c>
      <c r="F102" s="599" t="str">
        <f>VLOOKUP(Table1[[#This Row],[الرقم الوظيفي]],[1]Sheet2!$1:$1048576,12,)</f>
        <v>عامل</v>
      </c>
      <c r="G102" s="599" t="str">
        <f>VLOOKUP(Table1[[#This Row],[الرقم الوظيفي]],[1]Sheet2!$1:$1048576,72,)</f>
        <v>شهاده ثانويه</v>
      </c>
      <c r="H102" s="599">
        <f>VLOOKUP(Table1[[#This Row],[الرقم الوظيفي]],[1]Sheet2!$1:$1048576,71,)</f>
        <v>0</v>
      </c>
      <c r="I102" s="599" t="str">
        <f>VLOOKUP(Table1[[#This Row],[المؤهل الرئيسي]],Table4[],3,)</f>
        <v>F</v>
      </c>
      <c r="J102" s="599" t="s">
        <v>929</v>
      </c>
      <c r="K102" s="615">
        <f>VLOOKUP(Table1[[#This Row],[الرقم الوظيفي]],[1]Sheet2!$1:$1048576,13,)</f>
        <v>41377</v>
      </c>
      <c r="L102" s="615">
        <v>43830</v>
      </c>
      <c r="M102" s="599">
        <f>DATEDIF(Table1[[#This Row],[تاريخ التعيين]],Table1[[#This Row],[اخر العام]],"y")</f>
        <v>6</v>
      </c>
      <c r="N102" s="599">
        <f>DATEDIF(Table1[[#This Row],[تاريخ التعيين]],Table1[[#This Row],[اخر العام]],"ym")</f>
        <v>8</v>
      </c>
      <c r="O102" s="610">
        <f>Table1[[#This Row],[سنوات الخدمه]]*1+Table1[[#This Row],[الشهور اقل من سنه]]*0.08</f>
        <v>6.64</v>
      </c>
      <c r="P102" s="616">
        <v>3180</v>
      </c>
      <c r="Q102" s="617">
        <v>358.70400000000001</v>
      </c>
      <c r="R102" s="612"/>
      <c r="S102" s="599"/>
      <c r="T102" s="612"/>
      <c r="U102" s="612"/>
      <c r="V102" s="612"/>
      <c r="W102" s="612"/>
      <c r="X102" s="612"/>
      <c r="Y102" s="612"/>
      <c r="Z102" s="612"/>
      <c r="AA10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2" s="612"/>
      <c r="AC102" s="599"/>
      <c r="AD102" s="612"/>
      <c r="AE102" s="612"/>
      <c r="AF102" s="612"/>
      <c r="AG102" s="612"/>
      <c r="AH102" s="619">
        <f>SUM(Table1[[#This Row],[التقييد  باللوائح و تنفيذالتوجيه]:[اتباع اجراءات السلامه]])</f>
        <v>0</v>
      </c>
      <c r="AI102" s="619">
        <f>Table1[[#This Row],[المجموع]]+Table1[[#This Row],[المجموع2]]</f>
        <v>0</v>
      </c>
      <c r="AJ102" s="612"/>
      <c r="AK102" s="612"/>
      <c r="AL102" s="612"/>
      <c r="AM102" s="612"/>
      <c r="AN102" s="612"/>
      <c r="AO102" s="606">
        <f>Table1[[#This Row],[المجموع 1+2]]*$AO$2</f>
        <v>0</v>
      </c>
      <c r="AP102" s="648">
        <f>Table1[[#This Row],[راتب ديسمبر 2019]]*Table1[[#This Row],[نسبه التقييم الرئيسي 2018]]%</f>
        <v>0</v>
      </c>
      <c r="AQ102" s="627">
        <f>Table1[[#This Row],[مبلغ التقييم النسبي 2018]]+Table1[[#This Row],[راتب ديسمبر 2019]]</f>
        <v>3180</v>
      </c>
      <c r="AR102" s="611">
        <f>IF(Table1[[#This Row],[Column3]]&lt;0,0,Table1[[#This Row],[Column3]])</f>
        <v>2820</v>
      </c>
      <c r="AS102" s="599">
        <f>VLOOKUP(Table1[[#This Row],[درجه التوسيط]],Table10[],3,)</f>
        <v>6000</v>
      </c>
      <c r="AT102" s="608">
        <f>Table1[[#This Row],[الراتب 2018+النسبه]]+Table1[[#This Row],[فروقات الحد الادني]]</f>
        <v>6000</v>
      </c>
      <c r="AU102" s="629">
        <f>Table1[[#This Row],[الراتب 2018 + النسبه + الفرق]]-Table1[[#This Row],[راتب ديسمبر 2019]]</f>
        <v>2820</v>
      </c>
      <c r="AV102" s="628">
        <f>Table1[[#This Row],[الزياده]]/Table1[[#This Row],[راتب ديسمبر 2019]]%</f>
        <v>88.679245283018872</v>
      </c>
      <c r="AW102" s="659">
        <f>IF(Table1[[#This Row],[Column4]]&lt;0,0,Table1[[#This Row],[Column4]])</f>
        <v>0</v>
      </c>
      <c r="AX102" s="611">
        <f>Table1[[#This Row],[الجبر حتي]]-Table1[[#This Row],[رن]]</f>
        <v>6.4800000000004729</v>
      </c>
      <c r="AY102" s="611">
        <f>Table1[[#This Row],[الزياده]]+Table1[[#This Row],[التعديل]]+Table1[[#This Row],[جبر الرقم]]</f>
        <v>2826.4800000000005</v>
      </c>
      <c r="AZ102" s="611">
        <f>Table1[[#This Row],[الراتب 2018 + النسبه + الفرق]]+Table1[[#This Row],[جبر الرقم]]+Table1[[#This Row],[التعديل]]</f>
        <v>6006.4800000000005</v>
      </c>
      <c r="BA102" s="631">
        <f>Table1[[#This Row],[الزياده النهائيه]]/Table1[[#This Row],[راتب ديسمبر 2019]]%</f>
        <v>88.883018867924548</v>
      </c>
      <c r="BB102" s="612">
        <f>VLOOKUP(Table1[[#This Row],[الرقم الوظيفي]],Table6[],8,)</f>
        <v>3180</v>
      </c>
      <c r="BC102" s="7"/>
      <c r="BD102" s="7">
        <v>4980</v>
      </c>
      <c r="BE102" s="7">
        <v>4973.5199999999995</v>
      </c>
      <c r="BF102" s="5">
        <f>Table1[[#This Row],[الحد الادني]]-Table1[[#This Row],[الراتب 2018+النسبه]]</f>
        <v>2820</v>
      </c>
      <c r="BG102" s="5">
        <f>Table1[[#This Row],[التعديل حتي]]-Table1[[#This Row],[kkk]]</f>
        <v>-4973.5199999999995</v>
      </c>
      <c r="BH102" s="5">
        <v>4973.5199999999995</v>
      </c>
      <c r="BI102" s="5"/>
    </row>
    <row r="103" spans="1:61" ht="21" customHeight="1">
      <c r="A103" s="602">
        <v>491</v>
      </c>
      <c r="B103" s="618" t="str">
        <f>VLOOKUP(Table1[[#This Row],[الرقم الوظيفي]],[1]Sheet2!$1:$1048576,2,)</f>
        <v>محمد محمود محمد الطيب</v>
      </c>
      <c r="C103" s="618" t="str">
        <f>VLOOKUP(Table1[[#This Row],[الرقم الوظيفي]],[1]Sheet2!$1:$1048576,7,)</f>
        <v>المصنع</v>
      </c>
      <c r="D103" s="618" t="str">
        <f>VLOOKUP(Table1[[#This Row],[الرقم الوظيفي]],[1]Sheet2!$1:$1048576,8,)</f>
        <v>الكهرباء</v>
      </c>
      <c r="E103" s="599" t="str">
        <f>VLOOKUP(Table1[[#This Row],[الرقم الوظيفي]],[1]Sheet2!$1:$1048576,9,)</f>
        <v>المواسير</v>
      </c>
      <c r="F103" s="599" t="str">
        <f>VLOOKUP(Table1[[#This Row],[الرقم الوظيفي]],[1]Sheet2!$1:$1048576,12,)</f>
        <v>فنى كهرباء</v>
      </c>
      <c r="G103" s="599" t="str">
        <f>VLOOKUP(Table1[[#This Row],[الرقم الوظيفي]],[1]Sheet2!$1:$1048576,72,)</f>
        <v>تدريب مهني</v>
      </c>
      <c r="H103" s="599" t="str">
        <f>VLOOKUP(Table1[[#This Row],[الرقم الوظيفي]],[1]Sheet2!$1:$1048576,71,)</f>
        <v>كهرباء عامة</v>
      </c>
      <c r="I103" s="599" t="str">
        <f>VLOOKUP(Table1[[#This Row],[المؤهل الرئيسي]],Table4[],3,)</f>
        <v>F</v>
      </c>
      <c r="J103" s="599" t="s">
        <v>924</v>
      </c>
      <c r="K103" s="615">
        <f>VLOOKUP(Table1[[#This Row],[الرقم الوظيفي]],[1]Sheet2!$1:$1048576,13,)</f>
        <v>41401</v>
      </c>
      <c r="L103" s="615">
        <v>43830</v>
      </c>
      <c r="M103" s="599">
        <f>DATEDIF(Table1[[#This Row],[تاريخ التعيين]],Table1[[#This Row],[اخر العام]],"y")</f>
        <v>6</v>
      </c>
      <c r="N103" s="599">
        <f>DATEDIF(Table1[[#This Row],[تاريخ التعيين]],Table1[[#This Row],[اخر العام]],"ym")</f>
        <v>7</v>
      </c>
      <c r="O103" s="610">
        <f>Table1[[#This Row],[سنوات الخدمه]]*1+Table1[[#This Row],[الشهور اقل من سنه]]*0.08</f>
        <v>6.5600000000000005</v>
      </c>
      <c r="P103" s="616">
        <v>4200</v>
      </c>
      <c r="Q103" s="617">
        <v>467.04</v>
      </c>
      <c r="R103" s="612"/>
      <c r="S103" s="599"/>
      <c r="T103" s="612"/>
      <c r="U103" s="612"/>
      <c r="V103" s="612"/>
      <c r="W103" s="612"/>
      <c r="X103" s="612"/>
      <c r="Y103" s="612"/>
      <c r="Z103" s="612"/>
      <c r="AA10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3" s="612"/>
      <c r="AC103" s="599"/>
      <c r="AD103" s="612"/>
      <c r="AE103" s="612"/>
      <c r="AF103" s="612"/>
      <c r="AG103" s="612"/>
      <c r="AH103" s="619">
        <f>SUM(Table1[[#This Row],[التقييد  باللوائح و تنفيذالتوجيه]:[اتباع اجراءات السلامه]])</f>
        <v>0</v>
      </c>
      <c r="AI103" s="619">
        <f>Table1[[#This Row],[المجموع]]+Table1[[#This Row],[المجموع2]]</f>
        <v>0</v>
      </c>
      <c r="AJ103" s="612">
        <v>10</v>
      </c>
      <c r="AK103" s="612"/>
      <c r="AL103" s="612"/>
      <c r="AM103" s="612"/>
      <c r="AN103" s="612"/>
      <c r="AO103" s="606">
        <f>Table1[[#This Row],[المجموع 1+2]]*$AO$2</f>
        <v>0</v>
      </c>
      <c r="AP103" s="648">
        <f>Table1[[#This Row],[راتب ديسمبر 2019]]*Table1[[#This Row],[نسبه التقييم الرئيسي 2018]]%</f>
        <v>0</v>
      </c>
      <c r="AQ103" s="627">
        <f>Table1[[#This Row],[مبلغ التقييم النسبي 2018]]+Table1[[#This Row],[راتب ديسمبر 2019]]</f>
        <v>4200</v>
      </c>
      <c r="AR103" s="611">
        <f>IF(Table1[[#This Row],[Column3]]&lt;0,0,Table1[[#This Row],[Column3]])</f>
        <v>4800</v>
      </c>
      <c r="AS103" s="599">
        <f>VLOOKUP(Table1[[#This Row],[درجه التوسيط]],Table10[],3,)</f>
        <v>9000</v>
      </c>
      <c r="AT103" s="608">
        <f>Table1[[#This Row],[الراتب 2018+النسبه]]+Table1[[#This Row],[فروقات الحد الادني]]</f>
        <v>9000</v>
      </c>
      <c r="AU103" s="629">
        <f>Table1[[#This Row],[الراتب 2018 + النسبه + الفرق]]-Table1[[#This Row],[راتب ديسمبر 2019]]</f>
        <v>4800</v>
      </c>
      <c r="AV103" s="628">
        <f>Table1[[#This Row],[الزياده]]/Table1[[#This Row],[راتب ديسمبر 2019]]%</f>
        <v>114.28571428571429</v>
      </c>
      <c r="AW103" s="659">
        <f>IF(Table1[[#This Row],[Column4]]&lt;0,0,Table1[[#This Row],[Column4]])</f>
        <v>0</v>
      </c>
      <c r="AX103" s="611">
        <f>Table1[[#This Row],[الجبر حتي]]-Table1[[#This Row],[رن]]</f>
        <v>6</v>
      </c>
      <c r="AY103" s="611">
        <f>Table1[[#This Row],[الزياده]]+Table1[[#This Row],[التعديل]]+Table1[[#This Row],[جبر الرقم]]</f>
        <v>4806</v>
      </c>
      <c r="AZ103" s="611">
        <f>Table1[[#This Row],[الراتب 2018 + النسبه + الفرق]]+Table1[[#This Row],[جبر الرقم]]+Table1[[#This Row],[التعديل]]</f>
        <v>9006</v>
      </c>
      <c r="BA103" s="631">
        <f>Table1[[#This Row],[الزياده النهائيه]]/Table1[[#This Row],[راتب ديسمبر 2019]]%</f>
        <v>114.42857142857143</v>
      </c>
      <c r="BB103" s="612">
        <f>VLOOKUP(Table1[[#This Row],[الرقم الوظيفي]],Table6[],8,)</f>
        <v>4200</v>
      </c>
      <c r="BC103" s="7"/>
      <c r="BD103" s="7">
        <v>6600</v>
      </c>
      <c r="BE103" s="7">
        <v>6594</v>
      </c>
      <c r="BF103" s="5">
        <f>Table1[[#This Row],[الحد الادني]]-Table1[[#This Row],[الراتب 2018+النسبه]]</f>
        <v>4800</v>
      </c>
      <c r="BG103" s="5">
        <f>Table1[[#This Row],[التعديل حتي]]-Table1[[#This Row],[kkk]]</f>
        <v>-6594</v>
      </c>
      <c r="BH103" s="5">
        <v>6594</v>
      </c>
      <c r="BI103" s="5"/>
    </row>
    <row r="104" spans="1:61" ht="21" customHeight="1">
      <c r="A104" s="602">
        <v>495</v>
      </c>
      <c r="B104" s="618" t="str">
        <f>VLOOKUP(Table1[[#This Row],[الرقم الوظيفي]],[1]Sheet2!$1:$1048576,2,)</f>
        <v>عاطف ابراهيم محمد احمد</v>
      </c>
      <c r="C104" s="618" t="str">
        <f>VLOOKUP(Table1[[#This Row],[الرقم الوظيفي]],[1]Sheet2!$1:$1048576,7,)</f>
        <v>المصنع</v>
      </c>
      <c r="D104" s="618" t="str">
        <f>VLOOKUP(Table1[[#This Row],[الرقم الوظيفي]],[1]Sheet2!$1:$1048576,8,)</f>
        <v>الانتاج</v>
      </c>
      <c r="E104" s="599" t="str">
        <f>VLOOKUP(Table1[[#This Row],[الرقم الوظيفي]],[1]Sheet2!$1:$1048576,9,)</f>
        <v>الزوايا</v>
      </c>
      <c r="F104" s="599" t="str">
        <f>VLOOKUP(Table1[[#This Row],[الرقم الوظيفي]],[1]Sheet2!$1:$1048576,12,)</f>
        <v>عامل</v>
      </c>
      <c r="G104" s="599" t="str">
        <f>VLOOKUP(Table1[[#This Row],[الرقم الوظيفي]],[1]Sheet2!$1:$1048576,72,)</f>
        <v>تدريب مهني</v>
      </c>
      <c r="H104" s="599" t="str">
        <f>VLOOKUP(Table1[[#This Row],[الرقم الوظيفي]],[1]Sheet2!$1:$1048576,71,)</f>
        <v>لحام وتوضيب</v>
      </c>
      <c r="I104" s="599" t="str">
        <f>VLOOKUP(Table1[[#This Row],[المؤهل الرئيسي]],Table4[],3,)</f>
        <v>F</v>
      </c>
      <c r="J104" s="599" t="s">
        <v>929</v>
      </c>
      <c r="K104" s="615">
        <f>VLOOKUP(Table1[[#This Row],[الرقم الوظيفي]],[1]Sheet2!$1:$1048576,13,)</f>
        <v>41411</v>
      </c>
      <c r="L104" s="615">
        <v>43830</v>
      </c>
      <c r="M104" s="599">
        <f>DATEDIF(Table1[[#This Row],[تاريخ التعيين]],Table1[[#This Row],[اخر العام]],"y")</f>
        <v>6</v>
      </c>
      <c r="N104" s="599">
        <f>DATEDIF(Table1[[#This Row],[تاريخ التعيين]],Table1[[#This Row],[اخر العام]],"ym")</f>
        <v>7</v>
      </c>
      <c r="O104" s="610">
        <f>Table1[[#This Row],[سنوات الخدمه]]*1+Table1[[#This Row],[الشهور اقل من سنه]]*0.08</f>
        <v>6.5600000000000005</v>
      </c>
      <c r="P104" s="616">
        <v>3170</v>
      </c>
      <c r="Q104" s="617">
        <v>352.50400000000002</v>
      </c>
      <c r="R104" s="612"/>
      <c r="S104" s="599"/>
      <c r="T104" s="612"/>
      <c r="U104" s="612"/>
      <c r="V104" s="612"/>
      <c r="W104" s="612"/>
      <c r="X104" s="612"/>
      <c r="Y104" s="612"/>
      <c r="Z104" s="612"/>
      <c r="AA10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4" s="612"/>
      <c r="AC104" s="599"/>
      <c r="AD104" s="612"/>
      <c r="AE104" s="612"/>
      <c r="AF104" s="612"/>
      <c r="AG104" s="612"/>
      <c r="AH104" s="619">
        <f>SUM(Table1[[#This Row],[التقييد  باللوائح و تنفيذالتوجيه]:[اتباع اجراءات السلامه]])</f>
        <v>0</v>
      </c>
      <c r="AI104" s="619">
        <f>Table1[[#This Row],[المجموع]]+Table1[[#This Row],[المجموع2]]</f>
        <v>0</v>
      </c>
      <c r="AJ104" s="612"/>
      <c r="AK104" s="612"/>
      <c r="AL104" s="612"/>
      <c r="AM104" s="612"/>
      <c r="AN104" s="612"/>
      <c r="AO104" s="606">
        <f>Table1[[#This Row],[المجموع 1+2]]*$AO$2</f>
        <v>0</v>
      </c>
      <c r="AP104" s="648">
        <f>Table1[[#This Row],[راتب ديسمبر 2019]]*Table1[[#This Row],[نسبه التقييم الرئيسي 2018]]%</f>
        <v>0</v>
      </c>
      <c r="AQ104" s="627">
        <f>Table1[[#This Row],[مبلغ التقييم النسبي 2018]]+Table1[[#This Row],[راتب ديسمبر 2019]]</f>
        <v>3170</v>
      </c>
      <c r="AR104" s="611">
        <f>IF(Table1[[#This Row],[Column3]]&lt;0,0,Table1[[#This Row],[Column3]])</f>
        <v>2830</v>
      </c>
      <c r="AS104" s="599">
        <f>VLOOKUP(Table1[[#This Row],[درجه التوسيط]],Table10[],3,)</f>
        <v>6000</v>
      </c>
      <c r="AT104" s="608">
        <f>Table1[[#This Row],[الراتب 2018+النسبه]]+Table1[[#This Row],[فروقات الحد الادني]]</f>
        <v>6000</v>
      </c>
      <c r="AU104" s="629">
        <f>Table1[[#This Row],[الراتب 2018 + النسبه + الفرق]]-Table1[[#This Row],[راتب ديسمبر 2019]]</f>
        <v>2830</v>
      </c>
      <c r="AV104" s="628">
        <f>Table1[[#This Row],[الزياده]]/Table1[[#This Row],[راتب ديسمبر 2019]]%</f>
        <v>89.274447949526817</v>
      </c>
      <c r="AW104" s="659">
        <f>IF(Table1[[#This Row],[Column4]]&lt;0,0,Table1[[#This Row],[Column4]])</f>
        <v>0</v>
      </c>
      <c r="AX104" s="611">
        <f>Table1[[#This Row],[الجبر حتي]]-Table1[[#This Row],[رن]]</f>
        <v>1.1400000000003274</v>
      </c>
      <c r="AY104" s="611">
        <f>Table1[[#This Row],[الزياده]]+Table1[[#This Row],[التعديل]]+Table1[[#This Row],[جبر الرقم]]</f>
        <v>2831.1400000000003</v>
      </c>
      <c r="AZ104" s="611">
        <f>Table1[[#This Row],[الراتب 2018 + النسبه + الفرق]]+Table1[[#This Row],[جبر الرقم]]+Table1[[#This Row],[التعديل]]</f>
        <v>6001.14</v>
      </c>
      <c r="BA104" s="631">
        <f>Table1[[#This Row],[الزياده النهائيه]]/Table1[[#This Row],[راتب ديسمبر 2019]]%</f>
        <v>89.310410094637234</v>
      </c>
      <c r="BB104" s="612">
        <f>VLOOKUP(Table1[[#This Row],[الرقم الوظيفي]],Table6[],8,)</f>
        <v>3170</v>
      </c>
      <c r="BC104" s="7"/>
      <c r="BD104" s="7">
        <v>4940</v>
      </c>
      <c r="BE104" s="7">
        <v>4938.8599999999997</v>
      </c>
      <c r="BF104" s="5">
        <f>Table1[[#This Row],[الحد الادني]]-Table1[[#This Row],[الراتب 2018+النسبه]]</f>
        <v>2830</v>
      </c>
      <c r="BG104" s="5">
        <f>Table1[[#This Row],[التعديل حتي]]-Table1[[#This Row],[kkk]]</f>
        <v>-4938.8599999999997</v>
      </c>
      <c r="BH104" s="5">
        <v>4938.8599999999997</v>
      </c>
      <c r="BI104" s="5"/>
    </row>
    <row r="105" spans="1:61">
      <c r="A105" s="602">
        <v>503</v>
      </c>
      <c r="B105" s="618" t="str">
        <f>VLOOKUP(Table1[[#This Row],[الرقم الوظيفي]],[1]Sheet2!$1:$1048576,2,)</f>
        <v>الحاج العباس الزبير الحاج</v>
      </c>
      <c r="C105" s="618" t="str">
        <f>VLOOKUP(Table1[[#This Row],[الرقم الوظيفي]],[1]Sheet2!$1:$1048576,7,)</f>
        <v>المصنع</v>
      </c>
      <c r="D105" s="618" t="str">
        <f>VLOOKUP(Table1[[#This Row],[الرقم الوظيفي]],[1]Sheet2!$1:$1048576,8,)</f>
        <v>المستودعات</v>
      </c>
      <c r="E105" s="599" t="str">
        <f>VLOOKUP(Table1[[#This Row],[الرقم الوظيفي]],[1]Sheet2!$1:$1048576,9,)</f>
        <v>المنتج الجاهز</v>
      </c>
      <c r="F105" s="599" t="str">
        <f>VLOOKUP(Table1[[#This Row],[الرقم الوظيفي]],[1]Sheet2!$1:$1048576,12,)</f>
        <v>امين مستودع م ج</v>
      </c>
      <c r="G105" s="599">
        <f>VLOOKUP(Table1[[#This Row],[الرقم الوظيفي]],[1]Sheet2!$1:$1048576,72,)</f>
        <v>0</v>
      </c>
      <c r="H105" s="599">
        <f>VLOOKUP(Table1[[#This Row],[الرقم الوظيفي]],[1]Sheet2!$1:$1048576,71,)</f>
        <v>0</v>
      </c>
      <c r="I105" s="599" t="str">
        <f>VLOOKUP(Table1[[#This Row],[المؤهل الرئيسي]],Table4[],3,)</f>
        <v>H</v>
      </c>
      <c r="J105" s="599" t="s">
        <v>922</v>
      </c>
      <c r="K105" s="615">
        <f>VLOOKUP(Table1[[#This Row],[الرقم الوظيفي]],[1]Sheet2!$1:$1048576,13,)</f>
        <v>41428</v>
      </c>
      <c r="L105" s="615">
        <v>43830</v>
      </c>
      <c r="M105" s="599">
        <f>DATEDIF(Table1[[#This Row],[تاريخ التعيين]],Table1[[#This Row],[اخر العام]],"y")</f>
        <v>6</v>
      </c>
      <c r="N105" s="599">
        <f>DATEDIF(Table1[[#This Row],[تاريخ التعيين]],Table1[[#This Row],[اخر العام]],"ym")</f>
        <v>6</v>
      </c>
      <c r="O105" s="610">
        <f>Table1[[#This Row],[سنوات الخدمه]]*1+Table1[[#This Row],[الشهور اقل من سنه]]*0.08</f>
        <v>6.48</v>
      </c>
      <c r="P105" s="616">
        <v>4190</v>
      </c>
      <c r="Q105" s="617">
        <v>459.22399999999999</v>
      </c>
      <c r="R105" s="612"/>
      <c r="S105" s="599"/>
      <c r="T105" s="612"/>
      <c r="U105" s="612"/>
      <c r="V105" s="612"/>
      <c r="W105" s="612"/>
      <c r="X105" s="612"/>
      <c r="Y105" s="612"/>
      <c r="Z105" s="612"/>
      <c r="AA10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5" s="612"/>
      <c r="AC105" s="599"/>
      <c r="AD105" s="612"/>
      <c r="AE105" s="612"/>
      <c r="AF105" s="612"/>
      <c r="AG105" s="612"/>
      <c r="AH105" s="619">
        <f>SUM(Table1[[#This Row],[التقييد  باللوائح و تنفيذالتوجيه]:[اتباع اجراءات السلامه]])</f>
        <v>0</v>
      </c>
      <c r="AI105" s="619">
        <f>Table1[[#This Row],[المجموع]]+Table1[[#This Row],[المجموع2]]</f>
        <v>0</v>
      </c>
      <c r="AJ105" s="612">
        <v>8</v>
      </c>
      <c r="AK105" s="612"/>
      <c r="AL105" s="612"/>
      <c r="AM105" s="612"/>
      <c r="AN105" s="612"/>
      <c r="AO105" s="606">
        <f>Table1[[#This Row],[المجموع 1+2]]*$AO$2</f>
        <v>0</v>
      </c>
      <c r="AP105" s="648">
        <f>Table1[[#This Row],[راتب ديسمبر 2019]]*Table1[[#This Row],[نسبه التقييم الرئيسي 2018]]%</f>
        <v>0</v>
      </c>
      <c r="AQ105" s="627">
        <f>Table1[[#This Row],[مبلغ التقييم النسبي 2018]]+Table1[[#This Row],[راتب ديسمبر 2019]]</f>
        <v>4190</v>
      </c>
      <c r="AR105" s="611">
        <f>IF(Table1[[#This Row],[Column3]]&lt;0,0,Table1[[#This Row],[Column3]])</f>
        <v>6810</v>
      </c>
      <c r="AS105" s="599">
        <f>VLOOKUP(Table1[[#This Row],[درجه التوسيط]],Table10[],3,)</f>
        <v>11000</v>
      </c>
      <c r="AT105" s="608">
        <f>Table1[[#This Row],[الراتب 2018+النسبه]]+Table1[[#This Row],[فروقات الحد الادني]]</f>
        <v>11000</v>
      </c>
      <c r="AU105" s="629">
        <f>Table1[[#This Row],[الراتب 2018 + النسبه + الفرق]]-Table1[[#This Row],[راتب ديسمبر 2019]]</f>
        <v>6810</v>
      </c>
      <c r="AV105" s="628">
        <f>Table1[[#This Row],[الزياده]]/Table1[[#This Row],[راتب ديسمبر 2019]]%</f>
        <v>162.52983293556088</v>
      </c>
      <c r="AW105" s="659">
        <f>IF(Table1[[#This Row],[Column4]]&lt;0,0,Table1[[#This Row],[Column4]])</f>
        <v>500</v>
      </c>
      <c r="AX105" s="611">
        <f>Table1[[#This Row],[الجبر حتي]]-Table1[[#This Row],[رن]]</f>
        <v>0</v>
      </c>
      <c r="AY105" s="611">
        <f>Table1[[#This Row],[الزياده]]+Table1[[#This Row],[التعديل]]+Table1[[#This Row],[جبر الرقم]]</f>
        <v>7310</v>
      </c>
      <c r="AZ105" s="611">
        <f>Table1[[#This Row],[الراتب 2018 + النسبه + الفرق]]+Table1[[#This Row],[جبر الرقم]]+Table1[[#This Row],[التعديل]]</f>
        <v>11500</v>
      </c>
      <c r="BA105" s="631">
        <f>Table1[[#This Row],[الزياده النهائيه]]/Table1[[#This Row],[راتب ديسمبر 2019]]%</f>
        <v>174.46300715990455</v>
      </c>
      <c r="BB105" s="612">
        <f>VLOOKUP(Table1[[#This Row],[الرقم الوظيفي]],Table6[],8,)</f>
        <v>4190</v>
      </c>
      <c r="BC105" s="7">
        <v>7500</v>
      </c>
      <c r="BD105" s="7">
        <v>7500</v>
      </c>
      <c r="BE105" s="7">
        <v>7500</v>
      </c>
      <c r="BF105" s="5">
        <f>Table1[[#This Row],[الحد الادني]]-Table1[[#This Row],[الراتب 2018+النسبه]]</f>
        <v>6810</v>
      </c>
      <c r="BG105" s="5">
        <f>Table1[[#This Row],[التعديل حتي]]-Table1[[#This Row],[kkk]]</f>
        <v>500</v>
      </c>
      <c r="BH105" s="5">
        <v>7000</v>
      </c>
      <c r="BI105" s="5"/>
    </row>
    <row r="106" spans="1:61" ht="21" customHeight="1">
      <c r="A106" s="602">
        <v>510</v>
      </c>
      <c r="B106" s="618" t="str">
        <f>VLOOKUP(Table1[[#This Row],[الرقم الوظيفي]],[1]Sheet2!$1:$1048576,2,)</f>
        <v>عادل ابراهيم محمد احمد</v>
      </c>
      <c r="C106" s="618" t="str">
        <f>VLOOKUP(Table1[[#This Row],[الرقم الوظيفي]],[1]Sheet2!$1:$1048576,7,)</f>
        <v>المصنع</v>
      </c>
      <c r="D106" s="618" t="str">
        <f>VLOOKUP(Table1[[#This Row],[الرقم الوظيفي]],[1]Sheet2!$1:$1048576,8,)</f>
        <v>الانتاج</v>
      </c>
      <c r="E106" s="599" t="str">
        <f>VLOOKUP(Table1[[#This Row],[الرقم الوظيفي]],[1]Sheet2!$1:$1048576,9,)</f>
        <v>الزوايا</v>
      </c>
      <c r="F106" s="599" t="str">
        <f>VLOOKUP(Table1[[#This Row],[الرقم الوظيفي]],[1]Sheet2!$1:$1048576,12,)</f>
        <v>عامل</v>
      </c>
      <c r="G106" s="599">
        <f>VLOOKUP(Table1[[#This Row],[الرقم الوظيفي]],[1]Sheet2!$1:$1048576,72,)</f>
        <v>0</v>
      </c>
      <c r="H106" s="599">
        <f>VLOOKUP(Table1[[#This Row],[الرقم الوظيفي]],[1]Sheet2!$1:$1048576,71,)</f>
        <v>0</v>
      </c>
      <c r="I106" s="599" t="str">
        <f>VLOOKUP(Table1[[#This Row],[المؤهل الرئيسي]],Table4[],3,)</f>
        <v>H</v>
      </c>
      <c r="J106" s="599" t="s">
        <v>929</v>
      </c>
      <c r="K106" s="615">
        <f>VLOOKUP(Table1[[#This Row],[الرقم الوظيفي]],[1]Sheet2!$1:$1048576,13,)</f>
        <v>41435</v>
      </c>
      <c r="L106" s="615">
        <v>43830</v>
      </c>
      <c r="M106" s="599">
        <f>DATEDIF(Table1[[#This Row],[تاريخ التعيين]],Table1[[#This Row],[اخر العام]],"y")</f>
        <v>6</v>
      </c>
      <c r="N106" s="599">
        <f>DATEDIF(Table1[[#This Row],[تاريخ التعيين]],Table1[[#This Row],[اخر العام]],"ym")</f>
        <v>6</v>
      </c>
      <c r="O106" s="610">
        <f>Table1[[#This Row],[سنوات الخدمه]]*1+Table1[[#This Row],[الشهور اقل من سنه]]*0.08</f>
        <v>6.48</v>
      </c>
      <c r="P106" s="616">
        <v>3170</v>
      </c>
      <c r="Q106" s="617">
        <v>347.43200000000002</v>
      </c>
      <c r="R106" s="612"/>
      <c r="S106" s="599"/>
      <c r="T106" s="612"/>
      <c r="U106" s="612"/>
      <c r="V106" s="612"/>
      <c r="W106" s="612"/>
      <c r="X106" s="612"/>
      <c r="Y106" s="612"/>
      <c r="Z106" s="612"/>
      <c r="AA10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6" s="612"/>
      <c r="AC106" s="599"/>
      <c r="AD106" s="612"/>
      <c r="AE106" s="612"/>
      <c r="AF106" s="612"/>
      <c r="AG106" s="612"/>
      <c r="AH106" s="619">
        <f>SUM(Table1[[#This Row],[التقييد  باللوائح و تنفيذالتوجيه]:[اتباع اجراءات السلامه]])</f>
        <v>0</v>
      </c>
      <c r="AI106" s="619">
        <f>Table1[[#This Row],[المجموع]]+Table1[[#This Row],[المجموع2]]</f>
        <v>0</v>
      </c>
      <c r="AJ106" s="612"/>
      <c r="AK106" s="612"/>
      <c r="AL106" s="612"/>
      <c r="AM106" s="612"/>
      <c r="AN106" s="612"/>
      <c r="AO106" s="606">
        <f>Table1[[#This Row],[المجموع 1+2]]*$AO$2</f>
        <v>0</v>
      </c>
      <c r="AP106" s="648">
        <f>Table1[[#This Row],[راتب ديسمبر 2019]]*Table1[[#This Row],[نسبه التقييم الرئيسي 2018]]%</f>
        <v>0</v>
      </c>
      <c r="AQ106" s="627">
        <f>Table1[[#This Row],[مبلغ التقييم النسبي 2018]]+Table1[[#This Row],[راتب ديسمبر 2019]]</f>
        <v>3170</v>
      </c>
      <c r="AR106" s="611">
        <f>IF(Table1[[#This Row],[Column3]]&lt;0,0,Table1[[#This Row],[Column3]])</f>
        <v>2830</v>
      </c>
      <c r="AS106" s="599">
        <f>VLOOKUP(Table1[[#This Row],[درجه التوسيط]],Table10[],3,)</f>
        <v>6000</v>
      </c>
      <c r="AT106" s="608">
        <f>Table1[[#This Row],[الراتب 2018+النسبه]]+Table1[[#This Row],[فروقات الحد الادني]]</f>
        <v>6000</v>
      </c>
      <c r="AU106" s="629">
        <f>Table1[[#This Row],[الراتب 2018 + النسبه + الفرق]]-Table1[[#This Row],[راتب ديسمبر 2019]]</f>
        <v>2830</v>
      </c>
      <c r="AV106" s="628">
        <f>Table1[[#This Row],[الزياده]]/Table1[[#This Row],[راتب ديسمبر 2019]]%</f>
        <v>89.274447949526817</v>
      </c>
      <c r="AW106" s="659">
        <f>IF(Table1[[#This Row],[Column4]]&lt;0,0,Table1[[#This Row],[Column4]])</f>
        <v>0</v>
      </c>
      <c r="AX106" s="611">
        <f>Table1[[#This Row],[الجبر حتي]]-Table1[[#This Row],[رن]]</f>
        <v>1.1400000000003274</v>
      </c>
      <c r="AY106" s="611">
        <f>Table1[[#This Row],[الزياده]]+Table1[[#This Row],[التعديل]]+Table1[[#This Row],[جبر الرقم]]</f>
        <v>2831.1400000000003</v>
      </c>
      <c r="AZ106" s="611">
        <f>Table1[[#This Row],[الراتب 2018 + النسبه + الفرق]]+Table1[[#This Row],[جبر الرقم]]+Table1[[#This Row],[التعديل]]</f>
        <v>6001.14</v>
      </c>
      <c r="BA106" s="631">
        <f>Table1[[#This Row],[الزياده النهائيه]]/Table1[[#This Row],[راتب ديسمبر 2019]]%</f>
        <v>89.310410094637234</v>
      </c>
      <c r="BB106" s="612">
        <f>VLOOKUP(Table1[[#This Row],[الرقم الوظيفي]],Table6[],8,)</f>
        <v>3170</v>
      </c>
      <c r="BC106" s="7"/>
      <c r="BD106" s="7">
        <v>4940</v>
      </c>
      <c r="BE106" s="7">
        <v>4938.8599999999997</v>
      </c>
      <c r="BF106" s="5">
        <f>Table1[[#This Row],[الحد الادني]]-Table1[[#This Row],[الراتب 2018+النسبه]]</f>
        <v>2830</v>
      </c>
      <c r="BG106" s="5">
        <f>Table1[[#This Row],[التعديل حتي]]-Table1[[#This Row],[kkk]]</f>
        <v>-4938.8599999999997</v>
      </c>
      <c r="BH106" s="5">
        <v>4938.8599999999997</v>
      </c>
      <c r="BI106" s="5"/>
    </row>
    <row r="107" spans="1:61" ht="21" customHeight="1">
      <c r="A107" s="602">
        <v>511</v>
      </c>
      <c r="B107" s="618" t="str">
        <f>VLOOKUP(Table1[[#This Row],[الرقم الوظيفي]],[1]Sheet2!$1:$1048576,2,)</f>
        <v>احمد البشرى محمد احمد</v>
      </c>
      <c r="C107" s="618" t="str">
        <f>VLOOKUP(Table1[[#This Row],[الرقم الوظيفي]],[1]Sheet2!$1:$1048576,7,)</f>
        <v>المصنع</v>
      </c>
      <c r="D107" s="618" t="str">
        <f>VLOOKUP(Table1[[#This Row],[الرقم الوظيفي]],[1]Sheet2!$1:$1048576,8,)</f>
        <v>الانتاج</v>
      </c>
      <c r="E107" s="599" t="str">
        <f>VLOOKUP(Table1[[#This Row],[الرقم الوظيفي]],[1]Sheet2!$1:$1048576,9,)</f>
        <v>الزوايا</v>
      </c>
      <c r="F107" s="599" t="str">
        <f>VLOOKUP(Table1[[#This Row],[الرقم الوظيفي]],[1]Sheet2!$1:$1048576,12,)</f>
        <v>عامل</v>
      </c>
      <c r="G107" s="599" t="str">
        <f>VLOOKUP(Table1[[#This Row],[الرقم الوظيفي]],[1]Sheet2!$1:$1048576,72,)</f>
        <v>شهاده ثانويه</v>
      </c>
      <c r="H107" s="599">
        <f>VLOOKUP(Table1[[#This Row],[الرقم الوظيفي]],[1]Sheet2!$1:$1048576,71,)</f>
        <v>0</v>
      </c>
      <c r="I107" s="599" t="str">
        <f>VLOOKUP(Table1[[#This Row],[المؤهل الرئيسي]],Table4[],3,)</f>
        <v>F</v>
      </c>
      <c r="J107" s="599" t="s">
        <v>926</v>
      </c>
      <c r="K107" s="615">
        <f>VLOOKUP(Table1[[#This Row],[الرقم الوظيفي]],[1]Sheet2!$1:$1048576,13,)</f>
        <v>41435</v>
      </c>
      <c r="L107" s="615">
        <v>43830</v>
      </c>
      <c r="M107" s="599">
        <f>DATEDIF(Table1[[#This Row],[تاريخ التعيين]],Table1[[#This Row],[اخر العام]],"y")</f>
        <v>6</v>
      </c>
      <c r="N107" s="599">
        <f>DATEDIF(Table1[[#This Row],[تاريخ التعيين]],Table1[[#This Row],[اخر العام]],"ym")</f>
        <v>6</v>
      </c>
      <c r="O107" s="610">
        <f>Table1[[#This Row],[سنوات الخدمه]]*1+Table1[[#This Row],[الشهور اقل من سنه]]*0.08</f>
        <v>6.48</v>
      </c>
      <c r="P107" s="616">
        <v>3170</v>
      </c>
      <c r="Q107" s="617">
        <v>347.43200000000002</v>
      </c>
      <c r="R107" s="612"/>
      <c r="S107" s="599"/>
      <c r="T107" s="612"/>
      <c r="U107" s="612"/>
      <c r="V107" s="612"/>
      <c r="W107" s="612"/>
      <c r="X107" s="612"/>
      <c r="Y107" s="612"/>
      <c r="Z107" s="612"/>
      <c r="AA10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7" s="612"/>
      <c r="AC107" s="599"/>
      <c r="AD107" s="612"/>
      <c r="AE107" s="612"/>
      <c r="AF107" s="612"/>
      <c r="AG107" s="612"/>
      <c r="AH107" s="619">
        <f>SUM(Table1[[#This Row],[التقييد  باللوائح و تنفيذالتوجيه]:[اتباع اجراءات السلامه]])</f>
        <v>0</v>
      </c>
      <c r="AI107" s="619">
        <f>Table1[[#This Row],[المجموع]]+Table1[[#This Row],[المجموع2]]</f>
        <v>0</v>
      </c>
      <c r="AJ107" s="612"/>
      <c r="AK107" s="612"/>
      <c r="AL107" s="612"/>
      <c r="AM107" s="612"/>
      <c r="AN107" s="612"/>
      <c r="AO107" s="606">
        <f>Table1[[#This Row],[المجموع 1+2]]*$AO$2</f>
        <v>0</v>
      </c>
      <c r="AP107" s="648">
        <f>Table1[[#This Row],[راتب ديسمبر 2019]]*Table1[[#This Row],[نسبه التقييم الرئيسي 2018]]%</f>
        <v>0</v>
      </c>
      <c r="AQ107" s="627">
        <f>Table1[[#This Row],[مبلغ التقييم النسبي 2018]]+Table1[[#This Row],[راتب ديسمبر 2019]]</f>
        <v>3170</v>
      </c>
      <c r="AR107" s="611">
        <f>IF(Table1[[#This Row],[Column3]]&lt;0,0,Table1[[#This Row],[Column3]])</f>
        <v>4830</v>
      </c>
      <c r="AS107" s="599">
        <f>VLOOKUP(Table1[[#This Row],[درجه التوسيط]],Table10[],3,)</f>
        <v>8000</v>
      </c>
      <c r="AT107" s="608">
        <f>Table1[[#This Row],[الراتب 2018+النسبه]]+Table1[[#This Row],[فروقات الحد الادني]]</f>
        <v>8000</v>
      </c>
      <c r="AU107" s="629">
        <f>Table1[[#This Row],[الراتب 2018 + النسبه + الفرق]]-Table1[[#This Row],[راتب ديسمبر 2019]]</f>
        <v>4830</v>
      </c>
      <c r="AV107" s="628">
        <f>Table1[[#This Row],[الزياده]]/Table1[[#This Row],[راتب ديسمبر 2019]]%</f>
        <v>152.36593059936908</v>
      </c>
      <c r="AW107" s="659">
        <f>IF(Table1[[#This Row],[Column4]]&lt;0,0,Table1[[#This Row],[Column4]])</f>
        <v>0</v>
      </c>
      <c r="AX107" s="611">
        <f>Table1[[#This Row],[الجبر حتي]]-Table1[[#This Row],[رن]]</f>
        <v>0</v>
      </c>
      <c r="AY107" s="611">
        <f>Table1[[#This Row],[الزياده]]+Table1[[#This Row],[التعديل]]+Table1[[#This Row],[جبر الرقم]]</f>
        <v>4830</v>
      </c>
      <c r="AZ107" s="611">
        <f>Table1[[#This Row],[الراتب 2018 + النسبه + الفرق]]+Table1[[#This Row],[جبر الرقم]]+Table1[[#This Row],[التعديل]]</f>
        <v>8000</v>
      </c>
      <c r="BA107" s="631">
        <f>Table1[[#This Row],[الزياده النهائيه]]/Table1[[#This Row],[راتب ديسمبر 2019]]%</f>
        <v>152.36593059936908</v>
      </c>
      <c r="BB107" s="612">
        <f>VLOOKUP(Table1[[#This Row],[الرقم الوظيفي]],Table6[],8,)</f>
        <v>3170</v>
      </c>
      <c r="BC107" s="7"/>
      <c r="BD107" s="7">
        <v>5500</v>
      </c>
      <c r="BE107" s="7">
        <v>5500</v>
      </c>
      <c r="BF107" s="5">
        <f>Table1[[#This Row],[الحد الادني]]-Table1[[#This Row],[الراتب 2018+النسبه]]</f>
        <v>4830</v>
      </c>
      <c r="BG107" s="5">
        <f>Table1[[#This Row],[التعديل حتي]]-Table1[[#This Row],[kkk]]</f>
        <v>-5500</v>
      </c>
      <c r="BH107" s="5">
        <v>5500</v>
      </c>
      <c r="BI107" s="5"/>
    </row>
    <row r="108" spans="1:61" ht="21" customHeight="1">
      <c r="A108" s="602">
        <v>514</v>
      </c>
      <c r="B108" s="618" t="str">
        <f>VLOOKUP(Table1[[#This Row],[الرقم الوظيفي]],[1]Sheet2!$1:$1048576,2,)</f>
        <v>مشاور قسم الله عبدالله قسم الله</v>
      </c>
      <c r="C108" s="618" t="str">
        <f>VLOOKUP(Table1[[#This Row],[الرقم الوظيفي]],[1]Sheet2!$1:$1048576,7,)</f>
        <v>المصنع</v>
      </c>
      <c r="D108" s="618" t="str">
        <f>VLOOKUP(Table1[[#This Row],[الرقم الوظيفي]],[1]Sheet2!$1:$1048576,8,)</f>
        <v>الانتاج</v>
      </c>
      <c r="E108" s="599" t="str">
        <f>VLOOKUP(Table1[[#This Row],[الرقم الوظيفي]],[1]Sheet2!$1:$1048576,9,)</f>
        <v>الاكسبنده</v>
      </c>
      <c r="F108" s="599" t="str">
        <f>VLOOKUP(Table1[[#This Row],[الرقم الوظيفي]],[1]Sheet2!$1:$1048576,12,)</f>
        <v>مساعد مشغل</v>
      </c>
      <c r="G108" s="599">
        <f>VLOOKUP(Table1[[#This Row],[الرقم الوظيفي]],[1]Sheet2!$1:$1048576,72,)</f>
        <v>0</v>
      </c>
      <c r="H108" s="599">
        <f>VLOOKUP(Table1[[#This Row],[الرقم الوظيفي]],[1]Sheet2!$1:$1048576,71,)</f>
        <v>0</v>
      </c>
      <c r="I108" s="599" t="str">
        <f>VLOOKUP(Table1[[#This Row],[المؤهل الرئيسي]],Table4[],3,)</f>
        <v>H</v>
      </c>
      <c r="J108" s="599" t="s">
        <v>925</v>
      </c>
      <c r="K108" s="615">
        <f>VLOOKUP(Table1[[#This Row],[الرقم الوظيفي]],[1]Sheet2!$1:$1048576,13,)</f>
        <v>41440</v>
      </c>
      <c r="L108" s="615">
        <v>43830</v>
      </c>
      <c r="M108" s="599">
        <f>DATEDIF(Table1[[#This Row],[تاريخ التعيين]],Table1[[#This Row],[اخر العام]],"y")</f>
        <v>6</v>
      </c>
      <c r="N108" s="599">
        <f>DATEDIF(Table1[[#This Row],[تاريخ التعيين]],Table1[[#This Row],[اخر العام]],"ym")</f>
        <v>6</v>
      </c>
      <c r="O108" s="610">
        <f>Table1[[#This Row],[سنوات الخدمه]]*1+Table1[[#This Row],[الشهور اقل من سنه]]*0.08</f>
        <v>6.48</v>
      </c>
      <c r="P108" s="616">
        <v>4200</v>
      </c>
      <c r="Q108" s="617">
        <v>460.32</v>
      </c>
      <c r="R108" s="612"/>
      <c r="S108" s="599"/>
      <c r="T108" s="612"/>
      <c r="U108" s="612"/>
      <c r="V108" s="612"/>
      <c r="W108" s="612"/>
      <c r="X108" s="612"/>
      <c r="Y108" s="612"/>
      <c r="Z108" s="612"/>
      <c r="AA10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8" s="612"/>
      <c r="AC108" s="599"/>
      <c r="AD108" s="612"/>
      <c r="AE108" s="612"/>
      <c r="AF108" s="612"/>
      <c r="AG108" s="612"/>
      <c r="AH108" s="619">
        <f>SUM(Table1[[#This Row],[التقييد  باللوائح و تنفيذالتوجيه]:[اتباع اجراءات السلامه]])</f>
        <v>0</v>
      </c>
      <c r="AI108" s="619">
        <f>Table1[[#This Row],[المجموع]]+Table1[[#This Row],[المجموع2]]</f>
        <v>0</v>
      </c>
      <c r="AJ108" s="612"/>
      <c r="AK108" s="612"/>
      <c r="AL108" s="612"/>
      <c r="AM108" s="612"/>
      <c r="AN108" s="612"/>
      <c r="AO108" s="606">
        <f>Table1[[#This Row],[المجموع 1+2]]*$AO$2</f>
        <v>0</v>
      </c>
      <c r="AP108" s="648">
        <f>Table1[[#This Row],[راتب ديسمبر 2019]]*Table1[[#This Row],[نسبه التقييم الرئيسي 2018]]%</f>
        <v>0</v>
      </c>
      <c r="AQ108" s="627">
        <f>Table1[[#This Row],[مبلغ التقييم النسبي 2018]]+Table1[[#This Row],[راتب ديسمبر 2019]]</f>
        <v>4200</v>
      </c>
      <c r="AR108" s="611">
        <f>IF(Table1[[#This Row],[Column3]]&lt;0,0,Table1[[#This Row],[Column3]])</f>
        <v>4800</v>
      </c>
      <c r="AS108" s="599">
        <f>VLOOKUP(Table1[[#This Row],[درجه التوسيط]],Table10[],3,)</f>
        <v>9000</v>
      </c>
      <c r="AT108" s="608">
        <f>Table1[[#This Row],[الراتب 2018+النسبه]]+Table1[[#This Row],[فروقات الحد الادني]]</f>
        <v>9000</v>
      </c>
      <c r="AU108" s="629">
        <f>Table1[[#This Row],[الراتب 2018 + النسبه + الفرق]]-Table1[[#This Row],[راتب ديسمبر 2019]]</f>
        <v>4800</v>
      </c>
      <c r="AV108" s="628">
        <f>Table1[[#This Row],[الزياده]]/Table1[[#This Row],[راتب ديسمبر 2019]]%</f>
        <v>114.28571428571429</v>
      </c>
      <c r="AW108" s="659">
        <f>IF(Table1[[#This Row],[Column4]]&lt;0,0,Table1[[#This Row],[Column4]])</f>
        <v>0</v>
      </c>
      <c r="AX108" s="611">
        <f>Table1[[#This Row],[الجبر حتي]]-Table1[[#This Row],[رن]]</f>
        <v>7.6000000000003638</v>
      </c>
      <c r="AY108" s="611">
        <f>Table1[[#This Row],[الزياده]]+Table1[[#This Row],[التعديل]]+Table1[[#This Row],[جبر الرقم]]</f>
        <v>4807.6000000000004</v>
      </c>
      <c r="AZ108" s="611">
        <f>Table1[[#This Row],[الراتب 2018 + النسبه + الفرق]]+Table1[[#This Row],[جبر الرقم]]+Table1[[#This Row],[التعديل]]</f>
        <v>9007.6</v>
      </c>
      <c r="BA108" s="631">
        <f>Table1[[#This Row],[الزياده النهائيه]]/Table1[[#This Row],[راتب ديسمبر 2019]]%</f>
        <v>114.46666666666667</v>
      </c>
      <c r="BB108" s="612">
        <f>VLOOKUP(Table1[[#This Row],[الرقم الوظيفي]],Table6[],8,)</f>
        <v>4200</v>
      </c>
      <c r="BC108" s="7"/>
      <c r="BD108" s="7">
        <v>6400</v>
      </c>
      <c r="BE108" s="7">
        <v>6392.4</v>
      </c>
      <c r="BF108" s="5">
        <f>Table1[[#This Row],[الحد الادني]]-Table1[[#This Row],[الراتب 2018+النسبه]]</f>
        <v>4800</v>
      </c>
      <c r="BG108" s="5">
        <f>Table1[[#This Row],[التعديل حتي]]-Table1[[#This Row],[kkk]]</f>
        <v>-6392.4</v>
      </c>
      <c r="BH108" s="5">
        <v>6392.4</v>
      </c>
      <c r="BI108" s="5"/>
    </row>
    <row r="109" spans="1:61" ht="21" customHeight="1">
      <c r="A109" s="602">
        <v>525</v>
      </c>
      <c r="B109" s="618" t="str">
        <f>VLOOKUP(Table1[[#This Row],[الرقم الوظيفي]],[1]Sheet2!$1:$1048576,2,)</f>
        <v>حافظ يعقوب ادريس عبدالرحيم</v>
      </c>
      <c r="C109" s="618" t="str">
        <f>VLOOKUP(Table1[[#This Row],[الرقم الوظيفي]],[1]Sheet2!$1:$1048576,7,)</f>
        <v>المصنع</v>
      </c>
      <c r="D109" s="618" t="str">
        <f>VLOOKUP(Table1[[#This Row],[الرقم الوظيفي]],[1]Sheet2!$1:$1048576,8,)</f>
        <v>الانتاج</v>
      </c>
      <c r="E109" s="599" t="str">
        <f>VLOOKUP(Table1[[#This Row],[الرقم الوظيفي]],[1]Sheet2!$1:$1048576,9,)</f>
        <v>المواسير</v>
      </c>
      <c r="F109" s="599" t="str">
        <f>VLOOKUP(Table1[[#This Row],[الرقم الوظيفي]],[1]Sheet2!$1:$1048576,12,)</f>
        <v>مشغل</v>
      </c>
      <c r="G109" s="599">
        <f>VLOOKUP(Table1[[#This Row],[الرقم الوظيفي]],[1]Sheet2!$1:$1048576,72,)</f>
        <v>0</v>
      </c>
      <c r="H109" s="599">
        <f>VLOOKUP(Table1[[#This Row],[الرقم الوظيفي]],[1]Sheet2!$1:$1048576,71,)</f>
        <v>0</v>
      </c>
      <c r="I109" s="599" t="str">
        <f>VLOOKUP(Table1[[#This Row],[المؤهل الرئيسي]],Table4[],3,)</f>
        <v>H</v>
      </c>
      <c r="J109" s="599" t="s">
        <v>978</v>
      </c>
      <c r="K109" s="615">
        <f>VLOOKUP(Table1[[#This Row],[الرقم الوظيفي]],[1]Sheet2!$1:$1048576,13,)</f>
        <v>41451</v>
      </c>
      <c r="L109" s="615">
        <v>43830</v>
      </c>
      <c r="M109" s="599">
        <f>DATEDIF(Table1[[#This Row],[تاريخ التعيين]],Table1[[#This Row],[اخر العام]],"y")</f>
        <v>6</v>
      </c>
      <c r="N109" s="599">
        <f>DATEDIF(Table1[[#This Row],[تاريخ التعيين]],Table1[[#This Row],[اخر العام]],"ym")</f>
        <v>6</v>
      </c>
      <c r="O109" s="610">
        <f>Table1[[#This Row],[سنوات الخدمه]]*1+Table1[[#This Row],[الشهور اقل من سنه]]*0.08</f>
        <v>6.48</v>
      </c>
      <c r="P109" s="616">
        <v>4210</v>
      </c>
      <c r="Q109" s="617">
        <v>461.416</v>
      </c>
      <c r="R109" s="612"/>
      <c r="S109" s="599"/>
      <c r="T109" s="612"/>
      <c r="U109" s="612"/>
      <c r="V109" s="612"/>
      <c r="W109" s="612"/>
      <c r="X109" s="612"/>
      <c r="Y109" s="612"/>
      <c r="Z109" s="612"/>
      <c r="AA10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09" s="612"/>
      <c r="AC109" s="599"/>
      <c r="AD109" s="612"/>
      <c r="AE109" s="612"/>
      <c r="AF109" s="612"/>
      <c r="AG109" s="612"/>
      <c r="AH109" s="619">
        <f>SUM(Table1[[#This Row],[التقييد  باللوائح و تنفيذالتوجيه]:[اتباع اجراءات السلامه]])</f>
        <v>0</v>
      </c>
      <c r="AI109" s="619">
        <f>Table1[[#This Row],[المجموع]]+Table1[[#This Row],[المجموع2]]</f>
        <v>0</v>
      </c>
      <c r="AJ109" s="612"/>
      <c r="AK109" s="612"/>
      <c r="AL109" s="612"/>
      <c r="AM109" s="612"/>
      <c r="AN109" s="612"/>
      <c r="AO109" s="606">
        <f>Table1[[#This Row],[المجموع 1+2]]*$AO$2</f>
        <v>0</v>
      </c>
      <c r="AP109" s="648">
        <f>Table1[[#This Row],[راتب ديسمبر 2019]]*Table1[[#This Row],[نسبه التقييم الرئيسي 2018]]%</f>
        <v>0</v>
      </c>
      <c r="AQ109" s="627">
        <f>Table1[[#This Row],[مبلغ التقييم النسبي 2018]]+Table1[[#This Row],[راتب ديسمبر 2019]]</f>
        <v>4210</v>
      </c>
      <c r="AR109" s="611">
        <f>IF(Table1[[#This Row],[Column3]]&lt;0,0,Table1[[#This Row],[Column3]])</f>
        <v>5790</v>
      </c>
      <c r="AS109" s="599">
        <f>VLOOKUP(Table1[[#This Row],[درجه التوسيط]],Table10[],3,)</f>
        <v>10000</v>
      </c>
      <c r="AT109" s="608">
        <f>Table1[[#This Row],[الراتب 2018+النسبه]]+Table1[[#This Row],[فروقات الحد الادني]]</f>
        <v>10000</v>
      </c>
      <c r="AU109" s="629">
        <f>Table1[[#This Row],[الراتب 2018 + النسبه + الفرق]]-Table1[[#This Row],[راتب ديسمبر 2019]]</f>
        <v>5790</v>
      </c>
      <c r="AV109" s="628">
        <f>Table1[[#This Row],[الزياده]]/Table1[[#This Row],[راتب ديسمبر 2019]]%</f>
        <v>137.52969121140143</v>
      </c>
      <c r="AW109" s="659">
        <f>IF(Table1[[#This Row],[Column4]]&lt;0,0,Table1[[#This Row],[Column4]])</f>
        <v>0</v>
      </c>
      <c r="AX109" s="611">
        <f>Table1[[#This Row],[الجبر حتي]]-Table1[[#This Row],[رن]]</f>
        <v>0</v>
      </c>
      <c r="AY109" s="611">
        <f>Table1[[#This Row],[الزياده]]+Table1[[#This Row],[التعديل]]+Table1[[#This Row],[جبر الرقم]]</f>
        <v>5790</v>
      </c>
      <c r="AZ109" s="611">
        <f>Table1[[#This Row],[الراتب 2018 + النسبه + الفرق]]+Table1[[#This Row],[جبر الرقم]]+Table1[[#This Row],[التعديل]]</f>
        <v>10000</v>
      </c>
      <c r="BA109" s="631">
        <f>Table1[[#This Row],[الزياده النهائيه]]/Table1[[#This Row],[راتب ديسمبر 2019]]%</f>
        <v>137.52969121140143</v>
      </c>
      <c r="BB109" s="612">
        <f>VLOOKUP(Table1[[#This Row],[الرقم الوظيفي]],Table6[],8,)</f>
        <v>4210</v>
      </c>
      <c r="BC109" s="7"/>
      <c r="BD109" s="7">
        <v>6500</v>
      </c>
      <c r="BE109" s="7">
        <v>6500</v>
      </c>
      <c r="BF109" s="5">
        <f>Table1[[#This Row],[الحد الادني]]-Table1[[#This Row],[الراتب 2018+النسبه]]</f>
        <v>5790</v>
      </c>
      <c r="BG109" s="5">
        <f>Table1[[#This Row],[التعديل حتي]]-Table1[[#This Row],[kkk]]</f>
        <v>-6500</v>
      </c>
      <c r="BH109" s="5">
        <v>6500</v>
      </c>
      <c r="BI109" s="5"/>
    </row>
    <row r="110" spans="1:61" ht="21" customHeight="1">
      <c r="A110" s="602">
        <v>533</v>
      </c>
      <c r="B110" s="618" t="str">
        <f>VLOOKUP(Table1[[#This Row],[الرقم الوظيفي]],[1]Sheet2!$1:$1048576,2,)</f>
        <v>زاهر عبدالله حميد عمر</v>
      </c>
      <c r="C110" s="618" t="str">
        <f>VLOOKUP(Table1[[#This Row],[الرقم الوظيفي]],[1]Sheet2!$1:$1048576,7,)</f>
        <v>المصنع</v>
      </c>
      <c r="D110" s="618" t="str">
        <f>VLOOKUP(Table1[[#This Row],[الرقم الوظيفي]],[1]Sheet2!$1:$1048576,8,)</f>
        <v>الانتاج</v>
      </c>
      <c r="E110" s="599" t="str">
        <f>VLOOKUP(Table1[[#This Row],[الرقم الوظيفي]],[1]Sheet2!$1:$1048576,9,)</f>
        <v>التشريح</v>
      </c>
      <c r="F110" s="599" t="str">
        <f>VLOOKUP(Table1[[#This Row],[الرقم الوظيفي]],[1]Sheet2!$1:$1048576,12,)</f>
        <v>مشغل كرين</v>
      </c>
      <c r="G110" s="599">
        <f>VLOOKUP(Table1[[#This Row],[الرقم الوظيفي]],[1]Sheet2!$1:$1048576,72,)</f>
        <v>0</v>
      </c>
      <c r="H110" s="599">
        <f>VLOOKUP(Table1[[#This Row],[الرقم الوظيفي]],[1]Sheet2!$1:$1048576,71,)</f>
        <v>0</v>
      </c>
      <c r="I110" s="599" t="str">
        <f>VLOOKUP(Table1[[#This Row],[المؤهل الرئيسي]],Table4[],3,)</f>
        <v>H</v>
      </c>
      <c r="J110" s="599" t="s">
        <v>925</v>
      </c>
      <c r="K110" s="615">
        <f>VLOOKUP(Table1[[#This Row],[الرقم الوظيفي]],[1]Sheet2!$1:$1048576,13,)</f>
        <v>41457</v>
      </c>
      <c r="L110" s="615">
        <v>43830</v>
      </c>
      <c r="M110" s="599">
        <f>DATEDIF(Table1[[#This Row],[تاريخ التعيين]],Table1[[#This Row],[اخر العام]],"y")</f>
        <v>6</v>
      </c>
      <c r="N110" s="599">
        <f>DATEDIF(Table1[[#This Row],[تاريخ التعيين]],Table1[[#This Row],[اخر العام]],"ym")</f>
        <v>5</v>
      </c>
      <c r="O110" s="610">
        <f>Table1[[#This Row],[سنوات الخدمه]]*1+Table1[[#This Row],[الشهور اقل من سنه]]*0.08</f>
        <v>6.4</v>
      </c>
      <c r="P110" s="616">
        <v>4190</v>
      </c>
      <c r="Q110" s="617">
        <v>452.52</v>
      </c>
      <c r="R110" s="612"/>
      <c r="S110" s="599"/>
      <c r="T110" s="612"/>
      <c r="U110" s="612"/>
      <c r="V110" s="612"/>
      <c r="W110" s="612"/>
      <c r="X110" s="612"/>
      <c r="Y110" s="612"/>
      <c r="Z110" s="612"/>
      <c r="AA11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0" s="612"/>
      <c r="AC110" s="599"/>
      <c r="AD110" s="612"/>
      <c r="AE110" s="612"/>
      <c r="AF110" s="612"/>
      <c r="AG110" s="612"/>
      <c r="AH110" s="619">
        <f>SUM(Table1[[#This Row],[التقييد  باللوائح و تنفيذالتوجيه]:[اتباع اجراءات السلامه]])</f>
        <v>0</v>
      </c>
      <c r="AI110" s="619">
        <f>Table1[[#This Row],[المجموع]]+Table1[[#This Row],[المجموع2]]</f>
        <v>0</v>
      </c>
      <c r="AJ110" s="612"/>
      <c r="AK110" s="612"/>
      <c r="AL110" s="612"/>
      <c r="AM110" s="612"/>
      <c r="AN110" s="612"/>
      <c r="AO110" s="606">
        <f>Table1[[#This Row],[المجموع 1+2]]*$AO$2</f>
        <v>0</v>
      </c>
      <c r="AP110" s="648">
        <f>Table1[[#This Row],[راتب ديسمبر 2019]]*Table1[[#This Row],[نسبه التقييم الرئيسي 2018]]%</f>
        <v>0</v>
      </c>
      <c r="AQ110" s="627">
        <f>Table1[[#This Row],[مبلغ التقييم النسبي 2018]]+Table1[[#This Row],[راتب ديسمبر 2019]]</f>
        <v>4190</v>
      </c>
      <c r="AR110" s="611">
        <f>IF(Table1[[#This Row],[Column3]]&lt;0,0,Table1[[#This Row],[Column3]])</f>
        <v>4810</v>
      </c>
      <c r="AS110" s="599">
        <f>VLOOKUP(Table1[[#This Row],[درجه التوسيط]],Table10[],3,)</f>
        <v>9000</v>
      </c>
      <c r="AT110" s="608">
        <f>Table1[[#This Row],[الراتب 2018+النسبه]]+Table1[[#This Row],[فروقات الحد الادني]]</f>
        <v>9000</v>
      </c>
      <c r="AU110" s="629">
        <f>Table1[[#This Row],[الراتب 2018 + النسبه + الفرق]]-Table1[[#This Row],[راتب ديسمبر 2019]]</f>
        <v>4810</v>
      </c>
      <c r="AV110" s="628">
        <f>Table1[[#This Row],[الزياده]]/Table1[[#This Row],[راتب ديسمبر 2019]]%</f>
        <v>114.79713603818617</v>
      </c>
      <c r="AW110" s="659">
        <f>IF(Table1[[#This Row],[Column4]]&lt;0,0,Table1[[#This Row],[Column4]])</f>
        <v>0</v>
      </c>
      <c r="AX110" s="611">
        <f>Table1[[#This Row],[الجبر حتي]]-Table1[[#This Row],[رن]]</f>
        <v>2.819999999999709</v>
      </c>
      <c r="AY110" s="611">
        <f>Table1[[#This Row],[الزياده]]+Table1[[#This Row],[التعديل]]+Table1[[#This Row],[جبر الرقم]]</f>
        <v>4812.82</v>
      </c>
      <c r="AZ110" s="611">
        <f>Table1[[#This Row],[الراتب 2018 + النسبه + الفرق]]+Table1[[#This Row],[جبر الرقم]]+Table1[[#This Row],[التعديل]]</f>
        <v>9002.82</v>
      </c>
      <c r="BA110" s="631">
        <f>Table1[[#This Row],[الزياده النهائيه]]/Table1[[#This Row],[راتب ديسمبر 2019]]%</f>
        <v>114.86443914081146</v>
      </c>
      <c r="BB110" s="612">
        <f>VLOOKUP(Table1[[#This Row],[الرقم الوظيفي]],Table6[],8,)</f>
        <v>4190</v>
      </c>
      <c r="BC110" s="7"/>
      <c r="BD110" s="7">
        <v>6380</v>
      </c>
      <c r="BE110" s="7">
        <v>6377.18</v>
      </c>
      <c r="BF110" s="5">
        <f>Table1[[#This Row],[الحد الادني]]-Table1[[#This Row],[الراتب 2018+النسبه]]</f>
        <v>4810</v>
      </c>
      <c r="BG110" s="5">
        <f>Table1[[#This Row],[التعديل حتي]]-Table1[[#This Row],[kkk]]</f>
        <v>-6377.18</v>
      </c>
      <c r="BH110" s="5">
        <v>6377.18</v>
      </c>
      <c r="BI110" s="5"/>
    </row>
    <row r="111" spans="1:61">
      <c r="A111" s="602">
        <v>535</v>
      </c>
      <c r="B111" s="618" t="str">
        <f>VLOOKUP(Table1[[#This Row],[الرقم الوظيفي]],[1]Sheet2!$1:$1048576,2,)</f>
        <v>يوسف فاروق عباس سعيد</v>
      </c>
      <c r="C111" s="618" t="str">
        <f>VLOOKUP(Table1[[#This Row],[الرقم الوظيفي]],[1]Sheet2!$1:$1048576,7,)</f>
        <v>المصنع</v>
      </c>
      <c r="D111" s="618" t="str">
        <f>VLOOKUP(Table1[[#This Row],[الرقم الوظيفي]],[1]Sheet2!$1:$1048576,8,)</f>
        <v>الكهرباء</v>
      </c>
      <c r="E111" s="599" t="str">
        <f>VLOOKUP(Table1[[#This Row],[الرقم الوظيفي]],[1]Sheet2!$1:$1048576,9,)</f>
        <v>كهرباء عامه</v>
      </c>
      <c r="F111" s="599" t="str">
        <f>VLOOKUP(Table1[[#This Row],[الرقم الوظيفي]],[1]Sheet2!$1:$1048576,12,)</f>
        <v>فنى كهرباء</v>
      </c>
      <c r="G111" s="599" t="str">
        <f>VLOOKUP(Table1[[#This Row],[الرقم الوظيفي]],[1]Sheet2!$1:$1048576,72,)</f>
        <v>تدريب مهني</v>
      </c>
      <c r="H111" s="599" t="str">
        <f>VLOOKUP(Table1[[#This Row],[الرقم الوظيفي]],[1]Sheet2!$1:$1048576,71,)</f>
        <v>كهرباء عامة</v>
      </c>
      <c r="I111" s="599" t="str">
        <f>VLOOKUP(Table1[[#This Row],[المؤهل الرئيسي]],Table4[],3,)</f>
        <v>F</v>
      </c>
      <c r="J111" s="599" t="s">
        <v>923</v>
      </c>
      <c r="K111" s="615">
        <f>VLOOKUP(Table1[[#This Row],[الرقم الوظيفي]],[1]Sheet2!$1:$1048576,13,)</f>
        <v>41458</v>
      </c>
      <c r="L111" s="615">
        <v>43830</v>
      </c>
      <c r="M111" s="599">
        <f>DATEDIF(Table1[[#This Row],[تاريخ التعيين]],Table1[[#This Row],[اخر العام]],"y")</f>
        <v>6</v>
      </c>
      <c r="N111" s="599">
        <f>DATEDIF(Table1[[#This Row],[تاريخ التعيين]],Table1[[#This Row],[اخر العام]],"ym")</f>
        <v>5</v>
      </c>
      <c r="O111" s="610">
        <f>Table1[[#This Row],[سنوات الخدمه]]*1+Table1[[#This Row],[الشهور اقل من سنه]]*0.08</f>
        <v>6.4</v>
      </c>
      <c r="P111" s="616">
        <v>4220</v>
      </c>
      <c r="Q111" s="617">
        <v>455.76</v>
      </c>
      <c r="R111" s="612"/>
      <c r="S111" s="599"/>
      <c r="T111" s="612"/>
      <c r="U111" s="612"/>
      <c r="V111" s="612"/>
      <c r="W111" s="612"/>
      <c r="X111" s="612"/>
      <c r="Y111" s="612"/>
      <c r="Z111" s="612"/>
      <c r="AA11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1" s="612"/>
      <c r="AC111" s="599"/>
      <c r="AD111" s="612"/>
      <c r="AE111" s="612"/>
      <c r="AF111" s="612"/>
      <c r="AG111" s="612"/>
      <c r="AH111" s="619">
        <f>SUM(Table1[[#This Row],[التقييد  باللوائح و تنفيذالتوجيه]:[اتباع اجراءات السلامه]])</f>
        <v>0</v>
      </c>
      <c r="AI111" s="619">
        <f>Table1[[#This Row],[المجموع]]+Table1[[#This Row],[المجموع2]]</f>
        <v>0</v>
      </c>
      <c r="AJ111" s="612">
        <v>10</v>
      </c>
      <c r="AK111" s="612"/>
      <c r="AL111" s="612"/>
      <c r="AM111" s="612"/>
      <c r="AN111" s="612"/>
      <c r="AO111" s="606">
        <f>Table1[[#This Row],[المجموع 1+2]]*$AO$2</f>
        <v>0</v>
      </c>
      <c r="AP111" s="648">
        <f>Table1[[#This Row],[راتب ديسمبر 2019]]*Table1[[#This Row],[نسبه التقييم الرئيسي 2018]]%</f>
        <v>0</v>
      </c>
      <c r="AQ111" s="627">
        <f>Table1[[#This Row],[مبلغ التقييم النسبي 2018]]+Table1[[#This Row],[راتب ديسمبر 2019]]</f>
        <v>4220</v>
      </c>
      <c r="AR111" s="611">
        <f>IF(Table1[[#This Row],[Column3]]&lt;0,0,Table1[[#This Row],[Column3]])</f>
        <v>5780</v>
      </c>
      <c r="AS111" s="599">
        <f>VLOOKUP(Table1[[#This Row],[درجه التوسيط]],Table10[],3,)</f>
        <v>10000</v>
      </c>
      <c r="AT111" s="608">
        <f>Table1[[#This Row],[الراتب 2018+النسبه]]+Table1[[#This Row],[فروقات الحد الادني]]</f>
        <v>10000</v>
      </c>
      <c r="AU111" s="629">
        <f>Table1[[#This Row],[الراتب 2018 + النسبه + الفرق]]-Table1[[#This Row],[راتب ديسمبر 2019]]</f>
        <v>5780</v>
      </c>
      <c r="AV111" s="628">
        <f>Table1[[#This Row],[الزياده]]/Table1[[#This Row],[راتب ديسمبر 2019]]%</f>
        <v>136.96682464454975</v>
      </c>
      <c r="AW111" s="659">
        <f>IF(Table1[[#This Row],[Column4]]&lt;0,0,Table1[[#This Row],[Column4]])</f>
        <v>374.60000000000036</v>
      </c>
      <c r="AX111" s="611">
        <f>Table1[[#This Row],[الجبر حتي]]-Table1[[#This Row],[رن]]</f>
        <v>0</v>
      </c>
      <c r="AY111" s="611">
        <f>Table1[[#This Row],[الزياده]]+Table1[[#This Row],[التعديل]]+Table1[[#This Row],[جبر الرقم]]</f>
        <v>6154.6</v>
      </c>
      <c r="AZ111" s="611">
        <f>Table1[[#This Row],[الراتب 2018 + النسبه + الفرق]]+Table1[[#This Row],[جبر الرقم]]+Table1[[#This Row],[التعديل]]</f>
        <v>10374.6</v>
      </c>
      <c r="BA111" s="631">
        <f>Table1[[#This Row],[الزياده النهائيه]]/Table1[[#This Row],[راتب ديسمبر 2019]]%</f>
        <v>145.84360189573459</v>
      </c>
      <c r="BB111" s="612">
        <f>VLOOKUP(Table1[[#This Row],[الرقم الوظيفي]],Table6[],8,)</f>
        <v>4220</v>
      </c>
      <c r="BC111" s="7">
        <v>7000</v>
      </c>
      <c r="BD111" s="7">
        <v>7000</v>
      </c>
      <c r="BE111" s="7">
        <v>7000</v>
      </c>
      <c r="BF111" s="5">
        <f>Table1[[#This Row],[الحد الادني]]-Table1[[#This Row],[الراتب 2018+النسبه]]</f>
        <v>5780</v>
      </c>
      <c r="BG111" s="5">
        <f>Table1[[#This Row],[التعديل حتي]]-Table1[[#This Row],[kkk]]</f>
        <v>374.60000000000036</v>
      </c>
      <c r="BH111" s="5">
        <v>6625.4</v>
      </c>
      <c r="BI111" s="5"/>
    </row>
    <row r="112" spans="1:61" ht="21" customHeight="1">
      <c r="A112" s="602">
        <v>545</v>
      </c>
      <c r="B112" s="618" t="str">
        <f>VLOOKUP(Table1[[#This Row],[الرقم الوظيفي]],[1]Sheet2!$1:$1048576,2,)</f>
        <v>عاطف محمود عمر محمود</v>
      </c>
      <c r="C112" s="618" t="str">
        <f>VLOOKUP(Table1[[#This Row],[الرقم الوظيفي]],[1]Sheet2!$1:$1048576,7,)</f>
        <v>المصنع</v>
      </c>
      <c r="D112" s="618" t="str">
        <f>VLOOKUP(Table1[[#This Row],[الرقم الوظيفي]],[1]Sheet2!$1:$1048576,8,)</f>
        <v>الانتاج</v>
      </c>
      <c r="E112" s="599" t="str">
        <f>VLOOKUP(Table1[[#This Row],[الرقم الوظيفي]],[1]Sheet2!$1:$1048576,9,)</f>
        <v>الزوايا</v>
      </c>
      <c r="F112" s="599" t="str">
        <f>VLOOKUP(Table1[[#This Row],[الرقم الوظيفي]],[1]Sheet2!$1:$1048576,12,)</f>
        <v>عامل</v>
      </c>
      <c r="G112" s="599">
        <f>VLOOKUP(Table1[[#This Row],[الرقم الوظيفي]],[1]Sheet2!$1:$1048576,72,)</f>
        <v>0</v>
      </c>
      <c r="H112" s="599">
        <f>VLOOKUP(Table1[[#This Row],[الرقم الوظيفي]],[1]Sheet2!$1:$1048576,71,)</f>
        <v>0</v>
      </c>
      <c r="I112" s="599" t="str">
        <f>VLOOKUP(Table1[[#This Row],[المؤهل الرئيسي]],Table4[],3,)</f>
        <v>H</v>
      </c>
      <c r="J112" s="599" t="s">
        <v>929</v>
      </c>
      <c r="K112" s="615">
        <f>VLOOKUP(Table1[[#This Row],[الرقم الوظيفي]],[1]Sheet2!$1:$1048576,13,)</f>
        <v>41472</v>
      </c>
      <c r="L112" s="615">
        <v>43830</v>
      </c>
      <c r="M112" s="599">
        <f>DATEDIF(Table1[[#This Row],[تاريخ التعيين]],Table1[[#This Row],[اخر العام]],"y")</f>
        <v>6</v>
      </c>
      <c r="N112" s="599">
        <f>DATEDIF(Table1[[#This Row],[تاريخ التعيين]],Table1[[#This Row],[اخر العام]],"ym")</f>
        <v>5</v>
      </c>
      <c r="O112" s="610">
        <f>Table1[[#This Row],[سنوات الخدمه]]*1+Table1[[#This Row],[الشهور اقل من سنه]]*0.08</f>
        <v>6.4</v>
      </c>
      <c r="P112" s="616">
        <v>3160</v>
      </c>
      <c r="Q112" s="617">
        <v>341.28</v>
      </c>
      <c r="R112" s="612"/>
      <c r="S112" s="599"/>
      <c r="T112" s="612"/>
      <c r="U112" s="612"/>
      <c r="V112" s="612"/>
      <c r="W112" s="612"/>
      <c r="X112" s="612"/>
      <c r="Y112" s="612"/>
      <c r="Z112" s="612"/>
      <c r="AA11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2" s="612"/>
      <c r="AC112" s="599"/>
      <c r="AD112" s="612"/>
      <c r="AE112" s="612"/>
      <c r="AF112" s="612"/>
      <c r="AG112" s="612"/>
      <c r="AH112" s="619">
        <f>SUM(Table1[[#This Row],[التقييد  باللوائح و تنفيذالتوجيه]:[اتباع اجراءات السلامه]])</f>
        <v>0</v>
      </c>
      <c r="AI112" s="619">
        <f>Table1[[#This Row],[المجموع]]+Table1[[#This Row],[المجموع2]]</f>
        <v>0</v>
      </c>
      <c r="AJ112" s="612"/>
      <c r="AK112" s="612"/>
      <c r="AL112" s="612"/>
      <c r="AM112" s="612"/>
      <c r="AN112" s="612"/>
      <c r="AO112" s="606">
        <f>Table1[[#This Row],[المجموع 1+2]]*$AO$2</f>
        <v>0</v>
      </c>
      <c r="AP112" s="648">
        <f>Table1[[#This Row],[راتب ديسمبر 2019]]*Table1[[#This Row],[نسبه التقييم الرئيسي 2018]]%</f>
        <v>0</v>
      </c>
      <c r="AQ112" s="627">
        <f>Table1[[#This Row],[مبلغ التقييم النسبي 2018]]+Table1[[#This Row],[راتب ديسمبر 2019]]</f>
        <v>3160</v>
      </c>
      <c r="AR112" s="611">
        <f>IF(Table1[[#This Row],[Column3]]&lt;0,0,Table1[[#This Row],[Column3]])</f>
        <v>2840</v>
      </c>
      <c r="AS112" s="599">
        <f>VLOOKUP(Table1[[#This Row],[درجه التوسيط]],Table10[],3,)</f>
        <v>6000</v>
      </c>
      <c r="AT112" s="608">
        <f>Table1[[#This Row],[الراتب 2018+النسبه]]+Table1[[#This Row],[فروقات الحد الادني]]</f>
        <v>6000</v>
      </c>
      <c r="AU112" s="629">
        <f>Table1[[#This Row],[الراتب 2018 + النسبه + الفرق]]-Table1[[#This Row],[راتب ديسمبر 2019]]</f>
        <v>2840</v>
      </c>
      <c r="AV112" s="628">
        <f>Table1[[#This Row],[الزياده]]/Table1[[#This Row],[راتب ديسمبر 2019]]%</f>
        <v>89.87341772151899</v>
      </c>
      <c r="AW112" s="659">
        <f>IF(Table1[[#This Row],[Column4]]&lt;0,0,Table1[[#This Row],[Column4]])</f>
        <v>0</v>
      </c>
      <c r="AX112" s="611">
        <f>Table1[[#This Row],[الجبر حتي]]-Table1[[#This Row],[رن]]</f>
        <v>1.5200000000004366</v>
      </c>
      <c r="AY112" s="611">
        <f>Table1[[#This Row],[الزياده]]+Table1[[#This Row],[التعديل]]+Table1[[#This Row],[جبر الرقم]]</f>
        <v>2841.5200000000004</v>
      </c>
      <c r="AZ112" s="611">
        <f>Table1[[#This Row],[الراتب 2018 + النسبه + الفرق]]+Table1[[#This Row],[جبر الرقم]]+Table1[[#This Row],[التعديل]]</f>
        <v>6001.52</v>
      </c>
      <c r="BA112" s="631">
        <f>Table1[[#This Row],[الزياده النهائيه]]/Table1[[#This Row],[راتب ديسمبر 2019]]%</f>
        <v>89.921518987341784</v>
      </c>
      <c r="BB112" s="612">
        <f>VLOOKUP(Table1[[#This Row],[الرقم الوظيفي]],Table6[],8,)</f>
        <v>3160</v>
      </c>
      <c r="BC112" s="7"/>
      <c r="BD112" s="7">
        <v>4830</v>
      </c>
      <c r="BE112" s="7">
        <v>4828.4799999999996</v>
      </c>
      <c r="BF112" s="5">
        <f>Table1[[#This Row],[الحد الادني]]-Table1[[#This Row],[الراتب 2018+النسبه]]</f>
        <v>2840</v>
      </c>
      <c r="BG112" s="5">
        <f>Table1[[#This Row],[التعديل حتي]]-Table1[[#This Row],[kkk]]</f>
        <v>-4828.4799999999996</v>
      </c>
      <c r="BH112" s="5">
        <v>4828.4799999999996</v>
      </c>
      <c r="BI112" s="5"/>
    </row>
    <row r="113" spans="1:61" ht="21" customHeight="1">
      <c r="A113" s="602">
        <v>564</v>
      </c>
      <c r="B113" s="618" t="str">
        <f>VLOOKUP(Table1[[#This Row],[الرقم الوظيفي]],[1]Sheet2!$1:$1048576,2,)</f>
        <v>ياسر وداعه الله سعيد قسم الله</v>
      </c>
      <c r="C113" s="618" t="str">
        <f>VLOOKUP(Table1[[#This Row],[الرقم الوظيفي]],[1]Sheet2!$1:$1048576,7,)</f>
        <v>المصنع</v>
      </c>
      <c r="D113" s="618" t="str">
        <f>VLOOKUP(Table1[[#This Row],[الرقم الوظيفي]],[1]Sheet2!$1:$1048576,8,)</f>
        <v>المستودعات</v>
      </c>
      <c r="E113" s="599" t="str">
        <f>VLOOKUP(Table1[[#This Row],[الرقم الوظيفي]],[1]Sheet2!$1:$1048576,9,)</f>
        <v>التحميل</v>
      </c>
      <c r="F113" s="599" t="str">
        <f>VLOOKUP(Table1[[#This Row],[الرقم الوظيفي]],[1]Sheet2!$1:$1048576,12,)</f>
        <v>عامل</v>
      </c>
      <c r="G113" s="599">
        <f>VLOOKUP(Table1[[#This Row],[الرقم الوظيفي]],[1]Sheet2!$1:$1048576,72,)</f>
        <v>0</v>
      </c>
      <c r="H113" s="599">
        <f>VLOOKUP(Table1[[#This Row],[الرقم الوظيفي]],[1]Sheet2!$1:$1048576,71,)</f>
        <v>0</v>
      </c>
      <c r="I113" s="599" t="str">
        <f>VLOOKUP(Table1[[#This Row],[المؤهل الرئيسي]],Table4[],3,)</f>
        <v>H</v>
      </c>
      <c r="J113" s="599" t="s">
        <v>929</v>
      </c>
      <c r="K113" s="615">
        <f>VLOOKUP(Table1[[#This Row],[الرقم الوظيفي]],[1]Sheet2!$1:$1048576,13,)</f>
        <v>41522</v>
      </c>
      <c r="L113" s="615">
        <v>43830</v>
      </c>
      <c r="M113" s="599">
        <f>DATEDIF(Table1[[#This Row],[تاريخ التعيين]],Table1[[#This Row],[اخر العام]],"y")</f>
        <v>6</v>
      </c>
      <c r="N113" s="599">
        <f>DATEDIF(Table1[[#This Row],[تاريخ التعيين]],Table1[[#This Row],[اخر العام]],"ym")</f>
        <v>3</v>
      </c>
      <c r="O113" s="610">
        <f>Table1[[#This Row],[سنوات الخدمه]]*1+Table1[[#This Row],[الشهور اقل من سنه]]*0.08</f>
        <v>6.24</v>
      </c>
      <c r="P113" s="616">
        <v>3160</v>
      </c>
      <c r="Q113" s="617">
        <v>331.16800000000001</v>
      </c>
      <c r="R113" s="612"/>
      <c r="S113" s="599"/>
      <c r="T113" s="612"/>
      <c r="U113" s="612"/>
      <c r="V113" s="612"/>
      <c r="W113" s="612"/>
      <c r="X113" s="612"/>
      <c r="Y113" s="612"/>
      <c r="Z113" s="612"/>
      <c r="AA11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3" s="612"/>
      <c r="AC113" s="599"/>
      <c r="AD113" s="612"/>
      <c r="AE113" s="612"/>
      <c r="AF113" s="612"/>
      <c r="AG113" s="612"/>
      <c r="AH113" s="619">
        <f>SUM(Table1[[#This Row],[التقييد  باللوائح و تنفيذالتوجيه]:[اتباع اجراءات السلامه]])</f>
        <v>0</v>
      </c>
      <c r="AI113" s="619">
        <f>Table1[[#This Row],[المجموع]]+Table1[[#This Row],[المجموع2]]</f>
        <v>0</v>
      </c>
      <c r="AJ113" s="612"/>
      <c r="AK113" s="612"/>
      <c r="AL113" s="612"/>
      <c r="AM113" s="612"/>
      <c r="AN113" s="612"/>
      <c r="AO113" s="606">
        <f>Table1[[#This Row],[المجموع 1+2]]*$AO$2</f>
        <v>0</v>
      </c>
      <c r="AP113" s="648">
        <f>Table1[[#This Row],[راتب ديسمبر 2019]]*Table1[[#This Row],[نسبه التقييم الرئيسي 2018]]%</f>
        <v>0</v>
      </c>
      <c r="AQ113" s="627">
        <f>Table1[[#This Row],[مبلغ التقييم النسبي 2018]]+Table1[[#This Row],[راتب ديسمبر 2019]]</f>
        <v>3160</v>
      </c>
      <c r="AR113" s="611">
        <f>IF(Table1[[#This Row],[Column3]]&lt;0,0,Table1[[#This Row],[Column3]])</f>
        <v>2840</v>
      </c>
      <c r="AS113" s="599">
        <f>VLOOKUP(Table1[[#This Row],[درجه التوسيط]],Table10[],3,)</f>
        <v>6000</v>
      </c>
      <c r="AT113" s="608">
        <f>Table1[[#This Row],[الراتب 2018+النسبه]]+Table1[[#This Row],[فروقات الحد الادني]]</f>
        <v>6000</v>
      </c>
      <c r="AU113" s="629">
        <f>Table1[[#This Row],[الراتب 2018 + النسبه + الفرق]]-Table1[[#This Row],[راتب ديسمبر 2019]]</f>
        <v>2840</v>
      </c>
      <c r="AV113" s="628">
        <f>Table1[[#This Row],[الزياده]]/Table1[[#This Row],[راتب ديسمبر 2019]]%</f>
        <v>89.87341772151899</v>
      </c>
      <c r="AW113" s="659">
        <f>IF(Table1[[#This Row],[Column4]]&lt;0,0,Table1[[#This Row],[Column4]])</f>
        <v>0</v>
      </c>
      <c r="AX113" s="611">
        <f>Table1[[#This Row],[الجبر حتي]]-Table1[[#This Row],[رن]]</f>
        <v>4.6399999999994179</v>
      </c>
      <c r="AY113" s="611">
        <f>Table1[[#This Row],[الزياده]]+Table1[[#This Row],[التعديل]]+Table1[[#This Row],[جبر الرقم]]</f>
        <v>2844.6399999999994</v>
      </c>
      <c r="AZ113" s="611">
        <f>Table1[[#This Row],[الراتب 2018 + النسبه + الفرق]]+Table1[[#This Row],[جبر الرقم]]+Table1[[#This Row],[التعديل]]</f>
        <v>6004.6399999999994</v>
      </c>
      <c r="BA113" s="631">
        <f>Table1[[#This Row],[الزياده النهائيه]]/Table1[[#This Row],[راتب ديسمبر 2019]]%</f>
        <v>90.020253164556934</v>
      </c>
      <c r="BB113" s="612">
        <f>VLOOKUP(Table1[[#This Row],[الرقم الوظيفي]],Table6[],8,)</f>
        <v>3160</v>
      </c>
      <c r="BC113" s="7"/>
      <c r="BD113" s="7">
        <v>4890</v>
      </c>
      <c r="BE113" s="7">
        <v>4885.3600000000006</v>
      </c>
      <c r="BF113" s="5">
        <f>Table1[[#This Row],[الحد الادني]]-Table1[[#This Row],[الراتب 2018+النسبه]]</f>
        <v>2840</v>
      </c>
      <c r="BG113" s="5">
        <f>Table1[[#This Row],[التعديل حتي]]-Table1[[#This Row],[kkk]]</f>
        <v>-4885.3600000000006</v>
      </c>
      <c r="BH113" s="5">
        <v>4885.3600000000006</v>
      </c>
      <c r="BI113" s="5"/>
    </row>
    <row r="114" spans="1:61">
      <c r="A114" s="602">
        <v>570</v>
      </c>
      <c r="B114" s="618" t="str">
        <f>VLOOKUP(Table1[[#This Row],[الرقم الوظيفي]],[1]Sheet2!$1:$1048576,2,)</f>
        <v>محمد ادم عبدالعزيز الحاج</v>
      </c>
      <c r="C114" s="618" t="str">
        <f>VLOOKUP(Table1[[#This Row],[الرقم الوظيفي]],[1]Sheet2!$1:$1048576,7,)</f>
        <v>المصنع</v>
      </c>
      <c r="D114" s="618" t="str">
        <f>VLOOKUP(Table1[[#This Row],[الرقم الوظيفي]],[1]Sheet2!$1:$1048576,8,)</f>
        <v>الانتاج</v>
      </c>
      <c r="E114" s="599" t="str">
        <f>VLOOKUP(Table1[[#This Row],[الرقم الوظيفي]],[1]Sheet2!$1:$1048576,9,)</f>
        <v>كلبسات</v>
      </c>
      <c r="F114" s="599" t="s">
        <v>63</v>
      </c>
      <c r="G114" s="599">
        <f>VLOOKUP(Table1[[#This Row],[الرقم الوظيفي]],[1]Sheet2!$1:$1048576,72,)</f>
        <v>0</v>
      </c>
      <c r="H114" s="599">
        <f>VLOOKUP(Table1[[#This Row],[الرقم الوظيفي]],[1]Sheet2!$1:$1048576,71,)</f>
        <v>0</v>
      </c>
      <c r="I114" s="599" t="str">
        <f>VLOOKUP(Table1[[#This Row],[المؤهل الرئيسي]],Table4[],3,)</f>
        <v>H</v>
      </c>
      <c r="J114" s="599" t="s">
        <v>929</v>
      </c>
      <c r="K114" s="615">
        <f>VLOOKUP(Table1[[#This Row],[الرقم الوظيفي]],[1]Sheet2!$1:$1048576,13,)</f>
        <v>41526</v>
      </c>
      <c r="L114" s="615">
        <v>43830</v>
      </c>
      <c r="M114" s="599">
        <f>DATEDIF(Table1[[#This Row],[تاريخ التعيين]],Table1[[#This Row],[اخر العام]],"y")</f>
        <v>6</v>
      </c>
      <c r="N114" s="599">
        <f>DATEDIF(Table1[[#This Row],[تاريخ التعيين]],Table1[[#This Row],[اخر العام]],"ym")</f>
        <v>3</v>
      </c>
      <c r="O114" s="610">
        <f>Table1[[#This Row],[سنوات الخدمه]]*1+Table1[[#This Row],[الشهور اقل من سنه]]*0.08</f>
        <v>6.24</v>
      </c>
      <c r="P114" s="616">
        <v>3160</v>
      </c>
      <c r="Q114" s="617">
        <v>331.16800000000001</v>
      </c>
      <c r="R114" s="612"/>
      <c r="S114" s="599"/>
      <c r="T114" s="612"/>
      <c r="U114" s="612"/>
      <c r="V114" s="612"/>
      <c r="W114" s="612"/>
      <c r="X114" s="612"/>
      <c r="Y114" s="612"/>
      <c r="Z114" s="612"/>
      <c r="AA11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4" s="612"/>
      <c r="AC114" s="599"/>
      <c r="AD114" s="612"/>
      <c r="AE114" s="612"/>
      <c r="AF114" s="612"/>
      <c r="AG114" s="612"/>
      <c r="AH114" s="619">
        <f>SUM(Table1[[#This Row],[التقييد  باللوائح و تنفيذالتوجيه]:[اتباع اجراءات السلامه]])</f>
        <v>0</v>
      </c>
      <c r="AI114" s="619">
        <f>Table1[[#This Row],[المجموع]]+Table1[[#This Row],[المجموع2]]</f>
        <v>0</v>
      </c>
      <c r="AJ114" s="612"/>
      <c r="AK114" s="612"/>
      <c r="AL114" s="612"/>
      <c r="AM114" s="612"/>
      <c r="AN114" s="612"/>
      <c r="AO114" s="606">
        <f>Table1[[#This Row],[المجموع 1+2]]*$AO$2</f>
        <v>0</v>
      </c>
      <c r="AP114" s="648">
        <f>Table1[[#This Row],[راتب ديسمبر 2019]]*Table1[[#This Row],[نسبه التقييم الرئيسي 2018]]%</f>
        <v>0</v>
      </c>
      <c r="AQ114" s="627">
        <f>Table1[[#This Row],[مبلغ التقييم النسبي 2018]]+Table1[[#This Row],[راتب ديسمبر 2019]]</f>
        <v>3160</v>
      </c>
      <c r="AR114" s="611">
        <f>IF(Table1[[#This Row],[Column3]]&lt;0,0,Table1[[#This Row],[Column3]])</f>
        <v>2840</v>
      </c>
      <c r="AS114" s="599">
        <f>VLOOKUP(Table1[[#This Row],[درجه التوسيط]],Table10[],3,)</f>
        <v>6000</v>
      </c>
      <c r="AT114" s="608">
        <f>Table1[[#This Row],[الراتب 2018+النسبه]]+Table1[[#This Row],[فروقات الحد الادني]]</f>
        <v>6000</v>
      </c>
      <c r="AU114" s="629">
        <f>Table1[[#This Row],[الراتب 2018 + النسبه + الفرق]]-Table1[[#This Row],[راتب ديسمبر 2019]]</f>
        <v>2840</v>
      </c>
      <c r="AV114" s="628">
        <f>Table1[[#This Row],[الزياده]]/Table1[[#This Row],[راتب ديسمبر 2019]]%</f>
        <v>89.87341772151899</v>
      </c>
      <c r="AW114" s="659">
        <f>IF(Table1[[#This Row],[Column4]]&lt;0,0,Table1[[#This Row],[Column4]])</f>
        <v>0</v>
      </c>
      <c r="AX114" s="611">
        <f>Table1[[#This Row],[الجبر حتي]]-Table1[[#This Row],[رن]]</f>
        <v>4.6399999999994179</v>
      </c>
      <c r="AY114" s="611">
        <f>Table1[[#This Row],[الزياده]]+Table1[[#This Row],[التعديل]]+Table1[[#This Row],[جبر الرقم]]</f>
        <v>2844.6399999999994</v>
      </c>
      <c r="AZ114" s="611">
        <f>Table1[[#This Row],[الراتب 2018 + النسبه + الفرق]]+Table1[[#This Row],[جبر الرقم]]+Table1[[#This Row],[التعديل]]</f>
        <v>6004.6399999999994</v>
      </c>
      <c r="BA114" s="631">
        <f>Table1[[#This Row],[الزياده النهائيه]]/Table1[[#This Row],[راتب ديسمبر 2019]]%</f>
        <v>90.020253164556934</v>
      </c>
      <c r="BB114" s="612">
        <f>VLOOKUP(Table1[[#This Row],[الرقم الوظيفي]],Table6[],8,)</f>
        <v>3160</v>
      </c>
      <c r="BC114" s="7"/>
      <c r="BD114" s="7">
        <v>4890</v>
      </c>
      <c r="BE114" s="7">
        <v>4885.3600000000006</v>
      </c>
      <c r="BF114" s="5">
        <f>Table1[[#This Row],[الحد الادني]]-Table1[[#This Row],[الراتب 2018+النسبه]]</f>
        <v>2840</v>
      </c>
      <c r="BG114" s="5">
        <f>Table1[[#This Row],[التعديل حتي]]-Table1[[#This Row],[kkk]]</f>
        <v>-4885.3600000000006</v>
      </c>
      <c r="BH114" s="5">
        <v>4885.3600000000006</v>
      </c>
      <c r="BI114" s="5"/>
    </row>
    <row r="115" spans="1:61" ht="21" customHeight="1">
      <c r="A115" s="602">
        <v>572</v>
      </c>
      <c r="B115" s="618" t="str">
        <f>VLOOKUP(Table1[[#This Row],[الرقم الوظيفي]],[1]Sheet2!$1:$1048576,2,)</f>
        <v>محمد الامين ابراهيم الامين</v>
      </c>
      <c r="C115" s="618" t="str">
        <f>VLOOKUP(Table1[[#This Row],[الرقم الوظيفي]],[1]Sheet2!$1:$1048576,7,)</f>
        <v>المصنع</v>
      </c>
      <c r="D115" s="618" t="str">
        <f>VLOOKUP(Table1[[#This Row],[الرقم الوظيفي]],[1]Sheet2!$1:$1048576,8,)</f>
        <v>الجوده</v>
      </c>
      <c r="E115" s="599" t="str">
        <f>VLOOKUP(Table1[[#This Row],[الرقم الوظيفي]],[1]Sheet2!$1:$1048576,9,)</f>
        <v>عداد</v>
      </c>
      <c r="F115" s="599" t="str">
        <f>VLOOKUP(Table1[[#This Row],[الرقم الوظيفي]],[1]Sheet2!$1:$1048576,12,)</f>
        <v>مراقب انتاج</v>
      </c>
      <c r="G115" s="599">
        <f>VLOOKUP(Table1[[#This Row],[الرقم الوظيفي]],[1]Sheet2!$1:$1048576,72,)</f>
        <v>0</v>
      </c>
      <c r="H115" s="599">
        <f>VLOOKUP(Table1[[#This Row],[الرقم الوظيفي]],[1]Sheet2!$1:$1048576,71,)</f>
        <v>0</v>
      </c>
      <c r="I115" s="599" t="str">
        <f>VLOOKUP(Table1[[#This Row],[المؤهل الرئيسي]],Table4[],3,)</f>
        <v>H</v>
      </c>
      <c r="J115" s="599" t="s">
        <v>928</v>
      </c>
      <c r="K115" s="615">
        <f>VLOOKUP(Table1[[#This Row],[الرقم الوظيفي]],[1]Sheet2!$1:$1048576,13,)</f>
        <v>41531</v>
      </c>
      <c r="L115" s="615">
        <v>43830</v>
      </c>
      <c r="M115" s="599">
        <f>DATEDIF(Table1[[#This Row],[تاريخ التعيين]],Table1[[#This Row],[اخر العام]],"y")</f>
        <v>6</v>
      </c>
      <c r="N115" s="599">
        <f>DATEDIF(Table1[[#This Row],[تاريخ التعيين]],Table1[[#This Row],[اخر العام]],"ym")</f>
        <v>3</v>
      </c>
      <c r="O115" s="610">
        <f>Table1[[#This Row],[سنوات الخدمه]]*1+Table1[[#This Row],[الشهور اقل من سنه]]*0.08</f>
        <v>6.24</v>
      </c>
      <c r="P115" s="616">
        <v>3120</v>
      </c>
      <c r="Q115" s="617">
        <v>326.976</v>
      </c>
      <c r="R115" s="612"/>
      <c r="S115" s="599"/>
      <c r="T115" s="612"/>
      <c r="U115" s="612"/>
      <c r="V115" s="612"/>
      <c r="W115" s="612"/>
      <c r="X115" s="612"/>
      <c r="Y115" s="612"/>
      <c r="Z115" s="612"/>
      <c r="AA11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5" s="612"/>
      <c r="AC115" s="599"/>
      <c r="AD115" s="612"/>
      <c r="AE115" s="612"/>
      <c r="AF115" s="612"/>
      <c r="AG115" s="612"/>
      <c r="AH115" s="619">
        <f>SUM(Table1[[#This Row],[التقييد  باللوائح و تنفيذالتوجيه]:[اتباع اجراءات السلامه]])</f>
        <v>0</v>
      </c>
      <c r="AI115" s="619">
        <f>Table1[[#This Row],[المجموع]]+Table1[[#This Row],[المجموع2]]</f>
        <v>0</v>
      </c>
      <c r="AJ115" s="612">
        <v>8</v>
      </c>
      <c r="AK115" s="612"/>
      <c r="AL115" s="612"/>
      <c r="AM115" s="612"/>
      <c r="AN115" s="612"/>
      <c r="AO115" s="606">
        <f>Table1[[#This Row],[المجموع 1+2]]*$AO$2</f>
        <v>0</v>
      </c>
      <c r="AP115" s="648">
        <f>Table1[[#This Row],[راتب ديسمبر 2019]]*Table1[[#This Row],[نسبه التقييم الرئيسي 2018]]%</f>
        <v>0</v>
      </c>
      <c r="AQ115" s="627">
        <f>Table1[[#This Row],[مبلغ التقييم النسبي 2018]]+Table1[[#This Row],[راتب ديسمبر 2019]]</f>
        <v>3120</v>
      </c>
      <c r="AR115" s="611">
        <f>IF(Table1[[#This Row],[Column3]]&lt;0,0,Table1[[#This Row],[Column3]])</f>
        <v>3880</v>
      </c>
      <c r="AS115" s="599">
        <f>VLOOKUP(Table1[[#This Row],[درجه التوسيط]],Table10[],3,)</f>
        <v>7000</v>
      </c>
      <c r="AT115" s="608">
        <f>Table1[[#This Row],[الراتب 2018+النسبه]]+Table1[[#This Row],[فروقات الحد الادني]]</f>
        <v>7000</v>
      </c>
      <c r="AU115" s="629">
        <f>Table1[[#This Row],[الراتب 2018 + النسبه + الفرق]]-Table1[[#This Row],[راتب ديسمبر 2019]]</f>
        <v>3880</v>
      </c>
      <c r="AV115" s="628">
        <f>Table1[[#This Row],[الزياده]]/Table1[[#This Row],[راتب ديسمبر 2019]]%</f>
        <v>124.35897435897436</v>
      </c>
      <c r="AW115" s="659">
        <f>IF(Table1[[#This Row],[Column4]]&lt;0,0,Table1[[#This Row],[Column4]])</f>
        <v>0</v>
      </c>
      <c r="AX115" s="611">
        <f>Table1[[#This Row],[الجبر حتي]]-Table1[[#This Row],[رن]]</f>
        <v>0</v>
      </c>
      <c r="AY115" s="611">
        <f>Table1[[#This Row],[الزياده]]+Table1[[#This Row],[التعديل]]+Table1[[#This Row],[جبر الرقم]]</f>
        <v>3880</v>
      </c>
      <c r="AZ115" s="611">
        <f>Table1[[#This Row],[الراتب 2018 + النسبه + الفرق]]+Table1[[#This Row],[جبر الرقم]]+Table1[[#This Row],[التعديل]]</f>
        <v>7000</v>
      </c>
      <c r="BA115" s="631">
        <f>Table1[[#This Row],[الزياده النهائيه]]/Table1[[#This Row],[راتب ديسمبر 2019]]%</f>
        <v>124.35897435897436</v>
      </c>
      <c r="BB115" s="612">
        <f>VLOOKUP(Table1[[#This Row],[الرقم الوظيفي]],Table6[],8,)</f>
        <v>3120</v>
      </c>
      <c r="BC115" s="7"/>
      <c r="BD115" s="7">
        <v>5000</v>
      </c>
      <c r="BE115" s="7">
        <v>5000</v>
      </c>
      <c r="BF115" s="5">
        <f>Table1[[#This Row],[الحد الادني]]-Table1[[#This Row],[الراتب 2018+النسبه]]</f>
        <v>3880</v>
      </c>
      <c r="BG115" s="5">
        <f>Table1[[#This Row],[التعديل حتي]]-Table1[[#This Row],[kkk]]</f>
        <v>-5000</v>
      </c>
      <c r="BH115" s="5">
        <v>5000</v>
      </c>
      <c r="BI115" s="5"/>
    </row>
    <row r="116" spans="1:61" ht="21" customHeight="1">
      <c r="A116" s="602">
        <v>574</v>
      </c>
      <c r="B116" s="618" t="str">
        <f>VLOOKUP(Table1[[#This Row],[الرقم الوظيفي]],[1]Sheet2!$1:$1048576,2,)</f>
        <v>عاصم محمد سعيد احمد</v>
      </c>
      <c r="C116" s="618" t="str">
        <f>VLOOKUP(Table1[[#This Row],[الرقم الوظيفي]],[1]Sheet2!$1:$1048576,7,)</f>
        <v>المصنع</v>
      </c>
      <c r="D116" s="618" t="str">
        <f>VLOOKUP(Table1[[#This Row],[الرقم الوظيفي]],[1]Sheet2!$1:$1048576,8,)</f>
        <v>الانتاج</v>
      </c>
      <c r="E116" s="599">
        <f>VLOOKUP(Table1[[#This Row],[الرقم الوظيفي]],[1]Sheet2!$1:$1048576,9,)</f>
        <v>0</v>
      </c>
      <c r="F116" s="599" t="str">
        <f>VLOOKUP(Table1[[#This Row],[الرقم الوظيفي]],[1]Sheet2!$1:$1048576,12,)</f>
        <v>عامل</v>
      </c>
      <c r="G116" s="599" t="str">
        <f>VLOOKUP(Table1[[#This Row],[الرقم الوظيفي]],[1]Sheet2!$1:$1048576,72,)</f>
        <v>شهاده ثانويه</v>
      </c>
      <c r="H116" s="599">
        <f>VLOOKUP(Table1[[#This Row],[الرقم الوظيفي]],[1]Sheet2!$1:$1048576,71,)</f>
        <v>0</v>
      </c>
      <c r="I116" s="599" t="str">
        <f>VLOOKUP(Table1[[#This Row],[المؤهل الرئيسي]],Table4[],3,)</f>
        <v>F</v>
      </c>
      <c r="J116" s="599" t="s">
        <v>929</v>
      </c>
      <c r="K116" s="615">
        <f>VLOOKUP(Table1[[#This Row],[الرقم الوظيفي]],[1]Sheet2!$1:$1048576,13,)</f>
        <v>42110</v>
      </c>
      <c r="L116" s="615">
        <v>43830</v>
      </c>
      <c r="M116" s="599">
        <f>DATEDIF(Table1[[#This Row],[تاريخ التعيين]],Table1[[#This Row],[اخر العام]],"y")</f>
        <v>4</v>
      </c>
      <c r="N116" s="599">
        <f>DATEDIF(Table1[[#This Row],[تاريخ التعيين]],Table1[[#This Row],[اخر العام]],"ym")</f>
        <v>8</v>
      </c>
      <c r="O116" s="610">
        <f>Table1[[#This Row],[سنوات الخدمه]]*1+Table1[[#This Row],[الشهور اقل من سنه]]*0.08</f>
        <v>4.6399999999999997</v>
      </c>
      <c r="P116" s="616">
        <v>3100</v>
      </c>
      <c r="Q116" s="617">
        <v>225.68</v>
      </c>
      <c r="R116" s="612"/>
      <c r="S116" s="599"/>
      <c r="T116" s="612"/>
      <c r="U116" s="612"/>
      <c r="V116" s="612"/>
      <c r="W116" s="612"/>
      <c r="X116" s="612"/>
      <c r="Y116" s="612"/>
      <c r="Z116" s="612"/>
      <c r="AA11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6" s="612"/>
      <c r="AC116" s="599"/>
      <c r="AD116" s="612"/>
      <c r="AE116" s="612"/>
      <c r="AF116" s="612"/>
      <c r="AG116" s="612"/>
      <c r="AH116" s="619">
        <f>SUM(Table1[[#This Row],[التقييد  باللوائح و تنفيذالتوجيه]:[اتباع اجراءات السلامه]])</f>
        <v>0</v>
      </c>
      <c r="AI116" s="619">
        <f>Table1[[#This Row],[المجموع]]+Table1[[#This Row],[المجموع2]]</f>
        <v>0</v>
      </c>
      <c r="AJ116" s="612"/>
      <c r="AK116" s="612"/>
      <c r="AL116" s="612"/>
      <c r="AM116" s="612"/>
      <c r="AN116" s="612"/>
      <c r="AO116" s="606">
        <f>Table1[[#This Row],[المجموع 1+2]]*$AO$2</f>
        <v>0</v>
      </c>
      <c r="AP116" s="648">
        <f>Table1[[#This Row],[راتب ديسمبر 2019]]*Table1[[#This Row],[نسبه التقييم الرئيسي 2018]]%</f>
        <v>0</v>
      </c>
      <c r="AQ116" s="627">
        <f>Table1[[#This Row],[مبلغ التقييم النسبي 2018]]+Table1[[#This Row],[راتب ديسمبر 2019]]</f>
        <v>3100</v>
      </c>
      <c r="AR116" s="611">
        <f>IF(Table1[[#This Row],[Column3]]&lt;0,0,Table1[[#This Row],[Column3]])</f>
        <v>2900</v>
      </c>
      <c r="AS116" s="599">
        <f>VLOOKUP(Table1[[#This Row],[درجه التوسيط]],Table10[],3,)</f>
        <v>6000</v>
      </c>
      <c r="AT116" s="608">
        <f>Table1[[#This Row],[الراتب 2018+النسبه]]+Table1[[#This Row],[فروقات الحد الادني]]</f>
        <v>6000</v>
      </c>
      <c r="AU116" s="629">
        <f>Table1[[#This Row],[الراتب 2018 + النسبه + الفرق]]-Table1[[#This Row],[راتب ديسمبر 2019]]</f>
        <v>2900</v>
      </c>
      <c r="AV116" s="628">
        <f>Table1[[#This Row],[الزياده]]/Table1[[#This Row],[راتب ديسمبر 2019]]%</f>
        <v>93.548387096774192</v>
      </c>
      <c r="AW116" s="659">
        <f>IF(Table1[[#This Row],[Column4]]&lt;0,0,Table1[[#This Row],[Column4]])</f>
        <v>0</v>
      </c>
      <c r="AX116" s="611">
        <f>Table1[[#This Row],[الجبر حتي]]-Table1[[#This Row],[رن]]</f>
        <v>9</v>
      </c>
      <c r="AY116" s="611">
        <f>Table1[[#This Row],[الزياده]]+Table1[[#This Row],[التعديل]]+Table1[[#This Row],[جبر الرقم]]</f>
        <v>2909</v>
      </c>
      <c r="AZ116" s="611">
        <f>Table1[[#This Row],[الراتب 2018 + النسبه + الفرق]]+Table1[[#This Row],[جبر الرقم]]+Table1[[#This Row],[التعديل]]</f>
        <v>6009</v>
      </c>
      <c r="BA116" s="631">
        <f>Table1[[#This Row],[الزياده النهائيه]]/Table1[[#This Row],[راتب ديسمبر 2019]]%</f>
        <v>93.838709677419359</v>
      </c>
      <c r="BB116" s="612">
        <f>VLOOKUP(Table1[[#This Row],[الرقم الوظيفي]],Table6[],8,)</f>
        <v>3100</v>
      </c>
      <c r="BC116" s="7"/>
      <c r="BD116" s="7">
        <v>4690</v>
      </c>
      <c r="BE116" s="7">
        <v>4681</v>
      </c>
      <c r="BF116" s="5">
        <f>Table1[[#This Row],[الحد الادني]]-Table1[[#This Row],[الراتب 2018+النسبه]]</f>
        <v>2900</v>
      </c>
      <c r="BG116" s="5">
        <f>Table1[[#This Row],[التعديل حتي]]-Table1[[#This Row],[kkk]]</f>
        <v>-4681</v>
      </c>
      <c r="BH116" s="5">
        <v>4681</v>
      </c>
      <c r="BI116" s="5"/>
    </row>
    <row r="117" spans="1:61" ht="21" customHeight="1">
      <c r="A117" s="602">
        <v>577</v>
      </c>
      <c r="B117" s="618" t="str">
        <f>VLOOKUP(Table1[[#This Row],[الرقم الوظيفي]],[1]Sheet2!$1:$1048576,2,)</f>
        <v xml:space="preserve">عطا الفضيل محمد عيد محمد </v>
      </c>
      <c r="C117" s="618" t="str">
        <f>VLOOKUP(Table1[[#This Row],[الرقم الوظيفي]],[1]Sheet2!$1:$1048576,7,)</f>
        <v>المصنع</v>
      </c>
      <c r="D117" s="618" t="str">
        <f>VLOOKUP(Table1[[#This Row],[الرقم الوظيفي]],[1]Sheet2!$1:$1048576,8,)</f>
        <v>الخدمات</v>
      </c>
      <c r="E117" s="599">
        <f>VLOOKUP(Table1[[#This Row],[الرقم الوظيفي]],[1]Sheet2!$1:$1048576,9,)</f>
        <v>0</v>
      </c>
      <c r="F117" s="599" t="str">
        <f>VLOOKUP(Table1[[#This Row],[الرقم الوظيفي]],[1]Sheet2!$1:$1048576,12,)</f>
        <v>مشرف خدمات</v>
      </c>
      <c r="G117" s="599">
        <f>VLOOKUP(Table1[[#This Row],[الرقم الوظيفي]],[1]Sheet2!$1:$1048576,72,)</f>
        <v>0</v>
      </c>
      <c r="H117" s="599">
        <f>VLOOKUP(Table1[[#This Row],[الرقم الوظيفي]],[1]Sheet2!$1:$1048576,71,)</f>
        <v>0</v>
      </c>
      <c r="I117" s="599" t="str">
        <f>VLOOKUP(Table1[[#This Row],[المؤهل الرئيسي]],Table4[],3,)</f>
        <v>H</v>
      </c>
      <c r="J117" s="599" t="s">
        <v>922</v>
      </c>
      <c r="K117" s="615">
        <f>VLOOKUP(Table1[[#This Row],[الرقم الوظيفي]],[1]Sheet2!$1:$1048576,13,)</f>
        <v>41528</v>
      </c>
      <c r="L117" s="615">
        <v>43830</v>
      </c>
      <c r="M117" s="599">
        <f>DATEDIF(Table1[[#This Row],[تاريخ التعيين]],Table1[[#This Row],[اخر العام]],"y")</f>
        <v>6</v>
      </c>
      <c r="N117" s="599">
        <f>DATEDIF(Table1[[#This Row],[تاريخ التعيين]],Table1[[#This Row],[اخر العام]],"ym")</f>
        <v>3</v>
      </c>
      <c r="O117" s="610">
        <f>Table1[[#This Row],[سنوات الخدمه]]*1+Table1[[#This Row],[الشهور اقل من سنه]]*0.08</f>
        <v>6.24</v>
      </c>
      <c r="P117" s="616">
        <v>4660</v>
      </c>
      <c r="Q117" s="617">
        <v>488.36799999999999</v>
      </c>
      <c r="R117" s="612"/>
      <c r="S117" s="599"/>
      <c r="T117" s="612"/>
      <c r="U117" s="612"/>
      <c r="V117" s="612"/>
      <c r="W117" s="612"/>
      <c r="X117" s="612"/>
      <c r="Y117" s="612"/>
      <c r="Z117" s="612"/>
      <c r="AA11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7" s="612"/>
      <c r="AC117" s="599"/>
      <c r="AD117" s="612"/>
      <c r="AE117" s="612"/>
      <c r="AF117" s="612"/>
      <c r="AG117" s="612"/>
      <c r="AH117" s="619">
        <f>SUM(Table1[[#This Row],[التقييد  باللوائح و تنفيذالتوجيه]:[اتباع اجراءات السلامه]])</f>
        <v>0</v>
      </c>
      <c r="AI117" s="619">
        <f>Table1[[#This Row],[المجموع]]+Table1[[#This Row],[المجموع2]]</f>
        <v>0</v>
      </c>
      <c r="AJ117" s="612"/>
      <c r="AK117" s="612"/>
      <c r="AL117" s="612"/>
      <c r="AM117" s="612"/>
      <c r="AN117" s="612"/>
      <c r="AO117" s="606">
        <f>Table1[[#This Row],[المجموع 1+2]]*$AO$2</f>
        <v>0</v>
      </c>
      <c r="AP117" s="648">
        <f>Table1[[#This Row],[راتب ديسمبر 2019]]*Table1[[#This Row],[نسبه التقييم الرئيسي 2018]]%</f>
        <v>0</v>
      </c>
      <c r="AQ117" s="627">
        <f>Table1[[#This Row],[مبلغ التقييم النسبي 2018]]+Table1[[#This Row],[راتب ديسمبر 2019]]</f>
        <v>4660</v>
      </c>
      <c r="AR117" s="611">
        <f>IF(Table1[[#This Row],[Column3]]&lt;0,0,Table1[[#This Row],[Column3]])</f>
        <v>6340</v>
      </c>
      <c r="AS117" s="599">
        <f>VLOOKUP(Table1[[#This Row],[درجه التوسيط]],Table10[],3,)</f>
        <v>11000</v>
      </c>
      <c r="AT117" s="608">
        <f>Table1[[#This Row],[الراتب 2018+النسبه]]+Table1[[#This Row],[فروقات الحد الادني]]</f>
        <v>11000</v>
      </c>
      <c r="AU117" s="629">
        <f>Table1[[#This Row],[الراتب 2018 + النسبه + الفرق]]-Table1[[#This Row],[راتب ديسمبر 2019]]</f>
        <v>6340</v>
      </c>
      <c r="AV117" s="628">
        <f>Table1[[#This Row],[الزياده]]/Table1[[#This Row],[راتب ديسمبر 2019]]%</f>
        <v>136.05150214592274</v>
      </c>
      <c r="AW117" s="659">
        <f>IF(Table1[[#This Row],[Column4]]&lt;0,0,Table1[[#This Row],[Column4]])</f>
        <v>0</v>
      </c>
      <c r="AX117" s="611">
        <f>Table1[[#This Row],[الجبر حتي]]-Table1[[#This Row],[رن]]</f>
        <v>9.7200000000002547</v>
      </c>
      <c r="AY117" s="611">
        <f>Table1[[#This Row],[الزياده]]+Table1[[#This Row],[التعديل]]+Table1[[#This Row],[جبر الرقم]]</f>
        <v>6349.72</v>
      </c>
      <c r="AZ117" s="611">
        <f>Table1[[#This Row],[الراتب 2018 + النسبه + الفرق]]+Table1[[#This Row],[جبر الرقم]]+Table1[[#This Row],[التعديل]]</f>
        <v>11009.720000000001</v>
      </c>
      <c r="BA117" s="631">
        <f>Table1[[#This Row],[الزياده النهائيه]]/Table1[[#This Row],[راتب ديسمبر 2019]]%</f>
        <v>136.26008583690987</v>
      </c>
      <c r="BB117" s="612">
        <f>VLOOKUP(Table1[[#This Row],[الرقم الوظيفي]],Table6[],8,)</f>
        <v>4660</v>
      </c>
      <c r="BC117" s="7"/>
      <c r="BD117" s="7">
        <v>7270</v>
      </c>
      <c r="BE117" s="7">
        <v>7260.28</v>
      </c>
      <c r="BF117" s="5">
        <f>Table1[[#This Row],[الحد الادني]]-Table1[[#This Row],[الراتب 2018+النسبه]]</f>
        <v>6340</v>
      </c>
      <c r="BG117" s="5">
        <f>Table1[[#This Row],[التعديل حتي]]-Table1[[#This Row],[kkk]]</f>
        <v>-7260.28</v>
      </c>
      <c r="BH117" s="5">
        <v>7260.28</v>
      </c>
      <c r="BI117" s="5"/>
    </row>
    <row r="118" spans="1:61" ht="21" customHeight="1">
      <c r="A118" s="602">
        <v>585</v>
      </c>
      <c r="B118" s="618" t="str">
        <f>VLOOKUP(Table1[[#This Row],[الرقم الوظيفي]],[1]Sheet2!$1:$1048576,2,)</f>
        <v>يعقوب السوار محمد ادم</v>
      </c>
      <c r="C118" s="618" t="str">
        <f>VLOOKUP(Table1[[#This Row],[الرقم الوظيفي]],[1]Sheet2!$1:$1048576,7,)</f>
        <v>المصنع</v>
      </c>
      <c r="D118" s="618" t="str">
        <f>VLOOKUP(Table1[[#This Row],[الرقم الوظيفي]],[1]Sheet2!$1:$1048576,8,)</f>
        <v>الخدمات</v>
      </c>
      <c r="E118" s="599">
        <f>VLOOKUP(Table1[[#This Row],[الرقم الوظيفي]],[1]Sheet2!$1:$1048576,9,)</f>
        <v>0</v>
      </c>
      <c r="F118" s="599" t="str">
        <f>VLOOKUP(Table1[[#This Row],[الرقم الوظيفي]],[1]Sheet2!$1:$1048576,12,)</f>
        <v>عامل</v>
      </c>
      <c r="G118" s="599">
        <f>VLOOKUP(Table1[[#This Row],[الرقم الوظيفي]],[1]Sheet2!$1:$1048576,72,)</f>
        <v>0</v>
      </c>
      <c r="H118" s="599">
        <f>VLOOKUP(Table1[[#This Row],[الرقم الوظيفي]],[1]Sheet2!$1:$1048576,71,)</f>
        <v>0</v>
      </c>
      <c r="I118" s="599" t="str">
        <f>VLOOKUP(Table1[[#This Row],[المؤهل الرئيسي]],Table4[],3,)</f>
        <v>H</v>
      </c>
      <c r="J118" s="599" t="s">
        <v>929</v>
      </c>
      <c r="K118" s="615">
        <f>VLOOKUP(Table1[[#This Row],[الرقم الوظيفي]],[1]Sheet2!$1:$1048576,13,)</f>
        <v>41541</v>
      </c>
      <c r="L118" s="615">
        <v>43830</v>
      </c>
      <c r="M118" s="599">
        <f>DATEDIF(Table1[[#This Row],[تاريخ التعيين]],Table1[[#This Row],[اخر العام]],"y")</f>
        <v>6</v>
      </c>
      <c r="N118" s="599">
        <f>DATEDIF(Table1[[#This Row],[تاريخ التعيين]],Table1[[#This Row],[اخر العام]],"ym")</f>
        <v>3</v>
      </c>
      <c r="O118" s="610">
        <f>Table1[[#This Row],[سنوات الخدمه]]*1+Table1[[#This Row],[الشهور اقل من سنه]]*0.08</f>
        <v>6.24</v>
      </c>
      <c r="P118" s="616">
        <v>3160</v>
      </c>
      <c r="Q118" s="617">
        <v>331.16800000000001</v>
      </c>
      <c r="R118" s="612"/>
      <c r="S118" s="599"/>
      <c r="T118" s="612"/>
      <c r="U118" s="612"/>
      <c r="V118" s="612"/>
      <c r="W118" s="612"/>
      <c r="X118" s="612"/>
      <c r="Y118" s="612"/>
      <c r="Z118" s="612"/>
      <c r="AA11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8" s="612"/>
      <c r="AC118" s="599"/>
      <c r="AD118" s="612"/>
      <c r="AE118" s="612"/>
      <c r="AF118" s="612"/>
      <c r="AG118" s="612"/>
      <c r="AH118" s="619">
        <f>SUM(Table1[[#This Row],[التقييد  باللوائح و تنفيذالتوجيه]:[اتباع اجراءات السلامه]])</f>
        <v>0</v>
      </c>
      <c r="AI118" s="619">
        <f>Table1[[#This Row],[المجموع]]+Table1[[#This Row],[المجموع2]]</f>
        <v>0</v>
      </c>
      <c r="AJ118" s="612"/>
      <c r="AK118" s="612"/>
      <c r="AL118" s="612"/>
      <c r="AM118" s="612"/>
      <c r="AN118" s="612"/>
      <c r="AO118" s="606">
        <f>Table1[[#This Row],[المجموع 1+2]]*$AO$2</f>
        <v>0</v>
      </c>
      <c r="AP118" s="648">
        <f>Table1[[#This Row],[راتب ديسمبر 2019]]*Table1[[#This Row],[نسبه التقييم الرئيسي 2018]]%</f>
        <v>0</v>
      </c>
      <c r="AQ118" s="627">
        <f>Table1[[#This Row],[مبلغ التقييم النسبي 2018]]+Table1[[#This Row],[راتب ديسمبر 2019]]</f>
        <v>3160</v>
      </c>
      <c r="AR118" s="611">
        <f>IF(Table1[[#This Row],[Column3]]&lt;0,0,Table1[[#This Row],[Column3]])</f>
        <v>2840</v>
      </c>
      <c r="AS118" s="599">
        <f>VLOOKUP(Table1[[#This Row],[درجه التوسيط]],Table10[],3,)</f>
        <v>6000</v>
      </c>
      <c r="AT118" s="608">
        <f>Table1[[#This Row],[الراتب 2018+النسبه]]+Table1[[#This Row],[فروقات الحد الادني]]</f>
        <v>6000</v>
      </c>
      <c r="AU118" s="629">
        <f>Table1[[#This Row],[الراتب 2018 + النسبه + الفرق]]-Table1[[#This Row],[راتب ديسمبر 2019]]</f>
        <v>2840</v>
      </c>
      <c r="AV118" s="628">
        <f>Table1[[#This Row],[الزياده]]/Table1[[#This Row],[راتب ديسمبر 2019]]%</f>
        <v>89.87341772151899</v>
      </c>
      <c r="AW118" s="659">
        <f>IF(Table1[[#This Row],[Column4]]&lt;0,0,Table1[[#This Row],[Column4]])</f>
        <v>0</v>
      </c>
      <c r="AX118" s="611">
        <f>Table1[[#This Row],[الجبر حتي]]-Table1[[#This Row],[رن]]</f>
        <v>9.8400000000001455</v>
      </c>
      <c r="AY118" s="611">
        <f>Table1[[#This Row],[الزياده]]+Table1[[#This Row],[التعديل]]+Table1[[#This Row],[جبر الرقم]]</f>
        <v>2849.84</v>
      </c>
      <c r="AZ118" s="611">
        <f>Table1[[#This Row],[الراتب 2018 + النسبه + الفرق]]+Table1[[#This Row],[جبر الرقم]]+Table1[[#This Row],[التعديل]]</f>
        <v>6009.84</v>
      </c>
      <c r="BA118" s="631">
        <f>Table1[[#This Row],[الزياده النهائيه]]/Table1[[#This Row],[راتب ديسمبر 2019]]%</f>
        <v>90.184810126582278</v>
      </c>
      <c r="BB118" s="612">
        <f>VLOOKUP(Table1[[#This Row],[الرقم الوظيفي]],Table6[],8,)</f>
        <v>3160</v>
      </c>
      <c r="BC118" s="7"/>
      <c r="BD118" s="7">
        <v>4990</v>
      </c>
      <c r="BE118" s="7">
        <v>4980.16</v>
      </c>
      <c r="BF118" s="5">
        <f>Table1[[#This Row],[الحد الادني]]-Table1[[#This Row],[الراتب 2018+النسبه]]</f>
        <v>2840</v>
      </c>
      <c r="BG118" s="5">
        <f>Table1[[#This Row],[التعديل حتي]]-Table1[[#This Row],[kkk]]</f>
        <v>-4980.16</v>
      </c>
      <c r="BH118" s="5">
        <v>4980.16</v>
      </c>
      <c r="BI118" s="5"/>
    </row>
    <row r="119" spans="1:61" ht="21" customHeight="1">
      <c r="A119" s="602">
        <v>591</v>
      </c>
      <c r="B119" s="618" t="str">
        <f>VLOOKUP(Table1[[#This Row],[الرقم الوظيفي]],[1]Sheet2!$1:$1048576,2,)</f>
        <v>عبدالله زايد اسماعيل توتو</v>
      </c>
      <c r="C119" s="618" t="str">
        <f>VLOOKUP(Table1[[#This Row],[الرقم الوظيفي]],[1]Sheet2!$1:$1048576,7,)</f>
        <v>المصنع</v>
      </c>
      <c r="D119" s="618" t="str">
        <f>VLOOKUP(Table1[[#This Row],[الرقم الوظيفي]],[1]Sheet2!$1:$1048576,8,)</f>
        <v>الانتاج</v>
      </c>
      <c r="E119" s="599" t="str">
        <f>VLOOKUP(Table1[[#This Row],[الرقم الوظيفي]],[1]Sheet2!$1:$1048576,9,)</f>
        <v>الصاج والزنك</v>
      </c>
      <c r="F119" s="599" t="str">
        <f>VLOOKUP(Table1[[#This Row],[الرقم الوظيفي]],[1]Sheet2!$1:$1048576,12,)</f>
        <v>عامل</v>
      </c>
      <c r="G119" s="599">
        <f>VLOOKUP(Table1[[#This Row],[الرقم الوظيفي]],[1]Sheet2!$1:$1048576,72,)</f>
        <v>0</v>
      </c>
      <c r="H119" s="599">
        <f>VLOOKUP(Table1[[#This Row],[الرقم الوظيفي]],[1]Sheet2!$1:$1048576,71,)</f>
        <v>0</v>
      </c>
      <c r="I119" s="599" t="str">
        <f>VLOOKUP(Table1[[#This Row],[المؤهل الرئيسي]],Table4[],3,)</f>
        <v>H</v>
      </c>
      <c r="J119" s="599" t="s">
        <v>929</v>
      </c>
      <c r="K119" s="615">
        <f>VLOOKUP(Table1[[#This Row],[الرقم الوظيفي]],[1]Sheet2!$1:$1048576,13,)</f>
        <v>41554</v>
      </c>
      <c r="L119" s="615">
        <v>43830</v>
      </c>
      <c r="M119" s="599">
        <f>DATEDIF(Table1[[#This Row],[تاريخ التعيين]],Table1[[#This Row],[اخر العام]],"y")</f>
        <v>6</v>
      </c>
      <c r="N119" s="599">
        <f>DATEDIF(Table1[[#This Row],[تاريخ التعيين]],Table1[[#This Row],[اخر العام]],"ym")</f>
        <v>2</v>
      </c>
      <c r="O119" s="610">
        <f>Table1[[#This Row],[سنوات الخدمه]]*1+Table1[[#This Row],[الشهور اقل من سنه]]*0.08</f>
        <v>6.16</v>
      </c>
      <c r="P119" s="616">
        <v>3150</v>
      </c>
      <c r="Q119" s="617">
        <v>325.08</v>
      </c>
      <c r="R119" s="612"/>
      <c r="S119" s="599"/>
      <c r="T119" s="612"/>
      <c r="U119" s="612"/>
      <c r="V119" s="612"/>
      <c r="W119" s="612"/>
      <c r="X119" s="612"/>
      <c r="Y119" s="612"/>
      <c r="Z119" s="612"/>
      <c r="AA11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19" s="612"/>
      <c r="AC119" s="599"/>
      <c r="AD119" s="612"/>
      <c r="AE119" s="612"/>
      <c r="AF119" s="612"/>
      <c r="AG119" s="612"/>
      <c r="AH119" s="619">
        <f>SUM(Table1[[#This Row],[التقييد  باللوائح و تنفيذالتوجيه]:[اتباع اجراءات السلامه]])</f>
        <v>0</v>
      </c>
      <c r="AI119" s="619">
        <f>Table1[[#This Row],[المجموع]]+Table1[[#This Row],[المجموع2]]</f>
        <v>0</v>
      </c>
      <c r="AJ119" s="612"/>
      <c r="AK119" s="612"/>
      <c r="AL119" s="612"/>
      <c r="AM119" s="612"/>
      <c r="AN119" s="612"/>
      <c r="AO119" s="606">
        <f>Table1[[#This Row],[المجموع 1+2]]*$AO$2</f>
        <v>0</v>
      </c>
      <c r="AP119" s="648">
        <f>Table1[[#This Row],[راتب ديسمبر 2019]]*Table1[[#This Row],[نسبه التقييم الرئيسي 2018]]%</f>
        <v>0</v>
      </c>
      <c r="AQ119" s="627">
        <f>Table1[[#This Row],[مبلغ التقييم النسبي 2018]]+Table1[[#This Row],[راتب ديسمبر 2019]]</f>
        <v>3150</v>
      </c>
      <c r="AR119" s="611">
        <f>IF(Table1[[#This Row],[Column3]]&lt;0,0,Table1[[#This Row],[Column3]])</f>
        <v>2850</v>
      </c>
      <c r="AS119" s="599">
        <f>VLOOKUP(Table1[[#This Row],[درجه التوسيط]],Table10[],3,)</f>
        <v>6000</v>
      </c>
      <c r="AT119" s="608">
        <f>Table1[[#This Row],[الراتب 2018+النسبه]]+Table1[[#This Row],[فروقات الحد الادني]]</f>
        <v>6000</v>
      </c>
      <c r="AU119" s="629">
        <f>Table1[[#This Row],[الراتب 2018 + النسبه + الفرق]]-Table1[[#This Row],[راتب ديسمبر 2019]]</f>
        <v>2850</v>
      </c>
      <c r="AV119" s="628">
        <f>Table1[[#This Row],[الزياده]]/Table1[[#This Row],[راتب ديسمبر 2019]]%</f>
        <v>90.476190476190482</v>
      </c>
      <c r="AW119" s="659">
        <f>IF(Table1[[#This Row],[Column4]]&lt;0,0,Table1[[#This Row],[Column4]])</f>
        <v>0</v>
      </c>
      <c r="AX119" s="611">
        <f>Table1[[#This Row],[الجبر حتي]]-Table1[[#This Row],[رن]]</f>
        <v>2.3000000000001819</v>
      </c>
      <c r="AY119" s="611">
        <f>Table1[[#This Row],[الزياده]]+Table1[[#This Row],[التعديل]]+Table1[[#This Row],[جبر الرقم]]</f>
        <v>2852.3</v>
      </c>
      <c r="AZ119" s="611">
        <f>Table1[[#This Row],[الراتب 2018 + النسبه + الفرق]]+Table1[[#This Row],[جبر الرقم]]+Table1[[#This Row],[التعديل]]</f>
        <v>6002.3</v>
      </c>
      <c r="BA119" s="631">
        <f>Table1[[#This Row],[الزياده النهائيه]]/Table1[[#This Row],[راتب ديسمبر 2019]]%</f>
        <v>90.549206349206358</v>
      </c>
      <c r="BB119" s="612">
        <f>VLOOKUP(Table1[[#This Row],[الرقم الوظيفي]],Table6[],8,)</f>
        <v>3150</v>
      </c>
      <c r="BC119" s="7"/>
      <c r="BD119" s="7">
        <v>4910</v>
      </c>
      <c r="BE119" s="7">
        <v>4907.7</v>
      </c>
      <c r="BF119" s="5">
        <f>Table1[[#This Row],[الحد الادني]]-Table1[[#This Row],[الراتب 2018+النسبه]]</f>
        <v>2850</v>
      </c>
      <c r="BG119" s="5">
        <f>Table1[[#This Row],[التعديل حتي]]-Table1[[#This Row],[kkk]]</f>
        <v>-4907.7</v>
      </c>
      <c r="BH119" s="5">
        <v>4907.7</v>
      </c>
      <c r="BI119" s="5"/>
    </row>
    <row r="120" spans="1:61" ht="21" customHeight="1">
      <c r="A120" s="602">
        <v>592</v>
      </c>
      <c r="B120" s="618" t="str">
        <f>VLOOKUP(Table1[[#This Row],[الرقم الوظيفي]],[1]Sheet2!$1:$1048576,2,)</f>
        <v>احمد محمد زين احمد</v>
      </c>
      <c r="C120" s="618" t="str">
        <f>VLOOKUP(Table1[[#This Row],[الرقم الوظيفي]],[1]Sheet2!$1:$1048576,7,)</f>
        <v>المصنع</v>
      </c>
      <c r="D120" s="618" t="str">
        <f>VLOOKUP(Table1[[#This Row],[الرقم الوظيفي]],[1]Sheet2!$1:$1048576,8,)</f>
        <v>الانتاج</v>
      </c>
      <c r="E120" s="599" t="str">
        <f>VLOOKUP(Table1[[#This Row],[الرقم الوظيفي]],[1]Sheet2!$1:$1048576,9,)</f>
        <v>التشريح</v>
      </c>
      <c r="F120" s="599" t="str">
        <f>VLOOKUP(Table1[[#This Row],[الرقم الوظيفي]],[1]Sheet2!$1:$1048576,12,)</f>
        <v>فورمان</v>
      </c>
      <c r="G120" s="599" t="str">
        <f>VLOOKUP(Table1[[#This Row],[الرقم الوظيفي]],[1]Sheet2!$1:$1048576,72,)</f>
        <v>شهاده ثانويه</v>
      </c>
      <c r="H120" s="599">
        <f>VLOOKUP(Table1[[#This Row],[الرقم الوظيفي]],[1]Sheet2!$1:$1048576,71,)</f>
        <v>0</v>
      </c>
      <c r="I120" s="599" t="str">
        <f>VLOOKUP(Table1[[#This Row],[المؤهل الرئيسي]],Table4[],3,)</f>
        <v>F</v>
      </c>
      <c r="J120" s="599" t="s">
        <v>982</v>
      </c>
      <c r="K120" s="615">
        <f>VLOOKUP(Table1[[#This Row],[الرقم الوظيفي]],[1]Sheet2!$1:$1048576,13,)</f>
        <v>43160</v>
      </c>
      <c r="L120" s="615">
        <v>43830</v>
      </c>
      <c r="M120" s="599">
        <f>DATEDIF(Table1[[#This Row],[تاريخ التعيين]],Table1[[#This Row],[اخر العام]],"y")</f>
        <v>1</v>
      </c>
      <c r="N120" s="599">
        <f>DATEDIF(Table1[[#This Row],[تاريخ التعيين]],Table1[[#This Row],[اخر العام]],"ym")</f>
        <v>9</v>
      </c>
      <c r="O120" s="610">
        <f>Table1[[#This Row],[سنوات الخدمه]]*1+Table1[[#This Row],[الشهور اقل من سنه]]*0.08</f>
        <v>1.72</v>
      </c>
      <c r="P120" s="616">
        <v>8000</v>
      </c>
      <c r="Q120" s="617">
        <v>115.2</v>
      </c>
      <c r="R120" s="612"/>
      <c r="S120" s="599"/>
      <c r="T120" s="612"/>
      <c r="U120" s="612"/>
      <c r="V120" s="612"/>
      <c r="W120" s="612"/>
      <c r="X120" s="612"/>
      <c r="Y120" s="612"/>
      <c r="Z120" s="612"/>
      <c r="AA12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0" s="612"/>
      <c r="AC120" s="599"/>
      <c r="AD120" s="612"/>
      <c r="AE120" s="612"/>
      <c r="AF120" s="612"/>
      <c r="AG120" s="612"/>
      <c r="AH120" s="619">
        <f>SUM(Table1[[#This Row],[التقييد  باللوائح و تنفيذالتوجيه]:[اتباع اجراءات السلامه]])</f>
        <v>0</v>
      </c>
      <c r="AI120" s="619">
        <f>Table1[[#This Row],[المجموع]]+Table1[[#This Row],[المجموع2]]</f>
        <v>0</v>
      </c>
      <c r="AJ120" s="612"/>
      <c r="AK120" s="612"/>
      <c r="AL120" s="612"/>
      <c r="AM120" s="612"/>
      <c r="AN120" s="612"/>
      <c r="AO120" s="606">
        <f>Table1[[#This Row],[المجموع 1+2]]*$AO$2</f>
        <v>0</v>
      </c>
      <c r="AP120" s="648">
        <f>Table1[[#This Row],[راتب ديسمبر 2019]]*Table1[[#This Row],[نسبه التقييم الرئيسي 2018]]%</f>
        <v>0</v>
      </c>
      <c r="AQ120" s="627">
        <f>Table1[[#This Row],[مبلغ التقييم النسبي 2018]]+Table1[[#This Row],[راتب ديسمبر 2019]]</f>
        <v>8000</v>
      </c>
      <c r="AR120" s="611">
        <f>IF(Table1[[#This Row],[Column3]]&lt;0,0,Table1[[#This Row],[Column3]])</f>
        <v>9000</v>
      </c>
      <c r="AS120" s="599">
        <f>VLOOKUP(Table1[[#This Row],[درجه التوسيط]],Table10[],3,)</f>
        <v>17000</v>
      </c>
      <c r="AT120" s="608">
        <f>Table1[[#This Row],[الراتب 2018+النسبه]]+Table1[[#This Row],[فروقات الحد الادني]]</f>
        <v>17000</v>
      </c>
      <c r="AU120" s="629">
        <f>Table1[[#This Row],[الراتب 2018 + النسبه + الفرق]]-Table1[[#This Row],[راتب ديسمبر 2019]]</f>
        <v>9000</v>
      </c>
      <c r="AV120" s="628">
        <f>Table1[[#This Row],[الزياده]]/Table1[[#This Row],[راتب ديسمبر 2019]]%</f>
        <v>112.5</v>
      </c>
      <c r="AW120" s="659">
        <f>IF(Table1[[#This Row],[Column4]]&lt;0,0,Table1[[#This Row],[Column4]])</f>
        <v>1440</v>
      </c>
      <c r="AX120" s="611">
        <f>Table1[[#This Row],[الجبر حتي]]-Table1[[#This Row],[رن]]</f>
        <v>0</v>
      </c>
      <c r="AY120" s="611">
        <f>Table1[[#This Row],[الزياده]]+Table1[[#This Row],[التعديل]]+Table1[[#This Row],[جبر الرقم]]</f>
        <v>10440</v>
      </c>
      <c r="AZ120" s="611">
        <f>Table1[[#This Row],[الراتب 2018 + النسبه + الفرق]]+Table1[[#This Row],[جبر الرقم]]+Table1[[#This Row],[التعديل]]</f>
        <v>18440</v>
      </c>
      <c r="BA120" s="631">
        <f>Table1[[#This Row],[الزياده النهائيه]]/Table1[[#This Row],[راتب ديسمبر 2019]]%</f>
        <v>130.5</v>
      </c>
      <c r="BB120" s="612">
        <f>VLOOKUP(Table1[[#This Row],[الرقم الوظيفي]],Table6[],8,)</f>
        <v>8000</v>
      </c>
      <c r="BC120" s="7">
        <v>14000</v>
      </c>
      <c r="BD120" s="7">
        <v>14000</v>
      </c>
      <c r="BE120" s="7">
        <v>14000</v>
      </c>
      <c r="BF120" s="5">
        <f>Table1[[#This Row],[الحد الادني]]-Table1[[#This Row],[الراتب 2018+النسبه]]</f>
        <v>9000</v>
      </c>
      <c r="BG120" s="5">
        <f>Table1[[#This Row],[التعديل حتي]]-Table1[[#This Row],[kkk]]</f>
        <v>1440</v>
      </c>
      <c r="BH120" s="5">
        <v>12560</v>
      </c>
      <c r="BI120" s="5"/>
    </row>
    <row r="121" spans="1:61" ht="21" customHeight="1">
      <c r="A121" s="602">
        <v>604</v>
      </c>
      <c r="B121" s="618" t="str">
        <f>VLOOKUP(Table1[[#This Row],[الرقم الوظيفي]],[1]Sheet2!$1:$1048576,2,)</f>
        <v>مجاهد عبدالرحمن عبد الوهاب الامين</v>
      </c>
      <c r="C121" s="618" t="str">
        <f>VLOOKUP(Table1[[#This Row],[الرقم الوظيفي]],[1]Sheet2!$1:$1048576,7,)</f>
        <v>المصنع</v>
      </c>
      <c r="D121" s="618" t="str">
        <f>VLOOKUP(Table1[[#This Row],[الرقم الوظيفي]],[1]Sheet2!$1:$1048576,8,)</f>
        <v>الانتاج</v>
      </c>
      <c r="E121" s="599" t="str">
        <f>VLOOKUP(Table1[[#This Row],[الرقم الوظيفي]],[1]Sheet2!$1:$1048576,9,)</f>
        <v>المواسير</v>
      </c>
      <c r="F121" s="599" t="str">
        <f>VLOOKUP(Table1[[#This Row],[الرقم الوظيفي]],[1]Sheet2!$1:$1048576,12,)</f>
        <v>عامل</v>
      </c>
      <c r="G121" s="599" t="str">
        <f>VLOOKUP(Table1[[#This Row],[الرقم الوظيفي]],[1]Sheet2!$1:$1048576,72,)</f>
        <v>شهاده دورة تدريب</v>
      </c>
      <c r="H121" s="599" t="str">
        <f>VLOOKUP(Table1[[#This Row],[الرقم الوظيفي]],[1]Sheet2!$1:$1048576,71,)</f>
        <v>ميكانيكا سيارات</v>
      </c>
      <c r="I121" s="599" t="str">
        <f>VLOOKUP(Table1[[#This Row],[المؤهل الرئيسي]],Table4[],3,)</f>
        <v>F</v>
      </c>
      <c r="J121" s="599" t="s">
        <v>925</v>
      </c>
      <c r="K121" s="615">
        <f>VLOOKUP(Table1[[#This Row],[الرقم الوظيفي]],[1]Sheet2!$1:$1048576,13,)</f>
        <v>41580</v>
      </c>
      <c r="L121" s="615">
        <v>43830</v>
      </c>
      <c r="M121" s="599">
        <f>DATEDIF(Table1[[#This Row],[تاريخ التعيين]],Table1[[#This Row],[اخر العام]],"y")</f>
        <v>6</v>
      </c>
      <c r="N121" s="599">
        <f>DATEDIF(Table1[[#This Row],[تاريخ التعيين]],Table1[[#This Row],[اخر العام]],"ym")</f>
        <v>1</v>
      </c>
      <c r="O121" s="610">
        <f>Table1[[#This Row],[سنوات الخدمه]]*1+Table1[[#This Row],[الشهور اقل من سنه]]*0.08</f>
        <v>6.08</v>
      </c>
      <c r="P121" s="616">
        <v>3150</v>
      </c>
      <c r="Q121" s="617">
        <v>320.04000000000002</v>
      </c>
      <c r="R121" s="612"/>
      <c r="S121" s="599"/>
      <c r="T121" s="612"/>
      <c r="U121" s="612"/>
      <c r="V121" s="612"/>
      <c r="W121" s="612"/>
      <c r="X121" s="612"/>
      <c r="Y121" s="612"/>
      <c r="Z121" s="612"/>
      <c r="AA12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1" s="612"/>
      <c r="AC121" s="599"/>
      <c r="AD121" s="612"/>
      <c r="AE121" s="612"/>
      <c r="AF121" s="612"/>
      <c r="AG121" s="612"/>
      <c r="AH121" s="619">
        <f>SUM(Table1[[#This Row],[التقييد  باللوائح و تنفيذالتوجيه]:[اتباع اجراءات السلامه]])</f>
        <v>0</v>
      </c>
      <c r="AI121" s="619">
        <f>Table1[[#This Row],[المجموع]]+Table1[[#This Row],[المجموع2]]</f>
        <v>0</v>
      </c>
      <c r="AJ121" s="612"/>
      <c r="AK121" s="612"/>
      <c r="AL121" s="612"/>
      <c r="AM121" s="612"/>
      <c r="AN121" s="612"/>
      <c r="AO121" s="606">
        <f>Table1[[#This Row],[المجموع 1+2]]*$AO$2</f>
        <v>0</v>
      </c>
      <c r="AP121" s="648">
        <f>Table1[[#This Row],[راتب ديسمبر 2019]]*Table1[[#This Row],[نسبه التقييم الرئيسي 2018]]%</f>
        <v>0</v>
      </c>
      <c r="AQ121" s="627">
        <f>Table1[[#This Row],[مبلغ التقييم النسبي 2018]]+Table1[[#This Row],[راتب ديسمبر 2019]]</f>
        <v>3150</v>
      </c>
      <c r="AR121" s="611">
        <f>IF(Table1[[#This Row],[Column3]]&lt;0,0,Table1[[#This Row],[Column3]])</f>
        <v>5850</v>
      </c>
      <c r="AS121" s="599">
        <f>VLOOKUP(Table1[[#This Row],[درجه التوسيط]],Table10[],3,)</f>
        <v>9000</v>
      </c>
      <c r="AT121" s="608">
        <f>Table1[[#This Row],[الراتب 2018+النسبه]]+Table1[[#This Row],[فروقات الحد الادني]]</f>
        <v>9000</v>
      </c>
      <c r="AU121" s="629">
        <f>Table1[[#This Row],[الراتب 2018 + النسبه + الفرق]]-Table1[[#This Row],[راتب ديسمبر 2019]]</f>
        <v>5850</v>
      </c>
      <c r="AV121" s="628">
        <f>Table1[[#This Row],[الزياده]]/Table1[[#This Row],[راتب ديسمبر 2019]]%</f>
        <v>185.71428571428572</v>
      </c>
      <c r="AW121" s="659">
        <f>IF(Table1[[#This Row],[Column4]]&lt;0,0,Table1[[#This Row],[Column4]])</f>
        <v>0</v>
      </c>
      <c r="AX121" s="611">
        <f>Table1[[#This Row],[الجبر حتي]]-Table1[[#This Row],[رن]]</f>
        <v>0</v>
      </c>
      <c r="AY121" s="611">
        <f>Table1[[#This Row],[الزياده]]+Table1[[#This Row],[التعديل]]+Table1[[#This Row],[جبر الرقم]]</f>
        <v>5850</v>
      </c>
      <c r="AZ121" s="611">
        <f>Table1[[#This Row],[الراتب 2018 + النسبه + الفرق]]+Table1[[#This Row],[جبر الرقم]]+Table1[[#This Row],[التعديل]]</f>
        <v>9000</v>
      </c>
      <c r="BA121" s="631">
        <f>Table1[[#This Row],[الزياده النهائيه]]/Table1[[#This Row],[راتب ديسمبر 2019]]%</f>
        <v>185.71428571428572</v>
      </c>
      <c r="BB121" s="612">
        <f>VLOOKUP(Table1[[#This Row],[الرقم الوظيفي]],Table6[],8,)</f>
        <v>3150</v>
      </c>
      <c r="BC121" s="7"/>
      <c r="BD121" s="7">
        <v>6000</v>
      </c>
      <c r="BE121" s="7">
        <v>6000</v>
      </c>
      <c r="BF121" s="5">
        <f>Table1[[#This Row],[الحد الادني]]-Table1[[#This Row],[الراتب 2018+النسبه]]</f>
        <v>5850</v>
      </c>
      <c r="BG121" s="5">
        <f>Table1[[#This Row],[التعديل حتي]]-Table1[[#This Row],[kkk]]</f>
        <v>-6000</v>
      </c>
      <c r="BH121" s="5">
        <v>6000</v>
      </c>
      <c r="BI121" s="5"/>
    </row>
    <row r="122" spans="1:61" ht="21" customHeight="1">
      <c r="A122" s="602">
        <v>609</v>
      </c>
      <c r="B122" s="618" t="str">
        <f>VLOOKUP(Table1[[#This Row],[الرقم الوظيفي]],[1]Sheet2!$1:$1048576,2,)</f>
        <v>هشام ادم على محمد الحاج</v>
      </c>
      <c r="C122" s="618" t="str">
        <f>VLOOKUP(Table1[[#This Row],[الرقم الوظيفي]],[1]Sheet2!$1:$1048576,7,)</f>
        <v>المصنع</v>
      </c>
      <c r="D122" s="618" t="str">
        <f>VLOOKUP(Table1[[#This Row],[الرقم الوظيفي]],[1]Sheet2!$1:$1048576,8,)</f>
        <v>الميكانيكا</v>
      </c>
      <c r="E122" s="599">
        <f>VLOOKUP(Table1[[#This Row],[الرقم الوظيفي]],[1]Sheet2!$1:$1048576,9,)</f>
        <v>0</v>
      </c>
      <c r="F122" s="599" t="str">
        <f>VLOOKUP(Table1[[#This Row],[الرقم الوظيفي]],[1]Sheet2!$1:$1048576,12,)</f>
        <v>حداد صيانه</v>
      </c>
      <c r="G122" s="599">
        <f>VLOOKUP(Table1[[#This Row],[الرقم الوظيفي]],[1]Sheet2!$1:$1048576,72,)</f>
        <v>0</v>
      </c>
      <c r="H122" s="599">
        <f>VLOOKUP(Table1[[#This Row],[الرقم الوظيفي]],[1]Sheet2!$1:$1048576,71,)</f>
        <v>0</v>
      </c>
      <c r="I122" s="599" t="str">
        <f>VLOOKUP(Table1[[#This Row],[المؤهل الرئيسي]],Table4[],3,)</f>
        <v>H</v>
      </c>
      <c r="J122" s="599" t="s">
        <v>922</v>
      </c>
      <c r="K122" s="615">
        <f>VLOOKUP(Table1[[#This Row],[الرقم الوظيفي]],[1]Sheet2!$1:$1048576,13,)</f>
        <v>42922</v>
      </c>
      <c r="L122" s="615">
        <v>43830</v>
      </c>
      <c r="M122" s="599">
        <f>DATEDIF(Table1[[#This Row],[تاريخ التعيين]],Table1[[#This Row],[اخر العام]],"y")</f>
        <v>2</v>
      </c>
      <c r="N122" s="599">
        <f>DATEDIF(Table1[[#This Row],[تاريخ التعيين]],Table1[[#This Row],[اخر العام]],"ym")</f>
        <v>5</v>
      </c>
      <c r="O122" s="610">
        <f>Table1[[#This Row],[سنوات الخدمه]]*1+Table1[[#This Row],[الشهور اقل من سنه]]*0.08</f>
        <v>2.4</v>
      </c>
      <c r="P122" s="616">
        <v>4520</v>
      </c>
      <c r="Q122" s="617">
        <v>126.56</v>
      </c>
      <c r="R122" s="612"/>
      <c r="S122" s="599"/>
      <c r="T122" s="612"/>
      <c r="U122" s="612"/>
      <c r="V122" s="612"/>
      <c r="W122" s="612"/>
      <c r="X122" s="612"/>
      <c r="Y122" s="612"/>
      <c r="Z122" s="612"/>
      <c r="AA12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2" s="612"/>
      <c r="AC122" s="599"/>
      <c r="AD122" s="612"/>
      <c r="AE122" s="612"/>
      <c r="AF122" s="612"/>
      <c r="AG122" s="612"/>
      <c r="AH122" s="619">
        <f>SUM(Table1[[#This Row],[التقييد  باللوائح و تنفيذالتوجيه]:[اتباع اجراءات السلامه]])</f>
        <v>0</v>
      </c>
      <c r="AI122" s="619">
        <f>Table1[[#This Row],[المجموع]]+Table1[[#This Row],[المجموع2]]</f>
        <v>0</v>
      </c>
      <c r="AJ122" s="612">
        <v>10</v>
      </c>
      <c r="AK122" s="612"/>
      <c r="AL122" s="612"/>
      <c r="AM122" s="612"/>
      <c r="AN122" s="612"/>
      <c r="AO122" s="606">
        <f>Table1[[#This Row],[المجموع 1+2]]*$AO$2</f>
        <v>0</v>
      </c>
      <c r="AP122" s="648">
        <f>Table1[[#This Row],[راتب ديسمبر 2019]]*Table1[[#This Row],[نسبه التقييم الرئيسي 2018]]%</f>
        <v>0</v>
      </c>
      <c r="AQ122" s="627">
        <f>Table1[[#This Row],[مبلغ التقييم النسبي 2018]]+Table1[[#This Row],[راتب ديسمبر 2019]]</f>
        <v>4520</v>
      </c>
      <c r="AR122" s="611">
        <f>IF(Table1[[#This Row],[Column3]]&lt;0,0,Table1[[#This Row],[Column3]])</f>
        <v>6480</v>
      </c>
      <c r="AS122" s="599">
        <f>VLOOKUP(Table1[[#This Row],[درجه التوسيط]],Table10[],3,)</f>
        <v>11000</v>
      </c>
      <c r="AT122" s="608">
        <f>Table1[[#This Row],[الراتب 2018+النسبه]]+Table1[[#This Row],[فروقات الحد الادني]]</f>
        <v>11000</v>
      </c>
      <c r="AU122" s="629">
        <f>Table1[[#This Row],[الراتب 2018 + النسبه + الفرق]]-Table1[[#This Row],[راتب ديسمبر 2019]]</f>
        <v>6480</v>
      </c>
      <c r="AV122" s="628">
        <f>Table1[[#This Row],[الزياده]]/Table1[[#This Row],[راتب ديسمبر 2019]]%</f>
        <v>143.36283185840708</v>
      </c>
      <c r="AW122" s="659">
        <f>IF(Table1[[#This Row],[Column4]]&lt;0,0,Table1[[#This Row],[Column4]])</f>
        <v>903.60000000000036</v>
      </c>
      <c r="AX122" s="611">
        <f>Table1[[#This Row],[الجبر حتي]]-Table1[[#This Row],[رن]]</f>
        <v>0</v>
      </c>
      <c r="AY122" s="611">
        <f>Table1[[#This Row],[الزياده]]+Table1[[#This Row],[التعديل]]+Table1[[#This Row],[جبر الرقم]]</f>
        <v>7383.6</v>
      </c>
      <c r="AZ122" s="611">
        <f>Table1[[#This Row],[الراتب 2018 + النسبه + الفرق]]+Table1[[#This Row],[جبر الرقم]]+Table1[[#This Row],[التعديل]]</f>
        <v>11903.6</v>
      </c>
      <c r="BA122" s="631">
        <f>Table1[[#This Row],[الزياده النهائيه]]/Table1[[#This Row],[راتب ديسمبر 2019]]%</f>
        <v>163.35398230088495</v>
      </c>
      <c r="BB122" s="612">
        <f>VLOOKUP(Table1[[#This Row],[الرقم الوظيفي]],Table6[],8,)</f>
        <v>4520</v>
      </c>
      <c r="BC122" s="7">
        <v>8000</v>
      </c>
      <c r="BD122" s="7">
        <v>8000</v>
      </c>
      <c r="BE122" s="7">
        <v>8000</v>
      </c>
      <c r="BF122" s="5">
        <f>Table1[[#This Row],[الحد الادني]]-Table1[[#This Row],[الراتب 2018+النسبه]]</f>
        <v>6480</v>
      </c>
      <c r="BG122" s="5">
        <f>Table1[[#This Row],[التعديل حتي]]-Table1[[#This Row],[kkk]]</f>
        <v>903.60000000000036</v>
      </c>
      <c r="BH122" s="5">
        <v>7096.4</v>
      </c>
      <c r="BI122" s="5"/>
    </row>
    <row r="123" spans="1:61" ht="21" customHeight="1">
      <c r="A123" s="602">
        <v>610</v>
      </c>
      <c r="B123" s="618" t="str">
        <f>VLOOKUP(Table1[[#This Row],[الرقم الوظيفي]],[1]Sheet2!$1:$1048576,2,)</f>
        <v>محمد الهادى عبدالرحمن</v>
      </c>
      <c r="C123" s="618" t="str">
        <f>VLOOKUP(Table1[[#This Row],[الرقم الوظيفي]],[1]Sheet2!$1:$1048576,7,)</f>
        <v>المصنع</v>
      </c>
      <c r="D123" s="618" t="str">
        <f>VLOOKUP(Table1[[#This Row],[الرقم الوظيفي]],[1]Sheet2!$1:$1048576,8,)</f>
        <v>الانتاج</v>
      </c>
      <c r="E123" s="599">
        <f>VLOOKUP(Table1[[#This Row],[الرقم الوظيفي]],[1]Sheet2!$1:$1048576,9,)</f>
        <v>0</v>
      </c>
      <c r="F123" s="599" t="str">
        <f>VLOOKUP(Table1[[#This Row],[الرقم الوظيفي]],[1]Sheet2!$1:$1048576,12,)</f>
        <v>عامل</v>
      </c>
      <c r="G123" s="599" t="str">
        <f>VLOOKUP(Table1[[#This Row],[الرقم الوظيفي]],[1]Sheet2!$1:$1048576,72,)</f>
        <v>تدريب مهني</v>
      </c>
      <c r="H123" s="599" t="str">
        <f>VLOOKUP(Table1[[#This Row],[الرقم الوظيفي]],[1]Sheet2!$1:$1048576,71,)</f>
        <v>الخراطه</v>
      </c>
      <c r="I123" s="599" t="str">
        <f>VLOOKUP(Table1[[#This Row],[المؤهل الرئيسي]],Table4[],3,)</f>
        <v>F</v>
      </c>
      <c r="J123" s="599" t="s">
        <v>929</v>
      </c>
      <c r="K123" s="615">
        <f>VLOOKUP(Table1[[#This Row],[الرقم الوظيفي]],[1]Sheet2!$1:$1048576,13,)</f>
        <v>42414</v>
      </c>
      <c r="L123" s="615">
        <v>43830</v>
      </c>
      <c r="M123" s="599">
        <f>DATEDIF(Table1[[#This Row],[تاريخ التعيين]],Table1[[#This Row],[اخر العام]],"y")</f>
        <v>3</v>
      </c>
      <c r="N123" s="599">
        <f>DATEDIF(Table1[[#This Row],[تاريخ التعيين]],Table1[[#This Row],[اخر العام]],"ym")</f>
        <v>10</v>
      </c>
      <c r="O123" s="610">
        <f>Table1[[#This Row],[سنوات الخدمه]]*1+Table1[[#This Row],[الشهور اقل من سنه]]*0.08</f>
        <v>3.8</v>
      </c>
      <c r="P123" s="616">
        <v>3070</v>
      </c>
      <c r="Q123" s="617">
        <v>171.92</v>
      </c>
      <c r="R123" s="612"/>
      <c r="S123" s="599"/>
      <c r="T123" s="612"/>
      <c r="U123" s="612"/>
      <c r="V123" s="612"/>
      <c r="W123" s="612"/>
      <c r="X123" s="612"/>
      <c r="Y123" s="612"/>
      <c r="Z123" s="612"/>
      <c r="AA12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3" s="612"/>
      <c r="AC123" s="599"/>
      <c r="AD123" s="612"/>
      <c r="AE123" s="612"/>
      <c r="AF123" s="612"/>
      <c r="AG123" s="612"/>
      <c r="AH123" s="619">
        <f>SUM(Table1[[#This Row],[التقييد  باللوائح و تنفيذالتوجيه]:[اتباع اجراءات السلامه]])</f>
        <v>0</v>
      </c>
      <c r="AI123" s="619">
        <f>Table1[[#This Row],[المجموع]]+Table1[[#This Row],[المجموع2]]</f>
        <v>0</v>
      </c>
      <c r="AJ123" s="612"/>
      <c r="AK123" s="612"/>
      <c r="AL123" s="612"/>
      <c r="AM123" s="612"/>
      <c r="AN123" s="612"/>
      <c r="AO123" s="606">
        <f>Table1[[#This Row],[المجموع 1+2]]*$AO$2</f>
        <v>0</v>
      </c>
      <c r="AP123" s="648">
        <f>Table1[[#This Row],[راتب ديسمبر 2019]]*Table1[[#This Row],[نسبه التقييم الرئيسي 2018]]%</f>
        <v>0</v>
      </c>
      <c r="AQ123" s="627">
        <f>Table1[[#This Row],[مبلغ التقييم النسبي 2018]]+Table1[[#This Row],[راتب ديسمبر 2019]]</f>
        <v>3070</v>
      </c>
      <c r="AR123" s="611">
        <f>IF(Table1[[#This Row],[Column3]]&lt;0,0,Table1[[#This Row],[Column3]])</f>
        <v>2930</v>
      </c>
      <c r="AS123" s="599">
        <f>VLOOKUP(Table1[[#This Row],[درجه التوسيط]],Table10[],3,)</f>
        <v>6000</v>
      </c>
      <c r="AT123" s="608">
        <f>Table1[[#This Row],[الراتب 2018+النسبه]]+Table1[[#This Row],[فروقات الحد الادني]]</f>
        <v>6000</v>
      </c>
      <c r="AU123" s="629">
        <f>Table1[[#This Row],[الراتب 2018 + النسبه + الفرق]]-Table1[[#This Row],[راتب ديسمبر 2019]]</f>
        <v>2930</v>
      </c>
      <c r="AV123" s="628">
        <f>Table1[[#This Row],[الزياده]]/Table1[[#This Row],[راتب ديسمبر 2019]]%</f>
        <v>95.439739413680783</v>
      </c>
      <c r="AW123" s="659">
        <f>IF(Table1[[#This Row],[Column4]]&lt;0,0,Table1[[#This Row],[Column4]])</f>
        <v>0</v>
      </c>
      <c r="AX123" s="611">
        <f>Table1[[#This Row],[الجبر حتي]]-Table1[[#This Row],[رن]]</f>
        <v>4.3000000000001819</v>
      </c>
      <c r="AY123" s="611">
        <f>Table1[[#This Row],[الزياده]]+Table1[[#This Row],[التعديل]]+Table1[[#This Row],[جبر الرقم]]</f>
        <v>2934.3</v>
      </c>
      <c r="AZ123" s="611">
        <f>Table1[[#This Row],[الراتب 2018 + النسبه + الفرق]]+Table1[[#This Row],[جبر الرقم]]+Table1[[#This Row],[التعديل]]</f>
        <v>6004.3</v>
      </c>
      <c r="BA123" s="631">
        <f>Table1[[#This Row],[الزياده النهائيه]]/Table1[[#This Row],[راتب ديسمبر 2019]]%</f>
        <v>95.579804560260598</v>
      </c>
      <c r="BB123" s="612">
        <f>VLOOKUP(Table1[[#This Row],[الرقم الوظيفي]],Table6[],8,)</f>
        <v>3070</v>
      </c>
      <c r="BC123" s="7"/>
      <c r="BD123" s="7">
        <v>4640</v>
      </c>
      <c r="BE123" s="7">
        <v>4635.7</v>
      </c>
      <c r="BF123" s="5">
        <f>Table1[[#This Row],[الحد الادني]]-Table1[[#This Row],[الراتب 2018+النسبه]]</f>
        <v>2930</v>
      </c>
      <c r="BG123" s="5">
        <f>Table1[[#This Row],[التعديل حتي]]-Table1[[#This Row],[kkk]]</f>
        <v>-4635.7</v>
      </c>
      <c r="BH123" s="5">
        <v>4635.7</v>
      </c>
      <c r="BI123" s="5"/>
    </row>
    <row r="124" spans="1:61" ht="21" customHeight="1">
      <c r="A124" s="602">
        <v>625</v>
      </c>
      <c r="B124" s="618" t="str">
        <f>VLOOKUP(Table1[[#This Row],[الرقم الوظيفي]],[1]Sheet2!$1:$1048576,2,)</f>
        <v>عابدين بخيت عبدالفضيل اسماعيل</v>
      </c>
      <c r="C124" s="618" t="str">
        <f>VLOOKUP(Table1[[#This Row],[الرقم الوظيفي]],[1]Sheet2!$1:$1048576,7,)</f>
        <v>المصنع</v>
      </c>
      <c r="D124" s="618" t="str">
        <f>VLOOKUP(Table1[[#This Row],[الرقم الوظيفي]],[1]Sheet2!$1:$1048576,8,)</f>
        <v>الانتاج</v>
      </c>
      <c r="E124" s="599" t="str">
        <f>VLOOKUP(Table1[[#This Row],[الرقم الوظيفي]],[1]Sheet2!$1:$1048576,9,)</f>
        <v>الزوايا</v>
      </c>
      <c r="F124" s="599" t="str">
        <f>VLOOKUP(Table1[[#This Row],[الرقم الوظيفي]],[1]Sheet2!$1:$1048576,12,)</f>
        <v>عامل</v>
      </c>
      <c r="G124" s="599">
        <f>VLOOKUP(Table1[[#This Row],[الرقم الوظيفي]],[1]Sheet2!$1:$1048576,72,)</f>
        <v>0</v>
      </c>
      <c r="H124" s="599">
        <f>VLOOKUP(Table1[[#This Row],[الرقم الوظيفي]],[1]Sheet2!$1:$1048576,71,)</f>
        <v>0</v>
      </c>
      <c r="I124" s="599" t="str">
        <f>VLOOKUP(Table1[[#This Row],[المؤهل الرئيسي]],Table4[],3,)</f>
        <v>H</v>
      </c>
      <c r="J124" s="599" t="s">
        <v>929</v>
      </c>
      <c r="K124" s="615">
        <f>VLOOKUP(Table1[[#This Row],[الرقم الوظيفي]],[1]Sheet2!$1:$1048576,13,)</f>
        <v>41585</v>
      </c>
      <c r="L124" s="615">
        <v>43830</v>
      </c>
      <c r="M124" s="599">
        <f>DATEDIF(Table1[[#This Row],[تاريخ التعيين]],Table1[[#This Row],[اخر العام]],"y")</f>
        <v>6</v>
      </c>
      <c r="N124" s="599">
        <f>DATEDIF(Table1[[#This Row],[تاريخ التعيين]],Table1[[#This Row],[اخر العام]],"ym")</f>
        <v>1</v>
      </c>
      <c r="O124" s="610">
        <f>Table1[[#This Row],[سنوات الخدمه]]*1+Table1[[#This Row],[الشهور اقل من سنه]]*0.08</f>
        <v>6.08</v>
      </c>
      <c r="P124" s="616">
        <v>3160</v>
      </c>
      <c r="Q124" s="617">
        <v>321.05599999999998</v>
      </c>
      <c r="R124" s="612"/>
      <c r="S124" s="599"/>
      <c r="T124" s="612"/>
      <c r="U124" s="612"/>
      <c r="V124" s="612"/>
      <c r="W124" s="612"/>
      <c r="X124" s="612"/>
      <c r="Y124" s="612"/>
      <c r="Z124" s="612"/>
      <c r="AA12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4" s="612"/>
      <c r="AC124" s="599"/>
      <c r="AD124" s="612"/>
      <c r="AE124" s="612"/>
      <c r="AF124" s="612"/>
      <c r="AG124" s="612"/>
      <c r="AH124" s="619">
        <f>SUM(Table1[[#This Row],[التقييد  باللوائح و تنفيذالتوجيه]:[اتباع اجراءات السلامه]])</f>
        <v>0</v>
      </c>
      <c r="AI124" s="619">
        <f>Table1[[#This Row],[المجموع]]+Table1[[#This Row],[المجموع2]]</f>
        <v>0</v>
      </c>
      <c r="AJ124" s="612"/>
      <c r="AK124" s="612"/>
      <c r="AL124" s="612"/>
      <c r="AM124" s="612"/>
      <c r="AN124" s="612"/>
      <c r="AO124" s="606">
        <f>Table1[[#This Row],[المجموع 1+2]]*$AO$2</f>
        <v>0</v>
      </c>
      <c r="AP124" s="648">
        <f>Table1[[#This Row],[راتب ديسمبر 2019]]*Table1[[#This Row],[نسبه التقييم الرئيسي 2018]]%</f>
        <v>0</v>
      </c>
      <c r="AQ124" s="627">
        <f>Table1[[#This Row],[مبلغ التقييم النسبي 2018]]+Table1[[#This Row],[راتب ديسمبر 2019]]</f>
        <v>3160</v>
      </c>
      <c r="AR124" s="611">
        <f>IF(Table1[[#This Row],[Column3]]&lt;0,0,Table1[[#This Row],[Column3]])</f>
        <v>2840</v>
      </c>
      <c r="AS124" s="599">
        <f>VLOOKUP(Table1[[#This Row],[درجه التوسيط]],Table10[],3,)</f>
        <v>6000</v>
      </c>
      <c r="AT124" s="608">
        <f>Table1[[#This Row],[الراتب 2018+النسبه]]+Table1[[#This Row],[فروقات الحد الادني]]</f>
        <v>6000</v>
      </c>
      <c r="AU124" s="629">
        <f>Table1[[#This Row],[الراتب 2018 + النسبه + الفرق]]-Table1[[#This Row],[راتب ديسمبر 2019]]</f>
        <v>2840</v>
      </c>
      <c r="AV124" s="628">
        <f>Table1[[#This Row],[الزياده]]/Table1[[#This Row],[راتب ديسمبر 2019]]%</f>
        <v>89.87341772151899</v>
      </c>
      <c r="AW124" s="659">
        <f>IF(Table1[[#This Row],[Column4]]&lt;0,0,Table1[[#This Row],[Column4]])</f>
        <v>0</v>
      </c>
      <c r="AX124" s="611">
        <f>Table1[[#This Row],[الجبر حتي]]-Table1[[#This Row],[رن]]</f>
        <v>4.6399999999994179</v>
      </c>
      <c r="AY124" s="611">
        <f>Table1[[#This Row],[الزياده]]+Table1[[#This Row],[التعديل]]+Table1[[#This Row],[جبر الرقم]]</f>
        <v>2844.6399999999994</v>
      </c>
      <c r="AZ124" s="611">
        <f>Table1[[#This Row],[الراتب 2018 + النسبه + الفرق]]+Table1[[#This Row],[جبر الرقم]]+Table1[[#This Row],[التعديل]]</f>
        <v>6004.6399999999994</v>
      </c>
      <c r="BA124" s="631">
        <f>Table1[[#This Row],[الزياده النهائيه]]/Table1[[#This Row],[راتب ديسمبر 2019]]%</f>
        <v>90.020253164556934</v>
      </c>
      <c r="BB124" s="612">
        <f>VLOOKUP(Table1[[#This Row],[الرقم الوظيفي]],Table6[],8,)</f>
        <v>3160</v>
      </c>
      <c r="BC124" s="7"/>
      <c r="BD124" s="7">
        <v>4890</v>
      </c>
      <c r="BE124" s="7">
        <v>4885.3600000000006</v>
      </c>
      <c r="BF124" s="5">
        <f>Table1[[#This Row],[الحد الادني]]-Table1[[#This Row],[الراتب 2018+النسبه]]</f>
        <v>2840</v>
      </c>
      <c r="BG124" s="5">
        <f>Table1[[#This Row],[التعديل حتي]]-Table1[[#This Row],[kkk]]</f>
        <v>-4885.3600000000006</v>
      </c>
      <c r="BH124" s="5">
        <v>4885.3600000000006</v>
      </c>
      <c r="BI124" s="5"/>
    </row>
    <row r="125" spans="1:61" ht="21" customHeight="1">
      <c r="A125" s="602">
        <v>627</v>
      </c>
      <c r="B125" s="618" t="str">
        <f>VLOOKUP(Table1[[#This Row],[الرقم الوظيفي]],[1]Sheet2!$1:$1048576,2,)</f>
        <v>رانى عمر الامين محمد احمد</v>
      </c>
      <c r="C125" s="618" t="str">
        <f>VLOOKUP(Table1[[#This Row],[الرقم الوظيفي]],[1]Sheet2!$1:$1048576,7,)</f>
        <v>المصنع</v>
      </c>
      <c r="D125" s="618" t="str">
        <f>VLOOKUP(Table1[[#This Row],[الرقم الوظيفي]],[1]Sheet2!$1:$1048576,8,)</f>
        <v>الانتاج</v>
      </c>
      <c r="E125" s="599" t="str">
        <f>VLOOKUP(Table1[[#This Row],[الرقم الوظيفي]],[1]Sheet2!$1:$1048576,9,)</f>
        <v>التشريح</v>
      </c>
      <c r="F125" s="599" t="str">
        <f>VLOOKUP(Table1[[#This Row],[الرقم الوظيفي]],[1]Sheet2!$1:$1048576,12,)</f>
        <v>مشغل كرين</v>
      </c>
      <c r="G125" s="599" t="str">
        <f>VLOOKUP(Table1[[#This Row],[الرقم الوظيفي]],[1]Sheet2!$1:$1048576,72,)</f>
        <v>شهاده ثانويه</v>
      </c>
      <c r="H125" s="599">
        <f>VLOOKUP(Table1[[#This Row],[الرقم الوظيفي]],[1]Sheet2!$1:$1048576,71,)</f>
        <v>0</v>
      </c>
      <c r="I125" s="599" t="str">
        <f>VLOOKUP(Table1[[#This Row],[المؤهل الرئيسي]],Table4[],3,)</f>
        <v>F</v>
      </c>
      <c r="J125" s="599" t="s">
        <v>925</v>
      </c>
      <c r="K125" s="615">
        <f>VLOOKUP(Table1[[#This Row],[الرقم الوظيفي]],[1]Sheet2!$1:$1048576,13,)</f>
        <v>41587</v>
      </c>
      <c r="L125" s="615">
        <v>43830</v>
      </c>
      <c r="M125" s="599">
        <f>DATEDIF(Table1[[#This Row],[تاريخ التعيين]],Table1[[#This Row],[اخر العام]],"y")</f>
        <v>6</v>
      </c>
      <c r="N125" s="599">
        <f>DATEDIF(Table1[[#This Row],[تاريخ التعيين]],Table1[[#This Row],[اخر العام]],"ym")</f>
        <v>1</v>
      </c>
      <c r="O125" s="610">
        <f>Table1[[#This Row],[سنوات الخدمه]]*1+Table1[[#This Row],[الشهور اقل من سنه]]*0.08</f>
        <v>6.08</v>
      </c>
      <c r="P125" s="616">
        <v>4180</v>
      </c>
      <c r="Q125" s="617">
        <v>424.68799999999999</v>
      </c>
      <c r="R125" s="612"/>
      <c r="S125" s="599"/>
      <c r="T125" s="612"/>
      <c r="U125" s="612"/>
      <c r="V125" s="612"/>
      <c r="W125" s="612"/>
      <c r="X125" s="612"/>
      <c r="Y125" s="612"/>
      <c r="Z125" s="612"/>
      <c r="AA12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5" s="612"/>
      <c r="AC125" s="599"/>
      <c r="AD125" s="612"/>
      <c r="AE125" s="612"/>
      <c r="AF125" s="612"/>
      <c r="AG125" s="612"/>
      <c r="AH125" s="619">
        <f>SUM(Table1[[#This Row],[التقييد  باللوائح و تنفيذالتوجيه]:[اتباع اجراءات السلامه]])</f>
        <v>0</v>
      </c>
      <c r="AI125" s="619">
        <f>Table1[[#This Row],[المجموع]]+Table1[[#This Row],[المجموع2]]</f>
        <v>0</v>
      </c>
      <c r="AJ125" s="612"/>
      <c r="AK125" s="612"/>
      <c r="AL125" s="612"/>
      <c r="AM125" s="612"/>
      <c r="AN125" s="612"/>
      <c r="AO125" s="606">
        <f>Table1[[#This Row],[المجموع 1+2]]*$AO$2</f>
        <v>0</v>
      </c>
      <c r="AP125" s="648">
        <f>Table1[[#This Row],[راتب ديسمبر 2019]]*Table1[[#This Row],[نسبه التقييم الرئيسي 2018]]%</f>
        <v>0</v>
      </c>
      <c r="AQ125" s="627">
        <f>Table1[[#This Row],[مبلغ التقييم النسبي 2018]]+Table1[[#This Row],[راتب ديسمبر 2019]]</f>
        <v>4180</v>
      </c>
      <c r="AR125" s="611">
        <f>IF(Table1[[#This Row],[Column3]]&lt;0,0,Table1[[#This Row],[Column3]])</f>
        <v>4820</v>
      </c>
      <c r="AS125" s="599">
        <f>VLOOKUP(Table1[[#This Row],[درجه التوسيط]],Table10[],3,)</f>
        <v>9000</v>
      </c>
      <c r="AT125" s="608">
        <f>Table1[[#This Row],[الراتب 2018+النسبه]]+Table1[[#This Row],[فروقات الحد الادني]]</f>
        <v>9000</v>
      </c>
      <c r="AU125" s="629">
        <f>Table1[[#This Row],[الراتب 2018 + النسبه + الفرق]]-Table1[[#This Row],[راتب ديسمبر 2019]]</f>
        <v>4820</v>
      </c>
      <c r="AV125" s="628">
        <f>Table1[[#This Row],[الزياده]]/Table1[[#This Row],[راتب ديسمبر 2019]]%</f>
        <v>115.311004784689</v>
      </c>
      <c r="AW125" s="659">
        <f>IF(Table1[[#This Row],[Column4]]&lt;0,0,Table1[[#This Row],[Column4]])</f>
        <v>0</v>
      </c>
      <c r="AX125" s="611">
        <f>Table1[[#This Row],[الجبر حتي]]-Table1[[#This Row],[رن]]</f>
        <v>2.4799999999995634</v>
      </c>
      <c r="AY125" s="611">
        <f>Table1[[#This Row],[الزياده]]+Table1[[#This Row],[التعديل]]+Table1[[#This Row],[جبر الرقم]]</f>
        <v>4822.4799999999996</v>
      </c>
      <c r="AZ125" s="611">
        <f>Table1[[#This Row],[الراتب 2018 + النسبه + الفرق]]+Table1[[#This Row],[جبر الرقم]]+Table1[[#This Row],[التعديل]]</f>
        <v>9002.48</v>
      </c>
      <c r="BA125" s="631">
        <f>Table1[[#This Row],[الزياده النهائيه]]/Table1[[#This Row],[راتب ديسمبر 2019]]%</f>
        <v>115.37033492822967</v>
      </c>
      <c r="BB125" s="612">
        <f>VLOOKUP(Table1[[#This Row],[الرقم الوظيفي]],Table6[],8,)</f>
        <v>4180</v>
      </c>
      <c r="BC125" s="7"/>
      <c r="BD125" s="7">
        <v>6540</v>
      </c>
      <c r="BE125" s="7">
        <v>6537.52</v>
      </c>
      <c r="BF125" s="5">
        <f>Table1[[#This Row],[الحد الادني]]-Table1[[#This Row],[الراتب 2018+النسبه]]</f>
        <v>4820</v>
      </c>
      <c r="BG125" s="5">
        <f>Table1[[#This Row],[التعديل حتي]]-Table1[[#This Row],[kkk]]</f>
        <v>-6537.52</v>
      </c>
      <c r="BH125" s="5">
        <v>6537.52</v>
      </c>
      <c r="BI125" s="5"/>
    </row>
    <row r="126" spans="1:61" ht="21" customHeight="1">
      <c r="A126" s="602">
        <v>631</v>
      </c>
      <c r="B126" s="618" t="str">
        <f>VLOOKUP(Table1[[#This Row],[الرقم الوظيفي]],[1]Sheet2!$1:$1048576,2,)</f>
        <v>سعيد احمد محمد سعيد</v>
      </c>
      <c r="C126" s="618" t="str">
        <f>VLOOKUP(Table1[[#This Row],[الرقم الوظيفي]],[1]Sheet2!$1:$1048576,7,)</f>
        <v>المصنع</v>
      </c>
      <c r="D126" s="618" t="str">
        <f>VLOOKUP(Table1[[#This Row],[الرقم الوظيفي]],[1]Sheet2!$1:$1048576,8,)</f>
        <v>الانتاج</v>
      </c>
      <c r="E126" s="599" t="str">
        <f>VLOOKUP(Table1[[#This Row],[الرقم الوظيفي]],[1]Sheet2!$1:$1048576,9,)</f>
        <v>المواسير</v>
      </c>
      <c r="F126" s="599" t="str">
        <f>VLOOKUP(Table1[[#This Row],[الرقم الوظيفي]],[1]Sheet2!$1:$1048576,12,)</f>
        <v>مشغل</v>
      </c>
      <c r="G126" s="599">
        <f>VLOOKUP(Table1[[#This Row],[الرقم الوظيفي]],[1]Sheet2!$1:$1048576,72,)</f>
        <v>0</v>
      </c>
      <c r="H126" s="599">
        <f>VLOOKUP(Table1[[#This Row],[الرقم الوظيفي]],[1]Sheet2!$1:$1048576,71,)</f>
        <v>0</v>
      </c>
      <c r="I126" s="599" t="str">
        <f>VLOOKUP(Table1[[#This Row],[المؤهل الرئيسي]],Table4[],3,)</f>
        <v>H</v>
      </c>
      <c r="J126" s="599" t="s">
        <v>922</v>
      </c>
      <c r="K126" s="615">
        <f>VLOOKUP(Table1[[#This Row],[الرقم الوظيفي]],[1]Sheet2!$1:$1048576,13,)</f>
        <v>41589</v>
      </c>
      <c r="L126" s="615">
        <v>43830</v>
      </c>
      <c r="M126" s="599">
        <f>DATEDIF(Table1[[#This Row],[تاريخ التعيين]],Table1[[#This Row],[اخر العام]],"y")</f>
        <v>6</v>
      </c>
      <c r="N126" s="599">
        <f>DATEDIF(Table1[[#This Row],[تاريخ التعيين]],Table1[[#This Row],[اخر العام]],"ym")</f>
        <v>1</v>
      </c>
      <c r="O126" s="610">
        <f>Table1[[#This Row],[سنوات الخدمه]]*1+Table1[[#This Row],[الشهور اقل من سنه]]*0.08</f>
        <v>6.08</v>
      </c>
      <c r="P126" s="616">
        <v>4180</v>
      </c>
      <c r="Q126" s="617">
        <v>424.68799999999999</v>
      </c>
      <c r="R126" s="612"/>
      <c r="S126" s="599"/>
      <c r="T126" s="612"/>
      <c r="U126" s="612"/>
      <c r="V126" s="612"/>
      <c r="W126" s="612"/>
      <c r="X126" s="612"/>
      <c r="Y126" s="612"/>
      <c r="Z126" s="612"/>
      <c r="AA12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6" s="612"/>
      <c r="AC126" s="599"/>
      <c r="AD126" s="612"/>
      <c r="AE126" s="612"/>
      <c r="AF126" s="612"/>
      <c r="AG126" s="612"/>
      <c r="AH126" s="619">
        <f>SUM(Table1[[#This Row],[التقييد  باللوائح و تنفيذالتوجيه]:[اتباع اجراءات السلامه]])</f>
        <v>0</v>
      </c>
      <c r="AI126" s="619">
        <f>Table1[[#This Row],[المجموع]]+Table1[[#This Row],[المجموع2]]</f>
        <v>0</v>
      </c>
      <c r="AJ126" s="612"/>
      <c r="AK126" s="612"/>
      <c r="AL126" s="612"/>
      <c r="AM126" s="612"/>
      <c r="AN126" s="612"/>
      <c r="AO126" s="606">
        <f>Table1[[#This Row],[المجموع 1+2]]*$AO$2</f>
        <v>0</v>
      </c>
      <c r="AP126" s="648">
        <f>Table1[[#This Row],[راتب ديسمبر 2019]]*Table1[[#This Row],[نسبه التقييم الرئيسي 2018]]%</f>
        <v>0</v>
      </c>
      <c r="AQ126" s="627">
        <f>Table1[[#This Row],[مبلغ التقييم النسبي 2018]]+Table1[[#This Row],[راتب ديسمبر 2019]]</f>
        <v>4180</v>
      </c>
      <c r="AR126" s="611">
        <f>IF(Table1[[#This Row],[Column3]]&lt;0,0,Table1[[#This Row],[Column3]])</f>
        <v>6820</v>
      </c>
      <c r="AS126" s="599">
        <f>VLOOKUP(Table1[[#This Row],[درجه التوسيط]],Table10[],3,)</f>
        <v>11000</v>
      </c>
      <c r="AT126" s="608">
        <f>Table1[[#This Row],[الراتب 2018+النسبه]]+Table1[[#This Row],[فروقات الحد الادني]]</f>
        <v>11000</v>
      </c>
      <c r="AU126" s="629">
        <f>Table1[[#This Row],[الراتب 2018 + النسبه + الفرق]]-Table1[[#This Row],[راتب ديسمبر 2019]]</f>
        <v>6820</v>
      </c>
      <c r="AV126" s="628">
        <f>Table1[[#This Row],[الزياده]]/Table1[[#This Row],[راتب ديسمبر 2019]]%</f>
        <v>163.15789473684211</v>
      </c>
      <c r="AW126" s="659">
        <f>IF(Table1[[#This Row],[Column4]]&lt;0,0,Table1[[#This Row],[Column4]])</f>
        <v>0</v>
      </c>
      <c r="AX126" s="611">
        <f>Table1[[#This Row],[الجبر حتي]]-Table1[[#This Row],[رن]]</f>
        <v>0</v>
      </c>
      <c r="AY126" s="611">
        <f>Table1[[#This Row],[الزياده]]+Table1[[#This Row],[التعديل]]+Table1[[#This Row],[جبر الرقم]]</f>
        <v>6820</v>
      </c>
      <c r="AZ126" s="611">
        <f>Table1[[#This Row],[الراتب 2018 + النسبه + الفرق]]+Table1[[#This Row],[جبر الرقم]]+Table1[[#This Row],[التعديل]]</f>
        <v>11000</v>
      </c>
      <c r="BA126" s="631">
        <f>Table1[[#This Row],[الزياده النهائيه]]/Table1[[#This Row],[راتب ديسمبر 2019]]%</f>
        <v>163.15789473684211</v>
      </c>
      <c r="BB126" s="612">
        <f>VLOOKUP(Table1[[#This Row],[الرقم الوظيفي]],Table6[],8,)</f>
        <v>4180</v>
      </c>
      <c r="BC126" s="7"/>
      <c r="BD126" s="7">
        <v>7000</v>
      </c>
      <c r="BE126" s="7">
        <v>7000</v>
      </c>
      <c r="BF126" s="5">
        <f>Table1[[#This Row],[الحد الادني]]-Table1[[#This Row],[الراتب 2018+النسبه]]</f>
        <v>6820</v>
      </c>
      <c r="BG126" s="5">
        <f>Table1[[#This Row],[التعديل حتي]]-Table1[[#This Row],[kkk]]</f>
        <v>-7000</v>
      </c>
      <c r="BH126" s="5">
        <v>7000</v>
      </c>
      <c r="BI126" s="5"/>
    </row>
    <row r="127" spans="1:61" ht="21" customHeight="1">
      <c r="A127" s="602">
        <v>643</v>
      </c>
      <c r="B127" s="618" t="str">
        <f>VLOOKUP(Table1[[#This Row],[الرقم الوظيفي]],[1]Sheet2!$1:$1048576,2,)</f>
        <v>صالح يعقوب محمد ابراهيم</v>
      </c>
      <c r="C127" s="618" t="str">
        <f>VLOOKUP(Table1[[#This Row],[الرقم الوظيفي]],[1]Sheet2!$1:$1048576,7,)</f>
        <v>المصنع</v>
      </c>
      <c r="D127" s="618" t="str">
        <f>VLOOKUP(Table1[[#This Row],[الرقم الوظيفي]],[1]Sheet2!$1:$1048576,8,)</f>
        <v>الخدمات</v>
      </c>
      <c r="E127" s="599">
        <f>VLOOKUP(Table1[[#This Row],[الرقم الوظيفي]],[1]Sheet2!$1:$1048576,9,)</f>
        <v>0</v>
      </c>
      <c r="F127" s="599" t="str">
        <f>VLOOKUP(Table1[[#This Row],[الرقم الوظيفي]],[1]Sheet2!$1:$1048576,12,)</f>
        <v>عامل</v>
      </c>
      <c r="G127" s="599">
        <f>VLOOKUP(Table1[[#This Row],[الرقم الوظيفي]],[1]Sheet2!$1:$1048576,72,)</f>
        <v>0</v>
      </c>
      <c r="H127" s="599">
        <f>VLOOKUP(Table1[[#This Row],[الرقم الوظيفي]],[1]Sheet2!$1:$1048576,71,)</f>
        <v>0</v>
      </c>
      <c r="I127" s="599" t="str">
        <f>VLOOKUP(Table1[[#This Row],[المؤهل الرئيسي]],Table4[],3,)</f>
        <v>H</v>
      </c>
      <c r="J127" s="599" t="s">
        <v>929</v>
      </c>
      <c r="K127" s="615">
        <f>VLOOKUP(Table1[[#This Row],[الرقم الوظيفي]],[1]Sheet2!$1:$1048576,13,)</f>
        <v>41599</v>
      </c>
      <c r="L127" s="615">
        <v>43830</v>
      </c>
      <c r="M127" s="599">
        <f>DATEDIF(Table1[[#This Row],[تاريخ التعيين]],Table1[[#This Row],[اخر العام]],"y")</f>
        <v>6</v>
      </c>
      <c r="N127" s="599">
        <f>DATEDIF(Table1[[#This Row],[تاريخ التعيين]],Table1[[#This Row],[اخر العام]],"ym")</f>
        <v>1</v>
      </c>
      <c r="O127" s="610">
        <f>Table1[[#This Row],[سنوات الخدمه]]*1+Table1[[#This Row],[الشهور اقل من سنه]]*0.08</f>
        <v>6.08</v>
      </c>
      <c r="P127" s="616">
        <v>3150</v>
      </c>
      <c r="Q127" s="617">
        <v>320.04000000000002</v>
      </c>
      <c r="R127" s="612"/>
      <c r="S127" s="599"/>
      <c r="T127" s="612"/>
      <c r="U127" s="612"/>
      <c r="V127" s="612"/>
      <c r="W127" s="612"/>
      <c r="X127" s="612"/>
      <c r="Y127" s="612"/>
      <c r="Z127" s="612"/>
      <c r="AA12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7" s="612"/>
      <c r="AC127" s="599"/>
      <c r="AD127" s="612"/>
      <c r="AE127" s="612"/>
      <c r="AF127" s="612"/>
      <c r="AG127" s="612"/>
      <c r="AH127" s="619">
        <f>SUM(Table1[[#This Row],[التقييد  باللوائح و تنفيذالتوجيه]:[اتباع اجراءات السلامه]])</f>
        <v>0</v>
      </c>
      <c r="AI127" s="619">
        <f>Table1[[#This Row],[المجموع]]+Table1[[#This Row],[المجموع2]]</f>
        <v>0</v>
      </c>
      <c r="AJ127" s="612"/>
      <c r="AK127" s="612"/>
      <c r="AL127" s="612"/>
      <c r="AM127" s="612"/>
      <c r="AN127" s="612"/>
      <c r="AO127" s="606">
        <f>Table1[[#This Row],[المجموع 1+2]]*$AO$2</f>
        <v>0</v>
      </c>
      <c r="AP127" s="648">
        <f>Table1[[#This Row],[راتب ديسمبر 2019]]*Table1[[#This Row],[نسبه التقييم الرئيسي 2018]]%</f>
        <v>0</v>
      </c>
      <c r="AQ127" s="627">
        <f>Table1[[#This Row],[مبلغ التقييم النسبي 2018]]+Table1[[#This Row],[راتب ديسمبر 2019]]</f>
        <v>3150</v>
      </c>
      <c r="AR127" s="611">
        <f>IF(Table1[[#This Row],[Column3]]&lt;0,0,Table1[[#This Row],[Column3]])</f>
        <v>2850</v>
      </c>
      <c r="AS127" s="599">
        <f>VLOOKUP(Table1[[#This Row],[درجه التوسيط]],Table10[],3,)</f>
        <v>6000</v>
      </c>
      <c r="AT127" s="608">
        <f>Table1[[#This Row],[الراتب 2018+النسبه]]+Table1[[#This Row],[فروقات الحد الادني]]</f>
        <v>6000</v>
      </c>
      <c r="AU127" s="629">
        <f>Table1[[#This Row],[الراتب 2018 + النسبه + الفرق]]-Table1[[#This Row],[راتب ديسمبر 2019]]</f>
        <v>2850</v>
      </c>
      <c r="AV127" s="628">
        <f>Table1[[#This Row],[الزياده]]/Table1[[#This Row],[راتب ديسمبر 2019]]%</f>
        <v>90.476190476190482</v>
      </c>
      <c r="AW127" s="659">
        <f>IF(Table1[[#This Row],[Column4]]&lt;0,0,Table1[[#This Row],[Column4]])</f>
        <v>0</v>
      </c>
      <c r="AX127" s="611">
        <f>Table1[[#This Row],[الجبر حتي]]-Table1[[#This Row],[رن]]</f>
        <v>4.5</v>
      </c>
      <c r="AY127" s="611">
        <f>Table1[[#This Row],[الزياده]]+Table1[[#This Row],[التعديل]]+Table1[[#This Row],[جبر الرقم]]</f>
        <v>2854.5</v>
      </c>
      <c r="AZ127" s="611">
        <f>Table1[[#This Row],[الراتب 2018 + النسبه + الفرق]]+Table1[[#This Row],[جبر الرقم]]+Table1[[#This Row],[التعديل]]</f>
        <v>6004.5</v>
      </c>
      <c r="BA127" s="631">
        <f>Table1[[#This Row],[الزياده النهائيه]]/Table1[[#This Row],[راتب ديسمبر 2019]]%</f>
        <v>90.61904761904762</v>
      </c>
      <c r="BB127" s="612">
        <f>VLOOKUP(Table1[[#This Row],[الرقم الوظيفي]],Table6[],8,)</f>
        <v>3150</v>
      </c>
      <c r="BC127" s="7"/>
      <c r="BD127" s="7">
        <v>4950</v>
      </c>
      <c r="BE127" s="7">
        <v>4945.5</v>
      </c>
      <c r="BF127" s="5">
        <f>Table1[[#This Row],[الحد الادني]]-Table1[[#This Row],[الراتب 2018+النسبه]]</f>
        <v>2850</v>
      </c>
      <c r="BG127" s="5">
        <f>Table1[[#This Row],[التعديل حتي]]-Table1[[#This Row],[kkk]]</f>
        <v>-4945.5</v>
      </c>
      <c r="BH127" s="5">
        <v>4945.5</v>
      </c>
      <c r="BI127" s="5"/>
    </row>
    <row r="128" spans="1:61" ht="21" customHeight="1">
      <c r="A128" s="602">
        <v>650</v>
      </c>
      <c r="B128" s="618" t="str">
        <f>VLOOKUP(Table1[[#This Row],[الرقم الوظيفي]],[1]Sheet2!$1:$1048576,2,)</f>
        <v>ناصر ابراهيم ادريس عشر</v>
      </c>
      <c r="C128" s="618" t="str">
        <f>VLOOKUP(Table1[[#This Row],[الرقم الوظيفي]],[1]Sheet2!$1:$1048576,7,)</f>
        <v>المصنع</v>
      </c>
      <c r="D128" s="618" t="str">
        <f>VLOOKUP(Table1[[#This Row],[الرقم الوظيفي]],[1]Sheet2!$1:$1048576,8,)</f>
        <v>الانتاج</v>
      </c>
      <c r="E128" s="599" t="str">
        <f>VLOOKUP(Table1[[#This Row],[الرقم الوظيفي]],[1]Sheet2!$1:$1048576,9,)</f>
        <v>اليات</v>
      </c>
      <c r="F128" s="599" t="str">
        <f>VLOOKUP(Table1[[#This Row],[الرقم الوظيفي]],[1]Sheet2!$1:$1048576,12,)</f>
        <v>سائق اليات</v>
      </c>
      <c r="G128" s="599">
        <f>VLOOKUP(Table1[[#This Row],[الرقم الوظيفي]],[1]Sheet2!$1:$1048576,72,)</f>
        <v>0</v>
      </c>
      <c r="H128" s="599">
        <f>VLOOKUP(Table1[[#This Row],[الرقم الوظيفي]],[1]Sheet2!$1:$1048576,71,)</f>
        <v>0</v>
      </c>
      <c r="I128" s="599" t="str">
        <f>VLOOKUP(Table1[[#This Row],[المؤهل الرئيسي]],Table4[],3,)</f>
        <v>H</v>
      </c>
      <c r="J128" s="599" t="s">
        <v>922</v>
      </c>
      <c r="K128" s="615">
        <f>VLOOKUP(Table1[[#This Row],[الرقم الوظيفي]],[1]Sheet2!$1:$1048576,13,)</f>
        <v>41609</v>
      </c>
      <c r="L128" s="615">
        <v>43830</v>
      </c>
      <c r="M128" s="599">
        <f>DATEDIF(Table1[[#This Row],[تاريخ التعيين]],Table1[[#This Row],[اخر العام]],"y")</f>
        <v>6</v>
      </c>
      <c r="N128" s="599">
        <f>DATEDIF(Table1[[#This Row],[تاريخ التعيين]],Table1[[#This Row],[اخر العام]],"ym")</f>
        <v>0</v>
      </c>
      <c r="O128" s="610">
        <f>Table1[[#This Row],[سنوات الخدمه]]*1+Table1[[#This Row],[الشهور اقل من سنه]]*0.08</f>
        <v>6</v>
      </c>
      <c r="P128" s="616">
        <v>5560</v>
      </c>
      <c r="Q128" s="617">
        <v>556</v>
      </c>
      <c r="R128" s="612"/>
      <c r="S128" s="599"/>
      <c r="T128" s="612"/>
      <c r="U128" s="612"/>
      <c r="V128" s="612"/>
      <c r="W128" s="612"/>
      <c r="X128" s="612"/>
      <c r="Y128" s="612"/>
      <c r="Z128" s="612"/>
      <c r="AA12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8" s="612"/>
      <c r="AC128" s="599"/>
      <c r="AD128" s="612"/>
      <c r="AE128" s="612"/>
      <c r="AF128" s="612"/>
      <c r="AG128" s="612"/>
      <c r="AH128" s="619">
        <f>SUM(Table1[[#This Row],[التقييد  باللوائح و تنفيذالتوجيه]:[اتباع اجراءات السلامه]])</f>
        <v>0</v>
      </c>
      <c r="AI128" s="619">
        <f>Table1[[#This Row],[المجموع]]+Table1[[#This Row],[المجموع2]]</f>
        <v>0</v>
      </c>
      <c r="AJ128" s="612"/>
      <c r="AK128" s="612"/>
      <c r="AL128" s="612"/>
      <c r="AM128" s="612"/>
      <c r="AN128" s="612"/>
      <c r="AO128" s="606">
        <f>Table1[[#This Row],[المجموع 1+2]]*$AO$2</f>
        <v>0</v>
      </c>
      <c r="AP128" s="648">
        <f>Table1[[#This Row],[راتب ديسمبر 2019]]*Table1[[#This Row],[نسبه التقييم الرئيسي 2018]]%</f>
        <v>0</v>
      </c>
      <c r="AQ128" s="627">
        <f>Table1[[#This Row],[مبلغ التقييم النسبي 2018]]+Table1[[#This Row],[راتب ديسمبر 2019]]</f>
        <v>5560</v>
      </c>
      <c r="AR128" s="611">
        <f>IF(Table1[[#This Row],[Column3]]&lt;0,0,Table1[[#This Row],[Column3]])</f>
        <v>5440</v>
      </c>
      <c r="AS128" s="599">
        <f>VLOOKUP(Table1[[#This Row],[درجه التوسيط]],Table10[],3,)</f>
        <v>11000</v>
      </c>
      <c r="AT128" s="608">
        <f>Table1[[#This Row],[الراتب 2018+النسبه]]+Table1[[#This Row],[فروقات الحد الادني]]</f>
        <v>11000</v>
      </c>
      <c r="AU128" s="629">
        <f>Table1[[#This Row],[الراتب 2018 + النسبه + الفرق]]-Table1[[#This Row],[راتب ديسمبر 2019]]</f>
        <v>5440</v>
      </c>
      <c r="AV128" s="628">
        <f>Table1[[#This Row],[الزياده]]/Table1[[#This Row],[راتب ديسمبر 2019]]%</f>
        <v>97.841726618705039</v>
      </c>
      <c r="AW128" s="659">
        <f>IF(Table1[[#This Row],[Column4]]&lt;0,0,Table1[[#This Row],[Column4]])</f>
        <v>204.47999999999956</v>
      </c>
      <c r="AX128" s="611">
        <f>Table1[[#This Row],[الجبر حتي]]-Table1[[#This Row],[رن]]</f>
        <v>0</v>
      </c>
      <c r="AY128" s="611">
        <f>Table1[[#This Row],[الزياده]]+Table1[[#This Row],[التعديل]]+Table1[[#This Row],[جبر الرقم]]</f>
        <v>5644.48</v>
      </c>
      <c r="AZ128" s="611">
        <f>Table1[[#This Row],[الراتب 2018 + النسبه + الفرق]]+Table1[[#This Row],[جبر الرقم]]+Table1[[#This Row],[التعديل]]</f>
        <v>11204.48</v>
      </c>
      <c r="BA128" s="631">
        <f>Table1[[#This Row],[الزياده النهائيه]]/Table1[[#This Row],[راتب ديسمبر 2019]]%</f>
        <v>101.51942446043165</v>
      </c>
      <c r="BB128" s="612">
        <f>VLOOKUP(Table1[[#This Row],[الرقم الوظيفي]],Table6[],8,)</f>
        <v>5560</v>
      </c>
      <c r="BC128" s="7">
        <v>8500</v>
      </c>
      <c r="BD128" s="7">
        <v>8500</v>
      </c>
      <c r="BE128" s="7">
        <v>8500</v>
      </c>
      <c r="BF128" s="5">
        <f>Table1[[#This Row],[الحد الادني]]-Table1[[#This Row],[الراتب 2018+النسبه]]</f>
        <v>5440</v>
      </c>
      <c r="BG128" s="5">
        <f>Table1[[#This Row],[التعديل حتي]]-Table1[[#This Row],[kkk]]</f>
        <v>204.47999999999956</v>
      </c>
      <c r="BH128" s="5">
        <v>8295.52</v>
      </c>
      <c r="BI128" s="5"/>
    </row>
    <row r="129" spans="1:61" ht="21" customHeight="1">
      <c r="A129" s="602">
        <v>653</v>
      </c>
      <c r="B129" s="618" t="str">
        <f>VLOOKUP(Table1[[#This Row],[الرقم الوظيفي]],[1]Sheet2!$1:$1048576,2,)</f>
        <v>حسن النور اسماعيل خيرى</v>
      </c>
      <c r="C129" s="618" t="str">
        <f>VLOOKUP(Table1[[#This Row],[الرقم الوظيفي]],[1]Sheet2!$1:$1048576,7,)</f>
        <v>المصنع</v>
      </c>
      <c r="D129" s="618" t="str">
        <f>VLOOKUP(Table1[[#This Row],[الرقم الوظيفي]],[1]Sheet2!$1:$1048576,8,)</f>
        <v>الكهرباء</v>
      </c>
      <c r="E129" s="599" t="str">
        <f>VLOOKUP(Table1[[#This Row],[الرقم الوظيفي]],[1]Sheet2!$1:$1048576,9,)</f>
        <v>موتورات</v>
      </c>
      <c r="F129" s="599" t="str">
        <f>VLOOKUP(Table1[[#This Row],[الرقم الوظيفي]],[1]Sheet2!$1:$1048576,12,)</f>
        <v>فنى لف موتورات</v>
      </c>
      <c r="G129" s="599" t="str">
        <f>VLOOKUP(Table1[[#This Row],[الرقم الوظيفي]],[1]Sheet2!$1:$1048576,72,)</f>
        <v>شهاده ثانويه</v>
      </c>
      <c r="H129" s="599" t="str">
        <f>VLOOKUP(Table1[[#This Row],[الرقم الوظيفي]],[1]Sheet2!$1:$1048576,71,)</f>
        <v>كهرباء عامة</v>
      </c>
      <c r="I129" s="599" t="str">
        <f>VLOOKUP(Table1[[#This Row],[المؤهل الرئيسي]],Table4[],3,)</f>
        <v>F</v>
      </c>
      <c r="J129" s="599" t="s">
        <v>922</v>
      </c>
      <c r="K129" s="615">
        <f>VLOOKUP(Table1[[#This Row],[الرقم الوظيفي]],[1]Sheet2!$1:$1048576,13,)</f>
        <v>41609</v>
      </c>
      <c r="L129" s="615">
        <v>43830</v>
      </c>
      <c r="M129" s="599">
        <f>DATEDIF(Table1[[#This Row],[تاريخ التعيين]],Table1[[#This Row],[اخر العام]],"y")</f>
        <v>6</v>
      </c>
      <c r="N129" s="599">
        <f>DATEDIF(Table1[[#This Row],[تاريخ التعيين]],Table1[[#This Row],[اخر العام]],"ym")</f>
        <v>0</v>
      </c>
      <c r="O129" s="610">
        <f>Table1[[#This Row],[سنوات الخدمه]]*1+Table1[[#This Row],[الشهور اقل من سنه]]*0.08</f>
        <v>6</v>
      </c>
      <c r="P129" s="616">
        <v>5740</v>
      </c>
      <c r="Q129" s="617">
        <v>574</v>
      </c>
      <c r="R129" s="612"/>
      <c r="S129" s="599"/>
      <c r="T129" s="612"/>
      <c r="U129" s="612"/>
      <c r="V129" s="612"/>
      <c r="W129" s="612"/>
      <c r="X129" s="612"/>
      <c r="Y129" s="612"/>
      <c r="Z129" s="612"/>
      <c r="AA12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29" s="612"/>
      <c r="AC129" s="599"/>
      <c r="AD129" s="612"/>
      <c r="AE129" s="612"/>
      <c r="AF129" s="612"/>
      <c r="AG129" s="612"/>
      <c r="AH129" s="619">
        <f>SUM(Table1[[#This Row],[التقييد  باللوائح و تنفيذالتوجيه]:[اتباع اجراءات السلامه]])</f>
        <v>0</v>
      </c>
      <c r="AI129" s="619">
        <f>Table1[[#This Row],[المجموع]]+Table1[[#This Row],[المجموع2]]</f>
        <v>0</v>
      </c>
      <c r="AJ129" s="612">
        <v>10</v>
      </c>
      <c r="AK129" s="612"/>
      <c r="AL129" s="612"/>
      <c r="AM129" s="612"/>
      <c r="AN129" s="612"/>
      <c r="AO129" s="606">
        <f>Table1[[#This Row],[المجموع 1+2]]*$AO$2</f>
        <v>0</v>
      </c>
      <c r="AP129" s="648">
        <f>Table1[[#This Row],[راتب ديسمبر 2019]]*Table1[[#This Row],[نسبه التقييم الرئيسي 2018]]%</f>
        <v>0</v>
      </c>
      <c r="AQ129" s="627">
        <f>Table1[[#This Row],[مبلغ التقييم النسبي 2018]]+Table1[[#This Row],[راتب ديسمبر 2019]]</f>
        <v>5740</v>
      </c>
      <c r="AR129" s="611">
        <f>IF(Table1[[#This Row],[Column3]]&lt;0,0,Table1[[#This Row],[Column3]])</f>
        <v>5260</v>
      </c>
      <c r="AS129" s="599">
        <f>VLOOKUP(Table1[[#This Row],[درجه التوسيط]],Table10[],3,)</f>
        <v>11000</v>
      </c>
      <c r="AT129" s="608">
        <f>Table1[[#This Row],[الراتب 2018+النسبه]]+Table1[[#This Row],[فروقات الحد الادني]]</f>
        <v>11000</v>
      </c>
      <c r="AU129" s="629">
        <f>Table1[[#This Row],[الراتب 2018 + النسبه + الفرق]]-Table1[[#This Row],[راتب ديسمبر 2019]]</f>
        <v>5260</v>
      </c>
      <c r="AV129" s="628">
        <f>Table1[[#This Row],[الزياده]]/Table1[[#This Row],[راتب ديسمبر 2019]]%</f>
        <v>91.637630662020911</v>
      </c>
      <c r="AW129" s="659">
        <f>IF(Table1[[#This Row],[Column4]]&lt;0,0,Table1[[#This Row],[Column4]])</f>
        <v>557.07999999999993</v>
      </c>
      <c r="AX129" s="611">
        <f>Table1[[#This Row],[الجبر حتي]]-Table1[[#This Row],[رن]]</f>
        <v>0</v>
      </c>
      <c r="AY129" s="611">
        <f>Table1[[#This Row],[الزياده]]+Table1[[#This Row],[التعديل]]+Table1[[#This Row],[جبر الرقم]]</f>
        <v>5817.08</v>
      </c>
      <c r="AZ129" s="611">
        <f>Table1[[#This Row],[الراتب 2018 + النسبه + الفرق]]+Table1[[#This Row],[جبر الرقم]]+Table1[[#This Row],[التعديل]]</f>
        <v>11557.08</v>
      </c>
      <c r="BA129" s="631">
        <f>Table1[[#This Row],[الزياده النهائيه]]/Table1[[#This Row],[راتب ديسمبر 2019]]%</f>
        <v>101.34285714285714</v>
      </c>
      <c r="BB129" s="612">
        <f>VLOOKUP(Table1[[#This Row],[الرقم الوظيفي]],Table6[],8,)</f>
        <v>5740</v>
      </c>
      <c r="BC129" s="7">
        <v>9500</v>
      </c>
      <c r="BD129" s="7">
        <v>9500</v>
      </c>
      <c r="BE129" s="7">
        <v>9500</v>
      </c>
      <c r="BF129" s="5">
        <f>Table1[[#This Row],[الحد الادني]]-Table1[[#This Row],[الراتب 2018+النسبه]]</f>
        <v>5260</v>
      </c>
      <c r="BG129" s="5">
        <f>Table1[[#This Row],[التعديل حتي]]-Table1[[#This Row],[kkk]]</f>
        <v>557.07999999999993</v>
      </c>
      <c r="BH129" s="5">
        <v>8942.92</v>
      </c>
      <c r="BI129" s="5"/>
    </row>
    <row r="130" spans="1:61" ht="21" customHeight="1">
      <c r="A130" s="602">
        <v>656</v>
      </c>
      <c r="B130" s="618" t="str">
        <f>VLOOKUP(Table1[[#This Row],[الرقم الوظيفي]],[1]Sheet2!$1:$1048576,2,)</f>
        <v>اصف نور الدائم بابكر الحسن</v>
      </c>
      <c r="C130" s="618" t="str">
        <f>VLOOKUP(Table1[[#This Row],[الرقم الوظيفي]],[1]Sheet2!$1:$1048576,7,)</f>
        <v>المصنع</v>
      </c>
      <c r="D130" s="618" t="str">
        <f>VLOOKUP(Table1[[#This Row],[الرقم الوظيفي]],[1]Sheet2!$1:$1048576,8,)</f>
        <v>المستودعات</v>
      </c>
      <c r="E130" s="599" t="str">
        <f>VLOOKUP(Table1[[#This Row],[الرقم الوظيفي]],[1]Sheet2!$1:$1048576,9,)</f>
        <v>الزوايا</v>
      </c>
      <c r="F130" s="599" t="str">
        <f>VLOOKUP(Table1[[#This Row],[الرقم الوظيفي]],[1]Sheet2!$1:$1048576,12,)</f>
        <v>امين مستودع</v>
      </c>
      <c r="G130" s="599" t="str">
        <f>VLOOKUP(Table1[[#This Row],[الرقم الوظيفي]],[1]Sheet2!$1:$1048576,72,)</f>
        <v>دبلوم وسيط</v>
      </c>
      <c r="H130" s="599" t="str">
        <f>VLOOKUP(Table1[[#This Row],[الرقم الوظيفي]],[1]Sheet2!$1:$1048576,71,)</f>
        <v>العلاقات العامة والاعلام</v>
      </c>
      <c r="I130" s="599" t="str">
        <f>VLOOKUP(Table1[[#This Row],[المؤهل الرئيسي]],Table4[],3,)</f>
        <v>E</v>
      </c>
      <c r="J130" s="599" t="s">
        <v>923</v>
      </c>
      <c r="K130" s="615">
        <f>VLOOKUP(Table1[[#This Row],[الرقم الوظيفي]],[1]Sheet2!$1:$1048576,13,)</f>
        <v>41610</v>
      </c>
      <c r="L130" s="615">
        <v>43830</v>
      </c>
      <c r="M130" s="599">
        <f>DATEDIF(Table1[[#This Row],[تاريخ التعيين]],Table1[[#This Row],[اخر العام]],"y")</f>
        <v>6</v>
      </c>
      <c r="N130" s="599">
        <f>DATEDIF(Table1[[#This Row],[تاريخ التعيين]],Table1[[#This Row],[اخر العام]],"ym")</f>
        <v>0</v>
      </c>
      <c r="O130" s="610">
        <f>Table1[[#This Row],[سنوات الخدمه]]*1+Table1[[#This Row],[الشهور اقل من سنه]]*0.08</f>
        <v>6</v>
      </c>
      <c r="P130" s="616">
        <v>4170</v>
      </c>
      <c r="Q130" s="617">
        <v>417</v>
      </c>
      <c r="R130" s="612"/>
      <c r="S130" s="599"/>
      <c r="T130" s="612"/>
      <c r="U130" s="612"/>
      <c r="V130" s="612"/>
      <c r="W130" s="612"/>
      <c r="X130" s="612"/>
      <c r="Y130" s="612"/>
      <c r="Z130" s="612"/>
      <c r="AA13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0" s="612"/>
      <c r="AC130" s="599"/>
      <c r="AD130" s="612"/>
      <c r="AE130" s="612"/>
      <c r="AF130" s="612"/>
      <c r="AG130" s="612"/>
      <c r="AH130" s="619">
        <f>SUM(Table1[[#This Row],[التقييد  باللوائح و تنفيذالتوجيه]:[اتباع اجراءات السلامه]])</f>
        <v>0</v>
      </c>
      <c r="AI130" s="619">
        <f>Table1[[#This Row],[المجموع]]+Table1[[#This Row],[المجموع2]]</f>
        <v>0</v>
      </c>
      <c r="AJ130" s="612"/>
      <c r="AK130" s="612"/>
      <c r="AL130" s="612"/>
      <c r="AM130" s="612"/>
      <c r="AN130" s="612"/>
      <c r="AO130" s="606">
        <f>Table1[[#This Row],[المجموع 1+2]]*$AO$2</f>
        <v>0</v>
      </c>
      <c r="AP130" s="648">
        <f>Table1[[#This Row],[راتب ديسمبر 2019]]*Table1[[#This Row],[نسبه التقييم الرئيسي 2018]]%</f>
        <v>0</v>
      </c>
      <c r="AQ130" s="627">
        <f>Table1[[#This Row],[مبلغ التقييم النسبي 2018]]+Table1[[#This Row],[راتب ديسمبر 2019]]</f>
        <v>4170</v>
      </c>
      <c r="AR130" s="611">
        <f>IF(Table1[[#This Row],[Column3]]&lt;0,0,Table1[[#This Row],[Column3]])</f>
        <v>5830</v>
      </c>
      <c r="AS130" s="599">
        <f>VLOOKUP(Table1[[#This Row],[درجه التوسيط]],Table10[],3,)</f>
        <v>10000</v>
      </c>
      <c r="AT130" s="608">
        <f>Table1[[#This Row],[الراتب 2018+النسبه]]+Table1[[#This Row],[فروقات الحد الادني]]</f>
        <v>10000</v>
      </c>
      <c r="AU130" s="629">
        <f>Table1[[#This Row],[الراتب 2018 + النسبه + الفرق]]-Table1[[#This Row],[راتب ديسمبر 2019]]</f>
        <v>5830</v>
      </c>
      <c r="AV130" s="628">
        <f>Table1[[#This Row],[الزياده]]/Table1[[#This Row],[راتب ديسمبر 2019]]%</f>
        <v>139.80815347721821</v>
      </c>
      <c r="AW130" s="659">
        <f>IF(Table1[[#This Row],[Column4]]&lt;0,0,Table1[[#This Row],[Column4]])</f>
        <v>0</v>
      </c>
      <c r="AX130" s="611">
        <f>Table1[[#This Row],[الجبر حتي]]-Table1[[#This Row],[رن]]</f>
        <v>0</v>
      </c>
      <c r="AY130" s="611">
        <f>Table1[[#This Row],[الزياده]]+Table1[[#This Row],[التعديل]]+Table1[[#This Row],[جبر الرقم]]</f>
        <v>5830</v>
      </c>
      <c r="AZ130" s="611">
        <f>Table1[[#This Row],[الراتب 2018 + النسبه + الفرق]]+Table1[[#This Row],[جبر الرقم]]+Table1[[#This Row],[التعديل]]</f>
        <v>10000</v>
      </c>
      <c r="BA130" s="631">
        <f>Table1[[#This Row],[الزياده النهائيه]]/Table1[[#This Row],[راتب ديسمبر 2019]]%</f>
        <v>139.80815347721821</v>
      </c>
      <c r="BB130" s="612">
        <f>VLOOKUP(Table1[[#This Row],[الرقم الوظيفي]],Table6[],8,)</f>
        <v>4170</v>
      </c>
      <c r="BC130" s="7"/>
      <c r="BD130" s="7">
        <v>6500</v>
      </c>
      <c r="BE130" s="7">
        <v>6500</v>
      </c>
      <c r="BF130" s="5">
        <f>Table1[[#This Row],[الحد الادني]]-Table1[[#This Row],[الراتب 2018+النسبه]]</f>
        <v>5830</v>
      </c>
      <c r="BG130" s="5">
        <f>Table1[[#This Row],[التعديل حتي]]-Table1[[#This Row],[kkk]]</f>
        <v>-6500</v>
      </c>
      <c r="BH130" s="5">
        <v>6500</v>
      </c>
      <c r="BI130" s="5"/>
    </row>
    <row r="131" spans="1:61">
      <c r="A131" s="602">
        <v>662</v>
      </c>
      <c r="B131" s="618" t="str">
        <f>VLOOKUP(Table1[[#This Row],[الرقم الوظيفي]],[1]Sheet2!$1:$1048576,2,)</f>
        <v>ابراهيم عثمان الحاج محمد</v>
      </c>
      <c r="C131" s="618" t="str">
        <f>VLOOKUP(Table1[[#This Row],[الرقم الوظيفي]],[1]Sheet2!$1:$1048576,7,)</f>
        <v>المصنع</v>
      </c>
      <c r="D131" s="618" t="str">
        <f>VLOOKUP(Table1[[#This Row],[الرقم الوظيفي]],[1]Sheet2!$1:$1048576,8,)</f>
        <v>الانتاج</v>
      </c>
      <c r="E131" s="599" t="str">
        <f>VLOOKUP(Table1[[#This Row],[الرقم الوظيفي]],[1]Sheet2!$1:$1048576,9,)</f>
        <v>المواسير</v>
      </c>
      <c r="F131" s="599" t="str">
        <f>VLOOKUP(Table1[[#This Row],[الرقم الوظيفي]],[1]Sheet2!$1:$1048576,12,)</f>
        <v>مساعد مشغل</v>
      </c>
      <c r="G131" s="599">
        <f>VLOOKUP(Table1[[#This Row],[الرقم الوظيفي]],[1]Sheet2!$1:$1048576,72,)</f>
        <v>0</v>
      </c>
      <c r="H131" s="599">
        <f>VLOOKUP(Table1[[#This Row],[الرقم الوظيفي]],[1]Sheet2!$1:$1048576,71,)</f>
        <v>0</v>
      </c>
      <c r="I131" s="599" t="str">
        <f>VLOOKUP(Table1[[#This Row],[المؤهل الرئيسي]],Table4[],3,)</f>
        <v>H</v>
      </c>
      <c r="J131" s="599" t="s">
        <v>926</v>
      </c>
      <c r="K131" s="615">
        <f>VLOOKUP(Table1[[#This Row],[الرقم الوظيفي]],[1]Sheet2!$1:$1048576,13,)</f>
        <v>41612</v>
      </c>
      <c r="L131" s="615">
        <v>43830</v>
      </c>
      <c r="M131" s="599">
        <f>DATEDIF(Table1[[#This Row],[تاريخ التعيين]],Table1[[#This Row],[اخر العام]],"y")</f>
        <v>6</v>
      </c>
      <c r="N131" s="599">
        <f>DATEDIF(Table1[[#This Row],[تاريخ التعيين]],Table1[[#This Row],[اخر العام]],"ym")</f>
        <v>0</v>
      </c>
      <c r="O131" s="610">
        <f>Table1[[#This Row],[سنوات الخدمه]]*1+Table1[[#This Row],[الشهور اقل من سنه]]*0.08</f>
        <v>6</v>
      </c>
      <c r="P131" s="616">
        <v>4150</v>
      </c>
      <c r="Q131" s="617">
        <v>415</v>
      </c>
      <c r="R131" s="612"/>
      <c r="S131" s="599"/>
      <c r="T131" s="612"/>
      <c r="U131" s="612"/>
      <c r="V131" s="612"/>
      <c r="W131" s="612"/>
      <c r="X131" s="612"/>
      <c r="Y131" s="612"/>
      <c r="Z131" s="612"/>
      <c r="AA13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1" s="612"/>
      <c r="AC131" s="599"/>
      <c r="AD131" s="612"/>
      <c r="AE131" s="612"/>
      <c r="AF131" s="612"/>
      <c r="AG131" s="612"/>
      <c r="AH131" s="619">
        <f>SUM(Table1[[#This Row],[التقييد  باللوائح و تنفيذالتوجيه]:[اتباع اجراءات السلامه]])</f>
        <v>0</v>
      </c>
      <c r="AI131" s="619">
        <f>Table1[[#This Row],[المجموع]]+Table1[[#This Row],[المجموع2]]</f>
        <v>0</v>
      </c>
      <c r="AJ131" s="612"/>
      <c r="AK131" s="612"/>
      <c r="AL131" s="612"/>
      <c r="AM131" s="612"/>
      <c r="AN131" s="612"/>
      <c r="AO131" s="606">
        <f>Table1[[#This Row],[المجموع 1+2]]*$AO$2</f>
        <v>0</v>
      </c>
      <c r="AP131" s="648">
        <f>Table1[[#This Row],[راتب ديسمبر 2019]]*Table1[[#This Row],[نسبه التقييم الرئيسي 2018]]%</f>
        <v>0</v>
      </c>
      <c r="AQ131" s="627">
        <f>Table1[[#This Row],[مبلغ التقييم النسبي 2018]]+Table1[[#This Row],[راتب ديسمبر 2019]]</f>
        <v>4150</v>
      </c>
      <c r="AR131" s="611">
        <f>IF(Table1[[#This Row],[Column3]]&lt;0,0,Table1[[#This Row],[Column3]])</f>
        <v>3850</v>
      </c>
      <c r="AS131" s="599">
        <f>VLOOKUP(Table1[[#This Row],[درجه التوسيط]],Table10[],3,)</f>
        <v>8000</v>
      </c>
      <c r="AT131" s="608">
        <f>Table1[[#This Row],[الراتب 2018+النسبه]]+Table1[[#This Row],[فروقات الحد الادني]]</f>
        <v>8000</v>
      </c>
      <c r="AU131" s="629">
        <f>Table1[[#This Row],[الراتب 2018 + النسبه + الفرق]]-Table1[[#This Row],[راتب ديسمبر 2019]]</f>
        <v>3850</v>
      </c>
      <c r="AV131" s="628">
        <f>Table1[[#This Row],[الزياده]]/Table1[[#This Row],[راتب ديسمبر 2019]]%</f>
        <v>92.771084337349393</v>
      </c>
      <c r="AW131" s="659">
        <f>IF(Table1[[#This Row],[Column4]]&lt;0,0,Table1[[#This Row],[Column4]])</f>
        <v>0</v>
      </c>
      <c r="AX131" s="611">
        <f>Table1[[#This Row],[الجبر حتي]]-Table1[[#This Row],[رن]]</f>
        <v>9.3999999999996362</v>
      </c>
      <c r="AY131" s="611">
        <f>Table1[[#This Row],[الزياده]]+Table1[[#This Row],[التعديل]]+Table1[[#This Row],[جبر الرقم]]</f>
        <v>3859.3999999999996</v>
      </c>
      <c r="AZ131" s="611">
        <f>Table1[[#This Row],[الراتب 2018 + النسبه + الفرق]]+Table1[[#This Row],[جبر الرقم]]+Table1[[#This Row],[التعديل]]</f>
        <v>8009.4</v>
      </c>
      <c r="BA131" s="631">
        <f>Table1[[#This Row],[الزياده النهائيه]]/Table1[[#This Row],[راتب ديسمبر 2019]]%</f>
        <v>92.997590361445774</v>
      </c>
      <c r="BB131" s="612">
        <f>VLOOKUP(Table1[[#This Row],[الرقم الوظيفي]],Table6[],8,)</f>
        <v>4150</v>
      </c>
      <c r="BC131" s="7"/>
      <c r="BD131" s="7">
        <v>6500</v>
      </c>
      <c r="BE131" s="7">
        <v>6490.6</v>
      </c>
      <c r="BF131" s="5">
        <f>Table1[[#This Row],[الحد الادني]]-Table1[[#This Row],[الراتب 2018+النسبه]]</f>
        <v>3850</v>
      </c>
      <c r="BG131" s="5">
        <f>Table1[[#This Row],[التعديل حتي]]-Table1[[#This Row],[kkk]]</f>
        <v>-6490.6</v>
      </c>
      <c r="BH131" s="5">
        <v>6490.6</v>
      </c>
      <c r="BI131" s="5"/>
    </row>
    <row r="132" spans="1:61" ht="21" customHeight="1">
      <c r="A132" s="602">
        <v>666</v>
      </c>
      <c r="B132" s="618" t="str">
        <f>VLOOKUP(Table1[[#This Row],[الرقم الوظيفي]],[1]Sheet2!$1:$1048576,2,)</f>
        <v>الضى الساير على جبريل</v>
      </c>
      <c r="C132" s="618" t="str">
        <f>VLOOKUP(Table1[[#This Row],[الرقم الوظيفي]],[1]Sheet2!$1:$1048576,7,)</f>
        <v>المصنع</v>
      </c>
      <c r="D132" s="618" t="str">
        <f>VLOOKUP(Table1[[#This Row],[الرقم الوظيفي]],[1]Sheet2!$1:$1048576,8,)</f>
        <v>الامن و الحركه</v>
      </c>
      <c r="E132" s="599" t="str">
        <f>VLOOKUP(Table1[[#This Row],[الرقم الوظيفي]],[1]Sheet2!$1:$1048576,9,)</f>
        <v>الامن</v>
      </c>
      <c r="F132" s="599" t="str">
        <f>VLOOKUP(Table1[[#This Row],[الرقم الوظيفي]],[1]Sheet2!$1:$1048576,12,)</f>
        <v>فرد امن</v>
      </c>
      <c r="G132" s="599" t="str">
        <f>VLOOKUP(Table1[[#This Row],[الرقم الوظيفي]],[1]Sheet2!$1:$1048576,72,)</f>
        <v>بكلاريوس</v>
      </c>
      <c r="H132" s="599" t="str">
        <f>VLOOKUP(Table1[[#This Row],[الرقم الوظيفي]],[1]Sheet2!$1:$1048576,71,)</f>
        <v>الشريعة والقانون</v>
      </c>
      <c r="I132" s="599" t="str">
        <f>VLOOKUP(Table1[[#This Row],[المؤهل الرئيسي]],Table4[],3,)</f>
        <v>C</v>
      </c>
      <c r="J132" s="599" t="s">
        <v>924</v>
      </c>
      <c r="K132" s="615">
        <f>VLOOKUP(Table1[[#This Row],[الرقم الوظيفي]],[1]Sheet2!$1:$1048576,13,)</f>
        <v>41616</v>
      </c>
      <c r="L132" s="615">
        <v>43830</v>
      </c>
      <c r="M132" s="599">
        <f>DATEDIF(Table1[[#This Row],[تاريخ التعيين]],Table1[[#This Row],[اخر العام]],"y")</f>
        <v>6</v>
      </c>
      <c r="N132" s="599">
        <f>DATEDIF(Table1[[#This Row],[تاريخ التعيين]],Table1[[#This Row],[اخر العام]],"ym")</f>
        <v>0</v>
      </c>
      <c r="O132" s="610">
        <f>Table1[[#This Row],[سنوات الخدمه]]*1+Table1[[#This Row],[الشهور اقل من سنه]]*0.08</f>
        <v>6</v>
      </c>
      <c r="P132" s="616">
        <v>4200</v>
      </c>
      <c r="Q132" s="617">
        <v>420</v>
      </c>
      <c r="R132" s="612"/>
      <c r="S132" s="599"/>
      <c r="T132" s="612"/>
      <c r="U132" s="612"/>
      <c r="V132" s="612"/>
      <c r="W132" s="612"/>
      <c r="X132" s="612"/>
      <c r="Y132" s="612"/>
      <c r="Z132" s="612"/>
      <c r="AA13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2" s="612"/>
      <c r="AC132" s="599"/>
      <c r="AD132" s="612"/>
      <c r="AE132" s="612"/>
      <c r="AF132" s="612"/>
      <c r="AG132" s="612"/>
      <c r="AH132" s="619">
        <f>SUM(Table1[[#This Row],[التقييد  باللوائح و تنفيذالتوجيه]:[اتباع اجراءات السلامه]])</f>
        <v>0</v>
      </c>
      <c r="AI132" s="619">
        <f>Table1[[#This Row],[المجموع]]+Table1[[#This Row],[المجموع2]]</f>
        <v>0</v>
      </c>
      <c r="AJ132" s="612"/>
      <c r="AK132" s="612"/>
      <c r="AL132" s="612"/>
      <c r="AM132" s="612"/>
      <c r="AN132" s="612"/>
      <c r="AO132" s="606">
        <f>Table1[[#This Row],[المجموع 1+2]]*$AO$2</f>
        <v>0</v>
      </c>
      <c r="AP132" s="648">
        <f>Table1[[#This Row],[راتب ديسمبر 2019]]*Table1[[#This Row],[نسبه التقييم الرئيسي 2018]]%</f>
        <v>0</v>
      </c>
      <c r="AQ132" s="627">
        <f>Table1[[#This Row],[مبلغ التقييم النسبي 2018]]+Table1[[#This Row],[راتب ديسمبر 2019]]</f>
        <v>4200</v>
      </c>
      <c r="AR132" s="611">
        <f>IF(Table1[[#This Row],[Column3]]&lt;0,0,Table1[[#This Row],[Column3]])</f>
        <v>4800</v>
      </c>
      <c r="AS132" s="599">
        <f>VLOOKUP(Table1[[#This Row],[درجه التوسيط]],Table10[],3,)</f>
        <v>9000</v>
      </c>
      <c r="AT132" s="608">
        <f>Table1[[#This Row],[الراتب 2018+النسبه]]+Table1[[#This Row],[فروقات الحد الادني]]</f>
        <v>9000</v>
      </c>
      <c r="AU132" s="629">
        <f>Table1[[#This Row],[الراتب 2018 + النسبه + الفرق]]-Table1[[#This Row],[راتب ديسمبر 2019]]</f>
        <v>4800</v>
      </c>
      <c r="AV132" s="628">
        <f>Table1[[#This Row],[الزياده]]/Table1[[#This Row],[راتب ديسمبر 2019]]%</f>
        <v>114.28571428571429</v>
      </c>
      <c r="AW132" s="659">
        <f>IF(Table1[[#This Row],[Column4]]&lt;0,0,Table1[[#This Row],[Column4]])</f>
        <v>0</v>
      </c>
      <c r="AX132" s="611">
        <f>Table1[[#This Row],[الجبر حتي]]-Table1[[#This Row],[رن]]</f>
        <v>5.6000000000003638</v>
      </c>
      <c r="AY132" s="611">
        <f>Table1[[#This Row],[الزياده]]+Table1[[#This Row],[التعديل]]+Table1[[#This Row],[جبر الرقم]]</f>
        <v>4805.6000000000004</v>
      </c>
      <c r="AZ132" s="611">
        <f>Table1[[#This Row],[الراتب 2018 + النسبه + الفرق]]+Table1[[#This Row],[جبر الرقم]]+Table1[[#This Row],[التعديل]]</f>
        <v>9005.6</v>
      </c>
      <c r="BA132" s="631">
        <f>Table1[[#This Row],[الزياده النهائيه]]/Table1[[#This Row],[راتب ديسمبر 2019]]%</f>
        <v>114.41904761904763</v>
      </c>
      <c r="BB132" s="612">
        <f>VLOOKUP(Table1[[#This Row],[الرقم الوظيفي]],Table6[],8,)</f>
        <v>4200</v>
      </c>
      <c r="BC132" s="7"/>
      <c r="BD132" s="7">
        <v>6650</v>
      </c>
      <c r="BE132" s="7">
        <v>6644.4</v>
      </c>
      <c r="BF132" s="5">
        <f>Table1[[#This Row],[الحد الادني]]-Table1[[#This Row],[الراتب 2018+النسبه]]</f>
        <v>4800</v>
      </c>
      <c r="BG132" s="5">
        <f>Table1[[#This Row],[التعديل حتي]]-Table1[[#This Row],[kkk]]</f>
        <v>-6644.4</v>
      </c>
      <c r="BH132" s="5">
        <v>6644.4</v>
      </c>
      <c r="BI132" s="5"/>
    </row>
    <row r="133" spans="1:61" ht="21" customHeight="1">
      <c r="A133" s="602">
        <v>670</v>
      </c>
      <c r="B133" s="618" t="str">
        <f>VLOOKUP(Table1[[#This Row],[الرقم الوظيفي]],[1]Sheet2!$1:$1048576,2,)</f>
        <v>الحاج محمد الحسن موسى محمد</v>
      </c>
      <c r="C133" s="618" t="str">
        <f>VLOOKUP(Table1[[#This Row],[الرقم الوظيفي]],[1]Sheet2!$1:$1048576,7,)</f>
        <v>المصنع</v>
      </c>
      <c r="D133" s="618" t="str">
        <f>VLOOKUP(Table1[[#This Row],[الرقم الوظيفي]],[1]Sheet2!$1:$1048576,8,)</f>
        <v>المستودعات</v>
      </c>
      <c r="E133" s="599" t="str">
        <f>VLOOKUP(Table1[[#This Row],[الرقم الوظيفي]],[1]Sheet2!$1:$1048576,9,)</f>
        <v>الميزان</v>
      </c>
      <c r="F133" s="599" t="str">
        <f>VLOOKUP(Table1[[#This Row],[الرقم الوظيفي]],[1]Sheet2!$1:$1048576,12,)</f>
        <v>امين ميزان</v>
      </c>
      <c r="G133" s="599" t="str">
        <f>VLOOKUP(Table1[[#This Row],[الرقم الوظيفي]],[1]Sheet2!$1:$1048576,72,)</f>
        <v>شهاده ثانويه</v>
      </c>
      <c r="H133" s="599">
        <f>VLOOKUP(Table1[[#This Row],[الرقم الوظيفي]],[1]Sheet2!$1:$1048576,71,)</f>
        <v>0</v>
      </c>
      <c r="I133" s="599" t="str">
        <f>VLOOKUP(Table1[[#This Row],[المؤهل الرئيسي]],Table4[],3,)</f>
        <v>F</v>
      </c>
      <c r="J133" s="599" t="s">
        <v>924</v>
      </c>
      <c r="K133" s="615">
        <f>VLOOKUP(Table1[[#This Row],[الرقم الوظيفي]],[1]Sheet2!$1:$1048576,13,)</f>
        <v>41619</v>
      </c>
      <c r="L133" s="615">
        <v>43830</v>
      </c>
      <c r="M133" s="599">
        <f>DATEDIF(Table1[[#This Row],[تاريخ التعيين]],Table1[[#This Row],[اخر العام]],"y")</f>
        <v>6</v>
      </c>
      <c r="N133" s="599">
        <f>DATEDIF(Table1[[#This Row],[تاريخ التعيين]],Table1[[#This Row],[اخر العام]],"ym")</f>
        <v>0</v>
      </c>
      <c r="O133" s="610">
        <f>Table1[[#This Row],[سنوات الخدمه]]*1+Table1[[#This Row],[الشهور اقل من سنه]]*0.08</f>
        <v>6</v>
      </c>
      <c r="P133" s="616">
        <v>4170</v>
      </c>
      <c r="Q133" s="617">
        <v>417</v>
      </c>
      <c r="R133" s="612"/>
      <c r="S133" s="599"/>
      <c r="T133" s="612"/>
      <c r="U133" s="612"/>
      <c r="V133" s="612"/>
      <c r="W133" s="612"/>
      <c r="X133" s="612"/>
      <c r="Y133" s="612"/>
      <c r="Z133" s="612"/>
      <c r="AA13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3" s="612"/>
      <c r="AC133" s="599"/>
      <c r="AD133" s="612"/>
      <c r="AE133" s="612"/>
      <c r="AF133" s="612"/>
      <c r="AG133" s="612"/>
      <c r="AH133" s="619">
        <f>SUM(Table1[[#This Row],[التقييد  باللوائح و تنفيذالتوجيه]:[اتباع اجراءات السلامه]])</f>
        <v>0</v>
      </c>
      <c r="AI133" s="619">
        <f>Table1[[#This Row],[المجموع]]+Table1[[#This Row],[المجموع2]]</f>
        <v>0</v>
      </c>
      <c r="AJ133" s="612"/>
      <c r="AK133" s="612"/>
      <c r="AL133" s="612"/>
      <c r="AM133" s="612"/>
      <c r="AN133" s="612"/>
      <c r="AO133" s="606">
        <f>Table1[[#This Row],[المجموع 1+2]]*$AO$2</f>
        <v>0</v>
      </c>
      <c r="AP133" s="648">
        <f>Table1[[#This Row],[راتب ديسمبر 2019]]*Table1[[#This Row],[نسبه التقييم الرئيسي 2018]]%</f>
        <v>0</v>
      </c>
      <c r="AQ133" s="627">
        <f>Table1[[#This Row],[مبلغ التقييم النسبي 2018]]+Table1[[#This Row],[راتب ديسمبر 2019]]</f>
        <v>4170</v>
      </c>
      <c r="AR133" s="611">
        <f>IF(Table1[[#This Row],[Column3]]&lt;0,0,Table1[[#This Row],[Column3]])</f>
        <v>4830</v>
      </c>
      <c r="AS133" s="599">
        <f>VLOOKUP(Table1[[#This Row],[درجه التوسيط]],Table10[],3,)</f>
        <v>9000</v>
      </c>
      <c r="AT133" s="608">
        <f>Table1[[#This Row],[الراتب 2018+النسبه]]+Table1[[#This Row],[فروقات الحد الادني]]</f>
        <v>9000</v>
      </c>
      <c r="AU133" s="629">
        <f>Table1[[#This Row],[الراتب 2018 + النسبه + الفرق]]-Table1[[#This Row],[راتب ديسمبر 2019]]</f>
        <v>4830</v>
      </c>
      <c r="AV133" s="628">
        <f>Table1[[#This Row],[الزياده]]/Table1[[#This Row],[راتب ديسمبر 2019]]%</f>
        <v>115.8273381294964</v>
      </c>
      <c r="AW133" s="659">
        <f>IF(Table1[[#This Row],[Column4]]&lt;0,0,Table1[[#This Row],[Column4]])</f>
        <v>0</v>
      </c>
      <c r="AX133" s="611">
        <f>Table1[[#This Row],[الجبر حتي]]-Table1[[#This Row],[رن]]</f>
        <v>8.0799999999999272</v>
      </c>
      <c r="AY133" s="611">
        <f>Table1[[#This Row],[الزياده]]+Table1[[#This Row],[التعديل]]+Table1[[#This Row],[جبر الرقم]]</f>
        <v>4838.08</v>
      </c>
      <c r="AZ133" s="611">
        <f>Table1[[#This Row],[الراتب 2018 + النسبه + الفرق]]+Table1[[#This Row],[جبر الرقم]]+Table1[[#This Row],[التعديل]]</f>
        <v>9008.08</v>
      </c>
      <c r="BA133" s="631">
        <f>Table1[[#This Row],[الزياده النهائيه]]/Table1[[#This Row],[راتب ديسمبر 2019]]%</f>
        <v>116.02110311750599</v>
      </c>
      <c r="BB133" s="612">
        <f>VLOOKUP(Table1[[#This Row],[الرقم الوظيفي]],Table6[],8,)</f>
        <v>4170</v>
      </c>
      <c r="BC133" s="7"/>
      <c r="BD133" s="7">
        <v>6580</v>
      </c>
      <c r="BE133" s="7">
        <v>6571.92</v>
      </c>
      <c r="BF133" s="5">
        <f>Table1[[#This Row],[الحد الادني]]-Table1[[#This Row],[الراتب 2018+النسبه]]</f>
        <v>4830</v>
      </c>
      <c r="BG133" s="5">
        <f>Table1[[#This Row],[التعديل حتي]]-Table1[[#This Row],[kkk]]</f>
        <v>-6571.92</v>
      </c>
      <c r="BH133" s="5">
        <v>6571.92</v>
      </c>
      <c r="BI133" s="5"/>
    </row>
    <row r="134" spans="1:61">
      <c r="A134" s="602">
        <v>677</v>
      </c>
      <c r="B134" s="618" t="str">
        <f>VLOOKUP(Table1[[#This Row],[الرقم الوظيفي]],[1]Sheet2!$1:$1048576,2,)</f>
        <v>فرح محمد ياسين سليمان</v>
      </c>
      <c r="C134" s="618" t="str">
        <f>VLOOKUP(Table1[[#This Row],[الرقم الوظيفي]],[1]Sheet2!$1:$1048576,7,)</f>
        <v>المصنع</v>
      </c>
      <c r="D134" s="618" t="str">
        <f>VLOOKUP(Table1[[#This Row],[الرقم الوظيفي]],[1]Sheet2!$1:$1048576,8,)</f>
        <v>الجوده</v>
      </c>
      <c r="E134" s="599">
        <f>VLOOKUP(Table1[[#This Row],[الرقم الوظيفي]],[1]Sheet2!$1:$1048576,9,)</f>
        <v>0</v>
      </c>
      <c r="F134" s="599" t="str">
        <f>VLOOKUP(Table1[[#This Row],[الرقم الوظيفي]],[1]Sheet2!$1:$1048576,12,)</f>
        <v>مراقب انتاج</v>
      </c>
      <c r="G134" s="599" t="str">
        <f>VLOOKUP(Table1[[#This Row],[الرقم الوظيفي]],[1]Sheet2!$1:$1048576,72,)</f>
        <v>بكلاريوس</v>
      </c>
      <c r="H134" s="599" t="str">
        <f>VLOOKUP(Table1[[#This Row],[الرقم الوظيفي]],[1]Sheet2!$1:$1048576,71,)</f>
        <v>Seientifie Laboratories ( Physics )</v>
      </c>
      <c r="I134" s="599" t="str">
        <f>VLOOKUP(Table1[[#This Row],[المؤهل الرئيسي]],Table4[],3,)</f>
        <v>C</v>
      </c>
      <c r="J134" s="599" t="s">
        <v>923</v>
      </c>
      <c r="K134" s="615">
        <f>VLOOKUP(Table1[[#This Row],[الرقم الوظيفي]],[1]Sheet2!$1:$1048576,13,)</f>
        <v>41626</v>
      </c>
      <c r="L134" s="615">
        <v>43830</v>
      </c>
      <c r="M134" s="599">
        <f>DATEDIF(Table1[[#This Row],[تاريخ التعيين]],Table1[[#This Row],[اخر العام]],"y")</f>
        <v>6</v>
      </c>
      <c r="N134" s="599">
        <f>DATEDIF(Table1[[#This Row],[تاريخ التعيين]],Table1[[#This Row],[اخر العام]],"ym")</f>
        <v>0</v>
      </c>
      <c r="O134" s="610">
        <f>Table1[[#This Row],[سنوات الخدمه]]*1+Table1[[#This Row],[الشهور اقل من سنه]]*0.08</f>
        <v>6</v>
      </c>
      <c r="P134" s="616">
        <v>4170</v>
      </c>
      <c r="Q134" s="617">
        <v>417</v>
      </c>
      <c r="R134" s="612"/>
      <c r="S134" s="599"/>
      <c r="T134" s="612"/>
      <c r="U134" s="612"/>
      <c r="V134" s="612"/>
      <c r="W134" s="612"/>
      <c r="X134" s="612"/>
      <c r="Y134" s="612"/>
      <c r="Z134" s="612"/>
      <c r="AA13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4" s="612"/>
      <c r="AC134" s="599"/>
      <c r="AD134" s="612"/>
      <c r="AE134" s="612"/>
      <c r="AF134" s="612"/>
      <c r="AG134" s="612"/>
      <c r="AH134" s="619">
        <f>SUM(Table1[[#This Row],[التقييد  باللوائح و تنفيذالتوجيه]:[اتباع اجراءات السلامه]])</f>
        <v>0</v>
      </c>
      <c r="AI134" s="619">
        <f>Table1[[#This Row],[المجموع]]+Table1[[#This Row],[المجموع2]]</f>
        <v>0</v>
      </c>
      <c r="AJ134" s="612">
        <v>10</v>
      </c>
      <c r="AK134" s="612"/>
      <c r="AL134" s="612"/>
      <c r="AM134" s="612"/>
      <c r="AN134" s="612"/>
      <c r="AO134" s="606">
        <f>Table1[[#This Row],[المجموع 1+2]]*$AO$2</f>
        <v>0</v>
      </c>
      <c r="AP134" s="648">
        <f>Table1[[#This Row],[راتب ديسمبر 2019]]*Table1[[#This Row],[نسبه التقييم الرئيسي 2018]]%</f>
        <v>0</v>
      </c>
      <c r="AQ134" s="627">
        <f>Table1[[#This Row],[مبلغ التقييم النسبي 2018]]+Table1[[#This Row],[راتب ديسمبر 2019]]</f>
        <v>4170</v>
      </c>
      <c r="AR134" s="611">
        <f>IF(Table1[[#This Row],[Column3]]&lt;0,0,Table1[[#This Row],[Column3]])</f>
        <v>5830</v>
      </c>
      <c r="AS134" s="599">
        <f>VLOOKUP(Table1[[#This Row],[درجه التوسيط]],Table10[],3,)</f>
        <v>10000</v>
      </c>
      <c r="AT134" s="608">
        <f>Table1[[#This Row],[الراتب 2018+النسبه]]+Table1[[#This Row],[فروقات الحد الادني]]</f>
        <v>10000</v>
      </c>
      <c r="AU134" s="629">
        <f>Table1[[#This Row],[الراتب 2018 + النسبه + الفرق]]-Table1[[#This Row],[راتب ديسمبر 2019]]</f>
        <v>5830</v>
      </c>
      <c r="AV134" s="628">
        <f>Table1[[#This Row],[الزياده]]/Table1[[#This Row],[راتب ديسمبر 2019]]%</f>
        <v>139.80815347721821</v>
      </c>
      <c r="AW134" s="659">
        <f>IF(Table1[[#This Row],[Column4]]&lt;0,0,Table1[[#This Row],[Column4]])</f>
        <v>0</v>
      </c>
      <c r="AX134" s="611">
        <f>Table1[[#This Row],[الجبر حتي]]-Table1[[#This Row],[رن]]</f>
        <v>8.0399999999999636</v>
      </c>
      <c r="AY134" s="611">
        <f>Table1[[#This Row],[الزياده]]+Table1[[#This Row],[التعديل]]+Table1[[#This Row],[جبر الرقم]]</f>
        <v>5838.04</v>
      </c>
      <c r="AZ134" s="611">
        <f>Table1[[#This Row],[الراتب 2018 + النسبه + الفرق]]+Table1[[#This Row],[جبر الرقم]]+Table1[[#This Row],[التعديل]]</f>
        <v>10008.040000000001</v>
      </c>
      <c r="BA134" s="631">
        <f>Table1[[#This Row],[الزياده النهائيه]]/Table1[[#This Row],[راتب ديسمبر 2019]]%</f>
        <v>140.00095923261389</v>
      </c>
      <c r="BB134" s="612">
        <f>VLOOKUP(Table1[[#This Row],[الرقم الوظيفي]],Table6[],8,)</f>
        <v>4170</v>
      </c>
      <c r="BC134" s="7"/>
      <c r="BD134" s="7">
        <v>6630</v>
      </c>
      <c r="BE134" s="7">
        <v>6621.96</v>
      </c>
      <c r="BF134" s="5">
        <f>Table1[[#This Row],[الحد الادني]]-Table1[[#This Row],[الراتب 2018+النسبه]]</f>
        <v>5830</v>
      </c>
      <c r="BG134" s="5">
        <f>Table1[[#This Row],[التعديل حتي]]-Table1[[#This Row],[kkk]]</f>
        <v>-6621.96</v>
      </c>
      <c r="BH134" s="5">
        <v>6621.96</v>
      </c>
      <c r="BI134" s="5"/>
    </row>
    <row r="135" spans="1:61" ht="21" customHeight="1">
      <c r="A135" s="602">
        <v>678</v>
      </c>
      <c r="B135" s="618" t="str">
        <f>VLOOKUP(Table1[[#This Row],[الرقم الوظيفي]],[1]Sheet2!$1:$1048576,2,)</f>
        <v>موسى عبدالله محمد احمد</v>
      </c>
      <c r="C135" s="618" t="str">
        <f>VLOOKUP(Table1[[#This Row],[الرقم الوظيفي]],[1]Sheet2!$1:$1048576,7,)</f>
        <v>المصنع</v>
      </c>
      <c r="D135" s="618" t="str">
        <f>VLOOKUP(Table1[[#This Row],[الرقم الوظيفي]],[1]Sheet2!$1:$1048576,8,)</f>
        <v>الانتاج</v>
      </c>
      <c r="E135" s="599" t="str">
        <f>VLOOKUP(Table1[[#This Row],[الرقم الوظيفي]],[1]Sheet2!$1:$1048576,9,)</f>
        <v>الزوايا</v>
      </c>
      <c r="F135" s="599" t="str">
        <f>VLOOKUP(Table1[[#This Row],[الرقم الوظيفي]],[1]Sheet2!$1:$1048576,12,)</f>
        <v>عامل</v>
      </c>
      <c r="G135" s="599">
        <f>VLOOKUP(Table1[[#This Row],[الرقم الوظيفي]],[1]Sheet2!$1:$1048576,72,)</f>
        <v>0</v>
      </c>
      <c r="H135" s="599">
        <f>VLOOKUP(Table1[[#This Row],[الرقم الوظيفي]],[1]Sheet2!$1:$1048576,71,)</f>
        <v>0</v>
      </c>
      <c r="I135" s="599" t="str">
        <f>VLOOKUP(Table1[[#This Row],[المؤهل الرئيسي]],Table4[],3,)</f>
        <v>H</v>
      </c>
      <c r="J135" s="599" t="s">
        <v>929</v>
      </c>
      <c r="K135" s="615">
        <f>VLOOKUP(Table1[[#This Row],[الرقم الوظيفي]],[1]Sheet2!$1:$1048576,13,)</f>
        <v>41626</v>
      </c>
      <c r="L135" s="615">
        <v>43830</v>
      </c>
      <c r="M135" s="599">
        <f>DATEDIF(Table1[[#This Row],[تاريخ التعيين]],Table1[[#This Row],[اخر العام]],"y")</f>
        <v>6</v>
      </c>
      <c r="N135" s="599">
        <f>DATEDIF(Table1[[#This Row],[تاريخ التعيين]],Table1[[#This Row],[اخر العام]],"ym")</f>
        <v>0</v>
      </c>
      <c r="O135" s="610">
        <f>Table1[[#This Row],[سنوات الخدمه]]*1+Table1[[#This Row],[الشهور اقل من سنه]]*0.08</f>
        <v>6</v>
      </c>
      <c r="P135" s="616">
        <v>3150</v>
      </c>
      <c r="Q135" s="617">
        <v>315</v>
      </c>
      <c r="R135" s="612"/>
      <c r="S135" s="599"/>
      <c r="T135" s="612"/>
      <c r="U135" s="612"/>
      <c r="V135" s="612"/>
      <c r="W135" s="612"/>
      <c r="X135" s="612"/>
      <c r="Y135" s="612"/>
      <c r="Z135" s="612"/>
      <c r="AA13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5" s="612"/>
      <c r="AC135" s="599"/>
      <c r="AD135" s="612"/>
      <c r="AE135" s="612"/>
      <c r="AF135" s="612"/>
      <c r="AG135" s="612"/>
      <c r="AH135" s="619">
        <f>SUM(Table1[[#This Row],[التقييد  باللوائح و تنفيذالتوجيه]:[اتباع اجراءات السلامه]])</f>
        <v>0</v>
      </c>
      <c r="AI135" s="619">
        <f>Table1[[#This Row],[المجموع]]+Table1[[#This Row],[المجموع2]]</f>
        <v>0</v>
      </c>
      <c r="AJ135" s="612"/>
      <c r="AK135" s="612"/>
      <c r="AL135" s="612"/>
      <c r="AM135" s="612"/>
      <c r="AN135" s="612"/>
      <c r="AO135" s="606">
        <f>Table1[[#This Row],[المجموع 1+2]]*$AO$2</f>
        <v>0</v>
      </c>
      <c r="AP135" s="648">
        <f>Table1[[#This Row],[راتب ديسمبر 2019]]*Table1[[#This Row],[نسبه التقييم الرئيسي 2018]]%</f>
        <v>0</v>
      </c>
      <c r="AQ135" s="627">
        <f>Table1[[#This Row],[مبلغ التقييم النسبي 2018]]+Table1[[#This Row],[راتب ديسمبر 2019]]</f>
        <v>3150</v>
      </c>
      <c r="AR135" s="611">
        <f>IF(Table1[[#This Row],[Column3]]&lt;0,0,Table1[[#This Row],[Column3]])</f>
        <v>2850</v>
      </c>
      <c r="AS135" s="599">
        <f>VLOOKUP(Table1[[#This Row],[درجه التوسيط]],Table10[],3,)</f>
        <v>6000</v>
      </c>
      <c r="AT135" s="608">
        <f>Table1[[#This Row],[الراتب 2018+النسبه]]+Table1[[#This Row],[فروقات الحد الادني]]</f>
        <v>6000</v>
      </c>
      <c r="AU135" s="629">
        <f>Table1[[#This Row],[الراتب 2018 + النسبه + الفرق]]-Table1[[#This Row],[راتب ديسمبر 2019]]</f>
        <v>2850</v>
      </c>
      <c r="AV135" s="628">
        <f>Table1[[#This Row],[الزياده]]/Table1[[#This Row],[راتب ديسمبر 2019]]%</f>
        <v>90.476190476190482</v>
      </c>
      <c r="AW135" s="659">
        <f>IF(Table1[[#This Row],[Column4]]&lt;0,0,Table1[[#This Row],[Column4]])</f>
        <v>0</v>
      </c>
      <c r="AX135" s="611">
        <f>Table1[[#This Row],[الجبر حتي]]-Table1[[#This Row],[رن]]</f>
        <v>9</v>
      </c>
      <c r="AY135" s="611">
        <f>Table1[[#This Row],[الزياده]]+Table1[[#This Row],[التعديل]]+Table1[[#This Row],[جبر الرقم]]</f>
        <v>2859</v>
      </c>
      <c r="AZ135" s="611">
        <f>Table1[[#This Row],[الراتب 2018 + النسبه + الفرق]]+Table1[[#This Row],[جبر الرقم]]+Table1[[#This Row],[التعديل]]</f>
        <v>6009</v>
      </c>
      <c r="BA135" s="631">
        <f>Table1[[#This Row],[الزياده النهائيه]]/Table1[[#This Row],[راتب ديسمبر 2019]]%</f>
        <v>90.761904761904759</v>
      </c>
      <c r="BB135" s="612">
        <f>VLOOKUP(Table1[[#This Row],[الرقم الوظيفي]],Table6[],8,)</f>
        <v>3150</v>
      </c>
      <c r="BC135" s="7"/>
      <c r="BD135" s="7">
        <v>4860</v>
      </c>
      <c r="BE135" s="7">
        <v>4851</v>
      </c>
      <c r="BF135" s="5">
        <f>Table1[[#This Row],[الحد الادني]]-Table1[[#This Row],[الراتب 2018+النسبه]]</f>
        <v>2850</v>
      </c>
      <c r="BG135" s="5">
        <f>Table1[[#This Row],[التعديل حتي]]-Table1[[#This Row],[kkk]]</f>
        <v>-4851</v>
      </c>
      <c r="BH135" s="5">
        <v>4851</v>
      </c>
      <c r="BI135" s="5"/>
    </row>
    <row r="136" spans="1:61" ht="21" customHeight="1">
      <c r="A136" s="602">
        <v>686</v>
      </c>
      <c r="B136" s="618" t="str">
        <f>VLOOKUP(Table1[[#This Row],[الرقم الوظيفي]],[1]Sheet2!$1:$1048576,2,)</f>
        <v>محمد عمر احمد حمد النيل</v>
      </c>
      <c r="C136" s="618" t="str">
        <f>VLOOKUP(Table1[[#This Row],[الرقم الوظيفي]],[1]Sheet2!$1:$1048576,7,)</f>
        <v>المصنع</v>
      </c>
      <c r="D136" s="618" t="str">
        <f>VLOOKUP(Table1[[#This Row],[الرقم الوظيفي]],[1]Sheet2!$1:$1048576,8,)</f>
        <v>المستودعات</v>
      </c>
      <c r="E136" s="599" t="str">
        <f>VLOOKUP(Table1[[#This Row],[الرقم الوظيفي]],[1]Sheet2!$1:$1048576,9,)</f>
        <v>الاسكلبات</v>
      </c>
      <c r="F136" s="599" t="str">
        <f>VLOOKUP(Table1[[#This Row],[الرقم الوظيفي]],[1]Sheet2!$1:$1048576,12,)</f>
        <v>مسئول مستوع ا س</v>
      </c>
      <c r="G136" s="599" t="str">
        <f>VLOOKUP(Table1[[#This Row],[الرقم الوظيفي]],[1]Sheet2!$1:$1048576,72,)</f>
        <v>بكلاريوس</v>
      </c>
      <c r="H136" s="599" t="str">
        <f>VLOOKUP(Table1[[#This Row],[الرقم الوظيفي]],[1]Sheet2!$1:$1048576,71,)</f>
        <v>إدارة الاعمال</v>
      </c>
      <c r="I136" s="599" t="str">
        <f>VLOOKUP(Table1[[#This Row],[المؤهل الرئيسي]],Table4[],3,)</f>
        <v>C</v>
      </c>
      <c r="J136" s="599" t="s">
        <v>496</v>
      </c>
      <c r="K136" s="615">
        <f>VLOOKUP(Table1[[#This Row],[الرقم الوظيفي]],[1]Sheet2!$1:$1048576,13,)</f>
        <v>41671</v>
      </c>
      <c r="L136" s="615">
        <v>43830</v>
      </c>
      <c r="M136" s="599">
        <f>DATEDIF(Table1[[#This Row],[تاريخ التعيين]],Table1[[#This Row],[اخر العام]],"y")</f>
        <v>5</v>
      </c>
      <c r="N136" s="599">
        <f>DATEDIF(Table1[[#This Row],[تاريخ التعيين]],Table1[[#This Row],[اخر العام]],"ym")</f>
        <v>10</v>
      </c>
      <c r="O136" s="610">
        <f>Table1[[#This Row],[سنوات الخدمه]]*1+Table1[[#This Row],[الشهور اقل من سنه]]*0.08</f>
        <v>5.8</v>
      </c>
      <c r="P136" s="616">
        <v>5190</v>
      </c>
      <c r="Q136" s="617">
        <v>498.24</v>
      </c>
      <c r="R136" s="612"/>
      <c r="S136" s="599"/>
      <c r="T136" s="612"/>
      <c r="U136" s="612"/>
      <c r="V136" s="612"/>
      <c r="W136" s="612"/>
      <c r="X136" s="612"/>
      <c r="Y136" s="612"/>
      <c r="Z136" s="612"/>
      <c r="AA13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6" s="612"/>
      <c r="AC136" s="599"/>
      <c r="AD136" s="612"/>
      <c r="AE136" s="612"/>
      <c r="AF136" s="612"/>
      <c r="AG136" s="612"/>
      <c r="AH136" s="619">
        <f>SUM(Table1[[#This Row],[التقييد  باللوائح و تنفيذالتوجيه]:[اتباع اجراءات السلامه]])</f>
        <v>0</v>
      </c>
      <c r="AI136" s="619">
        <f>Table1[[#This Row],[المجموع]]+Table1[[#This Row],[المجموع2]]</f>
        <v>0</v>
      </c>
      <c r="AJ136" s="612"/>
      <c r="AK136" s="612"/>
      <c r="AL136" s="612"/>
      <c r="AM136" s="612"/>
      <c r="AN136" s="612"/>
      <c r="AO136" s="606">
        <f>Table1[[#This Row],[المجموع 1+2]]*$AO$2</f>
        <v>0</v>
      </c>
      <c r="AP136" s="648">
        <f>Table1[[#This Row],[راتب ديسمبر 2019]]*Table1[[#This Row],[نسبه التقييم الرئيسي 2018]]%</f>
        <v>0</v>
      </c>
      <c r="AQ136" s="627">
        <f>Table1[[#This Row],[مبلغ التقييم النسبي 2018]]+Table1[[#This Row],[راتب ديسمبر 2019]]</f>
        <v>5190</v>
      </c>
      <c r="AR136" s="611">
        <f>IF(Table1[[#This Row],[Column3]]&lt;0,0,Table1[[#This Row],[Column3]])</f>
        <v>6810</v>
      </c>
      <c r="AS136" s="599">
        <f>VLOOKUP(Table1[[#This Row],[درجه التوسيط]],Table10[],3,)</f>
        <v>12000</v>
      </c>
      <c r="AT136" s="608">
        <f>Table1[[#This Row],[الراتب 2018+النسبه]]+Table1[[#This Row],[فروقات الحد الادني]]</f>
        <v>12000</v>
      </c>
      <c r="AU136" s="629">
        <f>Table1[[#This Row],[الراتب 2018 + النسبه + الفرق]]-Table1[[#This Row],[راتب ديسمبر 2019]]</f>
        <v>6810</v>
      </c>
      <c r="AV136" s="628">
        <f>Table1[[#This Row],[الزياده]]/Table1[[#This Row],[راتب ديسمبر 2019]]%</f>
        <v>131.21387283236996</v>
      </c>
      <c r="AW136" s="659">
        <f>IF(Table1[[#This Row],[Column4]]&lt;0,0,Table1[[#This Row],[Column4]])</f>
        <v>0</v>
      </c>
      <c r="AX136" s="611">
        <f>Table1[[#This Row],[الجبر حتي]]-Table1[[#This Row],[رن]]</f>
        <v>0</v>
      </c>
      <c r="AY136" s="611">
        <f>Table1[[#This Row],[الزياده]]+Table1[[#This Row],[التعديل]]+Table1[[#This Row],[جبر الرقم]]</f>
        <v>6810</v>
      </c>
      <c r="AZ136" s="611">
        <f>Table1[[#This Row],[الراتب 2018 + النسبه + الفرق]]+Table1[[#This Row],[جبر الرقم]]+Table1[[#This Row],[التعديل]]</f>
        <v>12000</v>
      </c>
      <c r="BA136" s="631">
        <f>Table1[[#This Row],[الزياده النهائيه]]/Table1[[#This Row],[راتب ديسمبر 2019]]%</f>
        <v>131.21387283236996</v>
      </c>
      <c r="BB136" s="612">
        <f>VLOOKUP(Table1[[#This Row],[الرقم الوظيفي]],Table6[],8,)</f>
        <v>5190</v>
      </c>
      <c r="BC136" s="7"/>
      <c r="BD136" s="7">
        <v>8500</v>
      </c>
      <c r="BE136" s="7">
        <v>8500</v>
      </c>
      <c r="BF136" s="5">
        <f>Table1[[#This Row],[الحد الادني]]-Table1[[#This Row],[الراتب 2018+النسبه]]</f>
        <v>6810</v>
      </c>
      <c r="BG136" s="5">
        <f>Table1[[#This Row],[التعديل حتي]]-Table1[[#This Row],[kkk]]</f>
        <v>-8500</v>
      </c>
      <c r="BH136" s="5">
        <v>8500</v>
      </c>
      <c r="BI136" s="5"/>
    </row>
    <row r="137" spans="1:61">
      <c r="A137" s="602">
        <v>689</v>
      </c>
      <c r="B137" s="618" t="str">
        <f>VLOOKUP(Table1[[#This Row],[الرقم الوظيفي]],[1]Sheet2!$1:$1048576,2,)</f>
        <v>عثمان جادين الامين حمد</v>
      </c>
      <c r="C137" s="618" t="str">
        <f>VLOOKUP(Table1[[#This Row],[الرقم الوظيفي]],[1]Sheet2!$1:$1048576,7,)</f>
        <v>المصنع</v>
      </c>
      <c r="D137" s="618" t="str">
        <f>VLOOKUP(Table1[[#This Row],[الرقم الوظيفي]],[1]Sheet2!$1:$1048576,8,)</f>
        <v>الخدمات</v>
      </c>
      <c r="E137" s="599">
        <f>VLOOKUP(Table1[[#This Row],[الرقم الوظيفي]],[1]Sheet2!$1:$1048576,9,)</f>
        <v>0</v>
      </c>
      <c r="F137" s="599" t="str">
        <f>VLOOKUP(Table1[[#This Row],[الرقم الوظيفي]],[1]Sheet2!$1:$1048576,12,)</f>
        <v>عامل</v>
      </c>
      <c r="G137" s="599">
        <f>VLOOKUP(Table1[[#This Row],[الرقم الوظيفي]],[1]Sheet2!$1:$1048576,72,)</f>
        <v>0</v>
      </c>
      <c r="H137" s="599">
        <f>VLOOKUP(Table1[[#This Row],[الرقم الوظيفي]],[1]Sheet2!$1:$1048576,71,)</f>
        <v>0</v>
      </c>
      <c r="I137" s="599" t="str">
        <f>VLOOKUP(Table1[[#This Row],[المؤهل الرئيسي]],Table4[],3,)</f>
        <v>H</v>
      </c>
      <c r="J137" s="599" t="s">
        <v>929</v>
      </c>
      <c r="K137" s="615">
        <f>VLOOKUP(Table1[[#This Row],[الرقم الوظيفي]],[1]Sheet2!$1:$1048576,13,)</f>
        <v>41671</v>
      </c>
      <c r="L137" s="615">
        <v>43830</v>
      </c>
      <c r="M137" s="599">
        <f>DATEDIF(Table1[[#This Row],[تاريخ التعيين]],Table1[[#This Row],[اخر العام]],"y")</f>
        <v>5</v>
      </c>
      <c r="N137" s="599">
        <f>DATEDIF(Table1[[#This Row],[تاريخ التعيين]],Table1[[#This Row],[اخر العام]],"ym")</f>
        <v>10</v>
      </c>
      <c r="O137" s="610">
        <f>Table1[[#This Row],[سنوات الخدمه]]*1+Table1[[#This Row],[الشهور اقل من سنه]]*0.08</f>
        <v>5.8</v>
      </c>
      <c r="P137" s="616">
        <v>3140</v>
      </c>
      <c r="Q137" s="617">
        <v>301.44</v>
      </c>
      <c r="R137" s="612"/>
      <c r="S137" s="599"/>
      <c r="T137" s="612"/>
      <c r="U137" s="612"/>
      <c r="V137" s="612"/>
      <c r="W137" s="612"/>
      <c r="X137" s="612"/>
      <c r="Y137" s="612"/>
      <c r="Z137" s="612"/>
      <c r="AA13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7" s="612"/>
      <c r="AC137" s="599"/>
      <c r="AD137" s="612"/>
      <c r="AE137" s="612"/>
      <c r="AF137" s="612"/>
      <c r="AG137" s="612"/>
      <c r="AH137" s="619">
        <f>SUM(Table1[[#This Row],[التقييد  باللوائح و تنفيذالتوجيه]:[اتباع اجراءات السلامه]])</f>
        <v>0</v>
      </c>
      <c r="AI137" s="619">
        <f>Table1[[#This Row],[المجموع]]+Table1[[#This Row],[المجموع2]]</f>
        <v>0</v>
      </c>
      <c r="AJ137" s="612"/>
      <c r="AK137" s="612"/>
      <c r="AL137" s="612"/>
      <c r="AM137" s="612"/>
      <c r="AN137" s="612"/>
      <c r="AO137" s="606">
        <f>Table1[[#This Row],[المجموع 1+2]]*$AO$2</f>
        <v>0</v>
      </c>
      <c r="AP137" s="648">
        <f>Table1[[#This Row],[راتب ديسمبر 2019]]*Table1[[#This Row],[نسبه التقييم الرئيسي 2018]]%</f>
        <v>0</v>
      </c>
      <c r="AQ137" s="627">
        <f>Table1[[#This Row],[مبلغ التقييم النسبي 2018]]+Table1[[#This Row],[راتب ديسمبر 2019]]</f>
        <v>3140</v>
      </c>
      <c r="AR137" s="611">
        <f>IF(Table1[[#This Row],[Column3]]&lt;0,0,Table1[[#This Row],[Column3]])</f>
        <v>2860</v>
      </c>
      <c r="AS137" s="599">
        <f>VLOOKUP(Table1[[#This Row],[درجه التوسيط]],Table10[],3,)</f>
        <v>6000</v>
      </c>
      <c r="AT137" s="608">
        <f>Table1[[#This Row],[الراتب 2018+النسبه]]+Table1[[#This Row],[فروقات الحد الادني]]</f>
        <v>6000</v>
      </c>
      <c r="AU137" s="629">
        <f>Table1[[#This Row],[الراتب 2018 + النسبه + الفرق]]-Table1[[#This Row],[راتب ديسمبر 2019]]</f>
        <v>2860</v>
      </c>
      <c r="AV137" s="628">
        <f>Table1[[#This Row],[الزياده]]/Table1[[#This Row],[راتب ديسمبر 2019]]%</f>
        <v>91.082802547770711</v>
      </c>
      <c r="AW137" s="659">
        <f>IF(Table1[[#This Row],[Column4]]&lt;0,0,Table1[[#This Row],[Column4]])</f>
        <v>0</v>
      </c>
      <c r="AX137" s="611">
        <f>Table1[[#This Row],[الجبر حتي]]-Table1[[#This Row],[رن]]</f>
        <v>0.1999999999998181</v>
      </c>
      <c r="AY137" s="611">
        <f>Table1[[#This Row],[الزياده]]+Table1[[#This Row],[التعديل]]+Table1[[#This Row],[جبر الرقم]]</f>
        <v>2860.2</v>
      </c>
      <c r="AZ137" s="611">
        <f>Table1[[#This Row],[الراتب 2018 + النسبه + الفرق]]+Table1[[#This Row],[جبر الرقم]]+Table1[[#This Row],[التعديل]]</f>
        <v>6000.2</v>
      </c>
      <c r="BA137" s="631">
        <f>Table1[[#This Row],[الزياده النهائيه]]/Table1[[#This Row],[راتب ديسمبر 2019]]%</f>
        <v>91.089171974522287</v>
      </c>
      <c r="BB137" s="612">
        <f>VLOOKUP(Table1[[#This Row],[الرقم الوظيفي]],Table6[],8,)</f>
        <v>3140</v>
      </c>
      <c r="BC137" s="7"/>
      <c r="BD137" s="7">
        <v>4930</v>
      </c>
      <c r="BE137" s="7">
        <v>4929.8</v>
      </c>
      <c r="BF137" s="5">
        <f>Table1[[#This Row],[الحد الادني]]-Table1[[#This Row],[الراتب 2018+النسبه]]</f>
        <v>2860</v>
      </c>
      <c r="BG137" s="5">
        <f>Table1[[#This Row],[التعديل حتي]]-Table1[[#This Row],[kkk]]</f>
        <v>-4929.8</v>
      </c>
      <c r="BH137" s="5">
        <v>4929.8</v>
      </c>
      <c r="BI137" s="5"/>
    </row>
    <row r="138" spans="1:61" ht="21" customHeight="1">
      <c r="A138" s="602">
        <v>690</v>
      </c>
      <c r="B138" s="618" t="str">
        <f>VLOOKUP(Table1[[#This Row],[الرقم الوظيفي]],[1]Sheet2!$1:$1048576,2,)</f>
        <v>الياقوت محمد احمد عبدالله</v>
      </c>
      <c r="C138" s="618" t="str">
        <f>VLOOKUP(Table1[[#This Row],[الرقم الوظيفي]],[1]Sheet2!$1:$1048576,7,)</f>
        <v>المصنع</v>
      </c>
      <c r="D138" s="618" t="str">
        <f>VLOOKUP(Table1[[#This Row],[الرقم الوظيفي]],[1]Sheet2!$1:$1048576,8,)</f>
        <v>المستودعات</v>
      </c>
      <c r="E138" s="599" t="str">
        <f>VLOOKUP(Table1[[#This Row],[الرقم الوظيفي]],[1]Sheet2!$1:$1048576,9,)</f>
        <v>الاسكبات</v>
      </c>
      <c r="F138" s="599" t="str">
        <f>VLOOKUP(Table1[[#This Row],[الرقم الوظيفي]],[1]Sheet2!$1:$1048576,12,)</f>
        <v>امين مستودع ا س</v>
      </c>
      <c r="G138" s="599" t="str">
        <f>VLOOKUP(Table1[[#This Row],[الرقم الوظيفي]],[1]Sheet2!$1:$1048576,72,)</f>
        <v>شهاده ثانويه</v>
      </c>
      <c r="H138" s="599">
        <f>VLOOKUP(Table1[[#This Row],[الرقم الوظيفي]],[1]Sheet2!$1:$1048576,71,)</f>
        <v>0</v>
      </c>
      <c r="I138" s="599" t="str">
        <f>VLOOKUP(Table1[[#This Row],[المؤهل الرئيسي]],Table4[],3,)</f>
        <v>F</v>
      </c>
      <c r="J138" s="599" t="s">
        <v>924</v>
      </c>
      <c r="K138" s="615">
        <f>VLOOKUP(Table1[[#This Row],[الرقم الوظيفي]],[1]Sheet2!$1:$1048576,13,)</f>
        <v>42322</v>
      </c>
      <c r="L138" s="615">
        <v>43830</v>
      </c>
      <c r="M138" s="599">
        <f>DATEDIF(Table1[[#This Row],[تاريخ التعيين]],Table1[[#This Row],[اخر العام]],"y")</f>
        <v>4</v>
      </c>
      <c r="N138" s="599">
        <f>DATEDIF(Table1[[#This Row],[تاريخ التعيين]],Table1[[#This Row],[اخر العام]],"ym")</f>
        <v>1</v>
      </c>
      <c r="O138" s="610">
        <f>Table1[[#This Row],[سنوات الخدمه]]*1+Table1[[#This Row],[الشهور اقل من سنه]]*0.08</f>
        <v>4.08</v>
      </c>
      <c r="P138" s="616">
        <v>3580</v>
      </c>
      <c r="Q138" s="617">
        <v>220.52799999999999</v>
      </c>
      <c r="R138" s="612"/>
      <c r="S138" s="599"/>
      <c r="T138" s="612"/>
      <c r="U138" s="612"/>
      <c r="V138" s="612"/>
      <c r="W138" s="612"/>
      <c r="X138" s="612"/>
      <c r="Y138" s="612"/>
      <c r="Z138" s="612"/>
      <c r="AA13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8" s="612"/>
      <c r="AC138" s="599"/>
      <c r="AD138" s="612"/>
      <c r="AE138" s="612"/>
      <c r="AF138" s="612"/>
      <c r="AG138" s="612"/>
      <c r="AH138" s="619">
        <f>SUM(Table1[[#This Row],[التقييد  باللوائح و تنفيذالتوجيه]:[اتباع اجراءات السلامه]])</f>
        <v>0</v>
      </c>
      <c r="AI138" s="619">
        <f>Table1[[#This Row],[المجموع]]+Table1[[#This Row],[المجموع2]]</f>
        <v>0</v>
      </c>
      <c r="AJ138" s="612"/>
      <c r="AK138" s="612"/>
      <c r="AL138" s="612"/>
      <c r="AM138" s="612"/>
      <c r="AN138" s="612"/>
      <c r="AO138" s="606">
        <f>Table1[[#This Row],[المجموع 1+2]]*$AO$2</f>
        <v>0</v>
      </c>
      <c r="AP138" s="648">
        <f>Table1[[#This Row],[راتب ديسمبر 2019]]*Table1[[#This Row],[نسبه التقييم الرئيسي 2018]]%</f>
        <v>0</v>
      </c>
      <c r="AQ138" s="627">
        <f>Table1[[#This Row],[مبلغ التقييم النسبي 2018]]+Table1[[#This Row],[راتب ديسمبر 2019]]</f>
        <v>3580</v>
      </c>
      <c r="AR138" s="611">
        <f>IF(Table1[[#This Row],[Column3]]&lt;0,0,Table1[[#This Row],[Column3]])</f>
        <v>5420</v>
      </c>
      <c r="AS138" s="599">
        <f>VLOOKUP(Table1[[#This Row],[درجه التوسيط]],Table10[],3,)</f>
        <v>9000</v>
      </c>
      <c r="AT138" s="608">
        <f>Table1[[#This Row],[الراتب 2018+النسبه]]+Table1[[#This Row],[فروقات الحد الادني]]</f>
        <v>9000</v>
      </c>
      <c r="AU138" s="629">
        <f>Table1[[#This Row],[الراتب 2018 + النسبه + الفرق]]-Table1[[#This Row],[راتب ديسمبر 2019]]</f>
        <v>5420</v>
      </c>
      <c r="AV138" s="628">
        <f>Table1[[#This Row],[الزياده]]/Table1[[#This Row],[راتب ديسمبر 2019]]%</f>
        <v>151.39664804469274</v>
      </c>
      <c r="AW138" s="659">
        <f>IF(Table1[[#This Row],[Column4]]&lt;0,0,Table1[[#This Row],[Column4]])</f>
        <v>0</v>
      </c>
      <c r="AX138" s="611">
        <f>Table1[[#This Row],[الجبر حتي]]-Table1[[#This Row],[رن]]</f>
        <v>0</v>
      </c>
      <c r="AY138" s="611">
        <f>Table1[[#This Row],[الزياده]]+Table1[[#This Row],[التعديل]]+Table1[[#This Row],[جبر الرقم]]</f>
        <v>5420</v>
      </c>
      <c r="AZ138" s="611">
        <f>Table1[[#This Row],[الراتب 2018 + النسبه + الفرق]]+Table1[[#This Row],[جبر الرقم]]+Table1[[#This Row],[التعديل]]</f>
        <v>9000</v>
      </c>
      <c r="BA138" s="631">
        <f>Table1[[#This Row],[الزياده النهائيه]]/Table1[[#This Row],[راتب ديسمبر 2019]]%</f>
        <v>151.39664804469274</v>
      </c>
      <c r="BB138" s="612">
        <f>VLOOKUP(Table1[[#This Row],[الرقم الوظيفي]],Table6[],8,)</f>
        <v>3580</v>
      </c>
      <c r="BC138" s="7"/>
      <c r="BD138" s="7">
        <v>6000</v>
      </c>
      <c r="BE138" s="7">
        <v>6000</v>
      </c>
      <c r="BF138" s="5">
        <f>Table1[[#This Row],[الحد الادني]]-Table1[[#This Row],[الراتب 2018+النسبه]]</f>
        <v>5420</v>
      </c>
      <c r="BG138" s="5">
        <f>Table1[[#This Row],[التعديل حتي]]-Table1[[#This Row],[kkk]]</f>
        <v>-6000</v>
      </c>
      <c r="BH138" s="5">
        <v>6000</v>
      </c>
      <c r="BI138" s="5"/>
    </row>
    <row r="139" spans="1:61">
      <c r="A139" s="602">
        <v>691</v>
      </c>
      <c r="B139" s="618" t="str">
        <f>VLOOKUP(Table1[[#This Row],[الرقم الوظيفي]],[1]Sheet2!$1:$1048576,2,)</f>
        <v>عبدالجبار ابراهيم صالح شرف الدين</v>
      </c>
      <c r="C139" s="618" t="str">
        <f>VLOOKUP(Table1[[#This Row],[الرقم الوظيفي]],[1]Sheet2!$1:$1048576,7,)</f>
        <v>المصنع</v>
      </c>
      <c r="D139" s="618" t="str">
        <f>VLOOKUP(Table1[[#This Row],[الرقم الوظيفي]],[1]Sheet2!$1:$1048576,8,)</f>
        <v>الخدمات</v>
      </c>
      <c r="E139" s="599">
        <f>VLOOKUP(Table1[[#This Row],[الرقم الوظيفي]],[1]Sheet2!$1:$1048576,9,)</f>
        <v>0</v>
      </c>
      <c r="F139" s="599" t="str">
        <f>VLOOKUP(Table1[[#This Row],[الرقم الوظيفي]],[1]Sheet2!$1:$1048576,12,)</f>
        <v>مشرف خدمات</v>
      </c>
      <c r="G139" s="599" t="str">
        <f>VLOOKUP(Table1[[#This Row],[الرقم الوظيفي]],[1]Sheet2!$1:$1048576,72,)</f>
        <v>تدريب مهني</v>
      </c>
      <c r="H139" s="599" t="str">
        <f>VLOOKUP(Table1[[#This Row],[الرقم الوظيفي]],[1]Sheet2!$1:$1048576,71,)</f>
        <v>حدادة ولحام</v>
      </c>
      <c r="I139" s="599" t="str">
        <f>VLOOKUP(Table1[[#This Row],[المؤهل الرئيسي]],Table4[],3,)</f>
        <v>F</v>
      </c>
      <c r="J139" s="599" t="s">
        <v>922</v>
      </c>
      <c r="K139" s="615">
        <f>VLOOKUP(Table1[[#This Row],[الرقم الوظيفي]],[1]Sheet2!$1:$1048576,13,)</f>
        <v>41672</v>
      </c>
      <c r="L139" s="615">
        <v>43830</v>
      </c>
      <c r="M139" s="599">
        <f>DATEDIF(Table1[[#This Row],[تاريخ التعيين]],Table1[[#This Row],[اخر العام]],"y")</f>
        <v>5</v>
      </c>
      <c r="N139" s="599">
        <f>DATEDIF(Table1[[#This Row],[تاريخ التعيين]],Table1[[#This Row],[اخر العام]],"ym")</f>
        <v>10</v>
      </c>
      <c r="O139" s="610">
        <f>Table1[[#This Row],[سنوات الخدمه]]*1+Table1[[#This Row],[الشهور اقل من سنه]]*0.08</f>
        <v>5.8</v>
      </c>
      <c r="P139" s="616">
        <v>5180</v>
      </c>
      <c r="Q139" s="617">
        <v>497.28</v>
      </c>
      <c r="R139" s="612"/>
      <c r="S139" s="599"/>
      <c r="T139" s="612"/>
      <c r="U139" s="612"/>
      <c r="V139" s="612"/>
      <c r="W139" s="612"/>
      <c r="X139" s="612"/>
      <c r="Y139" s="612"/>
      <c r="Z139" s="612"/>
      <c r="AA13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39" s="612"/>
      <c r="AC139" s="599"/>
      <c r="AD139" s="612"/>
      <c r="AE139" s="612"/>
      <c r="AF139" s="612"/>
      <c r="AG139" s="612"/>
      <c r="AH139" s="619">
        <f>SUM(Table1[[#This Row],[التقييد  باللوائح و تنفيذالتوجيه]:[اتباع اجراءات السلامه]])</f>
        <v>0</v>
      </c>
      <c r="AI139" s="619">
        <f>Table1[[#This Row],[المجموع]]+Table1[[#This Row],[المجموع2]]</f>
        <v>0</v>
      </c>
      <c r="AJ139" s="612">
        <v>8</v>
      </c>
      <c r="AK139" s="612"/>
      <c r="AL139" s="612"/>
      <c r="AM139" s="612"/>
      <c r="AN139" s="612"/>
      <c r="AO139" s="606">
        <f>Table1[[#This Row],[المجموع 1+2]]*$AO$2</f>
        <v>0</v>
      </c>
      <c r="AP139" s="648">
        <f>Table1[[#This Row],[راتب ديسمبر 2019]]*Table1[[#This Row],[نسبه التقييم الرئيسي 2018]]%</f>
        <v>0</v>
      </c>
      <c r="AQ139" s="627">
        <f>Table1[[#This Row],[مبلغ التقييم النسبي 2018]]+Table1[[#This Row],[راتب ديسمبر 2019]]</f>
        <v>5180</v>
      </c>
      <c r="AR139" s="611">
        <f>IF(Table1[[#This Row],[Column3]]&lt;0,0,Table1[[#This Row],[Column3]])</f>
        <v>5820</v>
      </c>
      <c r="AS139" s="599">
        <f>VLOOKUP(Table1[[#This Row],[درجه التوسيط]],Table10[],3,)</f>
        <v>11000</v>
      </c>
      <c r="AT139" s="608">
        <f>Table1[[#This Row],[الراتب 2018+النسبه]]+Table1[[#This Row],[فروقات الحد الادني]]</f>
        <v>11000</v>
      </c>
      <c r="AU139" s="629">
        <f>Table1[[#This Row],[الراتب 2018 + النسبه + الفرق]]-Table1[[#This Row],[راتب ديسمبر 2019]]</f>
        <v>5820</v>
      </c>
      <c r="AV139" s="628">
        <f>Table1[[#This Row],[الزياده]]/Table1[[#This Row],[راتب ديسمبر 2019]]%</f>
        <v>112.35521235521236</v>
      </c>
      <c r="AW139" s="659">
        <f>IF(Table1[[#This Row],[Column4]]&lt;0,0,Table1[[#This Row],[Column4]])</f>
        <v>0</v>
      </c>
      <c r="AX139" s="611">
        <f>Table1[[#This Row],[الجبر حتي]]-Table1[[#This Row],[رن]]</f>
        <v>8.4800000000004729</v>
      </c>
      <c r="AY139" s="611">
        <f>Table1[[#This Row],[الزياده]]+Table1[[#This Row],[التعديل]]+Table1[[#This Row],[جبر الرقم]]</f>
        <v>5828.4800000000005</v>
      </c>
      <c r="AZ139" s="611">
        <f>Table1[[#This Row],[الراتب 2018 + النسبه + الفرق]]+Table1[[#This Row],[جبر الرقم]]+Table1[[#This Row],[التعديل]]</f>
        <v>11008.48</v>
      </c>
      <c r="BA139" s="631">
        <f>Table1[[#This Row],[الزياده النهائيه]]/Table1[[#This Row],[راتب ديسمبر 2019]]%</f>
        <v>112.51891891891893</v>
      </c>
      <c r="BB139" s="612">
        <f>VLOOKUP(Table1[[#This Row],[الرقم الوظيفي]],Table6[],8,)</f>
        <v>5180</v>
      </c>
      <c r="BC139" s="7"/>
      <c r="BD139" s="7">
        <v>8110</v>
      </c>
      <c r="BE139" s="7">
        <v>8101.5199999999995</v>
      </c>
      <c r="BF139" s="5">
        <f>Table1[[#This Row],[الحد الادني]]-Table1[[#This Row],[الراتب 2018+النسبه]]</f>
        <v>5820</v>
      </c>
      <c r="BG139" s="5">
        <f>Table1[[#This Row],[التعديل حتي]]-Table1[[#This Row],[kkk]]</f>
        <v>-8101.5199999999995</v>
      </c>
      <c r="BH139" s="5">
        <v>8101.5199999999995</v>
      </c>
      <c r="BI139" s="5"/>
    </row>
    <row r="140" spans="1:61" ht="21" customHeight="1">
      <c r="A140" s="602">
        <v>697</v>
      </c>
      <c r="B140" s="618" t="str">
        <f>VLOOKUP(Table1[[#This Row],[الرقم الوظيفي]],[1]Sheet2!$1:$1048576,2,)</f>
        <v>عبدالعزيز الامين محمد حمدالنيل</v>
      </c>
      <c r="C140" s="618" t="str">
        <f>VLOOKUP(Table1[[#This Row],[الرقم الوظيفي]],[1]Sheet2!$1:$1048576,7,)</f>
        <v>المصنع</v>
      </c>
      <c r="D140" s="618" t="str">
        <f>VLOOKUP(Table1[[#This Row],[الرقم الوظيفي]],[1]Sheet2!$1:$1048576,8,)</f>
        <v>الميكانيكا</v>
      </c>
      <c r="E140" s="599" t="str">
        <f>VLOOKUP(Table1[[#This Row],[الرقم الوظيفي]],[1]Sheet2!$1:$1048576,9,)</f>
        <v>الحداده</v>
      </c>
      <c r="F140" s="599" t="str">
        <f>VLOOKUP(Table1[[#This Row],[الرقم الوظيفي]],[1]Sheet2!$1:$1048576,12,)</f>
        <v>حداد صيانه</v>
      </c>
      <c r="G140" s="599" t="str">
        <f>VLOOKUP(Table1[[#This Row],[الرقم الوظيفي]],[1]Sheet2!$1:$1048576,72,)</f>
        <v>تدريب مهني</v>
      </c>
      <c r="H140" s="599" t="str">
        <f>VLOOKUP(Table1[[#This Row],[الرقم الوظيفي]],[1]Sheet2!$1:$1048576,71,)</f>
        <v>توضيب ولحام</v>
      </c>
      <c r="I140" s="599" t="str">
        <f>VLOOKUP(Table1[[#This Row],[المؤهل الرئيسي]],Table4[],3,)</f>
        <v>F</v>
      </c>
      <c r="J140" s="599" t="s">
        <v>924</v>
      </c>
      <c r="K140" s="615">
        <f>VLOOKUP(Table1[[#This Row],[الرقم الوظيفي]],[1]Sheet2!$1:$1048576,13,)</f>
        <v>41679</v>
      </c>
      <c r="L140" s="615">
        <v>43830</v>
      </c>
      <c r="M140" s="599">
        <f>DATEDIF(Table1[[#This Row],[تاريخ التعيين]],Table1[[#This Row],[اخر العام]],"y")</f>
        <v>5</v>
      </c>
      <c r="N140" s="599">
        <f>DATEDIF(Table1[[#This Row],[تاريخ التعيين]],Table1[[#This Row],[اخر العام]],"ym")</f>
        <v>10</v>
      </c>
      <c r="O140" s="610">
        <f>Table1[[#This Row],[سنوات الخدمه]]*1+Table1[[#This Row],[الشهور اقل من سنه]]*0.08</f>
        <v>5.8</v>
      </c>
      <c r="P140" s="616">
        <v>4160</v>
      </c>
      <c r="Q140" s="617">
        <v>399.36</v>
      </c>
      <c r="R140" s="612"/>
      <c r="S140" s="599"/>
      <c r="T140" s="612"/>
      <c r="U140" s="612"/>
      <c r="V140" s="612"/>
      <c r="W140" s="612"/>
      <c r="X140" s="612"/>
      <c r="Y140" s="612"/>
      <c r="Z140" s="612"/>
      <c r="AA14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0" s="612"/>
      <c r="AC140" s="599"/>
      <c r="AD140" s="612"/>
      <c r="AE140" s="612"/>
      <c r="AF140" s="612"/>
      <c r="AG140" s="612"/>
      <c r="AH140" s="619">
        <f>SUM(Table1[[#This Row],[التقييد  باللوائح و تنفيذالتوجيه]:[اتباع اجراءات السلامه]])</f>
        <v>0</v>
      </c>
      <c r="AI140" s="619">
        <f>Table1[[#This Row],[المجموع]]+Table1[[#This Row],[المجموع2]]</f>
        <v>0</v>
      </c>
      <c r="AJ140" s="612">
        <v>7</v>
      </c>
      <c r="AK140" s="612"/>
      <c r="AL140" s="612"/>
      <c r="AM140" s="612"/>
      <c r="AN140" s="612"/>
      <c r="AO140" s="606">
        <f>Table1[[#This Row],[المجموع 1+2]]*$AO$2</f>
        <v>0</v>
      </c>
      <c r="AP140" s="648">
        <f>Table1[[#This Row],[راتب ديسمبر 2019]]*Table1[[#This Row],[نسبه التقييم الرئيسي 2018]]%</f>
        <v>0</v>
      </c>
      <c r="AQ140" s="627">
        <f>Table1[[#This Row],[مبلغ التقييم النسبي 2018]]+Table1[[#This Row],[راتب ديسمبر 2019]]</f>
        <v>4160</v>
      </c>
      <c r="AR140" s="611">
        <f>IF(Table1[[#This Row],[Column3]]&lt;0,0,Table1[[#This Row],[Column3]])</f>
        <v>4840</v>
      </c>
      <c r="AS140" s="599">
        <f>VLOOKUP(Table1[[#This Row],[درجه التوسيط]],Table10[],3,)</f>
        <v>9000</v>
      </c>
      <c r="AT140" s="608">
        <f>Table1[[#This Row],[الراتب 2018+النسبه]]+Table1[[#This Row],[فروقات الحد الادني]]</f>
        <v>9000</v>
      </c>
      <c r="AU140" s="629">
        <f>Table1[[#This Row],[الراتب 2018 + النسبه + الفرق]]-Table1[[#This Row],[راتب ديسمبر 2019]]</f>
        <v>4840</v>
      </c>
      <c r="AV140" s="628">
        <f>Table1[[#This Row],[الزياده]]/Table1[[#This Row],[راتب ديسمبر 2019]]%</f>
        <v>116.34615384615384</v>
      </c>
      <c r="AW140" s="659">
        <f>IF(Table1[[#This Row],[Column4]]&lt;0,0,Table1[[#This Row],[Column4]])</f>
        <v>0</v>
      </c>
      <c r="AX140" s="611">
        <f>Table1[[#This Row],[الجبر حتي]]-Table1[[#This Row],[رن]]</f>
        <v>3.4400000000005093</v>
      </c>
      <c r="AY140" s="611">
        <f>Table1[[#This Row],[الزياده]]+Table1[[#This Row],[التعديل]]+Table1[[#This Row],[جبر الرقم]]</f>
        <v>4843.4400000000005</v>
      </c>
      <c r="AZ140" s="611">
        <f>Table1[[#This Row],[الراتب 2018 + النسبه + الفرق]]+Table1[[#This Row],[جبر الرقم]]+Table1[[#This Row],[التعديل]]</f>
        <v>9003.44</v>
      </c>
      <c r="BA140" s="631">
        <f>Table1[[#This Row],[الزياده النهائيه]]/Table1[[#This Row],[راتب ديسمبر 2019]]%</f>
        <v>116.42884615384617</v>
      </c>
      <c r="BB140" s="612">
        <f>VLOOKUP(Table1[[#This Row],[الرقم الوظيفي]],Table6[],8,)</f>
        <v>4160</v>
      </c>
      <c r="BC140" s="7"/>
      <c r="BD140" s="7">
        <v>6310</v>
      </c>
      <c r="BE140" s="7">
        <v>6306.5599999999995</v>
      </c>
      <c r="BF140" s="5">
        <f>Table1[[#This Row],[الحد الادني]]-Table1[[#This Row],[الراتب 2018+النسبه]]</f>
        <v>4840</v>
      </c>
      <c r="BG140" s="5">
        <f>Table1[[#This Row],[التعديل حتي]]-Table1[[#This Row],[kkk]]</f>
        <v>-6306.5599999999995</v>
      </c>
      <c r="BH140" s="5">
        <v>6306.5599999999995</v>
      </c>
      <c r="BI140" s="5"/>
    </row>
    <row r="141" spans="1:61" ht="21" customHeight="1">
      <c r="A141" s="602">
        <v>705</v>
      </c>
      <c r="B141" s="618" t="str">
        <f>VLOOKUP(Table1[[#This Row],[الرقم الوظيفي]],[1]Sheet2!$1:$1048576,2,)</f>
        <v>محمد عبيد الله على حامد</v>
      </c>
      <c r="C141" s="618" t="str">
        <f>VLOOKUP(Table1[[#This Row],[الرقم الوظيفي]],[1]Sheet2!$1:$1048576,7,)</f>
        <v>المصنع</v>
      </c>
      <c r="D141" s="618" t="str">
        <f>VLOOKUP(Table1[[#This Row],[الرقم الوظيفي]],[1]Sheet2!$1:$1048576,8,)</f>
        <v>الانتاج</v>
      </c>
      <c r="E141" s="599" t="str">
        <f>VLOOKUP(Table1[[#This Row],[الرقم الوظيفي]],[1]Sheet2!$1:$1048576,9,)</f>
        <v>الزوايا</v>
      </c>
      <c r="F141" s="599" t="str">
        <f>VLOOKUP(Table1[[#This Row],[الرقم الوظيفي]],[1]Sheet2!$1:$1048576,12,)</f>
        <v>مشغل كرين</v>
      </c>
      <c r="G141" s="599" t="str">
        <f>VLOOKUP(Table1[[#This Row],[الرقم الوظيفي]],[1]Sheet2!$1:$1048576,72,)</f>
        <v>شهاده ثانويه</v>
      </c>
      <c r="H141" s="599">
        <f>VLOOKUP(Table1[[#This Row],[الرقم الوظيفي]],[1]Sheet2!$1:$1048576,71,)</f>
        <v>0</v>
      </c>
      <c r="I141" s="599" t="str">
        <f>VLOOKUP(Table1[[#This Row],[المؤهل الرئيسي]],Table4[],3,)</f>
        <v>F</v>
      </c>
      <c r="J141" s="599" t="s">
        <v>925</v>
      </c>
      <c r="K141" s="615">
        <f>VLOOKUP(Table1[[#This Row],[الرقم الوظيفي]],[1]Sheet2!$1:$1048576,13,)</f>
        <v>41681</v>
      </c>
      <c r="L141" s="615">
        <v>43830</v>
      </c>
      <c r="M141" s="599">
        <f>DATEDIF(Table1[[#This Row],[تاريخ التعيين]],Table1[[#This Row],[اخر العام]],"y")</f>
        <v>5</v>
      </c>
      <c r="N141" s="599">
        <f>DATEDIF(Table1[[#This Row],[تاريخ التعيين]],Table1[[#This Row],[اخر العام]],"ym")</f>
        <v>10</v>
      </c>
      <c r="O141" s="610">
        <f>Table1[[#This Row],[سنوات الخدمه]]*1+Table1[[#This Row],[الشهور اقل من سنه]]*0.08</f>
        <v>5.8</v>
      </c>
      <c r="P141" s="616">
        <v>4140</v>
      </c>
      <c r="Q141" s="617">
        <v>397.44</v>
      </c>
      <c r="R141" s="612"/>
      <c r="S141" s="599"/>
      <c r="T141" s="612"/>
      <c r="U141" s="612"/>
      <c r="V141" s="612"/>
      <c r="W141" s="612"/>
      <c r="X141" s="612"/>
      <c r="Y141" s="612"/>
      <c r="Z141" s="612"/>
      <c r="AA14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1" s="612"/>
      <c r="AC141" s="599"/>
      <c r="AD141" s="612"/>
      <c r="AE141" s="612"/>
      <c r="AF141" s="612"/>
      <c r="AG141" s="612"/>
      <c r="AH141" s="619">
        <f>SUM(Table1[[#This Row],[التقييد  باللوائح و تنفيذالتوجيه]:[اتباع اجراءات السلامه]])</f>
        <v>0</v>
      </c>
      <c r="AI141" s="619">
        <f>Table1[[#This Row],[المجموع]]+Table1[[#This Row],[المجموع2]]</f>
        <v>0</v>
      </c>
      <c r="AJ141" s="612"/>
      <c r="AK141" s="612"/>
      <c r="AL141" s="612"/>
      <c r="AM141" s="612"/>
      <c r="AN141" s="612"/>
      <c r="AO141" s="606">
        <f>Table1[[#This Row],[المجموع 1+2]]*$AO$2</f>
        <v>0</v>
      </c>
      <c r="AP141" s="648">
        <f>Table1[[#This Row],[راتب ديسمبر 2019]]*Table1[[#This Row],[نسبه التقييم الرئيسي 2018]]%</f>
        <v>0</v>
      </c>
      <c r="AQ141" s="627">
        <f>Table1[[#This Row],[مبلغ التقييم النسبي 2018]]+Table1[[#This Row],[راتب ديسمبر 2019]]</f>
        <v>4140</v>
      </c>
      <c r="AR141" s="611">
        <f>IF(Table1[[#This Row],[Column3]]&lt;0,0,Table1[[#This Row],[Column3]])</f>
        <v>4860</v>
      </c>
      <c r="AS141" s="599">
        <f>VLOOKUP(Table1[[#This Row],[درجه التوسيط]],Table10[],3,)</f>
        <v>9000</v>
      </c>
      <c r="AT141" s="608">
        <f>Table1[[#This Row],[الراتب 2018+النسبه]]+Table1[[#This Row],[فروقات الحد الادني]]</f>
        <v>9000</v>
      </c>
      <c r="AU141" s="629">
        <f>Table1[[#This Row],[الراتب 2018 + النسبه + الفرق]]-Table1[[#This Row],[راتب ديسمبر 2019]]</f>
        <v>4860</v>
      </c>
      <c r="AV141" s="628">
        <f>Table1[[#This Row],[الزياده]]/Table1[[#This Row],[راتب ديسمبر 2019]]%</f>
        <v>117.39130434782609</v>
      </c>
      <c r="AW141" s="659">
        <f>IF(Table1[[#This Row],[Column4]]&lt;0,0,Table1[[#This Row],[Column4]])</f>
        <v>0</v>
      </c>
      <c r="AX141" s="611">
        <f>Table1[[#This Row],[الجبر حتي]]-Table1[[#This Row],[رن]]</f>
        <v>0</v>
      </c>
      <c r="AY141" s="611">
        <f>Table1[[#This Row],[الزياده]]+Table1[[#This Row],[التعديل]]+Table1[[#This Row],[جبر الرقم]]</f>
        <v>4860</v>
      </c>
      <c r="AZ141" s="611">
        <f>Table1[[#This Row],[الراتب 2018 + النسبه + الفرق]]+Table1[[#This Row],[جبر الرقم]]+Table1[[#This Row],[التعديل]]</f>
        <v>9000</v>
      </c>
      <c r="BA141" s="631">
        <f>Table1[[#This Row],[الزياده النهائيه]]/Table1[[#This Row],[راتب ديسمبر 2019]]%</f>
        <v>117.39130434782609</v>
      </c>
      <c r="BB141" s="612">
        <f>VLOOKUP(Table1[[#This Row],[الرقم الوظيفي]],Table6[],8,)</f>
        <v>4140</v>
      </c>
      <c r="BC141" s="7"/>
      <c r="BD141" s="7">
        <v>6400</v>
      </c>
      <c r="BE141" s="7">
        <v>6400</v>
      </c>
      <c r="BF141" s="5">
        <f>Table1[[#This Row],[الحد الادني]]-Table1[[#This Row],[الراتب 2018+النسبه]]</f>
        <v>4860</v>
      </c>
      <c r="BG141" s="5">
        <f>Table1[[#This Row],[التعديل حتي]]-Table1[[#This Row],[kkk]]</f>
        <v>-6000</v>
      </c>
      <c r="BH141" s="5">
        <v>6000</v>
      </c>
      <c r="BI141" s="5"/>
    </row>
    <row r="142" spans="1:61" ht="21" customHeight="1">
      <c r="A142" s="602">
        <v>723</v>
      </c>
      <c r="B142" s="618" t="str">
        <f>VLOOKUP(Table1[[#This Row],[الرقم الوظيفي]],[1]Sheet2!$1:$1048576,2,)</f>
        <v>الهادى على مصطفى عجبنا</v>
      </c>
      <c r="C142" s="618" t="str">
        <f>VLOOKUP(Table1[[#This Row],[الرقم الوظيفي]],[1]Sheet2!$1:$1048576,7,)</f>
        <v>المصنع</v>
      </c>
      <c r="D142" s="618" t="str">
        <f>VLOOKUP(Table1[[#This Row],[الرقم الوظيفي]],[1]Sheet2!$1:$1048576,8,)</f>
        <v>الانتاج</v>
      </c>
      <c r="E142" s="599" t="str">
        <f>VLOOKUP(Table1[[#This Row],[الرقم الوظيفي]],[1]Sheet2!$1:$1048576,9,)</f>
        <v>الخوص</v>
      </c>
      <c r="F142" s="599" t="str">
        <f>VLOOKUP(Table1[[#This Row],[الرقم الوظيفي]],[1]Sheet2!$1:$1048576,12,)</f>
        <v>مساعد مشغل</v>
      </c>
      <c r="G142" s="599" t="str">
        <f>VLOOKUP(Table1[[#This Row],[الرقم الوظيفي]],[1]Sheet2!$1:$1048576,72,)</f>
        <v>دبلوم تقني</v>
      </c>
      <c r="H142" s="599" t="str">
        <f>VLOOKUP(Table1[[#This Row],[الرقم الوظيفي]],[1]Sheet2!$1:$1048576,71,)</f>
        <v>هندسة ميكانيكية ( إنتاج )</v>
      </c>
      <c r="I142" s="599" t="str">
        <f>VLOOKUP(Table1[[#This Row],[المؤهل الرئيسي]],Table4[],3,)</f>
        <v>D</v>
      </c>
      <c r="J142" s="599" t="s">
        <v>925</v>
      </c>
      <c r="K142" s="615">
        <f>VLOOKUP(Table1[[#This Row],[الرقم الوظيفي]],[1]Sheet2!$1:$1048576,13,)</f>
        <v>41699</v>
      </c>
      <c r="L142" s="615">
        <v>43830</v>
      </c>
      <c r="M142" s="599">
        <f>DATEDIF(Table1[[#This Row],[تاريخ التعيين]],Table1[[#This Row],[اخر العام]],"y")</f>
        <v>5</v>
      </c>
      <c r="N142" s="599">
        <f>DATEDIF(Table1[[#This Row],[تاريخ التعيين]],Table1[[#This Row],[اخر العام]],"ym")</f>
        <v>9</v>
      </c>
      <c r="O142" s="610">
        <f>Table1[[#This Row],[سنوات الخدمه]]*1+Table1[[#This Row],[الشهور اقل من سنه]]*0.08</f>
        <v>5.72</v>
      </c>
      <c r="P142" s="616">
        <v>4170</v>
      </c>
      <c r="Q142" s="617">
        <v>393.64800000000002</v>
      </c>
      <c r="R142" s="612"/>
      <c r="S142" s="599"/>
      <c r="T142" s="612"/>
      <c r="U142" s="612"/>
      <c r="V142" s="612"/>
      <c r="W142" s="612"/>
      <c r="X142" s="612"/>
      <c r="Y142" s="612"/>
      <c r="Z142" s="612"/>
      <c r="AA14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2" s="612"/>
      <c r="AC142" s="599"/>
      <c r="AD142" s="612"/>
      <c r="AE142" s="612"/>
      <c r="AF142" s="612"/>
      <c r="AG142" s="612"/>
      <c r="AH142" s="619">
        <f>SUM(Table1[[#This Row],[التقييد  باللوائح و تنفيذالتوجيه]:[اتباع اجراءات السلامه]])</f>
        <v>0</v>
      </c>
      <c r="AI142" s="619">
        <f>Table1[[#This Row],[المجموع]]+Table1[[#This Row],[المجموع2]]</f>
        <v>0</v>
      </c>
      <c r="AJ142" s="612"/>
      <c r="AK142" s="612"/>
      <c r="AL142" s="612"/>
      <c r="AM142" s="612"/>
      <c r="AN142" s="612"/>
      <c r="AO142" s="606">
        <f>Table1[[#This Row],[المجموع 1+2]]*$AO$2</f>
        <v>0</v>
      </c>
      <c r="AP142" s="648">
        <f>Table1[[#This Row],[راتب ديسمبر 2019]]*Table1[[#This Row],[نسبه التقييم الرئيسي 2018]]%</f>
        <v>0</v>
      </c>
      <c r="AQ142" s="627">
        <f>Table1[[#This Row],[مبلغ التقييم النسبي 2018]]+Table1[[#This Row],[راتب ديسمبر 2019]]</f>
        <v>4170</v>
      </c>
      <c r="AR142" s="611">
        <f>IF(Table1[[#This Row],[Column3]]&lt;0,0,Table1[[#This Row],[Column3]])</f>
        <v>4830</v>
      </c>
      <c r="AS142" s="599">
        <f>VLOOKUP(Table1[[#This Row],[درجه التوسيط]],Table10[],3,)</f>
        <v>9000</v>
      </c>
      <c r="AT142" s="608">
        <f>Table1[[#This Row],[الراتب 2018+النسبه]]+Table1[[#This Row],[فروقات الحد الادني]]</f>
        <v>9000</v>
      </c>
      <c r="AU142" s="629">
        <f>Table1[[#This Row],[الراتب 2018 + النسبه + الفرق]]-Table1[[#This Row],[راتب ديسمبر 2019]]</f>
        <v>4830</v>
      </c>
      <c r="AV142" s="628">
        <f>Table1[[#This Row],[الزياده]]/Table1[[#This Row],[راتب ديسمبر 2019]]%</f>
        <v>115.8273381294964</v>
      </c>
      <c r="AW142" s="659">
        <f>IF(Table1[[#This Row],[Column4]]&lt;0,0,Table1[[#This Row],[Column4]])</f>
        <v>0</v>
      </c>
      <c r="AX142" s="611">
        <f>Table1[[#This Row],[الجبر حتي]]-Table1[[#This Row],[رن]]</f>
        <v>3.2600000000002183</v>
      </c>
      <c r="AY142" s="611">
        <f>Table1[[#This Row],[الزياده]]+Table1[[#This Row],[التعديل]]+Table1[[#This Row],[جبر الرقم]]</f>
        <v>4833.26</v>
      </c>
      <c r="AZ142" s="611">
        <f>Table1[[#This Row],[الراتب 2018 + النسبه + الفرق]]+Table1[[#This Row],[جبر الرقم]]+Table1[[#This Row],[التعديل]]</f>
        <v>9003.26</v>
      </c>
      <c r="BA142" s="631">
        <f>Table1[[#This Row],[الزياده النهائيه]]/Table1[[#This Row],[راتب ديسمبر 2019]]%</f>
        <v>115.90551558752998</v>
      </c>
      <c r="BB142" s="612">
        <f>VLOOKUP(Table1[[#This Row],[الرقم الوظيفي]],Table6[],8,)</f>
        <v>4170</v>
      </c>
      <c r="BC142" s="7"/>
      <c r="BD142" s="7">
        <v>6350</v>
      </c>
      <c r="BE142" s="7">
        <v>6346.74</v>
      </c>
      <c r="BF142" s="5">
        <f>Table1[[#This Row],[الحد الادني]]-Table1[[#This Row],[الراتب 2018+النسبه]]</f>
        <v>4830</v>
      </c>
      <c r="BG142" s="5">
        <f>Table1[[#This Row],[التعديل حتي]]-Table1[[#This Row],[kkk]]</f>
        <v>-6346.74</v>
      </c>
      <c r="BH142" s="5">
        <v>6346.74</v>
      </c>
      <c r="BI142" s="5"/>
    </row>
    <row r="143" spans="1:61" ht="21" customHeight="1">
      <c r="A143" s="602">
        <v>734</v>
      </c>
      <c r="B143" s="618" t="str">
        <f>VLOOKUP(Table1[[#This Row],[الرقم الوظيفي]],[1]Sheet2!$1:$1048576,2,)</f>
        <v>عصام يوسف مقبل سوركتى</v>
      </c>
      <c r="C143" s="618" t="str">
        <f>VLOOKUP(Table1[[#This Row],[الرقم الوظيفي]],[1]Sheet2!$1:$1048576,7,)</f>
        <v>المصنع</v>
      </c>
      <c r="D143" s="618" t="str">
        <f>VLOOKUP(Table1[[#This Row],[الرقم الوظيفي]],[1]Sheet2!$1:$1048576,8,)</f>
        <v>الامن و الحركه</v>
      </c>
      <c r="E143" s="599" t="str">
        <f>VLOOKUP(Table1[[#This Row],[الرقم الوظيفي]],[1]Sheet2!$1:$1048576,9,)</f>
        <v>الحركه</v>
      </c>
      <c r="F143" s="599" t="str">
        <f>VLOOKUP(Table1[[#This Row],[الرقم الوظيفي]],[1]Sheet2!$1:$1048576,12,)</f>
        <v>سائق</v>
      </c>
      <c r="G143" s="599">
        <f>VLOOKUP(Table1[[#This Row],[الرقم الوظيفي]],[1]Sheet2!$1:$1048576,72,)</f>
        <v>0</v>
      </c>
      <c r="H143" s="599">
        <f>VLOOKUP(Table1[[#This Row],[الرقم الوظيفي]],[1]Sheet2!$1:$1048576,71,)</f>
        <v>0</v>
      </c>
      <c r="I143" s="599" t="str">
        <f>VLOOKUP(Table1[[#This Row],[المؤهل الرئيسي]],Table4[],3,)</f>
        <v>H</v>
      </c>
      <c r="J143" s="599" t="s">
        <v>924</v>
      </c>
      <c r="K143" s="615">
        <f>VLOOKUP(Table1[[#This Row],[الرقم الوظيفي]],[1]Sheet2!$1:$1048576,13,)</f>
        <v>41713</v>
      </c>
      <c r="L143" s="615">
        <v>43830</v>
      </c>
      <c r="M143" s="599">
        <f>DATEDIF(Table1[[#This Row],[تاريخ التعيين]],Table1[[#This Row],[اخر العام]],"y")</f>
        <v>5</v>
      </c>
      <c r="N143" s="599">
        <f>DATEDIF(Table1[[#This Row],[تاريخ التعيين]],Table1[[#This Row],[اخر العام]],"ym")</f>
        <v>9</v>
      </c>
      <c r="O143" s="610">
        <f>Table1[[#This Row],[سنوات الخدمه]]*1+Table1[[#This Row],[الشهور اقل من سنه]]*0.08</f>
        <v>5.72</v>
      </c>
      <c r="P143" s="616">
        <v>4160</v>
      </c>
      <c r="Q143" s="617">
        <v>392.70400000000001</v>
      </c>
      <c r="R143" s="612"/>
      <c r="S143" s="599"/>
      <c r="T143" s="612"/>
      <c r="U143" s="612"/>
      <c r="V143" s="612"/>
      <c r="W143" s="612"/>
      <c r="X143" s="612"/>
      <c r="Y143" s="612"/>
      <c r="Z143" s="612"/>
      <c r="AA14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3" s="612"/>
      <c r="AC143" s="599"/>
      <c r="AD143" s="612"/>
      <c r="AE143" s="612"/>
      <c r="AF143" s="612"/>
      <c r="AG143" s="612"/>
      <c r="AH143" s="619">
        <f>SUM(Table1[[#This Row],[التقييد  باللوائح و تنفيذالتوجيه]:[اتباع اجراءات السلامه]])</f>
        <v>0</v>
      </c>
      <c r="AI143" s="619">
        <f>Table1[[#This Row],[المجموع]]+Table1[[#This Row],[المجموع2]]</f>
        <v>0</v>
      </c>
      <c r="AJ143" s="612"/>
      <c r="AK143" s="612"/>
      <c r="AL143" s="612"/>
      <c r="AM143" s="612"/>
      <c r="AN143" s="612"/>
      <c r="AO143" s="606">
        <f>Table1[[#This Row],[المجموع 1+2]]*$AO$2</f>
        <v>0</v>
      </c>
      <c r="AP143" s="648">
        <f>Table1[[#This Row],[راتب ديسمبر 2019]]*Table1[[#This Row],[نسبه التقييم الرئيسي 2018]]%</f>
        <v>0</v>
      </c>
      <c r="AQ143" s="627">
        <f>Table1[[#This Row],[مبلغ التقييم النسبي 2018]]+Table1[[#This Row],[راتب ديسمبر 2019]]</f>
        <v>4160</v>
      </c>
      <c r="AR143" s="611">
        <f>IF(Table1[[#This Row],[Column3]]&lt;0,0,Table1[[#This Row],[Column3]])</f>
        <v>4840</v>
      </c>
      <c r="AS143" s="599">
        <f>VLOOKUP(Table1[[#This Row],[درجه التوسيط]],Table10[],3,)</f>
        <v>9000</v>
      </c>
      <c r="AT143" s="608">
        <f>Table1[[#This Row],[الراتب 2018+النسبه]]+Table1[[#This Row],[فروقات الحد الادني]]</f>
        <v>9000</v>
      </c>
      <c r="AU143" s="629">
        <f>Table1[[#This Row],[الراتب 2018 + النسبه + الفرق]]-Table1[[#This Row],[راتب ديسمبر 2019]]</f>
        <v>4840</v>
      </c>
      <c r="AV143" s="628">
        <f>Table1[[#This Row],[الزياده]]/Table1[[#This Row],[راتب ديسمبر 2019]]%</f>
        <v>116.34615384615384</v>
      </c>
      <c r="AW143" s="659">
        <f>IF(Table1[[#This Row],[Column4]]&lt;0,0,Table1[[#This Row],[Column4]])</f>
        <v>0</v>
      </c>
      <c r="AX143" s="611">
        <f>Table1[[#This Row],[الجبر حتي]]-Table1[[#This Row],[رن]]</f>
        <v>0</v>
      </c>
      <c r="AY143" s="611">
        <f>Table1[[#This Row],[الزياده]]+Table1[[#This Row],[التعديل]]+Table1[[#This Row],[جبر الرقم]]</f>
        <v>4840</v>
      </c>
      <c r="AZ143" s="611">
        <f>Table1[[#This Row],[الراتب 2018 + النسبه + الفرق]]+Table1[[#This Row],[جبر الرقم]]+Table1[[#This Row],[التعديل]]</f>
        <v>9000</v>
      </c>
      <c r="BA143" s="631">
        <f>Table1[[#This Row],[الزياده النهائيه]]/Table1[[#This Row],[راتب ديسمبر 2019]]%</f>
        <v>116.34615384615384</v>
      </c>
      <c r="BB143" s="612">
        <f>VLOOKUP(Table1[[#This Row],[الرقم الوظيفي]],Table6[],8,)</f>
        <v>4160</v>
      </c>
      <c r="BC143" s="7"/>
      <c r="BD143" s="7">
        <v>6000</v>
      </c>
      <c r="BE143" s="7">
        <v>6000</v>
      </c>
      <c r="BF143" s="5">
        <f>Table1[[#This Row],[الحد الادني]]-Table1[[#This Row],[الراتب 2018+النسبه]]</f>
        <v>4840</v>
      </c>
      <c r="BG143" s="5">
        <f>Table1[[#This Row],[التعديل حتي]]-Table1[[#This Row],[kkk]]</f>
        <v>-6000</v>
      </c>
      <c r="BH143" s="5">
        <v>6000</v>
      </c>
      <c r="BI143" s="5"/>
    </row>
    <row r="144" spans="1:61" ht="21" customHeight="1">
      <c r="A144" s="602">
        <v>738</v>
      </c>
      <c r="B144" s="618" t="str">
        <f>VLOOKUP(Table1[[#This Row],[الرقم الوظيفي]],[1]Sheet2!$1:$1048576,2,)</f>
        <v>بهاء الدين يوسف مقبل سوركتى</v>
      </c>
      <c r="C144" s="618" t="str">
        <f>VLOOKUP(Table1[[#This Row],[الرقم الوظيفي]],[1]Sheet2!$1:$1048576,7,)</f>
        <v>المصنع</v>
      </c>
      <c r="D144" s="618" t="str">
        <f>VLOOKUP(Table1[[#This Row],[الرقم الوظيفي]],[1]Sheet2!$1:$1048576,8,)</f>
        <v>الجوده</v>
      </c>
      <c r="E144" s="599">
        <f>VLOOKUP(Table1[[#This Row],[الرقم الوظيفي]],[1]Sheet2!$1:$1048576,9,)</f>
        <v>0</v>
      </c>
      <c r="F144" s="599" t="str">
        <f>VLOOKUP(Table1[[#This Row],[الرقم الوظيفي]],[1]Sheet2!$1:$1048576,12,)</f>
        <v>مراقب انتاج</v>
      </c>
      <c r="G144" s="599">
        <f>VLOOKUP(Table1[[#This Row],[الرقم الوظيفي]],[1]Sheet2!$1:$1048576,72,)</f>
        <v>0</v>
      </c>
      <c r="H144" s="599">
        <f>VLOOKUP(Table1[[#This Row],[الرقم الوظيفي]],[1]Sheet2!$1:$1048576,71,)</f>
        <v>0</v>
      </c>
      <c r="I144" s="599" t="str">
        <f>VLOOKUP(Table1[[#This Row],[المؤهل الرئيسي]],Table4[],3,)</f>
        <v>H</v>
      </c>
      <c r="J144" s="599" t="s">
        <v>928</v>
      </c>
      <c r="K144" s="615">
        <f>VLOOKUP(Table1[[#This Row],[الرقم الوظيفي]],[1]Sheet2!$1:$1048576,13,)</f>
        <v>41731</v>
      </c>
      <c r="L144" s="615">
        <v>43830</v>
      </c>
      <c r="M144" s="599">
        <f>DATEDIF(Table1[[#This Row],[تاريخ التعيين]],Table1[[#This Row],[اخر العام]],"y")</f>
        <v>5</v>
      </c>
      <c r="N144" s="599">
        <f>DATEDIF(Table1[[#This Row],[تاريخ التعيين]],Table1[[#This Row],[اخر العام]],"ym")</f>
        <v>8</v>
      </c>
      <c r="O144" s="610">
        <f>Table1[[#This Row],[سنوات الخدمه]]*1+Table1[[#This Row],[الشهور اقل من سنه]]*0.08</f>
        <v>5.64</v>
      </c>
      <c r="P144" s="616">
        <v>3140</v>
      </c>
      <c r="Q144" s="617">
        <v>291.392</v>
      </c>
      <c r="R144" s="612"/>
      <c r="S144" s="599"/>
      <c r="T144" s="612"/>
      <c r="U144" s="612"/>
      <c r="V144" s="612"/>
      <c r="W144" s="612"/>
      <c r="X144" s="612"/>
      <c r="Y144" s="612"/>
      <c r="Z144" s="612"/>
      <c r="AA14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4" s="612"/>
      <c r="AC144" s="599"/>
      <c r="AD144" s="612"/>
      <c r="AE144" s="612"/>
      <c r="AF144" s="612"/>
      <c r="AG144" s="612"/>
      <c r="AH144" s="619">
        <f>SUM(Table1[[#This Row],[التقييد  باللوائح و تنفيذالتوجيه]:[اتباع اجراءات السلامه]])</f>
        <v>0</v>
      </c>
      <c r="AI144" s="619">
        <f>Table1[[#This Row],[المجموع]]+Table1[[#This Row],[المجموع2]]</f>
        <v>0</v>
      </c>
      <c r="AJ144" s="612">
        <v>8</v>
      </c>
      <c r="AK144" s="612"/>
      <c r="AL144" s="612"/>
      <c r="AM144" s="612"/>
      <c r="AN144" s="612"/>
      <c r="AO144" s="606">
        <f>Table1[[#This Row],[المجموع 1+2]]*$AO$2</f>
        <v>0</v>
      </c>
      <c r="AP144" s="648">
        <f>Table1[[#This Row],[راتب ديسمبر 2019]]*Table1[[#This Row],[نسبه التقييم الرئيسي 2018]]%</f>
        <v>0</v>
      </c>
      <c r="AQ144" s="627">
        <f>Table1[[#This Row],[مبلغ التقييم النسبي 2018]]+Table1[[#This Row],[راتب ديسمبر 2019]]</f>
        <v>3140</v>
      </c>
      <c r="AR144" s="611">
        <f>IF(Table1[[#This Row],[Column3]]&lt;0,0,Table1[[#This Row],[Column3]])</f>
        <v>3860</v>
      </c>
      <c r="AS144" s="599">
        <f>VLOOKUP(Table1[[#This Row],[درجه التوسيط]],Table10[],3,)</f>
        <v>7000</v>
      </c>
      <c r="AT144" s="608">
        <f>Table1[[#This Row],[الراتب 2018+النسبه]]+Table1[[#This Row],[فروقات الحد الادني]]</f>
        <v>7000</v>
      </c>
      <c r="AU144" s="629">
        <f>Table1[[#This Row],[الراتب 2018 + النسبه + الفرق]]-Table1[[#This Row],[راتب ديسمبر 2019]]</f>
        <v>3860</v>
      </c>
      <c r="AV144" s="628">
        <f>Table1[[#This Row],[الزياده]]/Table1[[#This Row],[راتب ديسمبر 2019]]%</f>
        <v>122.92993630573248</v>
      </c>
      <c r="AW144" s="659">
        <f>IF(Table1[[#This Row],[Column4]]&lt;0,0,Table1[[#This Row],[Column4]])</f>
        <v>0</v>
      </c>
      <c r="AX144" s="611">
        <f>Table1[[#This Row],[الجبر حتي]]-Table1[[#This Row],[رن]]</f>
        <v>0</v>
      </c>
      <c r="AY144" s="611">
        <f>Table1[[#This Row],[الزياده]]+Table1[[#This Row],[التعديل]]+Table1[[#This Row],[جبر الرقم]]</f>
        <v>3860</v>
      </c>
      <c r="AZ144" s="611">
        <f>Table1[[#This Row],[الراتب 2018 + النسبه + الفرق]]+Table1[[#This Row],[جبر الرقم]]+Table1[[#This Row],[التعديل]]</f>
        <v>7000</v>
      </c>
      <c r="BA144" s="631">
        <f>Table1[[#This Row],[الزياده النهائيه]]/Table1[[#This Row],[راتب ديسمبر 2019]]%</f>
        <v>122.92993630573248</v>
      </c>
      <c r="BB144" s="612">
        <f>VLOOKUP(Table1[[#This Row],[الرقم الوظيفي]],Table6[],8,)</f>
        <v>3140</v>
      </c>
      <c r="BC144" s="7"/>
      <c r="BD144" s="7">
        <v>5000</v>
      </c>
      <c r="BE144" s="7">
        <v>5000</v>
      </c>
      <c r="BF144" s="5">
        <f>Table1[[#This Row],[الحد الادني]]-Table1[[#This Row],[الراتب 2018+النسبه]]</f>
        <v>3860</v>
      </c>
      <c r="BG144" s="5">
        <f>Table1[[#This Row],[التعديل حتي]]-Table1[[#This Row],[kkk]]</f>
        <v>-5000</v>
      </c>
      <c r="BH144" s="5">
        <v>5000</v>
      </c>
      <c r="BI144" s="5"/>
    </row>
    <row r="145" spans="1:61" ht="21" customHeight="1">
      <c r="A145" s="602">
        <v>751</v>
      </c>
      <c r="B145" s="618" t="str">
        <f>VLOOKUP(Table1[[#This Row],[الرقم الوظيفي]],[1]Sheet2!$1:$1048576,2,)</f>
        <v>سليم الشيخ محمد احمد</v>
      </c>
      <c r="C145" s="618" t="str">
        <f>VLOOKUP(Table1[[#This Row],[الرقم الوظيفي]],[1]Sheet2!$1:$1048576,7,)</f>
        <v>المصنع</v>
      </c>
      <c r="D145" s="618" t="str">
        <f>VLOOKUP(Table1[[#This Row],[الرقم الوظيفي]],[1]Sheet2!$1:$1048576,8,)</f>
        <v>الكهرباء</v>
      </c>
      <c r="E145" s="599" t="str">
        <f>VLOOKUP(Table1[[#This Row],[الرقم الوظيفي]],[1]Sheet2!$1:$1048576,9,)</f>
        <v>كهرباء عامه</v>
      </c>
      <c r="F145" s="599" t="str">
        <f>VLOOKUP(Table1[[#This Row],[الرقم الوظيفي]],[1]Sheet2!$1:$1048576,12,)</f>
        <v>تقنى كهرباء</v>
      </c>
      <c r="G145" s="599" t="str">
        <f>VLOOKUP(Table1[[#This Row],[الرقم الوظيفي]],[1]Sheet2!$1:$1048576,72,)</f>
        <v>دبلوم تقني</v>
      </c>
      <c r="H145" s="599" t="str">
        <f>VLOOKUP(Table1[[#This Row],[الرقم الوظيفي]],[1]Sheet2!$1:$1048576,71,)</f>
        <v>هندسة الميكاترونكس</v>
      </c>
      <c r="I145" s="599" t="str">
        <f>VLOOKUP(Table1[[#This Row],[المؤهل الرئيسي]],Table4[],3,)</f>
        <v>D</v>
      </c>
      <c r="J145" s="599" t="s">
        <v>494</v>
      </c>
      <c r="K145" s="615">
        <f>VLOOKUP(Table1[[#This Row],[الرقم الوظيفي]],[1]Sheet2!$1:$1048576,13,)</f>
        <v>41774</v>
      </c>
      <c r="L145" s="615">
        <v>43830</v>
      </c>
      <c r="M145" s="599">
        <f>DATEDIF(Table1[[#This Row],[تاريخ التعيين]],Table1[[#This Row],[اخر العام]],"y")</f>
        <v>5</v>
      </c>
      <c r="N145" s="599">
        <f>DATEDIF(Table1[[#This Row],[تاريخ التعيين]],Table1[[#This Row],[اخر العام]],"ym")</f>
        <v>7</v>
      </c>
      <c r="O145" s="610">
        <f>Table1[[#This Row],[سنوات الخدمه]]*1+Table1[[#This Row],[الشهور اقل من سنه]]*0.08</f>
        <v>5.5600000000000005</v>
      </c>
      <c r="P145" s="616">
        <v>5460</v>
      </c>
      <c r="Q145" s="617">
        <v>497.952</v>
      </c>
      <c r="R145" s="612"/>
      <c r="S145" s="599"/>
      <c r="T145" s="612"/>
      <c r="U145" s="612"/>
      <c r="V145" s="612"/>
      <c r="W145" s="612"/>
      <c r="X145" s="612"/>
      <c r="Y145" s="612"/>
      <c r="Z145" s="612"/>
      <c r="AA14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5" s="612"/>
      <c r="AC145" s="599"/>
      <c r="AD145" s="612"/>
      <c r="AE145" s="612"/>
      <c r="AF145" s="612"/>
      <c r="AG145" s="612"/>
      <c r="AH145" s="619">
        <f>SUM(Table1[[#This Row],[التقييد  باللوائح و تنفيذالتوجيه]:[اتباع اجراءات السلامه]])</f>
        <v>0</v>
      </c>
      <c r="AI145" s="619">
        <f>Table1[[#This Row],[المجموع]]+Table1[[#This Row],[المجموع2]]</f>
        <v>0</v>
      </c>
      <c r="AJ145" s="612">
        <v>10</v>
      </c>
      <c r="AK145" s="612"/>
      <c r="AL145" s="612"/>
      <c r="AM145" s="612"/>
      <c r="AN145" s="612"/>
      <c r="AO145" s="606">
        <f>Table1[[#This Row],[المجموع 1+2]]*$AO$2</f>
        <v>0</v>
      </c>
      <c r="AP145" s="648">
        <f>Table1[[#This Row],[راتب ديسمبر 2019]]*Table1[[#This Row],[نسبه التقييم الرئيسي 2018]]%</f>
        <v>0</v>
      </c>
      <c r="AQ145" s="627">
        <f>Table1[[#This Row],[مبلغ التقييم النسبي 2018]]+Table1[[#This Row],[راتب ديسمبر 2019]]</f>
        <v>5460</v>
      </c>
      <c r="AR145" s="611">
        <f>IF(Table1[[#This Row],[Column3]]&lt;0,0,Table1[[#This Row],[Column3]])</f>
        <v>9540</v>
      </c>
      <c r="AS145" s="599">
        <f>VLOOKUP(Table1[[#This Row],[درجه التوسيط]],Table10[],3,)</f>
        <v>15000</v>
      </c>
      <c r="AT145" s="608">
        <f>Table1[[#This Row],[الراتب 2018+النسبه]]+Table1[[#This Row],[فروقات الحد الادني]]</f>
        <v>15000</v>
      </c>
      <c r="AU145" s="629">
        <f>Table1[[#This Row],[الراتب 2018 + النسبه + الفرق]]-Table1[[#This Row],[راتب ديسمبر 2019]]</f>
        <v>9540</v>
      </c>
      <c r="AV145" s="628">
        <f>Table1[[#This Row],[الزياده]]/Table1[[#This Row],[راتب ديسمبر 2019]]%</f>
        <v>174.72527472527472</v>
      </c>
      <c r="AW145" s="659">
        <f>IF(Table1[[#This Row],[Column4]]&lt;0,0,Table1[[#This Row],[Column4]])</f>
        <v>0</v>
      </c>
      <c r="AX145" s="611">
        <f>Table1[[#This Row],[الجبر حتي]]-Table1[[#This Row],[رن]]</f>
        <v>0</v>
      </c>
      <c r="AY145" s="611">
        <f>Table1[[#This Row],[الزياده]]+Table1[[#This Row],[التعديل]]+Table1[[#This Row],[جبر الرقم]]</f>
        <v>9540</v>
      </c>
      <c r="AZ145" s="611">
        <f>Table1[[#This Row],[الراتب 2018 + النسبه + الفرق]]+Table1[[#This Row],[جبر الرقم]]+Table1[[#This Row],[التعديل]]</f>
        <v>15000</v>
      </c>
      <c r="BA145" s="631">
        <f>Table1[[#This Row],[الزياده النهائيه]]/Table1[[#This Row],[راتب ديسمبر 2019]]%</f>
        <v>174.72527472527472</v>
      </c>
      <c r="BB145" s="612">
        <f>VLOOKUP(Table1[[#This Row],[الرقم الوظيفي]],Table6[],8,)</f>
        <v>5460</v>
      </c>
      <c r="BC145" s="7"/>
      <c r="BD145" s="7">
        <v>10000</v>
      </c>
      <c r="BE145" s="7">
        <v>10000</v>
      </c>
      <c r="BF145" s="5">
        <f>Table1[[#This Row],[الحد الادني]]-Table1[[#This Row],[الراتب 2018+النسبه]]</f>
        <v>9540</v>
      </c>
      <c r="BG145" s="5">
        <f>Table1[[#This Row],[التعديل حتي]]-Table1[[#This Row],[kkk]]</f>
        <v>-10000</v>
      </c>
      <c r="BH145" s="5">
        <v>10000</v>
      </c>
      <c r="BI145" s="5"/>
    </row>
    <row r="146" spans="1:61" ht="21" customHeight="1">
      <c r="A146" s="602">
        <v>754</v>
      </c>
      <c r="B146" s="618" t="str">
        <f>VLOOKUP(Table1[[#This Row],[الرقم الوظيفي]],[1]Sheet2!$1:$1048576,2,)</f>
        <v>صابر عبده الجيلى شايب</v>
      </c>
      <c r="C146" s="618" t="str">
        <f>VLOOKUP(Table1[[#This Row],[الرقم الوظيفي]],[1]Sheet2!$1:$1048576,7,)</f>
        <v>المصنع</v>
      </c>
      <c r="D146" s="618" t="str">
        <f>VLOOKUP(Table1[[#This Row],[الرقم الوظيفي]],[1]Sheet2!$1:$1048576,8,)</f>
        <v>الانتاج</v>
      </c>
      <c r="E146" s="599" t="str">
        <f>VLOOKUP(Table1[[#This Row],[الرقم الوظيفي]],[1]Sheet2!$1:$1048576,9,)</f>
        <v>الخوص</v>
      </c>
      <c r="F146" s="599" t="str">
        <f>VLOOKUP(Table1[[#This Row],[الرقم الوظيفي]],[1]Sheet2!$1:$1048576,12,)</f>
        <v>مشغل</v>
      </c>
      <c r="G146" s="599">
        <f>VLOOKUP(Table1[[#This Row],[الرقم الوظيفي]],[1]Sheet2!$1:$1048576,72,)</f>
        <v>0</v>
      </c>
      <c r="H146" s="599">
        <f>VLOOKUP(Table1[[#This Row],[الرقم الوظيفي]],[1]Sheet2!$1:$1048576,71,)</f>
        <v>0</v>
      </c>
      <c r="I146" s="599" t="str">
        <f>VLOOKUP(Table1[[#This Row],[المؤهل الرئيسي]],Table4[],3,)</f>
        <v>H</v>
      </c>
      <c r="J146" s="599" t="s">
        <v>924</v>
      </c>
      <c r="K146" s="615">
        <f>VLOOKUP(Table1[[#This Row],[الرقم الوظيفي]],[1]Sheet2!$1:$1048576,13,)</f>
        <v>41791</v>
      </c>
      <c r="L146" s="615">
        <v>43830</v>
      </c>
      <c r="M146" s="599">
        <f>DATEDIF(Table1[[#This Row],[تاريخ التعيين]],Table1[[#This Row],[اخر العام]],"y")</f>
        <v>5</v>
      </c>
      <c r="N146" s="599">
        <f>DATEDIF(Table1[[#This Row],[تاريخ التعيين]],Table1[[#This Row],[اخر العام]],"ym")</f>
        <v>6</v>
      </c>
      <c r="O146" s="610">
        <f>Table1[[#This Row],[سنوات الخدمه]]*1+Table1[[#This Row],[الشهور اقل من سنه]]*0.08</f>
        <v>5.48</v>
      </c>
      <c r="P146" s="616">
        <v>4150</v>
      </c>
      <c r="Q146" s="617">
        <v>371.84</v>
      </c>
      <c r="R146" s="612"/>
      <c r="S146" s="599"/>
      <c r="T146" s="612"/>
      <c r="U146" s="612"/>
      <c r="V146" s="612"/>
      <c r="W146" s="612"/>
      <c r="X146" s="612"/>
      <c r="Y146" s="612"/>
      <c r="Z146" s="612"/>
      <c r="AA14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6" s="612"/>
      <c r="AC146" s="599"/>
      <c r="AD146" s="612"/>
      <c r="AE146" s="612"/>
      <c r="AF146" s="612"/>
      <c r="AG146" s="612"/>
      <c r="AH146" s="619">
        <f>SUM(Table1[[#This Row],[التقييد  باللوائح و تنفيذالتوجيه]:[اتباع اجراءات السلامه]])</f>
        <v>0</v>
      </c>
      <c r="AI146" s="619">
        <f>Table1[[#This Row],[المجموع]]+Table1[[#This Row],[المجموع2]]</f>
        <v>0</v>
      </c>
      <c r="AJ146" s="612"/>
      <c r="AK146" s="612"/>
      <c r="AL146" s="612"/>
      <c r="AM146" s="612"/>
      <c r="AN146" s="612"/>
      <c r="AO146" s="606">
        <f>Table1[[#This Row],[المجموع 1+2]]*$AO$2</f>
        <v>0</v>
      </c>
      <c r="AP146" s="648">
        <f>Table1[[#This Row],[راتب ديسمبر 2019]]*Table1[[#This Row],[نسبه التقييم الرئيسي 2018]]%</f>
        <v>0</v>
      </c>
      <c r="AQ146" s="627">
        <f>Table1[[#This Row],[مبلغ التقييم النسبي 2018]]+Table1[[#This Row],[راتب ديسمبر 2019]]</f>
        <v>4150</v>
      </c>
      <c r="AR146" s="611">
        <f>IF(Table1[[#This Row],[Column3]]&lt;0,0,Table1[[#This Row],[Column3]])</f>
        <v>4850</v>
      </c>
      <c r="AS146" s="599">
        <f>VLOOKUP(Table1[[#This Row],[درجه التوسيط]],Table10[],3,)</f>
        <v>9000</v>
      </c>
      <c r="AT146" s="608">
        <f>Table1[[#This Row],[الراتب 2018+النسبه]]+Table1[[#This Row],[فروقات الحد الادني]]</f>
        <v>9000</v>
      </c>
      <c r="AU146" s="629">
        <f>Table1[[#This Row],[الراتب 2018 + النسبه + الفرق]]-Table1[[#This Row],[راتب ديسمبر 2019]]</f>
        <v>4850</v>
      </c>
      <c r="AV146" s="628">
        <f>Table1[[#This Row],[الزياده]]/Table1[[#This Row],[راتب ديسمبر 2019]]%</f>
        <v>116.86746987951807</v>
      </c>
      <c r="AW146" s="659">
        <f>IF(Table1[[#This Row],[Column4]]&lt;0,0,Table1[[#This Row],[Column4]])</f>
        <v>0</v>
      </c>
      <c r="AX146" s="611">
        <f>Table1[[#This Row],[الجبر حتي]]-Table1[[#This Row],[رن]]</f>
        <v>4.8999999999996362</v>
      </c>
      <c r="AY146" s="611">
        <f>Table1[[#This Row],[الزياده]]+Table1[[#This Row],[التعديل]]+Table1[[#This Row],[جبر الرقم]]</f>
        <v>4854.8999999999996</v>
      </c>
      <c r="AZ146" s="611">
        <f>Table1[[#This Row],[الراتب 2018 + النسبه + الفرق]]+Table1[[#This Row],[جبر الرقم]]+Table1[[#This Row],[التعديل]]</f>
        <v>9004.9</v>
      </c>
      <c r="BA146" s="631">
        <f>Table1[[#This Row],[الزياده النهائيه]]/Table1[[#This Row],[راتب ديسمبر 2019]]%</f>
        <v>116.98554216867468</v>
      </c>
      <c r="BB146" s="612">
        <f>VLOOKUP(Table1[[#This Row],[الرقم الوظيفي]],Table6[],8,)</f>
        <v>4150</v>
      </c>
      <c r="BC146" s="7"/>
      <c r="BD146" s="7">
        <v>6620</v>
      </c>
      <c r="BE146" s="7">
        <v>6615.1</v>
      </c>
      <c r="BF146" s="5">
        <f>Table1[[#This Row],[الحد الادني]]-Table1[[#This Row],[الراتب 2018+النسبه]]</f>
        <v>4850</v>
      </c>
      <c r="BG146" s="5">
        <f>Table1[[#This Row],[التعديل حتي]]-Table1[[#This Row],[kkk]]</f>
        <v>-6615.1</v>
      </c>
      <c r="BH146" s="5">
        <v>6615.1</v>
      </c>
      <c r="BI146" s="5"/>
    </row>
    <row r="147" spans="1:61" ht="21" customHeight="1">
      <c r="A147" s="602">
        <v>760</v>
      </c>
      <c r="B147" s="618" t="str">
        <f>VLOOKUP(Table1[[#This Row],[الرقم الوظيفي]],[1]Sheet2!$1:$1048576,2,)</f>
        <v xml:space="preserve">اسعد الطيب مصطفى عباس </v>
      </c>
      <c r="C147" s="618" t="str">
        <f>VLOOKUP(Table1[[#This Row],[الرقم الوظيفي]],[1]Sheet2!$1:$1048576,7,)</f>
        <v>المصنع</v>
      </c>
      <c r="D147" s="618" t="str">
        <f>VLOOKUP(Table1[[#This Row],[الرقم الوظيفي]],[1]Sheet2!$1:$1048576,8,)</f>
        <v>الميكانيكا</v>
      </c>
      <c r="E147" s="599">
        <f>VLOOKUP(Table1[[#This Row],[الرقم الوظيفي]],[1]Sheet2!$1:$1048576,9,)</f>
        <v>0</v>
      </c>
      <c r="F147" s="599" t="str">
        <f>VLOOKUP(Table1[[#This Row],[الرقم الوظيفي]],[1]Sheet2!$1:$1048576,12,)</f>
        <v>تقنى صيانة</v>
      </c>
      <c r="G147" s="599" t="str">
        <f>VLOOKUP(Table1[[#This Row],[الرقم الوظيفي]],[1]Sheet2!$1:$1048576,72,)</f>
        <v>دبلوم تقني</v>
      </c>
      <c r="H147" s="599" t="str">
        <f>VLOOKUP(Table1[[#This Row],[الرقم الوظيفي]],[1]Sheet2!$1:$1048576,71,)</f>
        <v>هندسة ميكانيكية ( قوى )</v>
      </c>
      <c r="I147" s="599" t="str">
        <f>VLOOKUP(Table1[[#This Row],[المؤهل الرئيسي]],Table4[],3,)</f>
        <v>D</v>
      </c>
      <c r="J147" s="599" t="s">
        <v>924</v>
      </c>
      <c r="K147" s="615">
        <f>VLOOKUP(Table1[[#This Row],[الرقم الوظيفي]],[1]Sheet2!$1:$1048576,13,)</f>
        <v>43146</v>
      </c>
      <c r="L147" s="615">
        <v>43830</v>
      </c>
      <c r="M147" s="599">
        <f>DATEDIF(Table1[[#This Row],[تاريخ التعيين]],Table1[[#This Row],[اخر العام]],"y")</f>
        <v>1</v>
      </c>
      <c r="N147" s="599">
        <f>DATEDIF(Table1[[#This Row],[تاريخ التعيين]],Table1[[#This Row],[اخر العام]],"ym")</f>
        <v>10</v>
      </c>
      <c r="O147" s="610">
        <f>Table1[[#This Row],[سنوات الخدمه]]*1+Table1[[#This Row],[الشهور اقل من سنه]]*0.08</f>
        <v>1.8</v>
      </c>
      <c r="P147" s="616">
        <v>4250</v>
      </c>
      <c r="Q147" s="617">
        <v>68</v>
      </c>
      <c r="R147" s="612"/>
      <c r="S147" s="599"/>
      <c r="T147" s="612"/>
      <c r="U147" s="612"/>
      <c r="V147" s="612"/>
      <c r="W147" s="612"/>
      <c r="X147" s="612"/>
      <c r="Y147" s="612"/>
      <c r="Z147" s="612"/>
      <c r="AA14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7" s="612"/>
      <c r="AC147" s="599"/>
      <c r="AD147" s="612"/>
      <c r="AE147" s="612"/>
      <c r="AF147" s="612"/>
      <c r="AG147" s="612"/>
      <c r="AH147" s="619">
        <f>SUM(Table1[[#This Row],[التقييد  باللوائح و تنفيذالتوجيه]:[اتباع اجراءات السلامه]])</f>
        <v>0</v>
      </c>
      <c r="AI147" s="619">
        <f>Table1[[#This Row],[المجموع]]+Table1[[#This Row],[المجموع2]]</f>
        <v>0</v>
      </c>
      <c r="AJ147" s="612">
        <v>6</v>
      </c>
      <c r="AK147" s="612"/>
      <c r="AL147" s="612"/>
      <c r="AM147" s="612"/>
      <c r="AN147" s="612"/>
      <c r="AO147" s="606">
        <f>Table1[[#This Row],[المجموع 1+2]]*$AO$2</f>
        <v>0</v>
      </c>
      <c r="AP147" s="648">
        <f>Table1[[#This Row],[راتب ديسمبر 2019]]*Table1[[#This Row],[نسبه التقييم الرئيسي 2018]]%</f>
        <v>0</v>
      </c>
      <c r="AQ147" s="627">
        <f>Table1[[#This Row],[مبلغ التقييم النسبي 2018]]+Table1[[#This Row],[راتب ديسمبر 2019]]</f>
        <v>4250</v>
      </c>
      <c r="AR147" s="611">
        <f>IF(Table1[[#This Row],[Column3]]&lt;0,0,Table1[[#This Row],[Column3]])</f>
        <v>4750</v>
      </c>
      <c r="AS147" s="599">
        <f>VLOOKUP(Table1[[#This Row],[درجه التوسيط]],Table10[],3,)</f>
        <v>9000</v>
      </c>
      <c r="AT147" s="608">
        <f>Table1[[#This Row],[الراتب 2018+النسبه]]+Table1[[#This Row],[فروقات الحد الادني]]</f>
        <v>9000</v>
      </c>
      <c r="AU147" s="629">
        <f>Table1[[#This Row],[الراتب 2018 + النسبه + الفرق]]-Table1[[#This Row],[راتب ديسمبر 2019]]</f>
        <v>4750</v>
      </c>
      <c r="AV147" s="628">
        <f>Table1[[#This Row],[الزياده]]/Table1[[#This Row],[راتب ديسمبر 2019]]%</f>
        <v>111.76470588235294</v>
      </c>
      <c r="AW147" s="659">
        <f>IF(Table1[[#This Row],[Column4]]&lt;0,0,Table1[[#This Row],[Column4]])</f>
        <v>0</v>
      </c>
      <c r="AX147" s="611">
        <f>Table1[[#This Row],[الجبر حتي]]-Table1[[#This Row],[رن]]</f>
        <v>5</v>
      </c>
      <c r="AY147" s="611">
        <f>Table1[[#This Row],[الزياده]]+Table1[[#This Row],[التعديل]]+Table1[[#This Row],[جبر الرقم]]</f>
        <v>4755</v>
      </c>
      <c r="AZ147" s="611">
        <f>Table1[[#This Row],[الراتب 2018 + النسبه + الفرق]]+Table1[[#This Row],[جبر الرقم]]+Table1[[#This Row],[التعديل]]</f>
        <v>9005</v>
      </c>
      <c r="BA147" s="631">
        <f>Table1[[#This Row],[الزياده النهائيه]]/Table1[[#This Row],[راتب ديسمبر 2019]]%</f>
        <v>111.88235294117646</v>
      </c>
      <c r="BB147" s="612">
        <f>VLOOKUP(Table1[[#This Row],[الرقم الوظيفي]],Table6[],8,)</f>
        <v>4250</v>
      </c>
      <c r="BC147" s="7"/>
      <c r="BD147" s="7">
        <v>6550</v>
      </c>
      <c r="BE147" s="7">
        <v>6545</v>
      </c>
      <c r="BF147" s="5">
        <f>Table1[[#This Row],[الحد الادني]]-Table1[[#This Row],[الراتب 2018+النسبه]]</f>
        <v>4750</v>
      </c>
      <c r="BG147" s="5">
        <f>Table1[[#This Row],[التعديل حتي]]-Table1[[#This Row],[kkk]]</f>
        <v>-6545</v>
      </c>
      <c r="BH147" s="5">
        <v>6545</v>
      </c>
      <c r="BI147" s="5"/>
    </row>
    <row r="148" spans="1:61" ht="21" customHeight="1">
      <c r="A148" s="602">
        <v>763</v>
      </c>
      <c r="B148" s="618" t="str">
        <f>VLOOKUP(Table1[[#This Row],[الرقم الوظيفي]],[1]Sheet2!$1:$1048576,2,)</f>
        <v>مزاهر ابراهيم بشاره محمد</v>
      </c>
      <c r="C148" s="618" t="str">
        <f>VLOOKUP(Table1[[#This Row],[الرقم الوظيفي]],[1]Sheet2!$1:$1048576,7,)</f>
        <v>المصنع</v>
      </c>
      <c r="D148" s="618" t="str">
        <f>VLOOKUP(Table1[[#This Row],[الرقم الوظيفي]],[1]Sheet2!$1:$1048576,8,)</f>
        <v>الانتاج</v>
      </c>
      <c r="E148" s="599" t="str">
        <f>VLOOKUP(Table1[[#This Row],[الرقم الوظيفي]],[1]Sheet2!$1:$1048576,9,)</f>
        <v>بيانات</v>
      </c>
      <c r="F148" s="599" t="str">
        <f>VLOOKUP(Table1[[#This Row],[الرقم الوظيفي]],[1]Sheet2!$1:$1048576,12,)</f>
        <v>مدخل بيانات</v>
      </c>
      <c r="G148" s="599" t="str">
        <f>VLOOKUP(Table1[[#This Row],[الرقم الوظيفي]],[1]Sheet2!$1:$1048576,72,)</f>
        <v>بكلاريوس</v>
      </c>
      <c r="H148" s="599" t="str">
        <f>VLOOKUP(Table1[[#This Row],[الرقم الوظيفي]],[1]Sheet2!$1:$1048576,71,)</f>
        <v>الدراسات الإسلامية والقرأنية</v>
      </c>
      <c r="I148" s="599" t="str">
        <f>VLOOKUP(Table1[[#This Row],[المؤهل الرئيسي]],Table4[],3,)</f>
        <v>C</v>
      </c>
      <c r="J148" s="599" t="s">
        <v>925</v>
      </c>
      <c r="K148" s="615">
        <f>VLOOKUP(Table1[[#This Row],[الرقم الوظيفي]],[1]Sheet2!$1:$1048576,13,)</f>
        <v>41806</v>
      </c>
      <c r="L148" s="615">
        <v>43830</v>
      </c>
      <c r="M148" s="599">
        <f>DATEDIF(Table1[[#This Row],[تاريخ التعيين]],Table1[[#This Row],[اخر العام]],"y")</f>
        <v>5</v>
      </c>
      <c r="N148" s="599">
        <f>DATEDIF(Table1[[#This Row],[تاريخ التعيين]],Table1[[#This Row],[اخر العام]],"ym")</f>
        <v>6</v>
      </c>
      <c r="O148" s="610">
        <f>Table1[[#This Row],[سنوات الخدمه]]*1+Table1[[#This Row],[الشهور اقل من سنه]]*0.08</f>
        <v>5.48</v>
      </c>
      <c r="P148" s="616">
        <v>4150</v>
      </c>
      <c r="Q148" s="617">
        <v>371.84</v>
      </c>
      <c r="R148" s="612"/>
      <c r="S148" s="599"/>
      <c r="T148" s="612"/>
      <c r="U148" s="612"/>
      <c r="V148" s="612"/>
      <c r="W148" s="612"/>
      <c r="X148" s="612"/>
      <c r="Y148" s="612"/>
      <c r="Z148" s="612"/>
      <c r="AA14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8" s="612"/>
      <c r="AC148" s="599"/>
      <c r="AD148" s="612"/>
      <c r="AE148" s="612"/>
      <c r="AF148" s="612"/>
      <c r="AG148" s="612"/>
      <c r="AH148" s="619">
        <f>SUM(Table1[[#This Row],[التقييد  باللوائح و تنفيذالتوجيه]:[اتباع اجراءات السلامه]])</f>
        <v>0</v>
      </c>
      <c r="AI148" s="619">
        <f>Table1[[#This Row],[المجموع]]+Table1[[#This Row],[المجموع2]]</f>
        <v>0</v>
      </c>
      <c r="AJ148" s="612"/>
      <c r="AK148" s="612"/>
      <c r="AL148" s="612"/>
      <c r="AM148" s="612"/>
      <c r="AN148" s="612"/>
      <c r="AO148" s="606">
        <f>Table1[[#This Row],[المجموع 1+2]]*$AO$2</f>
        <v>0</v>
      </c>
      <c r="AP148" s="648">
        <f>Table1[[#This Row],[راتب ديسمبر 2019]]*Table1[[#This Row],[نسبه التقييم الرئيسي 2018]]%</f>
        <v>0</v>
      </c>
      <c r="AQ148" s="627">
        <f>Table1[[#This Row],[مبلغ التقييم النسبي 2018]]+Table1[[#This Row],[راتب ديسمبر 2019]]</f>
        <v>4150</v>
      </c>
      <c r="AR148" s="611">
        <f>IF(Table1[[#This Row],[Column3]]&lt;0,0,Table1[[#This Row],[Column3]])</f>
        <v>4850</v>
      </c>
      <c r="AS148" s="599">
        <f>VLOOKUP(Table1[[#This Row],[درجه التوسيط]],Table10[],3,)</f>
        <v>9000</v>
      </c>
      <c r="AT148" s="608">
        <f>Table1[[#This Row],[الراتب 2018+النسبه]]+Table1[[#This Row],[فروقات الحد الادني]]</f>
        <v>9000</v>
      </c>
      <c r="AU148" s="629">
        <f>Table1[[#This Row],[الراتب 2018 + النسبه + الفرق]]-Table1[[#This Row],[راتب ديسمبر 2019]]</f>
        <v>4850</v>
      </c>
      <c r="AV148" s="628">
        <f>Table1[[#This Row],[الزياده]]/Table1[[#This Row],[راتب ديسمبر 2019]]%</f>
        <v>116.86746987951807</v>
      </c>
      <c r="AW148" s="659">
        <f>IF(Table1[[#This Row],[Column4]]&lt;0,0,Table1[[#This Row],[Column4]])</f>
        <v>584.10000000000036</v>
      </c>
      <c r="AX148" s="611">
        <f>Table1[[#This Row],[الجبر حتي]]-Table1[[#This Row],[رن]]</f>
        <v>0</v>
      </c>
      <c r="AY148" s="611">
        <f>Table1[[#This Row],[الزياده]]+Table1[[#This Row],[التعديل]]+Table1[[#This Row],[جبر الرقم]]</f>
        <v>5434.1</v>
      </c>
      <c r="AZ148" s="611">
        <f>Table1[[#This Row],[الراتب 2018 + النسبه + الفرق]]+Table1[[#This Row],[جبر الرقم]]+Table1[[#This Row],[التعديل]]</f>
        <v>9584.1</v>
      </c>
      <c r="BA148" s="631">
        <f>Table1[[#This Row],[الزياده النهائيه]]/Table1[[#This Row],[راتب ديسمبر 2019]]%</f>
        <v>130.94216867469879</v>
      </c>
      <c r="BB148" s="612">
        <f>VLOOKUP(Table1[[#This Row],[الرقم الوظيفي]],Table6[],8,)</f>
        <v>4150</v>
      </c>
      <c r="BC148" s="7">
        <v>7000</v>
      </c>
      <c r="BD148" s="7">
        <v>7000</v>
      </c>
      <c r="BE148" s="7">
        <v>7000</v>
      </c>
      <c r="BF148" s="5">
        <f>Table1[[#This Row],[الحد الادني]]-Table1[[#This Row],[الراتب 2018+النسبه]]</f>
        <v>4850</v>
      </c>
      <c r="BG148" s="5">
        <f>Table1[[#This Row],[التعديل حتي]]-Table1[[#This Row],[kkk]]</f>
        <v>584.10000000000036</v>
      </c>
      <c r="BH148" s="5">
        <v>6415.9</v>
      </c>
      <c r="BI148" s="5"/>
    </row>
    <row r="149" spans="1:61" ht="21" customHeight="1">
      <c r="A149" s="602">
        <v>805</v>
      </c>
      <c r="B149" s="618" t="str">
        <f>VLOOKUP(Table1[[#This Row],[الرقم الوظيفي]],[1]Sheet2!$1:$1048576,2,)</f>
        <v>عمر عبدالرحمن البشير عمر</v>
      </c>
      <c r="C149" s="618" t="str">
        <f>VLOOKUP(Table1[[#This Row],[الرقم الوظيفي]],[1]Sheet2!$1:$1048576,7,)</f>
        <v>المصنع</v>
      </c>
      <c r="D149" s="618" t="str">
        <f>VLOOKUP(Table1[[#This Row],[الرقم الوظيفي]],[1]Sheet2!$1:$1048576,8,)</f>
        <v>الوحده العلاجيه</v>
      </c>
      <c r="E149" s="599">
        <f>VLOOKUP(Table1[[#This Row],[الرقم الوظيفي]],[1]Sheet2!$1:$1048576,9,)</f>
        <v>0</v>
      </c>
      <c r="F149" s="599" t="str">
        <f>VLOOKUP(Table1[[#This Row],[الرقم الوظيفي]],[1]Sheet2!$1:$1048576,12,)</f>
        <v>ممرض</v>
      </c>
      <c r="G149" s="599" t="str">
        <f>VLOOKUP(Table1[[#This Row],[الرقم الوظيفي]],[1]Sheet2!$1:$1048576,72,)</f>
        <v>شهاده ثانويه</v>
      </c>
      <c r="H149" s="599" t="str">
        <f>VLOOKUP(Table1[[#This Row],[الرقم الوظيفي]],[1]Sheet2!$1:$1048576,71,)</f>
        <v>تمريض</v>
      </c>
      <c r="I149" s="599" t="str">
        <f>VLOOKUP(Table1[[#This Row],[المؤهل الرئيسي]],Table4[],3,)</f>
        <v>F</v>
      </c>
      <c r="J149" s="599" t="s">
        <v>924</v>
      </c>
      <c r="K149" s="615">
        <f>VLOOKUP(Table1[[#This Row],[الرقم الوظيفي]],[1]Sheet2!$1:$1048576,13,)</f>
        <v>42104</v>
      </c>
      <c r="L149" s="615">
        <v>43830</v>
      </c>
      <c r="M149" s="599">
        <f>DATEDIF(Table1[[#This Row],[تاريخ التعيين]],Table1[[#This Row],[اخر العام]],"y")</f>
        <v>4</v>
      </c>
      <c r="N149" s="599">
        <f>DATEDIF(Table1[[#This Row],[تاريخ التعيين]],Table1[[#This Row],[اخر العام]],"ym")</f>
        <v>8</v>
      </c>
      <c r="O149" s="610">
        <f>Table1[[#This Row],[سنوات الخدمه]]*1+Table1[[#This Row],[الشهور اقل من سنه]]*0.08</f>
        <v>4.6399999999999997</v>
      </c>
      <c r="P149" s="616">
        <v>4110</v>
      </c>
      <c r="Q149" s="617">
        <v>299.20800000000003</v>
      </c>
      <c r="R149" s="612"/>
      <c r="S149" s="599"/>
      <c r="T149" s="612"/>
      <c r="U149" s="612"/>
      <c r="V149" s="612"/>
      <c r="W149" s="612"/>
      <c r="X149" s="612"/>
      <c r="Y149" s="612"/>
      <c r="Z149" s="612"/>
      <c r="AA14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49" s="612"/>
      <c r="AC149" s="599"/>
      <c r="AD149" s="612"/>
      <c r="AE149" s="612"/>
      <c r="AF149" s="612"/>
      <c r="AG149" s="612"/>
      <c r="AH149" s="619">
        <f>SUM(Table1[[#This Row],[التقييد  باللوائح و تنفيذالتوجيه]:[اتباع اجراءات السلامه]])</f>
        <v>0</v>
      </c>
      <c r="AI149" s="619">
        <f>Table1[[#This Row],[المجموع]]+Table1[[#This Row],[المجموع2]]</f>
        <v>0</v>
      </c>
      <c r="AJ149" s="612"/>
      <c r="AK149" s="612"/>
      <c r="AL149" s="612"/>
      <c r="AM149" s="612"/>
      <c r="AN149" s="612"/>
      <c r="AO149" s="606">
        <f>Table1[[#This Row],[المجموع 1+2]]*$AO$2</f>
        <v>0</v>
      </c>
      <c r="AP149" s="648">
        <f>Table1[[#This Row],[راتب ديسمبر 2019]]*Table1[[#This Row],[نسبه التقييم الرئيسي 2018]]%</f>
        <v>0</v>
      </c>
      <c r="AQ149" s="627">
        <f>Table1[[#This Row],[مبلغ التقييم النسبي 2018]]+Table1[[#This Row],[راتب ديسمبر 2019]]</f>
        <v>4110</v>
      </c>
      <c r="AR149" s="611">
        <f>IF(Table1[[#This Row],[Column3]]&lt;0,0,Table1[[#This Row],[Column3]])</f>
        <v>4890</v>
      </c>
      <c r="AS149" s="599">
        <f>VLOOKUP(Table1[[#This Row],[درجه التوسيط]],Table10[],3,)</f>
        <v>9000</v>
      </c>
      <c r="AT149" s="608">
        <f>Table1[[#This Row],[الراتب 2018+النسبه]]+Table1[[#This Row],[فروقات الحد الادني]]</f>
        <v>9000</v>
      </c>
      <c r="AU149" s="629">
        <f>Table1[[#This Row],[الراتب 2018 + النسبه + الفرق]]-Table1[[#This Row],[راتب ديسمبر 2019]]</f>
        <v>4890</v>
      </c>
      <c r="AV149" s="628">
        <f>Table1[[#This Row],[الزياده]]/Table1[[#This Row],[راتب ديسمبر 2019]]%</f>
        <v>118.97810218978101</v>
      </c>
      <c r="AW149" s="659">
        <f>IF(Table1[[#This Row],[Column4]]&lt;0,0,Table1[[#This Row],[Column4]])</f>
        <v>0</v>
      </c>
      <c r="AX149" s="611">
        <f>Table1[[#This Row],[الجبر حتي]]-Table1[[#This Row],[رن]]</f>
        <v>5.9400000000005093</v>
      </c>
      <c r="AY149" s="611">
        <f>Table1[[#This Row],[الزياده]]+Table1[[#This Row],[التعديل]]+Table1[[#This Row],[جبر الرقم]]</f>
        <v>4895.9400000000005</v>
      </c>
      <c r="AZ149" s="611">
        <f>Table1[[#This Row],[الراتب 2018 + النسبه + الفرق]]+Table1[[#This Row],[جبر الرقم]]+Table1[[#This Row],[التعديل]]</f>
        <v>9005.94</v>
      </c>
      <c r="BA149" s="631">
        <f>Table1[[#This Row],[الزياده النهائيه]]/Table1[[#This Row],[راتب ديسمبر 2019]]%</f>
        <v>119.12262773722628</v>
      </c>
      <c r="BB149" s="612">
        <f>VLOOKUP(Table1[[#This Row],[الرقم الوظيفي]],Table6[],8,)</f>
        <v>4110</v>
      </c>
      <c r="BC149" s="7"/>
      <c r="BD149" s="7">
        <v>6360</v>
      </c>
      <c r="BE149" s="7">
        <v>6354.0599999999995</v>
      </c>
      <c r="BF149" s="5">
        <f>Table1[[#This Row],[الحد الادني]]-Table1[[#This Row],[الراتب 2018+النسبه]]</f>
        <v>4890</v>
      </c>
      <c r="BG149" s="5">
        <f>Table1[[#This Row],[التعديل حتي]]-Table1[[#This Row],[kkk]]</f>
        <v>-6354.0599999999995</v>
      </c>
      <c r="BH149" s="5">
        <v>6354.0599999999995</v>
      </c>
      <c r="BI149" s="5"/>
    </row>
    <row r="150" spans="1:61" ht="21" customHeight="1">
      <c r="A150" s="602">
        <v>811</v>
      </c>
      <c r="B150" s="618" t="str">
        <f>VLOOKUP(Table1[[#This Row],[الرقم الوظيفي]],[1]Sheet2!$1:$1048576,2,)</f>
        <v>احمد مبارك احمد عبدالله</v>
      </c>
      <c r="C150" s="618" t="str">
        <f>VLOOKUP(Table1[[#This Row],[الرقم الوظيفي]],[1]Sheet2!$1:$1048576,7,)</f>
        <v>المصنع</v>
      </c>
      <c r="D150" s="618" t="str">
        <f>VLOOKUP(Table1[[#This Row],[الرقم الوظيفي]],[1]Sheet2!$1:$1048576,8,)</f>
        <v>الكهرباء</v>
      </c>
      <c r="E150" s="599" t="str">
        <f>VLOOKUP(Table1[[#This Row],[الرقم الوظيفي]],[1]Sheet2!$1:$1048576,9,)</f>
        <v>كهرباء عامه</v>
      </c>
      <c r="F150" s="599" t="str">
        <f>VLOOKUP(Table1[[#This Row],[الرقم الوظيفي]],[1]Sheet2!$1:$1048576,12,)</f>
        <v>تقنى كهرباء</v>
      </c>
      <c r="G150" s="599" t="str">
        <f>VLOOKUP(Table1[[#This Row],[الرقم الوظيفي]],[1]Sheet2!$1:$1048576,72,)</f>
        <v>دبلوم تقني</v>
      </c>
      <c r="H150" s="599" t="str">
        <f>VLOOKUP(Table1[[#This Row],[الرقم الوظيفي]],[1]Sheet2!$1:$1048576,71,)</f>
        <v>هندسة كهرباء</v>
      </c>
      <c r="I150" s="599" t="str">
        <f>VLOOKUP(Table1[[#This Row],[المؤهل الرئيسي]],Table4[],3,)</f>
        <v>D</v>
      </c>
      <c r="J150" s="599" t="s">
        <v>923</v>
      </c>
      <c r="K150" s="615">
        <f>VLOOKUP(Table1[[#This Row],[الرقم الوظيفي]],[1]Sheet2!$1:$1048576,13,)</f>
        <v>42125</v>
      </c>
      <c r="L150" s="615">
        <v>43830</v>
      </c>
      <c r="M150" s="599">
        <f>DATEDIF(Table1[[#This Row],[تاريخ التعيين]],Table1[[#This Row],[اخر العام]],"y")</f>
        <v>4</v>
      </c>
      <c r="N150" s="599">
        <f>DATEDIF(Table1[[#This Row],[تاريخ التعيين]],Table1[[#This Row],[اخر العام]],"ym")</f>
        <v>7</v>
      </c>
      <c r="O150" s="610">
        <f>Table1[[#This Row],[سنوات الخدمه]]*1+Table1[[#This Row],[الشهور اقل من سنه]]*0.08</f>
        <v>4.5600000000000005</v>
      </c>
      <c r="P150" s="616">
        <v>4630</v>
      </c>
      <c r="Q150" s="617">
        <v>329.65600000000001</v>
      </c>
      <c r="R150" s="612"/>
      <c r="S150" s="599"/>
      <c r="T150" s="612"/>
      <c r="U150" s="612"/>
      <c r="V150" s="612"/>
      <c r="W150" s="612"/>
      <c r="X150" s="612"/>
      <c r="Y150" s="612"/>
      <c r="Z150" s="612"/>
      <c r="AA15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0" s="612"/>
      <c r="AC150" s="599"/>
      <c r="AD150" s="612"/>
      <c r="AE150" s="612"/>
      <c r="AF150" s="612"/>
      <c r="AG150" s="612"/>
      <c r="AH150" s="619">
        <f>SUM(Table1[[#This Row],[التقييد  باللوائح و تنفيذالتوجيه]:[اتباع اجراءات السلامه]])</f>
        <v>0</v>
      </c>
      <c r="AI150" s="619">
        <f>Table1[[#This Row],[المجموع]]+Table1[[#This Row],[المجموع2]]</f>
        <v>0</v>
      </c>
      <c r="AJ150" s="612">
        <v>10</v>
      </c>
      <c r="AK150" s="612"/>
      <c r="AL150" s="612"/>
      <c r="AM150" s="612"/>
      <c r="AN150" s="612"/>
      <c r="AO150" s="606">
        <f>Table1[[#This Row],[المجموع 1+2]]*$AO$2</f>
        <v>0</v>
      </c>
      <c r="AP150" s="648">
        <f>Table1[[#This Row],[راتب ديسمبر 2019]]*Table1[[#This Row],[نسبه التقييم الرئيسي 2018]]%</f>
        <v>0</v>
      </c>
      <c r="AQ150" s="627">
        <f>Table1[[#This Row],[مبلغ التقييم النسبي 2018]]+Table1[[#This Row],[راتب ديسمبر 2019]]</f>
        <v>4630</v>
      </c>
      <c r="AR150" s="611">
        <f>IF(Table1[[#This Row],[Column3]]&lt;0,0,Table1[[#This Row],[Column3]])</f>
        <v>5370</v>
      </c>
      <c r="AS150" s="599">
        <f>VLOOKUP(Table1[[#This Row],[درجه التوسيط]],Table10[],3,)</f>
        <v>10000</v>
      </c>
      <c r="AT150" s="608">
        <f>Table1[[#This Row],[الراتب 2018+النسبه]]+Table1[[#This Row],[فروقات الحد الادني]]</f>
        <v>10000</v>
      </c>
      <c r="AU150" s="629">
        <f>Table1[[#This Row],[الراتب 2018 + النسبه + الفرق]]-Table1[[#This Row],[راتب ديسمبر 2019]]</f>
        <v>5370</v>
      </c>
      <c r="AV150" s="628">
        <f>Table1[[#This Row],[الزياده]]/Table1[[#This Row],[راتب ديسمبر 2019]]%</f>
        <v>115.98272138228943</v>
      </c>
      <c r="AW150" s="659">
        <f>IF(Table1[[#This Row],[Column4]]&lt;0,0,Table1[[#This Row],[Column4]])</f>
        <v>203.1200000000008</v>
      </c>
      <c r="AX150" s="611">
        <f>Table1[[#This Row],[الجبر حتي]]-Table1[[#This Row],[رن]]</f>
        <v>0</v>
      </c>
      <c r="AY150" s="611">
        <f>Table1[[#This Row],[الزياده]]+Table1[[#This Row],[التعديل]]+Table1[[#This Row],[جبر الرقم]]</f>
        <v>5573.1200000000008</v>
      </c>
      <c r="AZ150" s="611">
        <f>Table1[[#This Row],[الراتب 2018 + النسبه + الفرق]]+Table1[[#This Row],[جبر الرقم]]+Table1[[#This Row],[التعديل]]</f>
        <v>10203.120000000001</v>
      </c>
      <c r="BA150" s="631">
        <f>Table1[[#This Row],[الزياده النهائيه]]/Table1[[#This Row],[راتب ديسمبر 2019]]%</f>
        <v>120.36976241900651</v>
      </c>
      <c r="BB150" s="612">
        <f>VLOOKUP(Table1[[#This Row],[الرقم الوظيفي]],Table6[],8,)</f>
        <v>4630</v>
      </c>
      <c r="BC150" s="7">
        <v>7500</v>
      </c>
      <c r="BD150" s="7">
        <v>7500</v>
      </c>
      <c r="BE150" s="7">
        <v>7500</v>
      </c>
      <c r="BF150" s="5">
        <f>Table1[[#This Row],[الحد الادني]]-Table1[[#This Row],[الراتب 2018+النسبه]]</f>
        <v>5370</v>
      </c>
      <c r="BG150" s="5">
        <f>Table1[[#This Row],[التعديل حتي]]-Table1[[#This Row],[kkk]]</f>
        <v>203.1200000000008</v>
      </c>
      <c r="BH150" s="5">
        <v>7296.8799999999992</v>
      </c>
      <c r="BI150" s="5"/>
    </row>
    <row r="151" spans="1:61" ht="21" customHeight="1">
      <c r="A151" s="602">
        <v>812</v>
      </c>
      <c r="B151" s="618" t="str">
        <f>VLOOKUP(Table1[[#This Row],[الرقم الوظيفي]],[1]Sheet2!$1:$1048576,2,)</f>
        <v>خالد احمد قنديل خلف الله</v>
      </c>
      <c r="C151" s="618" t="str">
        <f>VLOOKUP(Table1[[#This Row],[الرقم الوظيفي]],[1]Sheet2!$1:$1048576,7,)</f>
        <v>المصنع</v>
      </c>
      <c r="D151" s="618" t="str">
        <f>VLOOKUP(Table1[[#This Row],[الرقم الوظيفي]],[1]Sheet2!$1:$1048576,8,)</f>
        <v>الانتاج</v>
      </c>
      <c r="E151" s="599">
        <f>VLOOKUP(Table1[[#This Row],[الرقم الوظيفي]],[1]Sheet2!$1:$1048576,9,)</f>
        <v>0</v>
      </c>
      <c r="F151" s="599" t="str">
        <f>VLOOKUP(Table1[[#This Row],[الرقم الوظيفي]],[1]Sheet2!$1:$1048576,12,)</f>
        <v>عامل</v>
      </c>
      <c r="G151" s="599">
        <f>VLOOKUP(Table1[[#This Row],[الرقم الوظيفي]],[1]Sheet2!$1:$1048576,72,)</f>
        <v>0</v>
      </c>
      <c r="H151" s="599">
        <f>VLOOKUP(Table1[[#This Row],[الرقم الوظيفي]],[1]Sheet2!$1:$1048576,71,)</f>
        <v>0</v>
      </c>
      <c r="I151" s="599" t="str">
        <f>VLOOKUP(Table1[[#This Row],[المؤهل الرئيسي]],Table4[],3,)</f>
        <v>H</v>
      </c>
      <c r="J151" s="599" t="s">
        <v>929</v>
      </c>
      <c r="K151" s="615">
        <f>VLOOKUP(Table1[[#This Row],[الرقم الوظيفي]],[1]Sheet2!$1:$1048576,13,)</f>
        <v>42127</v>
      </c>
      <c r="L151" s="615">
        <v>43830</v>
      </c>
      <c r="M151" s="599">
        <f>DATEDIF(Table1[[#This Row],[تاريخ التعيين]],Table1[[#This Row],[اخر العام]],"y")</f>
        <v>4</v>
      </c>
      <c r="N151" s="599">
        <f>DATEDIF(Table1[[#This Row],[تاريخ التعيين]],Table1[[#This Row],[اخر العام]],"ym")</f>
        <v>7</v>
      </c>
      <c r="O151" s="610">
        <f>Table1[[#This Row],[سنوات الخدمه]]*1+Table1[[#This Row],[الشهور اقل من سنه]]*0.08</f>
        <v>4.5600000000000005</v>
      </c>
      <c r="P151" s="616">
        <v>3090</v>
      </c>
      <c r="Q151" s="617">
        <v>220.00800000000001</v>
      </c>
      <c r="R151" s="612"/>
      <c r="S151" s="599"/>
      <c r="T151" s="612"/>
      <c r="U151" s="612"/>
      <c r="V151" s="612"/>
      <c r="W151" s="612"/>
      <c r="X151" s="612"/>
      <c r="Y151" s="612"/>
      <c r="Z151" s="612"/>
      <c r="AA15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1" s="612"/>
      <c r="AC151" s="599"/>
      <c r="AD151" s="612"/>
      <c r="AE151" s="612"/>
      <c r="AF151" s="612"/>
      <c r="AG151" s="612"/>
      <c r="AH151" s="619">
        <f>SUM(Table1[[#This Row],[التقييد  باللوائح و تنفيذالتوجيه]:[اتباع اجراءات السلامه]])</f>
        <v>0</v>
      </c>
      <c r="AI151" s="619">
        <f>Table1[[#This Row],[المجموع]]+Table1[[#This Row],[المجموع2]]</f>
        <v>0</v>
      </c>
      <c r="AJ151" s="612"/>
      <c r="AK151" s="612"/>
      <c r="AL151" s="612"/>
      <c r="AM151" s="612"/>
      <c r="AN151" s="612"/>
      <c r="AO151" s="606">
        <f>Table1[[#This Row],[المجموع 1+2]]*$AO$2</f>
        <v>0</v>
      </c>
      <c r="AP151" s="648">
        <f>Table1[[#This Row],[راتب ديسمبر 2019]]*Table1[[#This Row],[نسبه التقييم الرئيسي 2018]]%</f>
        <v>0</v>
      </c>
      <c r="AQ151" s="627">
        <f>Table1[[#This Row],[مبلغ التقييم النسبي 2018]]+Table1[[#This Row],[راتب ديسمبر 2019]]</f>
        <v>3090</v>
      </c>
      <c r="AR151" s="611">
        <f>IF(Table1[[#This Row],[Column3]]&lt;0,0,Table1[[#This Row],[Column3]])</f>
        <v>2910</v>
      </c>
      <c r="AS151" s="599">
        <f>VLOOKUP(Table1[[#This Row],[درجه التوسيط]],Table10[],3,)</f>
        <v>6000</v>
      </c>
      <c r="AT151" s="608">
        <f>Table1[[#This Row],[الراتب 2018+النسبه]]+Table1[[#This Row],[فروقات الحد الادني]]</f>
        <v>6000</v>
      </c>
      <c r="AU151" s="629">
        <f>Table1[[#This Row],[الراتب 2018 + النسبه + الفرق]]-Table1[[#This Row],[راتب ديسمبر 2019]]</f>
        <v>2910</v>
      </c>
      <c r="AV151" s="628">
        <f>Table1[[#This Row],[الزياده]]/Table1[[#This Row],[راتب ديسمبر 2019]]%</f>
        <v>94.174757281553397</v>
      </c>
      <c r="AW151" s="659">
        <f>IF(Table1[[#This Row],[Column4]]&lt;0,0,Table1[[#This Row],[Column4]])</f>
        <v>0</v>
      </c>
      <c r="AX151" s="611">
        <f>Table1[[#This Row],[الجبر حتي]]-Table1[[#This Row],[رن]]</f>
        <v>9.7200000000002547</v>
      </c>
      <c r="AY151" s="611">
        <f>Table1[[#This Row],[الزياده]]+Table1[[#This Row],[التعديل]]+Table1[[#This Row],[جبر الرقم]]</f>
        <v>2919.7200000000003</v>
      </c>
      <c r="AZ151" s="611">
        <f>Table1[[#This Row],[الراتب 2018 + النسبه + الفرق]]+Table1[[#This Row],[جبر الرقم]]+Table1[[#This Row],[التعديل]]</f>
        <v>6009.72</v>
      </c>
      <c r="BA151" s="631">
        <f>Table1[[#This Row],[الزياده النهائيه]]/Table1[[#This Row],[راتب ديسمبر 2019]]%</f>
        <v>94.489320388349526</v>
      </c>
      <c r="BB151" s="612">
        <f>VLOOKUP(Table1[[#This Row],[الرقم الوظيفي]],Table6[],8,)</f>
        <v>3090</v>
      </c>
      <c r="BC151" s="7"/>
      <c r="BD151" s="7">
        <v>4620</v>
      </c>
      <c r="BE151" s="7">
        <v>4610.28</v>
      </c>
      <c r="BF151" s="5">
        <f>Table1[[#This Row],[الحد الادني]]-Table1[[#This Row],[الراتب 2018+النسبه]]</f>
        <v>2910</v>
      </c>
      <c r="BG151" s="5">
        <f>Table1[[#This Row],[التعديل حتي]]-Table1[[#This Row],[kkk]]</f>
        <v>-4610.28</v>
      </c>
      <c r="BH151" s="5">
        <v>4610.28</v>
      </c>
      <c r="BI151" s="5"/>
    </row>
    <row r="152" spans="1:61" ht="21" customHeight="1">
      <c r="A152" s="602">
        <v>814</v>
      </c>
      <c r="B152" s="618" t="str">
        <f>VLOOKUP(Table1[[#This Row],[الرقم الوظيفي]],[1]Sheet2!$1:$1048576,2,)</f>
        <v>التجانى محمد زين احمد محمد</v>
      </c>
      <c r="C152" s="618" t="str">
        <f>VLOOKUP(Table1[[#This Row],[الرقم الوظيفي]],[1]Sheet2!$1:$1048576,7,)</f>
        <v>المصنع</v>
      </c>
      <c r="D152" s="618" t="str">
        <f>VLOOKUP(Table1[[#This Row],[الرقم الوظيفي]],[1]Sheet2!$1:$1048576,8,)</f>
        <v>الانتاج</v>
      </c>
      <c r="E152" s="599">
        <f>VLOOKUP(Table1[[#This Row],[الرقم الوظيفي]],[1]Sheet2!$1:$1048576,9,)</f>
        <v>0</v>
      </c>
      <c r="F152" s="599" t="str">
        <f>VLOOKUP(Table1[[#This Row],[الرقم الوظيفي]],[1]Sheet2!$1:$1048576,12,)</f>
        <v>مشرف ورديه</v>
      </c>
      <c r="G152" s="599" t="str">
        <f>VLOOKUP(Table1[[#This Row],[الرقم الوظيفي]],[1]Sheet2!$1:$1048576,72,)</f>
        <v>دبلوم (معاهد)</v>
      </c>
      <c r="H152" s="599" t="str">
        <f>VLOOKUP(Table1[[#This Row],[الرقم الوظيفي]],[1]Sheet2!$1:$1048576,71,)</f>
        <v>تبريد وتكييف</v>
      </c>
      <c r="I152" s="599" t="str">
        <f>VLOOKUP(Table1[[#This Row],[المؤهل الرئيسي]],Table4[],3,)</f>
        <v>E</v>
      </c>
      <c r="J152" s="599" t="s">
        <v>495</v>
      </c>
      <c r="K152" s="615">
        <f>VLOOKUP(Table1[[#This Row],[الرقم الوظيفي]],[1]Sheet2!$1:$1048576,13,)</f>
        <v>42140</v>
      </c>
      <c r="L152" s="615">
        <v>43830</v>
      </c>
      <c r="M152" s="599">
        <f>DATEDIF(Table1[[#This Row],[تاريخ التعيين]],Table1[[#This Row],[اخر العام]],"y")</f>
        <v>4</v>
      </c>
      <c r="N152" s="599">
        <f>DATEDIF(Table1[[#This Row],[تاريخ التعيين]],Table1[[#This Row],[اخر العام]],"ym")</f>
        <v>7</v>
      </c>
      <c r="O152" s="610">
        <f>Table1[[#This Row],[سنوات الخدمه]]*1+Table1[[#This Row],[الشهور اقل من سنه]]*0.08</f>
        <v>4.5600000000000005</v>
      </c>
      <c r="P152" s="616">
        <v>5170</v>
      </c>
      <c r="Q152" s="617">
        <v>368.10399999999998</v>
      </c>
      <c r="R152" s="612"/>
      <c r="S152" s="599"/>
      <c r="T152" s="612"/>
      <c r="U152" s="612"/>
      <c r="V152" s="612"/>
      <c r="W152" s="612"/>
      <c r="X152" s="612"/>
      <c r="Y152" s="612"/>
      <c r="Z152" s="612"/>
      <c r="AA15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2" s="612"/>
      <c r="AC152" s="599"/>
      <c r="AD152" s="612"/>
      <c r="AE152" s="612"/>
      <c r="AF152" s="612"/>
      <c r="AG152" s="612"/>
      <c r="AH152" s="619">
        <f>SUM(Table1[[#This Row],[التقييد  باللوائح و تنفيذالتوجيه]:[اتباع اجراءات السلامه]])</f>
        <v>0</v>
      </c>
      <c r="AI152" s="619">
        <f>Table1[[#This Row],[المجموع]]+Table1[[#This Row],[المجموع2]]</f>
        <v>0</v>
      </c>
      <c r="AJ152" s="612"/>
      <c r="AK152" s="612"/>
      <c r="AL152" s="612"/>
      <c r="AM152" s="612"/>
      <c r="AN152" s="612"/>
      <c r="AO152" s="606">
        <f>Table1[[#This Row],[المجموع 1+2]]*$AO$2</f>
        <v>0</v>
      </c>
      <c r="AP152" s="648">
        <f>Table1[[#This Row],[راتب ديسمبر 2019]]*Table1[[#This Row],[نسبه التقييم الرئيسي 2018]]%</f>
        <v>0</v>
      </c>
      <c r="AQ152" s="627">
        <f>Table1[[#This Row],[مبلغ التقييم النسبي 2018]]+Table1[[#This Row],[راتب ديسمبر 2019]]</f>
        <v>5170</v>
      </c>
      <c r="AR152" s="611">
        <f>IF(Table1[[#This Row],[Column3]]&lt;0,0,Table1[[#This Row],[Column3]])</f>
        <v>8830</v>
      </c>
      <c r="AS152" s="599">
        <f>VLOOKUP(Table1[[#This Row],[درجه التوسيط]],Table10[],3,)</f>
        <v>14000</v>
      </c>
      <c r="AT152" s="608">
        <f>Table1[[#This Row],[الراتب 2018+النسبه]]+Table1[[#This Row],[فروقات الحد الادني]]</f>
        <v>14000</v>
      </c>
      <c r="AU152" s="629">
        <f>Table1[[#This Row],[الراتب 2018 + النسبه + الفرق]]-Table1[[#This Row],[راتب ديسمبر 2019]]</f>
        <v>8830</v>
      </c>
      <c r="AV152" s="628">
        <f>Table1[[#This Row],[الزياده]]/Table1[[#This Row],[راتب ديسمبر 2019]]%</f>
        <v>170.79303675048354</v>
      </c>
      <c r="AW152" s="659">
        <f>IF(Table1[[#This Row],[Column4]]&lt;0,0,Table1[[#This Row],[Column4]])</f>
        <v>0</v>
      </c>
      <c r="AX152" s="611">
        <f>Table1[[#This Row],[الجبر حتي]]-Table1[[#This Row],[رن]]</f>
        <v>0</v>
      </c>
      <c r="AY152" s="611">
        <f>Table1[[#This Row],[الزياده]]+Table1[[#This Row],[التعديل]]+Table1[[#This Row],[جبر الرقم]]</f>
        <v>8830</v>
      </c>
      <c r="AZ152" s="611">
        <f>Table1[[#This Row],[الراتب 2018 + النسبه + الفرق]]+Table1[[#This Row],[جبر الرقم]]+Table1[[#This Row],[التعديل]]</f>
        <v>14000</v>
      </c>
      <c r="BA152" s="631">
        <f>Table1[[#This Row],[الزياده النهائيه]]/Table1[[#This Row],[راتب ديسمبر 2019]]%</f>
        <v>170.79303675048354</v>
      </c>
      <c r="BB152" s="612">
        <f>VLOOKUP(Table1[[#This Row],[الرقم الوظيفي]],Table6[],8,)</f>
        <v>5170</v>
      </c>
      <c r="BC152" s="7"/>
      <c r="BD152" s="7">
        <v>9500</v>
      </c>
      <c r="BE152" s="7">
        <v>9500</v>
      </c>
      <c r="BF152" s="5">
        <f>Table1[[#This Row],[الحد الادني]]-Table1[[#This Row],[الراتب 2018+النسبه]]</f>
        <v>8830</v>
      </c>
      <c r="BG152" s="5">
        <f>Table1[[#This Row],[التعديل حتي]]-Table1[[#This Row],[kkk]]</f>
        <v>-9500</v>
      </c>
      <c r="BH152" s="5">
        <v>9500</v>
      </c>
      <c r="BI152" s="5"/>
    </row>
    <row r="153" spans="1:61" ht="21" customHeight="1">
      <c r="A153" s="602">
        <v>817</v>
      </c>
      <c r="B153" s="618" t="str">
        <f>VLOOKUP(Table1[[#This Row],[الرقم الوظيفي]],[1]Sheet2!$1:$1048576,2,)</f>
        <v>سراج الدين محمد خميس ادم</v>
      </c>
      <c r="C153" s="618" t="str">
        <f>VLOOKUP(Table1[[#This Row],[الرقم الوظيفي]],[1]Sheet2!$1:$1048576,7,)</f>
        <v>المصنع</v>
      </c>
      <c r="D153" s="618" t="str">
        <f>VLOOKUP(Table1[[#This Row],[الرقم الوظيفي]],[1]Sheet2!$1:$1048576,8,)</f>
        <v>الانتاج</v>
      </c>
      <c r="E153" s="599" t="str">
        <f>VLOOKUP(Table1[[#This Row],[الرقم الوظيفي]],[1]Sheet2!$1:$1048576,9,)</f>
        <v>المواسير</v>
      </c>
      <c r="F153" s="599" t="str">
        <f>VLOOKUP(Table1[[#This Row],[الرقم الوظيفي]],[1]Sheet2!$1:$1048576,12,)</f>
        <v>مساعد مشغل</v>
      </c>
      <c r="G153" s="599">
        <f>VLOOKUP(Table1[[#This Row],[الرقم الوظيفي]],[1]Sheet2!$1:$1048576,72,)</f>
        <v>0</v>
      </c>
      <c r="H153" s="599">
        <f>VLOOKUP(Table1[[#This Row],[الرقم الوظيفي]],[1]Sheet2!$1:$1048576,71,)</f>
        <v>0</v>
      </c>
      <c r="I153" s="599" t="str">
        <f>VLOOKUP(Table1[[#This Row],[المؤهل الرئيسي]],Table4[],3,)</f>
        <v>H</v>
      </c>
      <c r="J153" s="599" t="s">
        <v>926</v>
      </c>
      <c r="K153" s="615">
        <f>VLOOKUP(Table1[[#This Row],[الرقم الوظيفي]],[1]Sheet2!$1:$1048576,13,)</f>
        <v>42156</v>
      </c>
      <c r="L153" s="615">
        <v>43830</v>
      </c>
      <c r="M153" s="599">
        <f>DATEDIF(Table1[[#This Row],[تاريخ التعيين]],Table1[[#This Row],[اخر العام]],"y")</f>
        <v>4</v>
      </c>
      <c r="N153" s="599">
        <f>DATEDIF(Table1[[#This Row],[تاريخ التعيين]],Table1[[#This Row],[اخر العام]],"ym")</f>
        <v>6</v>
      </c>
      <c r="O153" s="610">
        <f>Table1[[#This Row],[سنوات الخدمه]]*1+Table1[[#This Row],[الشهور اقل من سنه]]*0.08</f>
        <v>4.4800000000000004</v>
      </c>
      <c r="P153" s="616">
        <v>4100</v>
      </c>
      <c r="Q153" s="617">
        <v>285.36</v>
      </c>
      <c r="R153" s="612"/>
      <c r="S153" s="599"/>
      <c r="T153" s="612"/>
      <c r="U153" s="612"/>
      <c r="V153" s="612"/>
      <c r="W153" s="612"/>
      <c r="X153" s="612"/>
      <c r="Y153" s="612"/>
      <c r="Z153" s="612"/>
      <c r="AA15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3" s="612"/>
      <c r="AC153" s="599"/>
      <c r="AD153" s="612"/>
      <c r="AE153" s="612"/>
      <c r="AF153" s="612"/>
      <c r="AG153" s="612"/>
      <c r="AH153" s="619">
        <f>SUM(Table1[[#This Row],[التقييد  باللوائح و تنفيذالتوجيه]:[اتباع اجراءات السلامه]])</f>
        <v>0</v>
      </c>
      <c r="AI153" s="619">
        <f>Table1[[#This Row],[المجموع]]+Table1[[#This Row],[المجموع2]]</f>
        <v>0</v>
      </c>
      <c r="AJ153" s="612"/>
      <c r="AK153" s="612"/>
      <c r="AL153" s="612"/>
      <c r="AM153" s="612"/>
      <c r="AN153" s="612"/>
      <c r="AO153" s="606">
        <f>Table1[[#This Row],[المجموع 1+2]]*$AO$2</f>
        <v>0</v>
      </c>
      <c r="AP153" s="648">
        <f>Table1[[#This Row],[راتب ديسمبر 2019]]*Table1[[#This Row],[نسبه التقييم الرئيسي 2018]]%</f>
        <v>0</v>
      </c>
      <c r="AQ153" s="627">
        <f>Table1[[#This Row],[مبلغ التقييم النسبي 2018]]+Table1[[#This Row],[راتب ديسمبر 2019]]</f>
        <v>4100</v>
      </c>
      <c r="AR153" s="611">
        <f>IF(Table1[[#This Row],[Column3]]&lt;0,0,Table1[[#This Row],[Column3]])</f>
        <v>3900</v>
      </c>
      <c r="AS153" s="599">
        <f>VLOOKUP(Table1[[#This Row],[درجه التوسيط]],Table10[],3,)</f>
        <v>8000</v>
      </c>
      <c r="AT153" s="608">
        <f>Table1[[#This Row],[الراتب 2018+النسبه]]+Table1[[#This Row],[فروقات الحد الادني]]</f>
        <v>8000</v>
      </c>
      <c r="AU153" s="629">
        <f>Table1[[#This Row],[الراتب 2018 + النسبه + الفرق]]-Table1[[#This Row],[راتب ديسمبر 2019]]</f>
        <v>3900</v>
      </c>
      <c r="AV153" s="628">
        <f>Table1[[#This Row],[الزياده]]/Table1[[#This Row],[راتب ديسمبر 2019]]%</f>
        <v>95.121951219512198</v>
      </c>
      <c r="AW153" s="659">
        <f>IF(Table1[[#This Row],[Column4]]&lt;0,0,Table1[[#This Row],[Column4]])</f>
        <v>0</v>
      </c>
      <c r="AX153" s="611">
        <f>Table1[[#This Row],[الجبر حتي]]-Table1[[#This Row],[رن]]</f>
        <v>7.6000000000003638</v>
      </c>
      <c r="AY153" s="611">
        <f>Table1[[#This Row],[الزياده]]+Table1[[#This Row],[التعديل]]+Table1[[#This Row],[جبر الرقم]]</f>
        <v>3907.6000000000004</v>
      </c>
      <c r="AZ153" s="611">
        <f>Table1[[#This Row],[الراتب 2018 + النسبه + الفرق]]+Table1[[#This Row],[جبر الرقم]]+Table1[[#This Row],[التعديل]]</f>
        <v>8007.6</v>
      </c>
      <c r="BA153" s="631">
        <f>Table1[[#This Row],[الزياده النهائيه]]/Table1[[#This Row],[راتب ديسمبر 2019]]%</f>
        <v>95.307317073170736</v>
      </c>
      <c r="BB153" s="612">
        <f>VLOOKUP(Table1[[#This Row],[الرقم الوظيفي]],Table6[],8,)</f>
        <v>4100</v>
      </c>
      <c r="BC153" s="7"/>
      <c r="BD153" s="7">
        <v>6420</v>
      </c>
      <c r="BE153" s="7">
        <v>6412.4</v>
      </c>
      <c r="BF153" s="5">
        <f>Table1[[#This Row],[الحد الادني]]-Table1[[#This Row],[الراتب 2018+النسبه]]</f>
        <v>3900</v>
      </c>
      <c r="BG153" s="5">
        <f>Table1[[#This Row],[التعديل حتي]]-Table1[[#This Row],[kkk]]</f>
        <v>-6412.4</v>
      </c>
      <c r="BH153" s="5">
        <v>6412.4</v>
      </c>
      <c r="BI153" s="5"/>
    </row>
    <row r="154" spans="1:61" ht="21" customHeight="1">
      <c r="A154" s="602">
        <v>823</v>
      </c>
      <c r="B154" s="618" t="str">
        <f>VLOOKUP(Table1[[#This Row],[الرقم الوظيفي]],[1]Sheet2!$1:$1048576,2,)</f>
        <v>ابوبكر فاروق عوض الله عوض السيد</v>
      </c>
      <c r="C154" s="618" t="str">
        <f>VLOOKUP(Table1[[#This Row],[الرقم الوظيفي]],[1]Sheet2!$1:$1048576,7,)</f>
        <v>المصنع</v>
      </c>
      <c r="D154" s="618" t="str">
        <f>VLOOKUP(Table1[[#This Row],[الرقم الوظيفي]],[1]Sheet2!$1:$1048576,8,)</f>
        <v>الاليات</v>
      </c>
      <c r="E154" s="599">
        <f>VLOOKUP(Table1[[#This Row],[الرقم الوظيفي]],[1]Sheet2!$1:$1048576,9,)</f>
        <v>0</v>
      </c>
      <c r="F154" s="599" t="str">
        <f>VLOOKUP(Table1[[#This Row],[الرقم الوظيفي]],[1]Sheet2!$1:$1048576,12,)</f>
        <v>تقنى ميكانيكا اليات</v>
      </c>
      <c r="G154" s="599" t="str">
        <f>VLOOKUP(Table1[[#This Row],[الرقم الوظيفي]],[1]Sheet2!$1:$1048576,72,)</f>
        <v>دبلوم تقني</v>
      </c>
      <c r="H154" s="599" t="str">
        <f>VLOOKUP(Table1[[#This Row],[الرقم الوظيفي]],[1]Sheet2!$1:$1048576,71,)</f>
        <v>هندسة سيارات</v>
      </c>
      <c r="I154" s="599" t="str">
        <f>VLOOKUP(Table1[[#This Row],[المؤهل الرئيسي]],Table4[],3,)</f>
        <v>D</v>
      </c>
      <c r="J154" s="599" t="s">
        <v>924</v>
      </c>
      <c r="K154" s="615">
        <f>VLOOKUP(Table1[[#This Row],[الرقم الوظيفي]],[1]Sheet2!$1:$1048576,13,)</f>
        <v>42173</v>
      </c>
      <c r="L154" s="615">
        <v>43830</v>
      </c>
      <c r="M154" s="599">
        <f>DATEDIF(Table1[[#This Row],[تاريخ التعيين]],Table1[[#This Row],[اخر العام]],"y")</f>
        <v>4</v>
      </c>
      <c r="N154" s="599">
        <f>DATEDIF(Table1[[#This Row],[تاريخ التعيين]],Table1[[#This Row],[اخر العام]],"ym")</f>
        <v>6</v>
      </c>
      <c r="O154" s="610">
        <f>Table1[[#This Row],[سنوات الخدمه]]*1+Table1[[#This Row],[الشهور اقل من سنه]]*0.08</f>
        <v>4.4800000000000004</v>
      </c>
      <c r="P154" s="616">
        <v>4610</v>
      </c>
      <c r="Q154" s="617">
        <v>320.85599999999999</v>
      </c>
      <c r="R154" s="612"/>
      <c r="S154" s="599"/>
      <c r="T154" s="612"/>
      <c r="U154" s="612"/>
      <c r="V154" s="612"/>
      <c r="W154" s="612"/>
      <c r="X154" s="612"/>
      <c r="Y154" s="612"/>
      <c r="Z154" s="612"/>
      <c r="AA15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4" s="612"/>
      <c r="AC154" s="599"/>
      <c r="AD154" s="612"/>
      <c r="AE154" s="612"/>
      <c r="AF154" s="612"/>
      <c r="AG154" s="612"/>
      <c r="AH154" s="619">
        <f>SUM(Table1[[#This Row],[التقييد  باللوائح و تنفيذالتوجيه]:[اتباع اجراءات السلامه]])</f>
        <v>0</v>
      </c>
      <c r="AI154" s="619">
        <f>Table1[[#This Row],[المجموع]]+Table1[[#This Row],[المجموع2]]</f>
        <v>0</v>
      </c>
      <c r="AJ154" s="612"/>
      <c r="AK154" s="612"/>
      <c r="AL154" s="612"/>
      <c r="AM154" s="612"/>
      <c r="AN154" s="612"/>
      <c r="AO154" s="606">
        <f>Table1[[#This Row],[المجموع 1+2]]*$AO$2</f>
        <v>0</v>
      </c>
      <c r="AP154" s="648">
        <f>Table1[[#This Row],[راتب ديسمبر 2019]]*Table1[[#This Row],[نسبه التقييم الرئيسي 2018]]%</f>
        <v>0</v>
      </c>
      <c r="AQ154" s="627">
        <f>Table1[[#This Row],[مبلغ التقييم النسبي 2018]]+Table1[[#This Row],[راتب ديسمبر 2019]]</f>
        <v>4610</v>
      </c>
      <c r="AR154" s="611">
        <f>IF(Table1[[#This Row],[Column3]]&lt;0,0,Table1[[#This Row],[Column3]])</f>
        <v>4390</v>
      </c>
      <c r="AS154" s="599">
        <f>VLOOKUP(Table1[[#This Row],[درجه التوسيط]],Table10[],3,)</f>
        <v>9000</v>
      </c>
      <c r="AT154" s="608">
        <f>Table1[[#This Row],[الراتب 2018+النسبه]]+Table1[[#This Row],[فروقات الحد الادني]]</f>
        <v>9000</v>
      </c>
      <c r="AU154" s="629">
        <f>Table1[[#This Row],[الراتب 2018 + النسبه + الفرق]]-Table1[[#This Row],[راتب ديسمبر 2019]]</f>
        <v>4390</v>
      </c>
      <c r="AV154" s="628">
        <f>Table1[[#This Row],[الزياده]]/Table1[[#This Row],[راتب ديسمبر 2019]]%</f>
        <v>95.227765726681127</v>
      </c>
      <c r="AW154" s="659">
        <f>IF(Table1[[#This Row],[Column4]]&lt;0,0,Table1[[#This Row],[Column4]])</f>
        <v>0</v>
      </c>
      <c r="AX154" s="611">
        <f>Table1[[#This Row],[الجبر حتي]]-Table1[[#This Row],[رن]]</f>
        <v>3.5799999999999272</v>
      </c>
      <c r="AY154" s="611">
        <f>Table1[[#This Row],[الزياده]]+Table1[[#This Row],[التعديل]]+Table1[[#This Row],[جبر الرقم]]</f>
        <v>4393.58</v>
      </c>
      <c r="AZ154" s="611">
        <f>Table1[[#This Row],[الراتب 2018 + النسبه + الفرق]]+Table1[[#This Row],[جبر الرقم]]+Table1[[#This Row],[التعديل]]</f>
        <v>9003.58</v>
      </c>
      <c r="BA154" s="631">
        <f>Table1[[#This Row],[الزياده النهائيه]]/Table1[[#This Row],[راتب ديسمبر 2019]]%</f>
        <v>95.3054229934924</v>
      </c>
      <c r="BB154" s="612">
        <f>VLOOKUP(Table1[[#This Row],[الرقم الوظيفي]],Table6[],8,)</f>
        <v>4610</v>
      </c>
      <c r="BC154" s="7"/>
      <c r="BD154" s="7">
        <v>7020</v>
      </c>
      <c r="BE154" s="7">
        <v>7016.42</v>
      </c>
      <c r="BF154" s="5">
        <f>Table1[[#This Row],[الحد الادني]]-Table1[[#This Row],[الراتب 2018+النسبه]]</f>
        <v>4390</v>
      </c>
      <c r="BG154" s="5">
        <f>Table1[[#This Row],[التعديل حتي]]-Table1[[#This Row],[kkk]]</f>
        <v>-7016.42</v>
      </c>
      <c r="BH154" s="5">
        <v>7016.42</v>
      </c>
      <c r="BI154" s="5"/>
    </row>
    <row r="155" spans="1:61" ht="21" customHeight="1">
      <c r="A155" s="602">
        <v>825</v>
      </c>
      <c r="B155" s="618" t="str">
        <f>VLOOKUP(Table1[[#This Row],[الرقم الوظيفي]],[1]Sheet2!$1:$1048576,2,)</f>
        <v>يحى عطيه حلوف حماد</v>
      </c>
      <c r="C155" s="618" t="str">
        <f>VLOOKUP(Table1[[#This Row],[الرقم الوظيفي]],[1]Sheet2!$1:$1048576,7,)</f>
        <v>المصنع</v>
      </c>
      <c r="D155" s="618" t="str">
        <f>VLOOKUP(Table1[[#This Row],[الرقم الوظيفي]],[1]Sheet2!$1:$1048576,8,)</f>
        <v>الميكانيكا</v>
      </c>
      <c r="E155" s="599" t="str">
        <f>VLOOKUP(Table1[[#This Row],[الرقم الوظيفي]],[1]Sheet2!$1:$1048576,9,)</f>
        <v>الحداده</v>
      </c>
      <c r="F155" s="599" t="str">
        <f>VLOOKUP(Table1[[#This Row],[الرقم الوظيفي]],[1]Sheet2!$1:$1048576,12,)</f>
        <v>حداد صيانه</v>
      </c>
      <c r="G155" s="599" t="str">
        <f>VLOOKUP(Table1[[#This Row],[الرقم الوظيفي]],[1]Sheet2!$1:$1048576,72,)</f>
        <v>تدريب مهني</v>
      </c>
      <c r="H155" s="599" t="str">
        <f>VLOOKUP(Table1[[#This Row],[الرقم الوظيفي]],[1]Sheet2!$1:$1048576,71,)</f>
        <v>البراده العامه</v>
      </c>
      <c r="I155" s="599" t="str">
        <f>VLOOKUP(Table1[[#This Row],[المؤهل الرئيسي]],Table4[],3,)</f>
        <v>F</v>
      </c>
      <c r="J155" s="599" t="s">
        <v>922</v>
      </c>
      <c r="K155" s="615">
        <f>VLOOKUP(Table1[[#This Row],[الرقم الوظيفي]],[1]Sheet2!$1:$1048576,13,)</f>
        <v>42186</v>
      </c>
      <c r="L155" s="615">
        <v>43830</v>
      </c>
      <c r="M155" s="599">
        <f>DATEDIF(Table1[[#This Row],[تاريخ التعيين]],Table1[[#This Row],[اخر العام]],"y")</f>
        <v>4</v>
      </c>
      <c r="N155" s="599">
        <f>DATEDIF(Table1[[#This Row],[تاريخ التعيين]],Table1[[#This Row],[اخر العام]],"ym")</f>
        <v>5</v>
      </c>
      <c r="O155" s="610">
        <f>Table1[[#This Row],[سنوات الخدمه]]*1+Table1[[#This Row],[الشهور اقل من سنه]]*0.08</f>
        <v>4.4000000000000004</v>
      </c>
      <c r="P155" s="616">
        <v>4640</v>
      </c>
      <c r="Q155" s="617">
        <v>315.52</v>
      </c>
      <c r="R155" s="612"/>
      <c r="S155" s="599"/>
      <c r="T155" s="612"/>
      <c r="U155" s="612"/>
      <c r="V155" s="612"/>
      <c r="W155" s="612"/>
      <c r="X155" s="612"/>
      <c r="Y155" s="612"/>
      <c r="Z155" s="612"/>
      <c r="AA15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5" s="612"/>
      <c r="AC155" s="599"/>
      <c r="AD155" s="612"/>
      <c r="AE155" s="612"/>
      <c r="AF155" s="612"/>
      <c r="AG155" s="612"/>
      <c r="AH155" s="619">
        <f>SUM(Table1[[#This Row],[التقييد  باللوائح و تنفيذالتوجيه]:[اتباع اجراءات السلامه]])</f>
        <v>0</v>
      </c>
      <c r="AI155" s="619">
        <f>Table1[[#This Row],[المجموع]]+Table1[[#This Row],[المجموع2]]</f>
        <v>0</v>
      </c>
      <c r="AJ155" s="612">
        <v>10</v>
      </c>
      <c r="AK155" s="612"/>
      <c r="AL155" s="612"/>
      <c r="AM155" s="612"/>
      <c r="AN155" s="612"/>
      <c r="AO155" s="606">
        <f>Table1[[#This Row],[المجموع 1+2]]*$AO$2</f>
        <v>0</v>
      </c>
      <c r="AP155" s="648">
        <f>Table1[[#This Row],[راتب ديسمبر 2019]]*Table1[[#This Row],[نسبه التقييم الرئيسي 2018]]%</f>
        <v>0</v>
      </c>
      <c r="AQ155" s="627">
        <f>Table1[[#This Row],[مبلغ التقييم النسبي 2018]]+Table1[[#This Row],[راتب ديسمبر 2019]]</f>
        <v>4640</v>
      </c>
      <c r="AR155" s="611">
        <f>IF(Table1[[#This Row],[Column3]]&lt;0,0,Table1[[#This Row],[Column3]])</f>
        <v>6360</v>
      </c>
      <c r="AS155" s="599">
        <f>VLOOKUP(Table1[[#This Row],[درجه التوسيط]],Table10[],3,)</f>
        <v>11000</v>
      </c>
      <c r="AT155" s="608">
        <f>Table1[[#This Row],[الراتب 2018+النسبه]]+Table1[[#This Row],[فروقات الحد الادني]]</f>
        <v>11000</v>
      </c>
      <c r="AU155" s="629">
        <f>Table1[[#This Row],[الراتب 2018 + النسبه + الفرق]]-Table1[[#This Row],[راتب ديسمبر 2019]]</f>
        <v>6360</v>
      </c>
      <c r="AV155" s="628">
        <f>Table1[[#This Row],[الزياده]]/Table1[[#This Row],[راتب ديسمبر 2019]]%</f>
        <v>137.06896551724139</v>
      </c>
      <c r="AW155" s="659">
        <f>IF(Table1[[#This Row],[Column4]]&lt;0,0,Table1[[#This Row],[Column4]])</f>
        <v>243.04000000000087</v>
      </c>
      <c r="AX155" s="611">
        <f>Table1[[#This Row],[الجبر حتي]]-Table1[[#This Row],[رن]]</f>
        <v>0</v>
      </c>
      <c r="AY155" s="611">
        <f>Table1[[#This Row],[الزياده]]+Table1[[#This Row],[التعديل]]+Table1[[#This Row],[جبر الرقم]]</f>
        <v>6603.0400000000009</v>
      </c>
      <c r="AZ155" s="611">
        <f>Table1[[#This Row],[الراتب 2018 + النسبه + الفرق]]+Table1[[#This Row],[جبر الرقم]]+Table1[[#This Row],[التعديل]]</f>
        <v>11243.04</v>
      </c>
      <c r="BA155" s="631">
        <f>Table1[[#This Row],[الزياده النهائيه]]/Table1[[#This Row],[راتب ديسمبر 2019]]%</f>
        <v>142.30689655172415</v>
      </c>
      <c r="BB155" s="612">
        <f>VLOOKUP(Table1[[#This Row],[الرقم الوظيفي]],Table6[],8,)</f>
        <v>4640</v>
      </c>
      <c r="BC155" s="7">
        <v>7500</v>
      </c>
      <c r="BD155" s="7">
        <v>7500</v>
      </c>
      <c r="BE155" s="7">
        <v>7500</v>
      </c>
      <c r="BF155" s="5">
        <f>Table1[[#This Row],[الحد الادني]]-Table1[[#This Row],[الراتب 2018+النسبه]]</f>
        <v>6360</v>
      </c>
      <c r="BG155" s="5">
        <f>Table1[[#This Row],[التعديل حتي]]-Table1[[#This Row],[kkk]]</f>
        <v>243.04000000000087</v>
      </c>
      <c r="BH155" s="5">
        <v>7256.9599999999991</v>
      </c>
      <c r="BI155" s="5"/>
    </row>
    <row r="156" spans="1:61" ht="21" customHeight="1">
      <c r="A156" s="602">
        <v>830</v>
      </c>
      <c r="B156" s="618" t="str">
        <f>VLOOKUP(Table1[[#This Row],[الرقم الوظيفي]],[1]Sheet2!$1:$1048576,2,)</f>
        <v>سماح محمد تيراب احمد</v>
      </c>
      <c r="C156" s="618" t="str">
        <f>VLOOKUP(Table1[[#This Row],[الرقم الوظيفي]],[1]Sheet2!$1:$1048576,7,)</f>
        <v>المصنع</v>
      </c>
      <c r="D156" s="618" t="str">
        <f>VLOOKUP(Table1[[#This Row],[الرقم الوظيفي]],[1]Sheet2!$1:$1048576,8,)</f>
        <v>المستودعات</v>
      </c>
      <c r="E156" s="599" t="str">
        <f>VLOOKUP(Table1[[#This Row],[الرقم الوظيفي]],[1]Sheet2!$1:$1048576,9,)</f>
        <v>قطع الغيار</v>
      </c>
      <c r="F156" s="599" t="str">
        <f>VLOOKUP(Table1[[#This Row],[الرقم الوظيفي]],[1]Sheet2!$1:$1048576,12,)</f>
        <v>مدخل بيانات</v>
      </c>
      <c r="G156" s="599" t="str">
        <f>VLOOKUP(Table1[[#This Row],[الرقم الوظيفي]],[1]Sheet2!$1:$1048576,72,)</f>
        <v>دبلوم تقني</v>
      </c>
      <c r="H156" s="599" t="str">
        <f>VLOOKUP(Table1[[#This Row],[الرقم الوظيفي]],[1]Sheet2!$1:$1048576,71,)</f>
        <v>هندسة حاسوب</v>
      </c>
      <c r="I156" s="599" t="str">
        <f>VLOOKUP(Table1[[#This Row],[المؤهل الرئيسي]],Table4[],3,)</f>
        <v>D</v>
      </c>
      <c r="J156" s="599" t="s">
        <v>925</v>
      </c>
      <c r="K156" s="615">
        <f>VLOOKUP(Table1[[#This Row],[الرقم الوظيفي]],[1]Sheet2!$1:$1048576,13,)</f>
        <v>42217</v>
      </c>
      <c r="L156" s="615">
        <v>43830</v>
      </c>
      <c r="M156" s="599">
        <f>DATEDIF(Table1[[#This Row],[تاريخ التعيين]],Table1[[#This Row],[اخر العام]],"y")</f>
        <v>4</v>
      </c>
      <c r="N156" s="599">
        <f>DATEDIF(Table1[[#This Row],[تاريخ التعيين]],Table1[[#This Row],[اخر العام]],"ym")</f>
        <v>4</v>
      </c>
      <c r="O156" s="610">
        <f>Table1[[#This Row],[سنوات الخدمه]]*1+Table1[[#This Row],[الشهور اقل من سنه]]*0.08</f>
        <v>4.32</v>
      </c>
      <c r="P156" s="616">
        <v>4100</v>
      </c>
      <c r="Q156" s="617">
        <v>272.24</v>
      </c>
      <c r="R156" s="612"/>
      <c r="S156" s="599"/>
      <c r="T156" s="612"/>
      <c r="U156" s="612"/>
      <c r="V156" s="612"/>
      <c r="W156" s="612"/>
      <c r="X156" s="612"/>
      <c r="Y156" s="612"/>
      <c r="Z156" s="612"/>
      <c r="AA15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6" s="612"/>
      <c r="AC156" s="599"/>
      <c r="AD156" s="612"/>
      <c r="AE156" s="612"/>
      <c r="AF156" s="612"/>
      <c r="AG156" s="612"/>
      <c r="AH156" s="619">
        <f>SUM(Table1[[#This Row],[التقييد  باللوائح و تنفيذالتوجيه]:[اتباع اجراءات السلامه]])</f>
        <v>0</v>
      </c>
      <c r="AI156" s="619">
        <f>Table1[[#This Row],[المجموع]]+Table1[[#This Row],[المجموع2]]</f>
        <v>0</v>
      </c>
      <c r="AJ156" s="612"/>
      <c r="AK156" s="612"/>
      <c r="AL156" s="612"/>
      <c r="AM156" s="612"/>
      <c r="AN156" s="612"/>
      <c r="AO156" s="606">
        <f>Table1[[#This Row],[المجموع 1+2]]*$AO$2</f>
        <v>0</v>
      </c>
      <c r="AP156" s="648">
        <f>Table1[[#This Row],[راتب ديسمبر 2019]]*Table1[[#This Row],[نسبه التقييم الرئيسي 2018]]%</f>
        <v>0</v>
      </c>
      <c r="AQ156" s="627">
        <f>Table1[[#This Row],[مبلغ التقييم النسبي 2018]]+Table1[[#This Row],[راتب ديسمبر 2019]]</f>
        <v>4100</v>
      </c>
      <c r="AR156" s="611">
        <f>IF(Table1[[#This Row],[Column3]]&lt;0,0,Table1[[#This Row],[Column3]])</f>
        <v>4900</v>
      </c>
      <c r="AS156" s="599">
        <f>VLOOKUP(Table1[[#This Row],[درجه التوسيط]],Table10[],3,)</f>
        <v>9000</v>
      </c>
      <c r="AT156" s="608">
        <f>Table1[[#This Row],[الراتب 2018+النسبه]]+Table1[[#This Row],[فروقات الحد الادني]]</f>
        <v>9000</v>
      </c>
      <c r="AU156" s="629">
        <f>Table1[[#This Row],[الراتب 2018 + النسبه + الفرق]]-Table1[[#This Row],[راتب ديسمبر 2019]]</f>
        <v>4900</v>
      </c>
      <c r="AV156" s="628">
        <f>Table1[[#This Row],[الزياده]]/Table1[[#This Row],[راتب ديسمبر 2019]]%</f>
        <v>119.51219512195122</v>
      </c>
      <c r="AW156" s="659">
        <f>IF(Table1[[#This Row],[Column4]]&lt;0,0,Table1[[#This Row],[Column4]])</f>
        <v>587.60000000000036</v>
      </c>
      <c r="AX156" s="611">
        <f>Table1[[#This Row],[الجبر حتي]]-Table1[[#This Row],[رن]]</f>
        <v>0</v>
      </c>
      <c r="AY156" s="611">
        <f>Table1[[#This Row],[الزياده]]+Table1[[#This Row],[التعديل]]+Table1[[#This Row],[جبر الرقم]]</f>
        <v>5487.6</v>
      </c>
      <c r="AZ156" s="611">
        <f>Table1[[#This Row],[الراتب 2018 + النسبه + الفرق]]+Table1[[#This Row],[جبر الرقم]]+Table1[[#This Row],[التعديل]]</f>
        <v>9587.6</v>
      </c>
      <c r="BA156" s="631">
        <f>Table1[[#This Row],[الزياده النهائيه]]/Table1[[#This Row],[راتب ديسمبر 2019]]%</f>
        <v>133.84390243902439</v>
      </c>
      <c r="BB156" s="612">
        <f>VLOOKUP(Table1[[#This Row],[الرقم الوظيفي]],Table6[],8,)</f>
        <v>4100</v>
      </c>
      <c r="BC156" s="7">
        <v>7000</v>
      </c>
      <c r="BD156" s="7">
        <v>7000</v>
      </c>
      <c r="BE156" s="7">
        <v>7000</v>
      </c>
      <c r="BF156" s="5">
        <f>Table1[[#This Row],[الحد الادني]]-Table1[[#This Row],[الراتب 2018+النسبه]]</f>
        <v>4900</v>
      </c>
      <c r="BG156" s="5">
        <f>Table1[[#This Row],[التعديل حتي]]-Table1[[#This Row],[kkk]]</f>
        <v>587.60000000000036</v>
      </c>
      <c r="BH156" s="5">
        <v>6412.4</v>
      </c>
      <c r="BI156" s="5"/>
    </row>
    <row r="157" spans="1:61">
      <c r="A157" s="602">
        <v>832</v>
      </c>
      <c r="B157" s="618" t="str">
        <f>VLOOKUP(Table1[[#This Row],[الرقم الوظيفي]],[1]Sheet2!$1:$1048576,2,)</f>
        <v>محمد فائز حسن محمد</v>
      </c>
      <c r="C157" s="618" t="str">
        <f>VLOOKUP(Table1[[#This Row],[الرقم الوظيفي]],[1]Sheet2!$1:$1048576,7,)</f>
        <v>المصنع</v>
      </c>
      <c r="D157" s="618" t="str">
        <f>VLOOKUP(Table1[[#This Row],[الرقم الوظيفي]],[1]Sheet2!$1:$1048576,8,)</f>
        <v>الميكانيكا</v>
      </c>
      <c r="E157" s="599" t="str">
        <f>VLOOKUP(Table1[[#This Row],[الرقم الوظيفي]],[1]Sheet2!$1:$1048576,9,)</f>
        <v>المخارط</v>
      </c>
      <c r="F157" s="599" t="str">
        <f>VLOOKUP(Table1[[#This Row],[الرقم الوظيفي]],[1]Sheet2!$1:$1048576,12,)</f>
        <v>فورمان مخارط</v>
      </c>
      <c r="G157" s="599" t="str">
        <f>VLOOKUP(Table1[[#This Row],[الرقم الوظيفي]],[1]Sheet2!$1:$1048576,72,)</f>
        <v>شهاده ثانويه</v>
      </c>
      <c r="H157" s="599">
        <f>VLOOKUP(Table1[[#This Row],[الرقم الوظيفي]],[1]Sheet2!$1:$1048576,71,)</f>
        <v>0</v>
      </c>
      <c r="I157" s="599" t="str">
        <f>VLOOKUP(Table1[[#This Row],[المؤهل الرئيسي]],Table4[],3,)</f>
        <v>F</v>
      </c>
      <c r="J157" s="599" t="s">
        <v>38</v>
      </c>
      <c r="K157" s="615">
        <f>VLOOKUP(Table1[[#This Row],[الرقم الوظيفي]],[1]Sheet2!$1:$1048576,13,)</f>
        <v>42220</v>
      </c>
      <c r="L157" s="615">
        <v>43830</v>
      </c>
      <c r="M157" s="599">
        <f>DATEDIF(Table1[[#This Row],[تاريخ التعيين]],Table1[[#This Row],[اخر العام]],"y")</f>
        <v>4</v>
      </c>
      <c r="N157" s="599">
        <f>DATEDIF(Table1[[#This Row],[تاريخ التعيين]],Table1[[#This Row],[اخر العام]],"ym")</f>
        <v>4</v>
      </c>
      <c r="O157" s="610">
        <f>Table1[[#This Row],[سنوات الخدمه]]*1+Table1[[#This Row],[الشهور اقل من سنه]]*0.08</f>
        <v>4.32</v>
      </c>
      <c r="P157" s="616">
        <v>5140</v>
      </c>
      <c r="Q157" s="617">
        <v>341.29599999999999</v>
      </c>
      <c r="R157" s="612"/>
      <c r="S157" s="599"/>
      <c r="T157" s="612"/>
      <c r="U157" s="612"/>
      <c r="V157" s="612"/>
      <c r="W157" s="612"/>
      <c r="X157" s="612"/>
      <c r="Y157" s="612"/>
      <c r="Z157" s="612"/>
      <c r="AA15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7" s="612"/>
      <c r="AC157" s="599"/>
      <c r="AD157" s="612"/>
      <c r="AE157" s="612"/>
      <c r="AF157" s="612"/>
      <c r="AG157" s="612"/>
      <c r="AH157" s="619">
        <f>SUM(Table1[[#This Row],[التقييد  باللوائح و تنفيذالتوجيه]:[اتباع اجراءات السلامه]])</f>
        <v>0</v>
      </c>
      <c r="AI157" s="619">
        <f>Table1[[#This Row],[المجموع]]+Table1[[#This Row],[المجموع2]]</f>
        <v>0</v>
      </c>
      <c r="AJ157" s="612">
        <v>10</v>
      </c>
      <c r="AK157" s="612"/>
      <c r="AL157" s="612"/>
      <c r="AM157" s="612"/>
      <c r="AN157" s="612"/>
      <c r="AO157" s="606">
        <f>Table1[[#This Row],[المجموع 1+2]]*$AO$2</f>
        <v>0</v>
      </c>
      <c r="AP157" s="648">
        <f>Table1[[#This Row],[راتب ديسمبر 2019]]*Table1[[#This Row],[نسبه التقييم الرئيسي 2018]]%</f>
        <v>0</v>
      </c>
      <c r="AQ157" s="627">
        <f>Table1[[#This Row],[مبلغ التقييم النسبي 2018]]+Table1[[#This Row],[راتب ديسمبر 2019]]</f>
        <v>5140</v>
      </c>
      <c r="AR157" s="611">
        <f>IF(Table1[[#This Row],[Column3]]&lt;0,0,Table1[[#This Row],[Column3]])</f>
        <v>11860</v>
      </c>
      <c r="AS157" s="599">
        <f>VLOOKUP(Table1[[#This Row],[درجه التوسيط]],Table10[],3,)</f>
        <v>17000</v>
      </c>
      <c r="AT157" s="608">
        <f>Table1[[#This Row],[الراتب 2018+النسبه]]+Table1[[#This Row],[فروقات الحد الادني]]</f>
        <v>17000</v>
      </c>
      <c r="AU157" s="629">
        <f>Table1[[#This Row],[الراتب 2018 + النسبه + الفرق]]-Table1[[#This Row],[راتب ديسمبر 2019]]</f>
        <v>11860</v>
      </c>
      <c r="AV157" s="628">
        <f>Table1[[#This Row],[الزياده]]/Table1[[#This Row],[راتب ديسمبر 2019]]%</f>
        <v>230.73929961089496</v>
      </c>
      <c r="AW157" s="659">
        <f>IF(Table1[[#This Row],[Column4]]&lt;0,0,Table1[[#This Row],[Column4]])</f>
        <v>0</v>
      </c>
      <c r="AX157" s="611">
        <f>Table1[[#This Row],[الجبر حتي]]-Table1[[#This Row],[رن]]</f>
        <v>0</v>
      </c>
      <c r="AY157" s="611">
        <f>Table1[[#This Row],[الزياده]]+Table1[[#This Row],[التعديل]]+Table1[[#This Row],[جبر الرقم]]</f>
        <v>11860</v>
      </c>
      <c r="AZ157" s="611">
        <f>Table1[[#This Row],[الراتب 2018 + النسبه + الفرق]]+Table1[[#This Row],[جبر الرقم]]+Table1[[#This Row],[التعديل]]</f>
        <v>17000</v>
      </c>
      <c r="BA157" s="631">
        <f>Table1[[#This Row],[الزياده النهائيه]]/Table1[[#This Row],[راتب ديسمبر 2019]]%</f>
        <v>230.73929961089496</v>
      </c>
      <c r="BB157" s="612">
        <f>VLOOKUP(Table1[[#This Row],[الرقم الوظيفي]],Table6[],8,)</f>
        <v>5140</v>
      </c>
      <c r="BC157" s="7"/>
      <c r="BD157" s="7">
        <v>12000</v>
      </c>
      <c r="BE157" s="7">
        <v>12000</v>
      </c>
      <c r="BF157" s="5">
        <f>Table1[[#This Row],[الحد الادني]]-Table1[[#This Row],[الراتب 2018+النسبه]]</f>
        <v>11860</v>
      </c>
      <c r="BG157" s="5">
        <f>Table1[[#This Row],[التعديل حتي]]-Table1[[#This Row],[kkk]]</f>
        <v>-12000</v>
      </c>
      <c r="BH157" s="5">
        <v>12000</v>
      </c>
      <c r="BI157" s="5"/>
    </row>
    <row r="158" spans="1:61" ht="21" customHeight="1">
      <c r="A158" s="602">
        <v>833</v>
      </c>
      <c r="B158" s="618" t="str">
        <f>VLOOKUP(Table1[[#This Row],[الرقم الوظيفي]],[1]Sheet2!$1:$1048576,2,)</f>
        <v>احمد عبدالوهاب الامين العبيد</v>
      </c>
      <c r="C158" s="618" t="str">
        <f>VLOOKUP(Table1[[#This Row],[الرقم الوظيفي]],[1]Sheet2!$1:$1048576,7,)</f>
        <v>المصنع</v>
      </c>
      <c r="D158" s="618" t="str">
        <f>VLOOKUP(Table1[[#This Row],[الرقم الوظيفي]],[1]Sheet2!$1:$1048576,8,)</f>
        <v>الانتاج</v>
      </c>
      <c r="E158" s="599">
        <f>VLOOKUP(Table1[[#This Row],[الرقم الوظيفي]],[1]Sheet2!$1:$1048576,9,)</f>
        <v>0</v>
      </c>
      <c r="F158" s="599" t="str">
        <f>VLOOKUP(Table1[[#This Row],[الرقم الوظيفي]],[1]Sheet2!$1:$1048576,12,)</f>
        <v>عامل</v>
      </c>
      <c r="G158" s="599" t="str">
        <f>VLOOKUP(Table1[[#This Row],[الرقم الوظيفي]],[1]Sheet2!$1:$1048576,72,)</f>
        <v>شهاده ثانويه</v>
      </c>
      <c r="H158" s="599">
        <f>VLOOKUP(Table1[[#This Row],[الرقم الوظيفي]],[1]Sheet2!$1:$1048576,71,)</f>
        <v>0</v>
      </c>
      <c r="I158" s="599" t="str">
        <f>VLOOKUP(Table1[[#This Row],[المؤهل الرئيسي]],Table4[],3,)</f>
        <v>F</v>
      </c>
      <c r="J158" s="599" t="s">
        <v>929</v>
      </c>
      <c r="K158" s="615">
        <f>VLOOKUP(Table1[[#This Row],[الرقم الوظيفي]],[1]Sheet2!$1:$1048576,13,)</f>
        <v>42228</v>
      </c>
      <c r="L158" s="615">
        <v>43830</v>
      </c>
      <c r="M158" s="599">
        <f>DATEDIF(Table1[[#This Row],[تاريخ التعيين]],Table1[[#This Row],[اخر العام]],"y")</f>
        <v>4</v>
      </c>
      <c r="N158" s="599">
        <f>DATEDIF(Table1[[#This Row],[تاريخ التعيين]],Table1[[#This Row],[اخر العام]],"ym")</f>
        <v>4</v>
      </c>
      <c r="O158" s="610">
        <f>Table1[[#This Row],[سنوات الخدمه]]*1+Table1[[#This Row],[الشهور اقل من سنه]]*0.08</f>
        <v>4.32</v>
      </c>
      <c r="P158" s="616">
        <v>3090</v>
      </c>
      <c r="Q158" s="617">
        <v>205.17599999999999</v>
      </c>
      <c r="R158" s="612"/>
      <c r="S158" s="599"/>
      <c r="T158" s="612"/>
      <c r="U158" s="612"/>
      <c r="V158" s="612"/>
      <c r="W158" s="612"/>
      <c r="X158" s="612"/>
      <c r="Y158" s="612"/>
      <c r="Z158" s="612"/>
      <c r="AA15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8" s="612"/>
      <c r="AC158" s="599"/>
      <c r="AD158" s="612"/>
      <c r="AE158" s="612"/>
      <c r="AF158" s="612"/>
      <c r="AG158" s="612"/>
      <c r="AH158" s="619">
        <f>SUM(Table1[[#This Row],[التقييد  باللوائح و تنفيذالتوجيه]:[اتباع اجراءات السلامه]])</f>
        <v>0</v>
      </c>
      <c r="AI158" s="619">
        <f>Table1[[#This Row],[المجموع]]+Table1[[#This Row],[المجموع2]]</f>
        <v>0</v>
      </c>
      <c r="AJ158" s="612"/>
      <c r="AK158" s="612"/>
      <c r="AL158" s="612"/>
      <c r="AM158" s="612"/>
      <c r="AN158" s="612"/>
      <c r="AO158" s="606">
        <f>Table1[[#This Row],[المجموع 1+2]]*$AO$2</f>
        <v>0</v>
      </c>
      <c r="AP158" s="648">
        <f>Table1[[#This Row],[راتب ديسمبر 2019]]*Table1[[#This Row],[نسبه التقييم الرئيسي 2018]]%</f>
        <v>0</v>
      </c>
      <c r="AQ158" s="627">
        <f>Table1[[#This Row],[مبلغ التقييم النسبي 2018]]+Table1[[#This Row],[راتب ديسمبر 2019]]</f>
        <v>3090</v>
      </c>
      <c r="AR158" s="611">
        <f>IF(Table1[[#This Row],[Column3]]&lt;0,0,Table1[[#This Row],[Column3]])</f>
        <v>2910</v>
      </c>
      <c r="AS158" s="599">
        <f>VLOOKUP(Table1[[#This Row],[درجه التوسيط]],Table10[],3,)</f>
        <v>6000</v>
      </c>
      <c r="AT158" s="608">
        <f>Table1[[#This Row],[الراتب 2018+النسبه]]+Table1[[#This Row],[فروقات الحد الادني]]</f>
        <v>6000</v>
      </c>
      <c r="AU158" s="629">
        <f>Table1[[#This Row],[الراتب 2018 + النسبه + الفرق]]-Table1[[#This Row],[راتب ديسمبر 2019]]</f>
        <v>2910</v>
      </c>
      <c r="AV158" s="628">
        <f>Table1[[#This Row],[الزياده]]/Table1[[#This Row],[راتب ديسمبر 2019]]%</f>
        <v>94.174757281553397</v>
      </c>
      <c r="AW158" s="659">
        <f>IF(Table1[[#This Row],[Column4]]&lt;0,0,Table1[[#This Row],[Column4]])</f>
        <v>0</v>
      </c>
      <c r="AX158" s="611">
        <f>Table1[[#This Row],[الجبر حتي]]-Table1[[#This Row],[رن]]</f>
        <v>4.319999999999709</v>
      </c>
      <c r="AY158" s="611">
        <f>Table1[[#This Row],[الزياده]]+Table1[[#This Row],[التعديل]]+Table1[[#This Row],[جبر الرقم]]</f>
        <v>2914.3199999999997</v>
      </c>
      <c r="AZ158" s="611">
        <f>Table1[[#This Row],[الراتب 2018 + النسبه + الفرق]]+Table1[[#This Row],[جبر الرقم]]+Table1[[#This Row],[التعديل]]</f>
        <v>6004.32</v>
      </c>
      <c r="BA158" s="631">
        <f>Table1[[#This Row],[الزياده النهائيه]]/Table1[[#This Row],[راتب ديسمبر 2019]]%</f>
        <v>94.314563106796115</v>
      </c>
      <c r="BB158" s="612">
        <f>VLOOKUP(Table1[[#This Row],[الرقم الوظيفي]],Table6[],8,)</f>
        <v>3090</v>
      </c>
      <c r="BC158" s="7"/>
      <c r="BD158" s="7">
        <v>4800</v>
      </c>
      <c r="BE158" s="7">
        <v>4795.68</v>
      </c>
      <c r="BF158" s="5">
        <f>Table1[[#This Row],[الحد الادني]]-Table1[[#This Row],[الراتب 2018+النسبه]]</f>
        <v>2910</v>
      </c>
      <c r="BG158" s="5">
        <f>Table1[[#This Row],[التعديل حتي]]-Table1[[#This Row],[kkk]]</f>
        <v>-4795.68</v>
      </c>
      <c r="BH158" s="5">
        <v>4795.68</v>
      </c>
      <c r="BI158" s="5"/>
    </row>
    <row r="159" spans="1:61" ht="21" customHeight="1">
      <c r="A159" s="602">
        <v>834</v>
      </c>
      <c r="B159" s="618" t="str">
        <f>VLOOKUP(Table1[[#This Row],[الرقم الوظيفي]],[1]Sheet2!$1:$1048576,2,)</f>
        <v>كمال عبدالرحمن احمد عبدالله</v>
      </c>
      <c r="C159" s="618" t="str">
        <f>VLOOKUP(Table1[[#This Row],[الرقم الوظيفي]],[1]Sheet2!$1:$1048576,7,)</f>
        <v>المصنع</v>
      </c>
      <c r="D159" s="618" t="str">
        <f>VLOOKUP(Table1[[#This Row],[الرقم الوظيفي]],[1]Sheet2!$1:$1048576,8,)</f>
        <v>الخدمات</v>
      </c>
      <c r="E159" s="599">
        <f>VLOOKUP(Table1[[#This Row],[الرقم الوظيفي]],[1]Sheet2!$1:$1048576,9,)</f>
        <v>0</v>
      </c>
      <c r="F159" s="599" t="str">
        <f>VLOOKUP(Table1[[#This Row],[الرقم الوظيفي]],[1]Sheet2!$1:$1048576,12,)</f>
        <v>عامل</v>
      </c>
      <c r="G159" s="599">
        <f>VLOOKUP(Table1[[#This Row],[الرقم الوظيفي]],[1]Sheet2!$1:$1048576,72,)</f>
        <v>0</v>
      </c>
      <c r="H159" s="599">
        <f>VLOOKUP(Table1[[#This Row],[الرقم الوظيفي]],[1]Sheet2!$1:$1048576,71,)</f>
        <v>0</v>
      </c>
      <c r="I159" s="599" t="str">
        <f>VLOOKUP(Table1[[#This Row],[المؤهل الرئيسي]],Table4[],3,)</f>
        <v>H</v>
      </c>
      <c r="J159" s="599" t="s">
        <v>929</v>
      </c>
      <c r="K159" s="615">
        <f>VLOOKUP(Table1[[#This Row],[الرقم الوظيفي]],[1]Sheet2!$1:$1048576,13,)</f>
        <v>42229</v>
      </c>
      <c r="L159" s="615">
        <v>43830</v>
      </c>
      <c r="M159" s="599">
        <f>DATEDIF(Table1[[#This Row],[تاريخ التعيين]],Table1[[#This Row],[اخر العام]],"y")</f>
        <v>4</v>
      </c>
      <c r="N159" s="599">
        <f>DATEDIF(Table1[[#This Row],[تاريخ التعيين]],Table1[[#This Row],[اخر العام]],"ym")</f>
        <v>4</v>
      </c>
      <c r="O159" s="610">
        <f>Table1[[#This Row],[سنوات الخدمه]]*1+Table1[[#This Row],[الشهور اقل من سنه]]*0.08</f>
        <v>4.32</v>
      </c>
      <c r="P159" s="616">
        <v>3090</v>
      </c>
      <c r="Q159" s="617">
        <v>205.17599999999999</v>
      </c>
      <c r="R159" s="612"/>
      <c r="S159" s="599"/>
      <c r="T159" s="612"/>
      <c r="U159" s="612"/>
      <c r="V159" s="612"/>
      <c r="W159" s="612"/>
      <c r="X159" s="612"/>
      <c r="Y159" s="612"/>
      <c r="Z159" s="612"/>
      <c r="AA15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59" s="612"/>
      <c r="AC159" s="599"/>
      <c r="AD159" s="612"/>
      <c r="AE159" s="612"/>
      <c r="AF159" s="612"/>
      <c r="AG159" s="612"/>
      <c r="AH159" s="619">
        <f>SUM(Table1[[#This Row],[التقييد  باللوائح و تنفيذالتوجيه]:[اتباع اجراءات السلامه]])</f>
        <v>0</v>
      </c>
      <c r="AI159" s="619">
        <f>Table1[[#This Row],[المجموع]]+Table1[[#This Row],[المجموع2]]</f>
        <v>0</v>
      </c>
      <c r="AJ159" s="612"/>
      <c r="AK159" s="612"/>
      <c r="AL159" s="612"/>
      <c r="AM159" s="612"/>
      <c r="AN159" s="612"/>
      <c r="AO159" s="606">
        <f>Table1[[#This Row],[المجموع 1+2]]*$AO$2</f>
        <v>0</v>
      </c>
      <c r="AP159" s="648">
        <f>Table1[[#This Row],[راتب ديسمبر 2019]]*Table1[[#This Row],[نسبه التقييم الرئيسي 2018]]%</f>
        <v>0</v>
      </c>
      <c r="AQ159" s="627">
        <f>Table1[[#This Row],[مبلغ التقييم النسبي 2018]]+Table1[[#This Row],[راتب ديسمبر 2019]]</f>
        <v>3090</v>
      </c>
      <c r="AR159" s="611">
        <f>IF(Table1[[#This Row],[Column3]]&lt;0,0,Table1[[#This Row],[Column3]])</f>
        <v>2910</v>
      </c>
      <c r="AS159" s="599">
        <f>VLOOKUP(Table1[[#This Row],[درجه التوسيط]],Table10[],3,)</f>
        <v>6000</v>
      </c>
      <c r="AT159" s="608">
        <f>Table1[[#This Row],[الراتب 2018+النسبه]]+Table1[[#This Row],[فروقات الحد الادني]]</f>
        <v>6000</v>
      </c>
      <c r="AU159" s="629">
        <f>Table1[[#This Row],[الراتب 2018 + النسبه + الفرق]]-Table1[[#This Row],[راتب ديسمبر 2019]]</f>
        <v>2910</v>
      </c>
      <c r="AV159" s="628">
        <f>Table1[[#This Row],[الزياده]]/Table1[[#This Row],[راتب ديسمبر 2019]]%</f>
        <v>94.174757281553397</v>
      </c>
      <c r="AW159" s="659">
        <f>IF(Table1[[#This Row],[Column4]]&lt;0,0,Table1[[#This Row],[Column4]])</f>
        <v>0</v>
      </c>
      <c r="AX159" s="611">
        <f>Table1[[#This Row],[الجبر حتي]]-Table1[[#This Row],[رن]]</f>
        <v>0.15999999999985448</v>
      </c>
      <c r="AY159" s="611">
        <f>Table1[[#This Row],[الزياده]]+Table1[[#This Row],[التعديل]]+Table1[[#This Row],[جبر الرقم]]</f>
        <v>2910.16</v>
      </c>
      <c r="AZ159" s="611">
        <f>Table1[[#This Row],[الراتب 2018 + النسبه + الفرق]]+Table1[[#This Row],[جبر الرقم]]+Table1[[#This Row],[التعديل]]</f>
        <v>6000.16</v>
      </c>
      <c r="BA159" s="631">
        <f>Table1[[#This Row],[الزياده النهائيه]]/Table1[[#This Row],[راتب ديسمبر 2019]]%</f>
        <v>94.179935275080908</v>
      </c>
      <c r="BB159" s="612">
        <f>VLOOKUP(Table1[[#This Row],[الرقم الوظيفي]],Table6[],8,)</f>
        <v>3090</v>
      </c>
      <c r="BC159" s="7"/>
      <c r="BD159" s="7">
        <v>4870</v>
      </c>
      <c r="BE159" s="7">
        <v>4869.84</v>
      </c>
      <c r="BF159" s="5">
        <f>Table1[[#This Row],[الحد الادني]]-Table1[[#This Row],[الراتب 2018+النسبه]]</f>
        <v>2910</v>
      </c>
      <c r="BG159" s="5">
        <f>Table1[[#This Row],[التعديل حتي]]-Table1[[#This Row],[kkk]]</f>
        <v>-4869.84</v>
      </c>
      <c r="BH159" s="5">
        <v>4869.84</v>
      </c>
      <c r="BI159" s="5"/>
    </row>
    <row r="160" spans="1:61" ht="21" customHeight="1">
      <c r="A160" s="602">
        <v>839</v>
      </c>
      <c r="B160" s="618" t="str">
        <f>VLOOKUP(Table1[[#This Row],[الرقم الوظيفي]],[1]Sheet2!$1:$1048576,2,)</f>
        <v>عبدالرحمن موسى محمد عبدالرحمن</v>
      </c>
      <c r="C160" s="618" t="str">
        <f>VLOOKUP(Table1[[#This Row],[الرقم الوظيفي]],[1]Sheet2!$1:$1048576,7,)</f>
        <v>المصنع</v>
      </c>
      <c r="D160" s="618" t="str">
        <f>VLOOKUP(Table1[[#This Row],[الرقم الوظيفي]],[1]Sheet2!$1:$1048576,8,)</f>
        <v>الميكانيكا</v>
      </c>
      <c r="E160" s="599" t="str">
        <f>VLOOKUP(Table1[[#This Row],[الرقم الوظيفي]],[1]Sheet2!$1:$1048576,9,)</f>
        <v>صيانه عامه</v>
      </c>
      <c r="F160" s="599" t="str">
        <f>VLOOKUP(Table1[[#This Row],[الرقم الوظيفي]],[1]Sheet2!$1:$1048576,12,)</f>
        <v>تقنى ميكانيكا</v>
      </c>
      <c r="G160" s="599" t="str">
        <f>VLOOKUP(Table1[[#This Row],[الرقم الوظيفي]],[1]Sheet2!$1:$1048576,72,)</f>
        <v>دبلوم تقني</v>
      </c>
      <c r="H160" s="599" t="str">
        <f>VLOOKUP(Table1[[#This Row],[الرقم الوظيفي]],[1]Sheet2!$1:$1048576,71,)</f>
        <v>هندسة ميكانيكية ( صيانة )</v>
      </c>
      <c r="I160" s="599" t="str">
        <f>VLOOKUP(Table1[[#This Row],[المؤهل الرئيسي]],Table4[],3,)</f>
        <v>D</v>
      </c>
      <c r="J160" s="599" t="s">
        <v>924</v>
      </c>
      <c r="K160" s="615">
        <f>VLOOKUP(Table1[[#This Row],[الرقم الوظيفي]],[1]Sheet2!$1:$1048576,13,)</f>
        <v>43136</v>
      </c>
      <c r="L160" s="615">
        <v>43830</v>
      </c>
      <c r="M160" s="599">
        <f>DATEDIF(Table1[[#This Row],[تاريخ التعيين]],Table1[[#This Row],[اخر العام]],"y")</f>
        <v>1</v>
      </c>
      <c r="N160" s="599">
        <f>DATEDIF(Table1[[#This Row],[تاريخ التعيين]],Table1[[#This Row],[اخر العام]],"ym")</f>
        <v>10</v>
      </c>
      <c r="O160" s="610">
        <f>Table1[[#This Row],[سنوات الخدمه]]*1+Table1[[#This Row],[الشهور اقل من سنه]]*0.08</f>
        <v>1.8</v>
      </c>
      <c r="P160" s="616">
        <v>4000</v>
      </c>
      <c r="Q160" s="617">
        <v>64</v>
      </c>
      <c r="R160" s="612"/>
      <c r="S160" s="599"/>
      <c r="T160" s="612"/>
      <c r="U160" s="612"/>
      <c r="V160" s="612"/>
      <c r="W160" s="612"/>
      <c r="X160" s="612"/>
      <c r="Y160" s="612"/>
      <c r="Z160" s="612"/>
      <c r="AA16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0" s="612"/>
      <c r="AC160" s="599"/>
      <c r="AD160" s="612"/>
      <c r="AE160" s="612"/>
      <c r="AF160" s="612"/>
      <c r="AG160" s="612"/>
      <c r="AH160" s="619">
        <f>SUM(Table1[[#This Row],[التقييد  باللوائح و تنفيذالتوجيه]:[اتباع اجراءات السلامه]])</f>
        <v>0</v>
      </c>
      <c r="AI160" s="619">
        <f>Table1[[#This Row],[المجموع]]+Table1[[#This Row],[المجموع2]]</f>
        <v>0</v>
      </c>
      <c r="AJ160" s="612">
        <v>6</v>
      </c>
      <c r="AK160" s="612"/>
      <c r="AL160" s="612"/>
      <c r="AM160" s="612"/>
      <c r="AN160" s="612"/>
      <c r="AO160" s="606">
        <f>Table1[[#This Row],[المجموع 1+2]]*$AO$2</f>
        <v>0</v>
      </c>
      <c r="AP160" s="648">
        <f>Table1[[#This Row],[راتب ديسمبر 2019]]*Table1[[#This Row],[نسبه التقييم الرئيسي 2018]]%</f>
        <v>0</v>
      </c>
      <c r="AQ160" s="627">
        <f>Table1[[#This Row],[مبلغ التقييم النسبي 2018]]+Table1[[#This Row],[راتب ديسمبر 2019]]</f>
        <v>4000</v>
      </c>
      <c r="AR160" s="611">
        <f>IF(Table1[[#This Row],[Column3]]&lt;0,0,Table1[[#This Row],[Column3]])</f>
        <v>5000</v>
      </c>
      <c r="AS160" s="599">
        <f>VLOOKUP(Table1[[#This Row],[درجه التوسيط]],Table10[],3,)</f>
        <v>9000</v>
      </c>
      <c r="AT160" s="608">
        <f>Table1[[#This Row],[الراتب 2018+النسبه]]+Table1[[#This Row],[فروقات الحد الادني]]</f>
        <v>9000</v>
      </c>
      <c r="AU160" s="629">
        <f>Table1[[#This Row],[الراتب 2018 + النسبه + الفرق]]-Table1[[#This Row],[راتب ديسمبر 2019]]</f>
        <v>5000</v>
      </c>
      <c r="AV160" s="628">
        <f>Table1[[#This Row],[الزياده]]/Table1[[#This Row],[راتب ديسمبر 2019]]%</f>
        <v>125</v>
      </c>
      <c r="AW160" s="659">
        <f>IF(Table1[[#This Row],[Column4]]&lt;0,0,Table1[[#This Row],[Column4]])</f>
        <v>0</v>
      </c>
      <c r="AX160" s="611">
        <f>Table1[[#This Row],[الجبر حتي]]-Table1[[#This Row],[رن]]</f>
        <v>0</v>
      </c>
      <c r="AY160" s="611">
        <f>Table1[[#This Row],[الزياده]]+Table1[[#This Row],[التعديل]]+Table1[[#This Row],[جبر الرقم]]</f>
        <v>5000</v>
      </c>
      <c r="AZ160" s="611">
        <f>Table1[[#This Row],[الراتب 2018 + النسبه + الفرق]]+Table1[[#This Row],[جبر الرقم]]+Table1[[#This Row],[التعديل]]</f>
        <v>9000</v>
      </c>
      <c r="BA160" s="631">
        <f>Table1[[#This Row],[الزياده النهائيه]]/Table1[[#This Row],[راتب ديسمبر 2019]]%</f>
        <v>125</v>
      </c>
      <c r="BB160" s="612">
        <f>VLOOKUP(Table1[[#This Row],[الرقم الوظيفي]],Table6[],8,)</f>
        <v>4000</v>
      </c>
      <c r="BC160" s="7"/>
      <c r="BD160" s="7">
        <v>6000</v>
      </c>
      <c r="BE160" s="7">
        <v>6000</v>
      </c>
      <c r="BF160" s="5">
        <f>Table1[[#This Row],[الحد الادني]]-Table1[[#This Row],[الراتب 2018+النسبه]]</f>
        <v>5000</v>
      </c>
      <c r="BG160" s="5">
        <f>Table1[[#This Row],[التعديل حتي]]-Table1[[#This Row],[kkk]]</f>
        <v>-6000</v>
      </c>
      <c r="BH160" s="5">
        <v>6000</v>
      </c>
      <c r="BI160" s="5"/>
    </row>
    <row r="161" spans="1:61" ht="21" customHeight="1">
      <c r="A161" s="602">
        <v>840</v>
      </c>
      <c r="B161" s="618" t="str">
        <f>VLOOKUP(Table1[[#This Row],[الرقم الوظيفي]],[1]Sheet2!$1:$1048576,2,)</f>
        <v>محمد خضر محمد صديق</v>
      </c>
      <c r="C161" s="618" t="str">
        <f>VLOOKUP(Table1[[#This Row],[الرقم الوظيفي]],[1]Sheet2!$1:$1048576,7,)</f>
        <v>المصنع</v>
      </c>
      <c r="D161" s="618" t="str">
        <f>VLOOKUP(Table1[[#This Row],[الرقم الوظيفي]],[1]Sheet2!$1:$1048576,8,)</f>
        <v>الميكانيكا</v>
      </c>
      <c r="E161" s="599" t="str">
        <f>VLOOKUP(Table1[[#This Row],[الرقم الوظيفي]],[1]Sheet2!$1:$1048576,9,)</f>
        <v>صيانه عامه</v>
      </c>
      <c r="F161" s="599" t="str">
        <f>VLOOKUP(Table1[[#This Row],[الرقم الوظيفي]],[1]Sheet2!$1:$1048576,12,)</f>
        <v>تقنى ميكانيكا</v>
      </c>
      <c r="G161" s="599" t="str">
        <f>VLOOKUP(Table1[[#This Row],[الرقم الوظيفي]],[1]Sheet2!$1:$1048576,72,)</f>
        <v>شهاده ثانويه</v>
      </c>
      <c r="H161" s="599">
        <f>VLOOKUP(Table1[[#This Row],[الرقم الوظيفي]],[1]Sheet2!$1:$1048576,71,)</f>
        <v>0</v>
      </c>
      <c r="I161" s="599" t="str">
        <f>VLOOKUP(Table1[[#This Row],[المؤهل الرئيسي]],Table4[],3,)</f>
        <v>F</v>
      </c>
      <c r="J161" s="599" t="s">
        <v>923</v>
      </c>
      <c r="K161" s="615">
        <f>VLOOKUP(Table1[[#This Row],[الرقم الوظيفي]],[1]Sheet2!$1:$1048576,13,)</f>
        <v>42248</v>
      </c>
      <c r="L161" s="615">
        <v>43830</v>
      </c>
      <c r="M161" s="599">
        <f>DATEDIF(Table1[[#This Row],[تاريخ التعيين]],Table1[[#This Row],[اخر العام]],"y")</f>
        <v>4</v>
      </c>
      <c r="N161" s="599">
        <f>DATEDIF(Table1[[#This Row],[تاريخ التعيين]],Table1[[#This Row],[اخر العام]],"ym")</f>
        <v>3</v>
      </c>
      <c r="O161" s="610">
        <f>Table1[[#This Row],[سنوات الخدمه]]*1+Table1[[#This Row],[الشهور اقل من سنه]]*0.08</f>
        <v>4.24</v>
      </c>
      <c r="P161" s="616">
        <v>4600</v>
      </c>
      <c r="Q161" s="617">
        <v>298.08</v>
      </c>
      <c r="R161" s="612"/>
      <c r="S161" s="599"/>
      <c r="T161" s="612"/>
      <c r="U161" s="612"/>
      <c r="V161" s="612"/>
      <c r="W161" s="612"/>
      <c r="X161" s="612"/>
      <c r="Y161" s="612"/>
      <c r="Z161" s="612"/>
      <c r="AA16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1" s="612"/>
      <c r="AC161" s="599"/>
      <c r="AD161" s="612"/>
      <c r="AE161" s="612"/>
      <c r="AF161" s="612"/>
      <c r="AG161" s="612"/>
      <c r="AH161" s="619">
        <f>SUM(Table1[[#This Row],[التقييد  باللوائح و تنفيذالتوجيه]:[اتباع اجراءات السلامه]])</f>
        <v>0</v>
      </c>
      <c r="AI161" s="619">
        <f>Table1[[#This Row],[المجموع]]+Table1[[#This Row],[المجموع2]]</f>
        <v>0</v>
      </c>
      <c r="AJ161" s="612">
        <v>8</v>
      </c>
      <c r="AK161" s="612"/>
      <c r="AL161" s="612"/>
      <c r="AM161" s="612"/>
      <c r="AN161" s="612"/>
      <c r="AO161" s="606">
        <f>Table1[[#This Row],[المجموع 1+2]]*$AO$2</f>
        <v>0</v>
      </c>
      <c r="AP161" s="648">
        <f>Table1[[#This Row],[راتب ديسمبر 2019]]*Table1[[#This Row],[نسبه التقييم الرئيسي 2018]]%</f>
        <v>0</v>
      </c>
      <c r="AQ161" s="627">
        <f>Table1[[#This Row],[مبلغ التقييم النسبي 2018]]+Table1[[#This Row],[راتب ديسمبر 2019]]</f>
        <v>4600</v>
      </c>
      <c r="AR161" s="611">
        <f>IF(Table1[[#This Row],[Column3]]&lt;0,0,Table1[[#This Row],[Column3]])</f>
        <v>5400</v>
      </c>
      <c r="AS161" s="599">
        <f>VLOOKUP(Table1[[#This Row],[درجه التوسيط]],Table10[],3,)</f>
        <v>10000</v>
      </c>
      <c r="AT161" s="608">
        <f>Table1[[#This Row],[الراتب 2018+النسبه]]+Table1[[#This Row],[فروقات الحد الادني]]</f>
        <v>10000</v>
      </c>
      <c r="AU161" s="629">
        <f>Table1[[#This Row],[الراتب 2018 + النسبه + الفرق]]-Table1[[#This Row],[راتب ديسمبر 2019]]</f>
        <v>5400</v>
      </c>
      <c r="AV161" s="628">
        <f>Table1[[#This Row],[الزياده]]/Table1[[#This Row],[راتب ديسمبر 2019]]%</f>
        <v>117.39130434782609</v>
      </c>
      <c r="AW161" s="659">
        <f>IF(Table1[[#This Row],[Column4]]&lt;0,0,Table1[[#This Row],[Column4]])</f>
        <v>0</v>
      </c>
      <c r="AX161" s="611">
        <f>Table1[[#This Row],[الجبر حتي]]-Table1[[#This Row],[رن]]</f>
        <v>8.3999999999996362</v>
      </c>
      <c r="AY161" s="611">
        <f>Table1[[#This Row],[الزياده]]+Table1[[#This Row],[التعديل]]+Table1[[#This Row],[جبر الرقم]]</f>
        <v>5408.4</v>
      </c>
      <c r="AZ161" s="611">
        <f>Table1[[#This Row],[الراتب 2018 + النسبه + الفرق]]+Table1[[#This Row],[جبر الرقم]]+Table1[[#This Row],[التعديل]]</f>
        <v>10008.4</v>
      </c>
      <c r="BA161" s="631">
        <f>Table1[[#This Row],[الزياده النهائيه]]/Table1[[#This Row],[راتب ديسمبر 2019]]%</f>
        <v>117.57391304347826</v>
      </c>
      <c r="BB161" s="612">
        <f>VLOOKUP(Table1[[#This Row],[الرقم الوظيفي]],Table6[],8,)</f>
        <v>4600</v>
      </c>
      <c r="BC161" s="7"/>
      <c r="BD161" s="7">
        <v>7120</v>
      </c>
      <c r="BE161" s="7">
        <v>7111.6</v>
      </c>
      <c r="BF161" s="5">
        <f>Table1[[#This Row],[الحد الادني]]-Table1[[#This Row],[الراتب 2018+النسبه]]</f>
        <v>5400</v>
      </c>
      <c r="BG161" s="5">
        <f>Table1[[#This Row],[التعديل حتي]]-Table1[[#This Row],[kkk]]</f>
        <v>-7111.6</v>
      </c>
      <c r="BH161" s="5">
        <v>7111.6</v>
      </c>
      <c r="BI161" s="5"/>
    </row>
    <row r="162" spans="1:61" ht="21" customHeight="1">
      <c r="A162" s="602">
        <v>842</v>
      </c>
      <c r="B162" s="618" t="str">
        <f>VLOOKUP(Table1[[#This Row],[الرقم الوظيفي]],[1]Sheet2!$1:$1048576,2,)</f>
        <v>عبدالرحمن اسماعيل محمد على</v>
      </c>
      <c r="C162" s="618" t="str">
        <f>VLOOKUP(Table1[[#This Row],[الرقم الوظيفي]],[1]Sheet2!$1:$1048576,7,)</f>
        <v>المصنع</v>
      </c>
      <c r="D162" s="618" t="str">
        <f>VLOOKUP(Table1[[#This Row],[الرقم الوظيفي]],[1]Sheet2!$1:$1048576,8,)</f>
        <v>الانتاج</v>
      </c>
      <c r="E162" s="599" t="str">
        <f>VLOOKUP(Table1[[#This Row],[الرقم الوظيفي]],[1]Sheet2!$1:$1048576,9,)</f>
        <v>المواسير</v>
      </c>
      <c r="F162" s="599" t="str">
        <f>VLOOKUP(Table1[[#This Row],[الرقم الوظيفي]],[1]Sheet2!$1:$1048576,12,)</f>
        <v>مشغل</v>
      </c>
      <c r="G162" s="599" t="str">
        <f>VLOOKUP(Table1[[#This Row],[الرقم الوظيفي]],[1]Sheet2!$1:$1048576,72,)</f>
        <v>شهاده ثانويه</v>
      </c>
      <c r="H162" s="599">
        <f>VLOOKUP(Table1[[#This Row],[الرقم الوظيفي]],[1]Sheet2!$1:$1048576,71,)</f>
        <v>0</v>
      </c>
      <c r="I162" s="599" t="str">
        <f>VLOOKUP(Table1[[#This Row],[المؤهل الرئيسي]],Table4[],3,)</f>
        <v>F</v>
      </c>
      <c r="J162" s="599" t="s">
        <v>923</v>
      </c>
      <c r="K162" s="615">
        <f>VLOOKUP(Table1[[#This Row],[الرقم الوظيفي]],[1]Sheet2!$1:$1048576,13,)</f>
        <v>42248</v>
      </c>
      <c r="L162" s="615">
        <v>43830</v>
      </c>
      <c r="M162" s="599">
        <f>DATEDIF(Table1[[#This Row],[تاريخ التعيين]],Table1[[#This Row],[اخر العام]],"y")</f>
        <v>4</v>
      </c>
      <c r="N162" s="599">
        <f>DATEDIF(Table1[[#This Row],[تاريخ التعيين]],Table1[[#This Row],[اخر العام]],"ym")</f>
        <v>3</v>
      </c>
      <c r="O162" s="610">
        <f>Table1[[#This Row],[سنوات الخدمه]]*1+Table1[[#This Row],[الشهور اقل من سنه]]*0.08</f>
        <v>4.24</v>
      </c>
      <c r="P162" s="616">
        <v>4100</v>
      </c>
      <c r="Q162" s="617">
        <v>265.68</v>
      </c>
      <c r="R162" s="612"/>
      <c r="S162" s="599"/>
      <c r="T162" s="612"/>
      <c r="U162" s="612"/>
      <c r="V162" s="612"/>
      <c r="W162" s="612"/>
      <c r="X162" s="612"/>
      <c r="Y162" s="612"/>
      <c r="Z162" s="612"/>
      <c r="AA16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2" s="612"/>
      <c r="AC162" s="599"/>
      <c r="AD162" s="612"/>
      <c r="AE162" s="612"/>
      <c r="AF162" s="612"/>
      <c r="AG162" s="612"/>
      <c r="AH162" s="619">
        <f>SUM(Table1[[#This Row],[التقييد  باللوائح و تنفيذالتوجيه]:[اتباع اجراءات السلامه]])</f>
        <v>0</v>
      </c>
      <c r="AI162" s="619">
        <f>Table1[[#This Row],[المجموع]]+Table1[[#This Row],[المجموع2]]</f>
        <v>0</v>
      </c>
      <c r="AJ162" s="612"/>
      <c r="AK162" s="612"/>
      <c r="AL162" s="612"/>
      <c r="AM162" s="612"/>
      <c r="AN162" s="612"/>
      <c r="AO162" s="606">
        <f>Table1[[#This Row],[المجموع 1+2]]*$AO$2</f>
        <v>0</v>
      </c>
      <c r="AP162" s="648">
        <f>Table1[[#This Row],[راتب ديسمبر 2019]]*Table1[[#This Row],[نسبه التقييم الرئيسي 2018]]%</f>
        <v>0</v>
      </c>
      <c r="AQ162" s="627">
        <f>Table1[[#This Row],[مبلغ التقييم النسبي 2018]]+Table1[[#This Row],[راتب ديسمبر 2019]]</f>
        <v>4100</v>
      </c>
      <c r="AR162" s="611">
        <f>IF(Table1[[#This Row],[Column3]]&lt;0,0,Table1[[#This Row],[Column3]])</f>
        <v>5900</v>
      </c>
      <c r="AS162" s="599">
        <f>VLOOKUP(Table1[[#This Row],[درجه التوسيط]],Table10[],3,)</f>
        <v>10000</v>
      </c>
      <c r="AT162" s="608">
        <f>Table1[[#This Row],[الراتب 2018+النسبه]]+Table1[[#This Row],[فروقات الحد الادني]]</f>
        <v>10000</v>
      </c>
      <c r="AU162" s="629">
        <f>Table1[[#This Row],[الراتب 2018 + النسبه + الفرق]]-Table1[[#This Row],[راتب ديسمبر 2019]]</f>
        <v>5900</v>
      </c>
      <c r="AV162" s="628">
        <f>Table1[[#This Row],[الزياده]]/Table1[[#This Row],[راتب ديسمبر 2019]]%</f>
        <v>143.90243902439025</v>
      </c>
      <c r="AW162" s="659">
        <f>IF(Table1[[#This Row],[Column4]]&lt;0,0,Table1[[#This Row],[Column4]])</f>
        <v>0</v>
      </c>
      <c r="AX162" s="611">
        <f>Table1[[#This Row],[الجبر حتي]]-Table1[[#This Row],[رن]]</f>
        <v>0</v>
      </c>
      <c r="AY162" s="611">
        <f>Table1[[#This Row],[الزياده]]+Table1[[#This Row],[التعديل]]+Table1[[#This Row],[جبر الرقم]]</f>
        <v>5900</v>
      </c>
      <c r="AZ162" s="611">
        <f>Table1[[#This Row],[الراتب 2018 + النسبه + الفرق]]+Table1[[#This Row],[جبر الرقم]]+Table1[[#This Row],[التعديل]]</f>
        <v>10000</v>
      </c>
      <c r="BA162" s="631">
        <f>Table1[[#This Row],[الزياده النهائيه]]/Table1[[#This Row],[راتب ديسمبر 2019]]%</f>
        <v>143.90243902439025</v>
      </c>
      <c r="BB162" s="612">
        <f>VLOOKUP(Table1[[#This Row],[الرقم الوظيفي]],Table6[],8,)</f>
        <v>4100</v>
      </c>
      <c r="BC162" s="7">
        <v>6500</v>
      </c>
      <c r="BD162" s="7">
        <v>6500</v>
      </c>
      <c r="BE162" s="7">
        <v>6500</v>
      </c>
      <c r="BF162" s="5">
        <f>Table1[[#This Row],[الحد الادني]]-Table1[[#This Row],[الراتب 2018+النسبه]]</f>
        <v>5900</v>
      </c>
      <c r="BG162" s="5">
        <f>Table1[[#This Row],[التعديل حتي]]-Table1[[#This Row],[kkk]]</f>
        <v>0</v>
      </c>
      <c r="BH162" s="5">
        <v>6500</v>
      </c>
      <c r="BI162" s="5"/>
    </row>
    <row r="163" spans="1:61" ht="21" customHeight="1">
      <c r="A163" s="602">
        <v>849</v>
      </c>
      <c r="B163" s="618" t="str">
        <f>VLOOKUP(Table1[[#This Row],[الرقم الوظيفي]],[1]Sheet2!$1:$1048576,2,)</f>
        <v>الطاهر محمد ابكر علي</v>
      </c>
      <c r="C163" s="618" t="str">
        <f>VLOOKUP(Table1[[#This Row],[الرقم الوظيفي]],[1]Sheet2!$1:$1048576,7,)</f>
        <v>المصنع</v>
      </c>
      <c r="D163" s="618" t="str">
        <f>VLOOKUP(Table1[[#This Row],[الرقم الوظيفي]],[1]Sheet2!$1:$1048576,8,)</f>
        <v>الالكترونيات</v>
      </c>
      <c r="E163" s="599">
        <f>VLOOKUP(Table1[[#This Row],[الرقم الوظيفي]],[1]Sheet2!$1:$1048576,9,)</f>
        <v>0</v>
      </c>
      <c r="F163" s="599" t="str">
        <f>VLOOKUP(Table1[[#This Row],[الرقم الوظيفي]],[1]Sheet2!$1:$1048576,12,)</f>
        <v>فنىالكترونيات</v>
      </c>
      <c r="G163" s="599" t="str">
        <f>VLOOKUP(Table1[[#This Row],[الرقم الوظيفي]],[1]Sheet2!$1:$1048576,72,)</f>
        <v>شهاده كورس</v>
      </c>
      <c r="H163" s="599" t="str">
        <f>VLOOKUP(Table1[[#This Row],[الرقم الوظيفي]],[1]Sheet2!$1:$1048576,71,)</f>
        <v>صيانة حاسوب</v>
      </c>
      <c r="I163" s="599" t="str">
        <f>VLOOKUP(Table1[[#This Row],[المؤهل الرئيسي]],Table4[],3,)</f>
        <v>F</v>
      </c>
      <c r="J163" s="599" t="s">
        <v>925</v>
      </c>
      <c r="K163" s="615">
        <f>VLOOKUP(Table1[[#This Row],[الرقم الوظيفي]],[1]Sheet2!$1:$1048576,13,)</f>
        <v>42309</v>
      </c>
      <c r="L163" s="615">
        <v>43830</v>
      </c>
      <c r="M163" s="599">
        <f>DATEDIF(Table1[[#This Row],[تاريخ التعيين]],Table1[[#This Row],[اخر العام]],"y")</f>
        <v>4</v>
      </c>
      <c r="N163" s="599">
        <f>DATEDIF(Table1[[#This Row],[تاريخ التعيين]],Table1[[#This Row],[اخر العام]],"ym")</f>
        <v>1</v>
      </c>
      <c r="O163" s="610">
        <f>Table1[[#This Row],[سنوات الخدمه]]*1+Table1[[#This Row],[الشهور اقل من سنه]]*0.08</f>
        <v>4.08</v>
      </c>
      <c r="P163" s="616">
        <v>4090</v>
      </c>
      <c r="Q163" s="617">
        <v>251.94399999999999</v>
      </c>
      <c r="R163" s="612"/>
      <c r="S163" s="599"/>
      <c r="T163" s="612"/>
      <c r="U163" s="612"/>
      <c r="V163" s="612"/>
      <c r="W163" s="612"/>
      <c r="X163" s="612"/>
      <c r="Y163" s="612"/>
      <c r="Z163" s="612"/>
      <c r="AA16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3" s="612"/>
      <c r="AC163" s="599"/>
      <c r="AD163" s="612"/>
      <c r="AE163" s="612"/>
      <c r="AF163" s="612"/>
      <c r="AG163" s="612"/>
      <c r="AH163" s="619">
        <f>SUM(Table1[[#This Row],[التقييد  باللوائح و تنفيذالتوجيه]:[اتباع اجراءات السلامه]])</f>
        <v>0</v>
      </c>
      <c r="AI163" s="619">
        <f>Table1[[#This Row],[المجموع]]+Table1[[#This Row],[المجموع2]]</f>
        <v>0</v>
      </c>
      <c r="AJ163" s="612"/>
      <c r="AK163" s="612"/>
      <c r="AL163" s="612"/>
      <c r="AM163" s="612"/>
      <c r="AN163" s="612"/>
      <c r="AO163" s="606">
        <f>Table1[[#This Row],[المجموع 1+2]]*$AO$2</f>
        <v>0</v>
      </c>
      <c r="AP163" s="648">
        <f>Table1[[#This Row],[راتب ديسمبر 2019]]*Table1[[#This Row],[نسبه التقييم الرئيسي 2018]]%</f>
        <v>0</v>
      </c>
      <c r="AQ163" s="627">
        <f>Table1[[#This Row],[مبلغ التقييم النسبي 2018]]+Table1[[#This Row],[راتب ديسمبر 2019]]</f>
        <v>4090</v>
      </c>
      <c r="AR163" s="611">
        <f>IF(Table1[[#This Row],[Column3]]&lt;0,0,Table1[[#This Row],[Column3]])</f>
        <v>4910</v>
      </c>
      <c r="AS163" s="599">
        <f>VLOOKUP(Table1[[#This Row],[درجه التوسيط]],Table10[],3,)</f>
        <v>9000</v>
      </c>
      <c r="AT163" s="608">
        <f>Table1[[#This Row],[الراتب 2018+النسبه]]+Table1[[#This Row],[فروقات الحد الادني]]</f>
        <v>9000</v>
      </c>
      <c r="AU163" s="629">
        <f>Table1[[#This Row],[الراتب 2018 + النسبه + الفرق]]-Table1[[#This Row],[راتب ديسمبر 2019]]</f>
        <v>4910</v>
      </c>
      <c r="AV163" s="628">
        <f>Table1[[#This Row],[الزياده]]/Table1[[#This Row],[راتب ديسمبر 2019]]%</f>
        <v>120.04889975550122</v>
      </c>
      <c r="AW163" s="659">
        <f>IF(Table1[[#This Row],[Column4]]&lt;0,0,Table1[[#This Row],[Column4]])</f>
        <v>0</v>
      </c>
      <c r="AX163" s="611">
        <f>Table1[[#This Row],[الجبر حتي]]-Table1[[#This Row],[رن]]</f>
        <v>9.5599999999994907</v>
      </c>
      <c r="AY163" s="611">
        <f>Table1[[#This Row],[الزياده]]+Table1[[#This Row],[التعديل]]+Table1[[#This Row],[جبر الرقم]]</f>
        <v>4919.5599999999995</v>
      </c>
      <c r="AZ163" s="611">
        <f>Table1[[#This Row],[الراتب 2018 + النسبه + الفرق]]+Table1[[#This Row],[جبر الرقم]]+Table1[[#This Row],[التعديل]]</f>
        <v>9009.56</v>
      </c>
      <c r="BA163" s="631">
        <f>Table1[[#This Row],[الزياده النهائيه]]/Table1[[#This Row],[راتب ديسمبر 2019]]%</f>
        <v>120.28264058679706</v>
      </c>
      <c r="BB163" s="612">
        <f>VLOOKUP(Table1[[#This Row],[الرقم الوظيفي]],Table6[],8,)</f>
        <v>4090</v>
      </c>
      <c r="BC163" s="7"/>
      <c r="BD163" s="7">
        <v>6210</v>
      </c>
      <c r="BE163" s="7">
        <v>6200.4400000000005</v>
      </c>
      <c r="BF163" s="5">
        <f>Table1[[#This Row],[الحد الادني]]-Table1[[#This Row],[الراتب 2018+النسبه]]</f>
        <v>4910</v>
      </c>
      <c r="BG163" s="5">
        <f>Table1[[#This Row],[التعديل حتي]]-Table1[[#This Row],[kkk]]</f>
        <v>-6200.4400000000005</v>
      </c>
      <c r="BH163" s="5">
        <v>6200.4400000000005</v>
      </c>
      <c r="BI163" s="5"/>
    </row>
    <row r="164" spans="1:61" ht="21" customHeight="1">
      <c r="A164" s="602">
        <v>852</v>
      </c>
      <c r="B164" s="618" t="str">
        <f>VLOOKUP(Table1[[#This Row],[الرقم الوظيفي]],[1]Sheet2!$1:$1048576,2,)</f>
        <v>محمد على دليل محمد</v>
      </c>
      <c r="C164" s="618" t="str">
        <f>VLOOKUP(Table1[[#This Row],[الرقم الوظيفي]],[1]Sheet2!$1:$1048576,7,)</f>
        <v>المصنع</v>
      </c>
      <c r="D164" s="618" t="str">
        <f>VLOOKUP(Table1[[#This Row],[الرقم الوظيفي]],[1]Sheet2!$1:$1048576,8,)</f>
        <v>الانتاج</v>
      </c>
      <c r="E164" s="599" t="str">
        <f>VLOOKUP(Table1[[#This Row],[الرقم الوظيفي]],[1]Sheet2!$1:$1048576,9,)</f>
        <v>المواسير</v>
      </c>
      <c r="F164" s="599" t="str">
        <f>VLOOKUP(Table1[[#This Row],[الرقم الوظيفي]],[1]Sheet2!$1:$1048576,12,)</f>
        <v>عامل</v>
      </c>
      <c r="G164" s="599">
        <f>VLOOKUP(Table1[[#This Row],[الرقم الوظيفي]],[1]Sheet2!$1:$1048576,72,)</f>
        <v>0</v>
      </c>
      <c r="H164" s="599">
        <f>VLOOKUP(Table1[[#This Row],[الرقم الوظيفي]],[1]Sheet2!$1:$1048576,71,)</f>
        <v>0</v>
      </c>
      <c r="I164" s="599" t="str">
        <f>VLOOKUP(Table1[[#This Row],[المؤهل الرئيسي]],Table4[],3,)</f>
        <v>H</v>
      </c>
      <c r="J164" s="599" t="s">
        <v>929</v>
      </c>
      <c r="K164" s="615">
        <f>VLOOKUP(Table1[[#This Row],[الرقم الوظيفي]],[1]Sheet2!$1:$1048576,13,)</f>
        <v>42316</v>
      </c>
      <c r="L164" s="615">
        <v>43830</v>
      </c>
      <c r="M164" s="599">
        <f>DATEDIF(Table1[[#This Row],[تاريخ التعيين]],Table1[[#This Row],[اخر العام]],"y")</f>
        <v>4</v>
      </c>
      <c r="N164" s="599">
        <f>DATEDIF(Table1[[#This Row],[تاريخ التعيين]],Table1[[#This Row],[اخر العام]],"ym")</f>
        <v>1</v>
      </c>
      <c r="O164" s="610">
        <f>Table1[[#This Row],[سنوات الخدمه]]*1+Table1[[#This Row],[الشهور اقل من سنه]]*0.08</f>
        <v>4.08</v>
      </c>
      <c r="P164" s="616">
        <v>3080</v>
      </c>
      <c r="Q164" s="617">
        <v>189.72800000000001</v>
      </c>
      <c r="R164" s="612"/>
      <c r="S164" s="599"/>
      <c r="T164" s="612"/>
      <c r="U164" s="612"/>
      <c r="V164" s="612"/>
      <c r="W164" s="612"/>
      <c r="X164" s="612"/>
      <c r="Y164" s="612"/>
      <c r="Z164" s="612"/>
      <c r="AA16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4" s="612"/>
      <c r="AC164" s="599"/>
      <c r="AD164" s="612"/>
      <c r="AE164" s="612"/>
      <c r="AF164" s="612"/>
      <c r="AG164" s="612"/>
      <c r="AH164" s="619">
        <f>SUM(Table1[[#This Row],[التقييد  باللوائح و تنفيذالتوجيه]:[اتباع اجراءات السلامه]])</f>
        <v>0</v>
      </c>
      <c r="AI164" s="619">
        <f>Table1[[#This Row],[المجموع]]+Table1[[#This Row],[المجموع2]]</f>
        <v>0</v>
      </c>
      <c r="AJ164" s="612"/>
      <c r="AK164" s="612"/>
      <c r="AL164" s="612"/>
      <c r="AM164" s="612"/>
      <c r="AN164" s="612"/>
      <c r="AO164" s="606">
        <f>Table1[[#This Row],[المجموع 1+2]]*$AO$2</f>
        <v>0</v>
      </c>
      <c r="AP164" s="648">
        <f>Table1[[#This Row],[راتب ديسمبر 2019]]*Table1[[#This Row],[نسبه التقييم الرئيسي 2018]]%</f>
        <v>0</v>
      </c>
      <c r="AQ164" s="627">
        <f>Table1[[#This Row],[مبلغ التقييم النسبي 2018]]+Table1[[#This Row],[راتب ديسمبر 2019]]</f>
        <v>3080</v>
      </c>
      <c r="AR164" s="611">
        <f>IF(Table1[[#This Row],[Column3]]&lt;0,0,Table1[[#This Row],[Column3]])</f>
        <v>2920</v>
      </c>
      <c r="AS164" s="599">
        <f>VLOOKUP(Table1[[#This Row],[درجه التوسيط]],Table10[],3,)</f>
        <v>6000</v>
      </c>
      <c r="AT164" s="608">
        <f>Table1[[#This Row],[الراتب 2018+النسبه]]+Table1[[#This Row],[فروقات الحد الادني]]</f>
        <v>6000</v>
      </c>
      <c r="AU164" s="629">
        <f>Table1[[#This Row],[الراتب 2018 + النسبه + الفرق]]-Table1[[#This Row],[راتب ديسمبر 2019]]</f>
        <v>2920</v>
      </c>
      <c r="AV164" s="628">
        <f>Table1[[#This Row],[الزياده]]/Table1[[#This Row],[راتب ديسمبر 2019]]%</f>
        <v>94.805194805194802</v>
      </c>
      <c r="AW164" s="659">
        <f>IF(Table1[[#This Row],[Column4]]&lt;0,0,Table1[[#This Row],[Column4]])</f>
        <v>0</v>
      </c>
      <c r="AX164" s="611">
        <f>Table1[[#This Row],[الجبر حتي]]-Table1[[#This Row],[رن]]</f>
        <v>5.2799999999997453</v>
      </c>
      <c r="AY164" s="611">
        <f>Table1[[#This Row],[الزياده]]+Table1[[#This Row],[التعديل]]+Table1[[#This Row],[جبر الرقم]]</f>
        <v>2925.2799999999997</v>
      </c>
      <c r="AZ164" s="611">
        <f>Table1[[#This Row],[الراتب 2018 + النسبه + الفرق]]+Table1[[#This Row],[جبر الرقم]]+Table1[[#This Row],[التعديل]]</f>
        <v>6005.28</v>
      </c>
      <c r="BA164" s="631">
        <f>Table1[[#This Row],[الزياده النهائيه]]/Table1[[#This Row],[راتب ديسمبر 2019]]%</f>
        <v>94.976623376623365</v>
      </c>
      <c r="BB164" s="612">
        <f>VLOOKUP(Table1[[#This Row],[الرقم الوظيفي]],Table6[],8,)</f>
        <v>3080</v>
      </c>
      <c r="BC164" s="7"/>
      <c r="BD164" s="7">
        <v>4730</v>
      </c>
      <c r="BE164" s="7">
        <v>4724.72</v>
      </c>
      <c r="BF164" s="5">
        <f>Table1[[#This Row],[الحد الادني]]-Table1[[#This Row],[الراتب 2018+النسبه]]</f>
        <v>2920</v>
      </c>
      <c r="BG164" s="5">
        <f>Table1[[#This Row],[التعديل حتي]]-Table1[[#This Row],[kkk]]</f>
        <v>-4724.72</v>
      </c>
      <c r="BH164" s="5">
        <v>4724.72</v>
      </c>
      <c r="BI164" s="5"/>
    </row>
    <row r="165" spans="1:61" ht="21" customHeight="1">
      <c r="A165" s="602">
        <v>854</v>
      </c>
      <c r="B165" s="618" t="str">
        <f>VLOOKUP(Table1[[#This Row],[الرقم الوظيفي]],[1]Sheet2!$1:$1048576,2,)</f>
        <v>عادل حسن المومن ابراهيم</v>
      </c>
      <c r="C165" s="618" t="str">
        <f>VLOOKUP(Table1[[#This Row],[الرقم الوظيفي]],[1]Sheet2!$1:$1048576,7,)</f>
        <v>المصنع</v>
      </c>
      <c r="D165" s="618" t="str">
        <f>VLOOKUP(Table1[[#This Row],[الرقم الوظيفي]],[1]Sheet2!$1:$1048576,8,)</f>
        <v>الخدمات</v>
      </c>
      <c r="E165" s="599">
        <f>VLOOKUP(Table1[[#This Row],[الرقم الوظيفي]],[1]Sheet2!$1:$1048576,9,)</f>
        <v>0</v>
      </c>
      <c r="F165" s="599" t="str">
        <f>VLOOKUP(Table1[[#This Row],[الرقم الوظيفي]],[1]Sheet2!$1:$1048576,12,)</f>
        <v>عامل</v>
      </c>
      <c r="G165" s="599">
        <f>VLOOKUP(Table1[[#This Row],[الرقم الوظيفي]],[1]Sheet2!$1:$1048576,72,)</f>
        <v>0</v>
      </c>
      <c r="H165" s="599">
        <f>VLOOKUP(Table1[[#This Row],[الرقم الوظيفي]],[1]Sheet2!$1:$1048576,71,)</f>
        <v>0</v>
      </c>
      <c r="I165" s="599" t="str">
        <f>VLOOKUP(Table1[[#This Row],[المؤهل الرئيسي]],Table4[],3,)</f>
        <v>H</v>
      </c>
      <c r="J165" s="599" t="s">
        <v>929</v>
      </c>
      <c r="K165" s="615">
        <f>VLOOKUP(Table1[[#This Row],[الرقم الوظيفي]],[1]Sheet2!$1:$1048576,13,)</f>
        <v>42329</v>
      </c>
      <c r="L165" s="615">
        <v>43830</v>
      </c>
      <c r="M165" s="599">
        <f>DATEDIF(Table1[[#This Row],[تاريخ التعيين]],Table1[[#This Row],[اخر العام]],"y")</f>
        <v>4</v>
      </c>
      <c r="N165" s="599">
        <f>DATEDIF(Table1[[#This Row],[تاريخ التعيين]],Table1[[#This Row],[اخر العام]],"ym")</f>
        <v>1</v>
      </c>
      <c r="O165" s="610">
        <f>Table1[[#This Row],[سنوات الخدمه]]*1+Table1[[#This Row],[الشهور اقل من سنه]]*0.08</f>
        <v>4.08</v>
      </c>
      <c r="P165" s="616">
        <v>3080</v>
      </c>
      <c r="Q165" s="617">
        <v>189.72800000000001</v>
      </c>
      <c r="R165" s="612"/>
      <c r="S165" s="599"/>
      <c r="T165" s="612"/>
      <c r="U165" s="612"/>
      <c r="V165" s="612"/>
      <c r="W165" s="612"/>
      <c r="X165" s="612"/>
      <c r="Y165" s="612"/>
      <c r="Z165" s="612"/>
      <c r="AA16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5" s="612"/>
      <c r="AC165" s="599"/>
      <c r="AD165" s="612"/>
      <c r="AE165" s="612"/>
      <c r="AF165" s="612"/>
      <c r="AG165" s="612"/>
      <c r="AH165" s="619">
        <f>SUM(Table1[[#This Row],[التقييد  باللوائح و تنفيذالتوجيه]:[اتباع اجراءات السلامه]])</f>
        <v>0</v>
      </c>
      <c r="AI165" s="619">
        <f>Table1[[#This Row],[المجموع]]+Table1[[#This Row],[المجموع2]]</f>
        <v>0</v>
      </c>
      <c r="AJ165" s="612"/>
      <c r="AK165" s="612"/>
      <c r="AL165" s="612"/>
      <c r="AM165" s="612"/>
      <c r="AN165" s="612"/>
      <c r="AO165" s="606">
        <f>Table1[[#This Row],[المجموع 1+2]]*$AO$2</f>
        <v>0</v>
      </c>
      <c r="AP165" s="648">
        <f>Table1[[#This Row],[راتب ديسمبر 2019]]*Table1[[#This Row],[نسبه التقييم الرئيسي 2018]]%</f>
        <v>0</v>
      </c>
      <c r="AQ165" s="627">
        <f>Table1[[#This Row],[مبلغ التقييم النسبي 2018]]+Table1[[#This Row],[راتب ديسمبر 2019]]</f>
        <v>3080</v>
      </c>
      <c r="AR165" s="611">
        <f>IF(Table1[[#This Row],[Column3]]&lt;0,0,Table1[[#This Row],[Column3]])</f>
        <v>2920</v>
      </c>
      <c r="AS165" s="599">
        <f>VLOOKUP(Table1[[#This Row],[درجه التوسيط]],Table10[],3,)</f>
        <v>6000</v>
      </c>
      <c r="AT165" s="608">
        <f>Table1[[#This Row],[الراتب 2018+النسبه]]+Table1[[#This Row],[فروقات الحد الادني]]</f>
        <v>6000</v>
      </c>
      <c r="AU165" s="629">
        <f>Table1[[#This Row],[الراتب 2018 + النسبه + الفرق]]-Table1[[#This Row],[راتب ديسمبر 2019]]</f>
        <v>2920</v>
      </c>
      <c r="AV165" s="628">
        <f>Table1[[#This Row],[الزياده]]/Table1[[#This Row],[راتب ديسمبر 2019]]%</f>
        <v>94.805194805194802</v>
      </c>
      <c r="AW165" s="659">
        <f>IF(Table1[[#This Row],[Column4]]&lt;0,0,Table1[[#This Row],[Column4]])</f>
        <v>0</v>
      </c>
      <c r="AX165" s="611">
        <f>Table1[[#This Row],[الجبر حتي]]-Table1[[#This Row],[رن]]</f>
        <v>2.8800000000001091</v>
      </c>
      <c r="AY165" s="611">
        <f>Table1[[#This Row],[الزياده]]+Table1[[#This Row],[التعديل]]+Table1[[#This Row],[جبر الرقم]]</f>
        <v>2922.88</v>
      </c>
      <c r="AZ165" s="611">
        <f>Table1[[#This Row],[الراتب 2018 + النسبه + الفرق]]+Table1[[#This Row],[جبر الرقم]]+Table1[[#This Row],[التعديل]]</f>
        <v>6002.88</v>
      </c>
      <c r="BA165" s="631">
        <f>Table1[[#This Row],[الزياده النهائيه]]/Table1[[#This Row],[راتب ديسمبر 2019]]%</f>
        <v>94.898701298701297</v>
      </c>
      <c r="BB165" s="612">
        <f>VLOOKUP(Table1[[#This Row],[الرقم الوظيفي]],Table6[],8,)</f>
        <v>3080</v>
      </c>
      <c r="BC165" s="7"/>
      <c r="BD165" s="7">
        <v>4820</v>
      </c>
      <c r="BE165" s="7">
        <v>4817.12</v>
      </c>
      <c r="BF165" s="5">
        <f>Table1[[#This Row],[الحد الادني]]-Table1[[#This Row],[الراتب 2018+النسبه]]</f>
        <v>2920</v>
      </c>
      <c r="BG165" s="5">
        <f>Table1[[#This Row],[التعديل حتي]]-Table1[[#This Row],[kkk]]</f>
        <v>-4817.12</v>
      </c>
      <c r="BH165" s="5">
        <v>4817.12</v>
      </c>
      <c r="BI165" s="5"/>
    </row>
    <row r="166" spans="1:61">
      <c r="A166" s="602">
        <v>855</v>
      </c>
      <c r="B166" s="618" t="str">
        <f>VLOOKUP(Table1[[#This Row],[الرقم الوظيفي]],[1]Sheet2!$1:$1048576,2,)</f>
        <v>وليد شمس الدين شريف جاويش</v>
      </c>
      <c r="C166" s="618" t="str">
        <f>VLOOKUP(Table1[[#This Row],[الرقم الوظيفي]],[1]Sheet2!$1:$1048576,7,)</f>
        <v>المصنع</v>
      </c>
      <c r="D166" s="618" t="str">
        <f>VLOOKUP(Table1[[#This Row],[الرقم الوظيفي]],[1]Sheet2!$1:$1048576,8,)</f>
        <v>الماليه</v>
      </c>
      <c r="E166" s="599">
        <f>VLOOKUP(Table1[[#This Row],[الرقم الوظيفي]],[1]Sheet2!$1:$1048576,9,)</f>
        <v>0</v>
      </c>
      <c r="F166" s="599" t="str">
        <f>VLOOKUP(Table1[[#This Row],[الرقم الوظيفي]],[1]Sheet2!$1:$1048576,12,)</f>
        <v>محاسب</v>
      </c>
      <c r="G166" s="599" t="str">
        <f>VLOOKUP(Table1[[#This Row],[الرقم الوظيفي]],[1]Sheet2!$1:$1048576,72,)</f>
        <v>بكلاريوس</v>
      </c>
      <c r="H166" s="599" t="str">
        <f>VLOOKUP(Table1[[#This Row],[الرقم الوظيفي]],[1]Sheet2!$1:$1048576,71,)</f>
        <v>محاسبة</v>
      </c>
      <c r="I166" s="599" t="str">
        <f>VLOOKUP(Table1[[#This Row],[المؤهل الرئيسي]],Table4[],3,)</f>
        <v>C</v>
      </c>
      <c r="J166" s="599" t="s">
        <v>922</v>
      </c>
      <c r="K166" s="615">
        <f>VLOOKUP(Table1[[#This Row],[الرقم الوظيفي]],[1]Sheet2!$1:$1048576,13,)</f>
        <v>42353</v>
      </c>
      <c r="L166" s="615">
        <v>43830</v>
      </c>
      <c r="M166" s="599">
        <f>DATEDIF(Table1[[#This Row],[تاريخ التعيين]],Table1[[#This Row],[اخر العام]],"y")</f>
        <v>4</v>
      </c>
      <c r="N166" s="599">
        <f>DATEDIF(Table1[[#This Row],[تاريخ التعيين]],Table1[[#This Row],[اخر العام]],"ym")</f>
        <v>0</v>
      </c>
      <c r="O166" s="610">
        <f>Table1[[#This Row],[سنوات الخدمه]]*1+Table1[[#This Row],[الشهور اقل من سنه]]*0.08</f>
        <v>4</v>
      </c>
      <c r="P166" s="616">
        <v>5100</v>
      </c>
      <c r="Q166" s="617">
        <v>306</v>
      </c>
      <c r="R166" s="612"/>
      <c r="S166" s="599"/>
      <c r="T166" s="612"/>
      <c r="U166" s="612"/>
      <c r="V166" s="612"/>
      <c r="W166" s="612"/>
      <c r="X166" s="612"/>
      <c r="Y166" s="612"/>
      <c r="Z166" s="612"/>
      <c r="AA16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6" s="612"/>
      <c r="AC166" s="599"/>
      <c r="AD166" s="612"/>
      <c r="AE166" s="612"/>
      <c r="AF166" s="612"/>
      <c r="AG166" s="612"/>
      <c r="AH166" s="619">
        <f>SUM(Table1[[#This Row],[التقييد  باللوائح و تنفيذالتوجيه]:[اتباع اجراءات السلامه]])</f>
        <v>0</v>
      </c>
      <c r="AI166" s="619">
        <f>Table1[[#This Row],[المجموع]]+Table1[[#This Row],[المجموع2]]</f>
        <v>0</v>
      </c>
      <c r="AJ166" s="612">
        <v>10</v>
      </c>
      <c r="AK166" s="612"/>
      <c r="AL166" s="612"/>
      <c r="AM166" s="612">
        <v>6</v>
      </c>
      <c r="AN166" s="612"/>
      <c r="AO166" s="606">
        <f>Table1[[#This Row],[المجموع 1+2]]*$AO$2</f>
        <v>0</v>
      </c>
      <c r="AP166" s="648">
        <f>Table1[[#This Row],[راتب ديسمبر 2019]]*Table1[[#This Row],[نسبه التقييم الرئيسي 2018]]%</f>
        <v>0</v>
      </c>
      <c r="AQ166" s="627">
        <f>Table1[[#This Row],[مبلغ التقييم النسبي 2018]]+Table1[[#This Row],[راتب ديسمبر 2019]]</f>
        <v>5100</v>
      </c>
      <c r="AR166" s="611">
        <f>IF(Table1[[#This Row],[Column3]]&lt;0,0,Table1[[#This Row],[Column3]])</f>
        <v>5900</v>
      </c>
      <c r="AS166" s="599">
        <f>VLOOKUP(Table1[[#This Row],[درجه التوسيط]],Table10[],3,)</f>
        <v>11000</v>
      </c>
      <c r="AT166" s="608">
        <f>Table1[[#This Row],[الراتب 2018+النسبه]]+Table1[[#This Row],[فروقات الحد الادني]]</f>
        <v>11000</v>
      </c>
      <c r="AU166" s="629">
        <f>Table1[[#This Row],[الراتب 2018 + النسبه + الفرق]]-Table1[[#This Row],[راتب ديسمبر 2019]]</f>
        <v>5900</v>
      </c>
      <c r="AV166" s="628">
        <f>Table1[[#This Row],[الزياده]]/Table1[[#This Row],[راتب ديسمبر 2019]]%</f>
        <v>115.68627450980392</v>
      </c>
      <c r="AW166" s="659">
        <f>IF(Table1[[#This Row],[Column4]]&lt;0,0,Table1[[#This Row],[Column4]])</f>
        <v>707.19999999999982</v>
      </c>
      <c r="AX166" s="611">
        <f>Table1[[#This Row],[الجبر حتي]]-Table1[[#This Row],[رن]]</f>
        <v>0</v>
      </c>
      <c r="AY166" s="611">
        <f>Table1[[#This Row],[الزياده]]+Table1[[#This Row],[التعديل]]+Table1[[#This Row],[جبر الرقم]]</f>
        <v>6607.2</v>
      </c>
      <c r="AZ166" s="611">
        <f>Table1[[#This Row],[الراتب 2018 + النسبه + الفرق]]+Table1[[#This Row],[جبر الرقم]]+Table1[[#This Row],[التعديل]]</f>
        <v>11707.2</v>
      </c>
      <c r="BA166" s="631">
        <f>Table1[[#This Row],[الزياده النهائيه]]/Table1[[#This Row],[راتب ديسمبر 2019]]%</f>
        <v>129.5529411764706</v>
      </c>
      <c r="BB166" s="612">
        <f>VLOOKUP(Table1[[#This Row],[الرقم الوظيفي]],Table6[],8,)</f>
        <v>5100</v>
      </c>
      <c r="BC166" s="7">
        <v>8500</v>
      </c>
      <c r="BD166" s="7">
        <v>8500</v>
      </c>
      <c r="BE166" s="7">
        <v>8500</v>
      </c>
      <c r="BF166" s="5">
        <f>Table1[[#This Row],[الحد الادني]]-Table1[[#This Row],[الراتب 2018+النسبه]]</f>
        <v>5900</v>
      </c>
      <c r="BG166" s="5">
        <f>Table1[[#This Row],[التعديل حتي]]-Table1[[#This Row],[kkk]]</f>
        <v>707.19999999999982</v>
      </c>
      <c r="BH166" s="5">
        <v>7792.8</v>
      </c>
      <c r="BI166" s="5"/>
    </row>
    <row r="167" spans="1:61" ht="21" customHeight="1">
      <c r="A167" s="602">
        <v>856</v>
      </c>
      <c r="B167" s="618" t="str">
        <f>VLOOKUP(Table1[[#This Row],[الرقم الوظيفي]],[1]Sheet2!$1:$1048576,2,)</f>
        <v>محمد يوسف محمد يوسف</v>
      </c>
      <c r="C167" s="618" t="str">
        <f>VLOOKUP(Table1[[#This Row],[الرقم الوظيفي]],[1]Sheet2!$1:$1048576,7,)</f>
        <v>المصنع</v>
      </c>
      <c r="D167" s="618" t="str">
        <f>VLOOKUP(Table1[[#This Row],[الرقم الوظيفي]],[1]Sheet2!$1:$1048576,8,)</f>
        <v>الانتاج</v>
      </c>
      <c r="E167" s="599" t="str">
        <f>VLOOKUP(Table1[[#This Row],[الرقم الوظيفي]],[1]Sheet2!$1:$1048576,9,)</f>
        <v>التشريح</v>
      </c>
      <c r="F167" s="599" t="str">
        <f>VLOOKUP(Table1[[#This Row],[الرقم الوظيفي]],[1]Sheet2!$1:$1048576,12,)</f>
        <v>مشغل</v>
      </c>
      <c r="G167" s="599" t="str">
        <f>VLOOKUP(Table1[[#This Row],[الرقم الوظيفي]],[1]Sheet2!$1:$1048576,72,)</f>
        <v>دبلوم تقني</v>
      </c>
      <c r="H167" s="599" t="str">
        <f>VLOOKUP(Table1[[#This Row],[الرقم الوظيفي]],[1]Sheet2!$1:$1048576,71,)</f>
        <v>هندسة ميكانيكية ( إنتاج )</v>
      </c>
      <c r="I167" s="599" t="str">
        <f>VLOOKUP(Table1[[#This Row],[المؤهل الرئيسي]],Table4[],3,)</f>
        <v>D</v>
      </c>
      <c r="J167" s="599" t="s">
        <v>922</v>
      </c>
      <c r="K167" s="615">
        <f>VLOOKUP(Table1[[#This Row],[الرقم الوظيفي]],[1]Sheet2!$1:$1048576,13,)</f>
        <v>42372</v>
      </c>
      <c r="L167" s="615">
        <v>43830</v>
      </c>
      <c r="M167" s="599">
        <f>DATEDIF(Table1[[#This Row],[تاريخ التعيين]],Table1[[#This Row],[اخر العام]],"y")</f>
        <v>3</v>
      </c>
      <c r="N167" s="599">
        <f>DATEDIF(Table1[[#This Row],[تاريخ التعيين]],Table1[[#This Row],[اخر العام]],"ym")</f>
        <v>11</v>
      </c>
      <c r="O167" s="610">
        <f>Table1[[#This Row],[سنوات الخدمه]]*1+Table1[[#This Row],[الشهور اقل من سنه]]*0.08</f>
        <v>3.88</v>
      </c>
      <c r="P167" s="616">
        <v>5550</v>
      </c>
      <c r="Q167" s="617">
        <v>319.68</v>
      </c>
      <c r="R167" s="612"/>
      <c r="S167" s="599"/>
      <c r="T167" s="612"/>
      <c r="U167" s="612"/>
      <c r="V167" s="612"/>
      <c r="W167" s="612"/>
      <c r="X167" s="612"/>
      <c r="Y167" s="612"/>
      <c r="Z167" s="612"/>
      <c r="AA16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7" s="612"/>
      <c r="AC167" s="599"/>
      <c r="AD167" s="612"/>
      <c r="AE167" s="612"/>
      <c r="AF167" s="612"/>
      <c r="AG167" s="612"/>
      <c r="AH167" s="619">
        <f>SUM(Table1[[#This Row],[التقييد  باللوائح و تنفيذالتوجيه]:[اتباع اجراءات السلامه]])</f>
        <v>0</v>
      </c>
      <c r="AI167" s="619">
        <f>Table1[[#This Row],[المجموع]]+Table1[[#This Row],[المجموع2]]</f>
        <v>0</v>
      </c>
      <c r="AJ167" s="612"/>
      <c r="AK167" s="612"/>
      <c r="AL167" s="612"/>
      <c r="AM167" s="612"/>
      <c r="AN167" s="612"/>
      <c r="AO167" s="606">
        <f>Table1[[#This Row],[المجموع 1+2]]*$AO$2</f>
        <v>0</v>
      </c>
      <c r="AP167" s="648">
        <f>Table1[[#This Row],[راتب ديسمبر 2019]]*Table1[[#This Row],[نسبه التقييم الرئيسي 2018]]%</f>
        <v>0</v>
      </c>
      <c r="AQ167" s="627">
        <f>Table1[[#This Row],[مبلغ التقييم النسبي 2018]]+Table1[[#This Row],[راتب ديسمبر 2019]]</f>
        <v>5550</v>
      </c>
      <c r="AR167" s="611">
        <f>IF(Table1[[#This Row],[Column3]]&lt;0,0,Table1[[#This Row],[Column3]])</f>
        <v>5450</v>
      </c>
      <c r="AS167" s="599">
        <f>VLOOKUP(Table1[[#This Row],[درجه التوسيط]],Table10[],3,)</f>
        <v>11000</v>
      </c>
      <c r="AT167" s="608">
        <f>Table1[[#This Row],[الراتب 2018+النسبه]]+Table1[[#This Row],[فروقات الحد الادني]]</f>
        <v>11000</v>
      </c>
      <c r="AU167" s="629">
        <f>Table1[[#This Row],[الراتب 2018 + النسبه + الفرق]]-Table1[[#This Row],[راتب ديسمبر 2019]]</f>
        <v>5450</v>
      </c>
      <c r="AV167" s="628">
        <f>Table1[[#This Row],[الزياده]]/Table1[[#This Row],[راتب ديسمبر 2019]]%</f>
        <v>98.198198198198199</v>
      </c>
      <c r="AW167" s="659">
        <f>IF(Table1[[#This Row],[Column4]]&lt;0,0,Table1[[#This Row],[Column4]])</f>
        <v>286.5</v>
      </c>
      <c r="AX167" s="611">
        <f>Table1[[#This Row],[الجبر حتي]]-Table1[[#This Row],[رن]]</f>
        <v>0</v>
      </c>
      <c r="AY167" s="611">
        <f>Table1[[#This Row],[الزياده]]+Table1[[#This Row],[التعديل]]+Table1[[#This Row],[جبر الرقم]]</f>
        <v>5736.5</v>
      </c>
      <c r="AZ167" s="611">
        <f>Table1[[#This Row],[الراتب 2018 + النسبه + الفرق]]+Table1[[#This Row],[جبر الرقم]]+Table1[[#This Row],[التعديل]]</f>
        <v>11286.5</v>
      </c>
      <c r="BA167" s="631">
        <f>Table1[[#This Row],[الزياده النهائيه]]/Table1[[#This Row],[راتب ديسمبر 2019]]%</f>
        <v>103.36036036036036</v>
      </c>
      <c r="BB167" s="612">
        <f>VLOOKUP(Table1[[#This Row],[الرقم الوظيفي]],Table6[],8,)</f>
        <v>5550</v>
      </c>
      <c r="BC167" s="7">
        <v>9000</v>
      </c>
      <c r="BD167" s="7">
        <v>9000</v>
      </c>
      <c r="BE167" s="7">
        <v>9000</v>
      </c>
      <c r="BF167" s="5">
        <f>Table1[[#This Row],[الحد الادني]]-Table1[[#This Row],[الراتب 2018+النسبه]]</f>
        <v>5450</v>
      </c>
      <c r="BG167" s="5">
        <f>Table1[[#This Row],[التعديل حتي]]-Table1[[#This Row],[kkk]]</f>
        <v>286.5</v>
      </c>
      <c r="BH167" s="5">
        <v>8713.5</v>
      </c>
      <c r="BI167" s="5"/>
    </row>
    <row r="168" spans="1:61" ht="21" customHeight="1">
      <c r="A168" s="602">
        <v>857</v>
      </c>
      <c r="B168" s="618" t="str">
        <f>VLOOKUP(Table1[[#This Row],[الرقم الوظيفي]],[1]Sheet2!$1:$1048576,2,)</f>
        <v>سبت على جابر اوش</v>
      </c>
      <c r="C168" s="618" t="str">
        <f>VLOOKUP(Table1[[#This Row],[الرقم الوظيفي]],[1]Sheet2!$1:$1048576,7,)</f>
        <v>المصنع</v>
      </c>
      <c r="D168" s="618" t="str">
        <f>VLOOKUP(Table1[[#This Row],[الرقم الوظيفي]],[1]Sheet2!$1:$1048576,8,)</f>
        <v>الامن و الحركه</v>
      </c>
      <c r="E168" s="599" t="str">
        <f>VLOOKUP(Table1[[#This Row],[الرقم الوظيفي]],[1]Sheet2!$1:$1048576,9,)</f>
        <v>الحركه</v>
      </c>
      <c r="F168" s="599" t="str">
        <f>VLOOKUP(Table1[[#This Row],[الرقم الوظيفي]],[1]Sheet2!$1:$1048576,12,)</f>
        <v>سائق</v>
      </c>
      <c r="G168" s="599">
        <f>VLOOKUP(Table1[[#This Row],[الرقم الوظيفي]],[1]Sheet2!$1:$1048576,72,)</f>
        <v>0</v>
      </c>
      <c r="H168" s="599">
        <f>VLOOKUP(Table1[[#This Row],[الرقم الوظيفي]],[1]Sheet2!$1:$1048576,71,)</f>
        <v>0</v>
      </c>
      <c r="I168" s="599" t="str">
        <f>VLOOKUP(Table1[[#This Row],[المؤهل الرئيسي]],Table4[],3,)</f>
        <v>H</v>
      </c>
      <c r="J168" s="599" t="s">
        <v>924</v>
      </c>
      <c r="K168" s="615">
        <f>VLOOKUP(Table1[[#This Row],[الرقم الوظيفي]],[1]Sheet2!$1:$1048576,13,)</f>
        <v>42386</v>
      </c>
      <c r="L168" s="615">
        <v>43830</v>
      </c>
      <c r="M168" s="599">
        <f>DATEDIF(Table1[[#This Row],[تاريخ التعيين]],Table1[[#This Row],[اخر العام]],"y")</f>
        <v>3</v>
      </c>
      <c r="N168" s="599">
        <f>DATEDIF(Table1[[#This Row],[تاريخ التعيين]],Table1[[#This Row],[اخر العام]],"ym")</f>
        <v>11</v>
      </c>
      <c r="O168" s="610">
        <f>Table1[[#This Row],[سنوات الخدمه]]*1+Table1[[#This Row],[الشهور اقل من سنه]]*0.08</f>
        <v>3.88</v>
      </c>
      <c r="P168" s="616">
        <v>4080</v>
      </c>
      <c r="Q168" s="617">
        <v>235.00800000000001</v>
      </c>
      <c r="R168" s="612"/>
      <c r="S168" s="599"/>
      <c r="T168" s="612"/>
      <c r="U168" s="612"/>
      <c r="V168" s="612"/>
      <c r="W168" s="612"/>
      <c r="X168" s="612"/>
      <c r="Y168" s="612"/>
      <c r="Z168" s="612"/>
      <c r="AA16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8" s="612"/>
      <c r="AC168" s="599"/>
      <c r="AD168" s="612"/>
      <c r="AE168" s="612"/>
      <c r="AF168" s="612"/>
      <c r="AG168" s="612"/>
      <c r="AH168" s="619">
        <f>SUM(Table1[[#This Row],[التقييد  باللوائح و تنفيذالتوجيه]:[اتباع اجراءات السلامه]])</f>
        <v>0</v>
      </c>
      <c r="AI168" s="619">
        <f>Table1[[#This Row],[المجموع]]+Table1[[#This Row],[المجموع2]]</f>
        <v>0</v>
      </c>
      <c r="AJ168" s="612">
        <v>10</v>
      </c>
      <c r="AK168" s="612"/>
      <c r="AL168" s="612"/>
      <c r="AM168" s="612">
        <v>8</v>
      </c>
      <c r="AN168" s="612"/>
      <c r="AO168" s="606">
        <f>Table1[[#This Row],[المجموع 1+2]]*$AO$2</f>
        <v>0</v>
      </c>
      <c r="AP168" s="648">
        <f>Table1[[#This Row],[راتب ديسمبر 2019]]*Table1[[#This Row],[نسبه التقييم الرئيسي 2018]]%</f>
        <v>0</v>
      </c>
      <c r="AQ168" s="627">
        <f>Table1[[#This Row],[مبلغ التقييم النسبي 2018]]+Table1[[#This Row],[راتب ديسمبر 2019]]</f>
        <v>4080</v>
      </c>
      <c r="AR168" s="611">
        <f>IF(Table1[[#This Row],[Column3]]&lt;0,0,Table1[[#This Row],[Column3]])</f>
        <v>4920</v>
      </c>
      <c r="AS168" s="599">
        <f>VLOOKUP(Table1[[#This Row],[درجه التوسيط]],Table10[],3,)</f>
        <v>9000</v>
      </c>
      <c r="AT168" s="608">
        <f>Table1[[#This Row],[الراتب 2018+النسبه]]+Table1[[#This Row],[فروقات الحد الادني]]</f>
        <v>9000</v>
      </c>
      <c r="AU168" s="629">
        <f>Table1[[#This Row],[الراتب 2018 + النسبه + الفرق]]-Table1[[#This Row],[راتب ديسمبر 2019]]</f>
        <v>4920</v>
      </c>
      <c r="AV168" s="628">
        <f>Table1[[#This Row],[الزياده]]/Table1[[#This Row],[راتب ديسمبر 2019]]%</f>
        <v>120.58823529411765</v>
      </c>
      <c r="AW168" s="659">
        <f>IF(Table1[[#This Row],[Column4]]&lt;0,0,Table1[[#This Row],[Column4]])</f>
        <v>0</v>
      </c>
      <c r="AX168" s="611">
        <f>Table1[[#This Row],[الجبر حتي]]-Table1[[#This Row],[رن]]</f>
        <v>3.3600000000005821</v>
      </c>
      <c r="AY168" s="611">
        <f>Table1[[#This Row],[الزياده]]+Table1[[#This Row],[التعديل]]+Table1[[#This Row],[جبر الرقم]]</f>
        <v>4923.3600000000006</v>
      </c>
      <c r="AZ168" s="611">
        <f>Table1[[#This Row],[الراتب 2018 + النسبه + الفرق]]+Table1[[#This Row],[جبر الرقم]]+Table1[[#This Row],[التعديل]]</f>
        <v>9003.36</v>
      </c>
      <c r="BA168" s="631">
        <f>Table1[[#This Row],[الزياده النهائيه]]/Table1[[#This Row],[راتب ديسمبر 2019]]%</f>
        <v>120.67058823529415</v>
      </c>
      <c r="BB168" s="612">
        <f>VLOOKUP(Table1[[#This Row],[الرقم الوظيفي]],Table6[],8,)</f>
        <v>4080</v>
      </c>
      <c r="BC168" s="7"/>
      <c r="BD168" s="7">
        <v>6360</v>
      </c>
      <c r="BE168" s="7">
        <v>6356.6399999999994</v>
      </c>
      <c r="BF168" s="5">
        <f>Table1[[#This Row],[الحد الادني]]-Table1[[#This Row],[الراتب 2018+النسبه]]</f>
        <v>4920</v>
      </c>
      <c r="BG168" s="5">
        <f>Table1[[#This Row],[التعديل حتي]]-Table1[[#This Row],[kkk]]</f>
        <v>-6356.6399999999994</v>
      </c>
      <c r="BH168" s="5">
        <v>6356.6399999999994</v>
      </c>
      <c r="BI168" s="5"/>
    </row>
    <row r="169" spans="1:61" ht="21" customHeight="1">
      <c r="A169" s="602">
        <v>859</v>
      </c>
      <c r="B169" s="618" t="str">
        <f>VLOOKUP(Table1[[#This Row],[الرقم الوظيفي]],[1]Sheet2!$1:$1048576,2,)</f>
        <v>صلاح الدين بشير احمد</v>
      </c>
      <c r="C169" s="618" t="str">
        <f>VLOOKUP(Table1[[#This Row],[الرقم الوظيفي]],[1]Sheet2!$1:$1048576,7,)</f>
        <v>المصنع</v>
      </c>
      <c r="D169" s="618" t="str">
        <f>VLOOKUP(Table1[[#This Row],[الرقم الوظيفي]],[1]Sheet2!$1:$1048576,8,)</f>
        <v>الامن و الحركه</v>
      </c>
      <c r="E169" s="599" t="str">
        <f>VLOOKUP(Table1[[#This Row],[الرقم الوظيفي]],[1]Sheet2!$1:$1048576,9,)</f>
        <v>الحركه</v>
      </c>
      <c r="F169" s="599" t="str">
        <f>VLOOKUP(Table1[[#This Row],[الرقم الوظيفي]],[1]Sheet2!$1:$1048576,12,)</f>
        <v>سائق</v>
      </c>
      <c r="G169" s="599">
        <f>VLOOKUP(Table1[[#This Row],[الرقم الوظيفي]],[1]Sheet2!$1:$1048576,72,)</f>
        <v>0</v>
      </c>
      <c r="H169" s="599">
        <f>VLOOKUP(Table1[[#This Row],[الرقم الوظيفي]],[1]Sheet2!$1:$1048576,71,)</f>
        <v>0</v>
      </c>
      <c r="I169" s="599" t="str">
        <f>VLOOKUP(Table1[[#This Row],[المؤهل الرئيسي]],Table4[],3,)</f>
        <v>H</v>
      </c>
      <c r="J169" s="599" t="s">
        <v>924</v>
      </c>
      <c r="K169" s="615">
        <f>VLOOKUP(Table1[[#This Row],[الرقم الوظيفي]],[1]Sheet2!$1:$1048576,13,)</f>
        <v>42401</v>
      </c>
      <c r="L169" s="615">
        <v>43830</v>
      </c>
      <c r="M169" s="599">
        <f>DATEDIF(Table1[[#This Row],[تاريخ التعيين]],Table1[[#This Row],[اخر العام]],"y")</f>
        <v>3</v>
      </c>
      <c r="N169" s="599">
        <f>DATEDIF(Table1[[#This Row],[تاريخ التعيين]],Table1[[#This Row],[اخر العام]],"ym")</f>
        <v>10</v>
      </c>
      <c r="O169" s="610">
        <f>Table1[[#This Row],[سنوات الخدمه]]*1+Table1[[#This Row],[الشهور اقل من سنه]]*0.08</f>
        <v>3.8</v>
      </c>
      <c r="P169" s="616">
        <v>4080</v>
      </c>
      <c r="Q169" s="617">
        <v>228.48</v>
      </c>
      <c r="R169" s="612"/>
      <c r="S169" s="599"/>
      <c r="T169" s="612"/>
      <c r="U169" s="612"/>
      <c r="V169" s="612"/>
      <c r="W169" s="612"/>
      <c r="X169" s="612"/>
      <c r="Y169" s="612"/>
      <c r="Z169" s="612"/>
      <c r="AA16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69" s="612"/>
      <c r="AC169" s="599"/>
      <c r="AD169" s="612"/>
      <c r="AE169" s="612"/>
      <c r="AF169" s="612"/>
      <c r="AG169" s="612"/>
      <c r="AH169" s="619">
        <f>SUM(Table1[[#This Row],[التقييد  باللوائح و تنفيذالتوجيه]:[اتباع اجراءات السلامه]])</f>
        <v>0</v>
      </c>
      <c r="AI169" s="619">
        <f>Table1[[#This Row],[المجموع]]+Table1[[#This Row],[المجموع2]]</f>
        <v>0</v>
      </c>
      <c r="AJ169" s="612"/>
      <c r="AK169" s="612"/>
      <c r="AL169" s="612"/>
      <c r="AM169" s="612"/>
      <c r="AN169" s="612"/>
      <c r="AO169" s="606">
        <f>Table1[[#This Row],[المجموع 1+2]]*$AO$2</f>
        <v>0</v>
      </c>
      <c r="AP169" s="648">
        <f>Table1[[#This Row],[راتب ديسمبر 2019]]*Table1[[#This Row],[نسبه التقييم الرئيسي 2018]]%</f>
        <v>0</v>
      </c>
      <c r="AQ169" s="627">
        <f>Table1[[#This Row],[مبلغ التقييم النسبي 2018]]+Table1[[#This Row],[راتب ديسمبر 2019]]</f>
        <v>4080</v>
      </c>
      <c r="AR169" s="611">
        <f>IF(Table1[[#This Row],[Column3]]&lt;0,0,Table1[[#This Row],[Column3]])</f>
        <v>4920</v>
      </c>
      <c r="AS169" s="599">
        <f>VLOOKUP(Table1[[#This Row],[درجه التوسيط]],Table10[],3,)</f>
        <v>9000</v>
      </c>
      <c r="AT169" s="608">
        <f>Table1[[#This Row],[الراتب 2018+النسبه]]+Table1[[#This Row],[فروقات الحد الادني]]</f>
        <v>9000</v>
      </c>
      <c r="AU169" s="629">
        <f>Table1[[#This Row],[الراتب 2018 + النسبه + الفرق]]-Table1[[#This Row],[راتب ديسمبر 2019]]</f>
        <v>4920</v>
      </c>
      <c r="AV169" s="628">
        <f>Table1[[#This Row],[الزياده]]/Table1[[#This Row],[راتب ديسمبر 2019]]%</f>
        <v>120.58823529411765</v>
      </c>
      <c r="AW169" s="659">
        <f>IF(Table1[[#This Row],[Column4]]&lt;0,0,Table1[[#This Row],[Column4]])</f>
        <v>0</v>
      </c>
      <c r="AX169" s="611">
        <f>Table1[[#This Row],[الجبر حتي]]-Table1[[#This Row],[رن]]</f>
        <v>6.4799999999995634</v>
      </c>
      <c r="AY169" s="611">
        <f>Table1[[#This Row],[الزياده]]+Table1[[#This Row],[التعديل]]+Table1[[#This Row],[جبر الرقم]]</f>
        <v>4926.4799999999996</v>
      </c>
      <c r="AZ169" s="611">
        <f>Table1[[#This Row],[الراتب 2018 + النسبه + الفرق]]+Table1[[#This Row],[جبر الرقم]]+Table1[[#This Row],[التعديل]]</f>
        <v>9006.48</v>
      </c>
      <c r="BA169" s="631">
        <f>Table1[[#This Row],[الزياده النهائيه]]/Table1[[#This Row],[راتب ديسمبر 2019]]%</f>
        <v>120.74705882352941</v>
      </c>
      <c r="BB169" s="612">
        <f>VLOOKUP(Table1[[#This Row],[الرقم الوظيفي]],Table6[],8,)</f>
        <v>4080</v>
      </c>
      <c r="BC169" s="7"/>
      <c r="BD169" s="7">
        <v>6510</v>
      </c>
      <c r="BE169" s="7">
        <v>6503.52</v>
      </c>
      <c r="BF169" s="5">
        <f>Table1[[#This Row],[الحد الادني]]-Table1[[#This Row],[الراتب 2018+النسبه]]</f>
        <v>4920</v>
      </c>
      <c r="BG169" s="5">
        <f>Table1[[#This Row],[التعديل حتي]]-Table1[[#This Row],[kkk]]</f>
        <v>-6503.52</v>
      </c>
      <c r="BH169" s="5">
        <v>6503.52</v>
      </c>
      <c r="BI169" s="5"/>
    </row>
    <row r="170" spans="1:61" ht="21" customHeight="1">
      <c r="A170" s="602">
        <v>860</v>
      </c>
      <c r="B170" s="618" t="str">
        <f>VLOOKUP(Table1[[#This Row],[الرقم الوظيفي]],[1]Sheet2!$1:$1048576,2,)</f>
        <v>محمد الحاج عبدالله التوم</v>
      </c>
      <c r="C170" s="618" t="str">
        <f>VLOOKUP(Table1[[#This Row],[الرقم الوظيفي]],[1]Sheet2!$1:$1048576,7,)</f>
        <v>المصنع</v>
      </c>
      <c r="D170" s="618" t="str">
        <f>VLOOKUP(Table1[[#This Row],[الرقم الوظيفي]],[1]Sheet2!$1:$1048576,8,)</f>
        <v>الانتاج</v>
      </c>
      <c r="E170" s="599" t="str">
        <f>VLOOKUP(Table1[[#This Row],[الرقم الوظيفي]],[1]Sheet2!$1:$1048576,9,)</f>
        <v>المواسير</v>
      </c>
      <c r="F170" s="599" t="str">
        <f>VLOOKUP(Table1[[#This Row],[الرقم الوظيفي]],[1]Sheet2!$1:$1048576,12,)</f>
        <v>عامل</v>
      </c>
      <c r="G170" s="599">
        <f>VLOOKUP(Table1[[#This Row],[الرقم الوظيفي]],[1]Sheet2!$1:$1048576,72,)</f>
        <v>0</v>
      </c>
      <c r="H170" s="599">
        <f>VLOOKUP(Table1[[#This Row],[الرقم الوظيفي]],[1]Sheet2!$1:$1048576,71,)</f>
        <v>0</v>
      </c>
      <c r="I170" s="599" t="str">
        <f>VLOOKUP(Table1[[#This Row],[المؤهل الرئيسي]],Table4[],3,)</f>
        <v>H</v>
      </c>
      <c r="J170" s="599" t="s">
        <v>929</v>
      </c>
      <c r="K170" s="615">
        <f>VLOOKUP(Table1[[#This Row],[الرقم الوظيفي]],[1]Sheet2!$1:$1048576,13,)</f>
        <v>42919</v>
      </c>
      <c r="L170" s="615">
        <v>43830</v>
      </c>
      <c r="M170" s="599">
        <f>DATEDIF(Table1[[#This Row],[تاريخ التعيين]],Table1[[#This Row],[اخر العام]],"y")</f>
        <v>2</v>
      </c>
      <c r="N170" s="599">
        <f>DATEDIF(Table1[[#This Row],[تاريخ التعيين]],Table1[[#This Row],[اخر العام]],"ym")</f>
        <v>5</v>
      </c>
      <c r="O170" s="610">
        <f>Table1[[#This Row],[سنوات الخدمه]]*1+Table1[[#This Row],[الشهور اقل من سنه]]*0.08</f>
        <v>2.4</v>
      </c>
      <c r="P170" s="616">
        <v>3020</v>
      </c>
      <c r="Q170" s="617">
        <v>84.56</v>
      </c>
      <c r="R170" s="612"/>
      <c r="S170" s="599"/>
      <c r="T170" s="612"/>
      <c r="U170" s="612"/>
      <c r="V170" s="612"/>
      <c r="W170" s="612"/>
      <c r="X170" s="612"/>
      <c r="Y170" s="612"/>
      <c r="Z170" s="612"/>
      <c r="AA17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0" s="612"/>
      <c r="AC170" s="599"/>
      <c r="AD170" s="612"/>
      <c r="AE170" s="612"/>
      <c r="AF170" s="612"/>
      <c r="AG170" s="612"/>
      <c r="AH170" s="619">
        <f>SUM(Table1[[#This Row],[التقييد  باللوائح و تنفيذالتوجيه]:[اتباع اجراءات السلامه]])</f>
        <v>0</v>
      </c>
      <c r="AI170" s="619">
        <f>Table1[[#This Row],[المجموع]]+Table1[[#This Row],[المجموع2]]</f>
        <v>0</v>
      </c>
      <c r="AJ170" s="612"/>
      <c r="AK170" s="612"/>
      <c r="AL170" s="612"/>
      <c r="AM170" s="612"/>
      <c r="AN170" s="612"/>
      <c r="AO170" s="606">
        <f>Table1[[#This Row],[المجموع 1+2]]*$AO$2</f>
        <v>0</v>
      </c>
      <c r="AP170" s="648">
        <f>Table1[[#This Row],[راتب ديسمبر 2019]]*Table1[[#This Row],[نسبه التقييم الرئيسي 2018]]%</f>
        <v>0</v>
      </c>
      <c r="AQ170" s="627">
        <f>Table1[[#This Row],[مبلغ التقييم النسبي 2018]]+Table1[[#This Row],[راتب ديسمبر 2019]]</f>
        <v>3020</v>
      </c>
      <c r="AR170" s="611">
        <f>IF(Table1[[#This Row],[Column3]]&lt;0,0,Table1[[#This Row],[Column3]])</f>
        <v>2980</v>
      </c>
      <c r="AS170" s="599">
        <f>VLOOKUP(Table1[[#This Row],[درجه التوسيط]],Table10[],3,)</f>
        <v>6000</v>
      </c>
      <c r="AT170" s="608">
        <f>Table1[[#This Row],[الراتب 2018+النسبه]]+Table1[[#This Row],[فروقات الحد الادني]]</f>
        <v>6000</v>
      </c>
      <c r="AU170" s="629">
        <f>Table1[[#This Row],[الراتب 2018 + النسبه + الفرق]]-Table1[[#This Row],[راتب ديسمبر 2019]]</f>
        <v>2980</v>
      </c>
      <c r="AV170" s="628">
        <f>Table1[[#This Row],[الزياده]]/Table1[[#This Row],[راتب ديسمبر 2019]]%</f>
        <v>98.675496688741731</v>
      </c>
      <c r="AW170" s="659">
        <f>IF(Table1[[#This Row],[Column4]]&lt;0,0,Table1[[#This Row],[Column4]])</f>
        <v>0</v>
      </c>
      <c r="AX170" s="611">
        <f>Table1[[#This Row],[الجبر حتي]]-Table1[[#This Row],[رن]]</f>
        <v>0</v>
      </c>
      <c r="AY170" s="611">
        <f>Table1[[#This Row],[الزياده]]+Table1[[#This Row],[التعديل]]+Table1[[#This Row],[جبر الرقم]]</f>
        <v>2980</v>
      </c>
      <c r="AZ170" s="611">
        <f>Table1[[#This Row],[الراتب 2018 + النسبه + الفرق]]+Table1[[#This Row],[جبر الرقم]]+Table1[[#This Row],[التعديل]]</f>
        <v>6000</v>
      </c>
      <c r="BA170" s="631">
        <f>Table1[[#This Row],[الزياده النهائيه]]/Table1[[#This Row],[راتب ديسمبر 2019]]%</f>
        <v>98.675496688741731</v>
      </c>
      <c r="BB170" s="612">
        <f>VLOOKUP(Table1[[#This Row],[الرقم الوظيفي]],Table6[],8,)</f>
        <v>3020</v>
      </c>
      <c r="BC170" s="7"/>
      <c r="BD170" s="7">
        <v>4500</v>
      </c>
      <c r="BE170" s="7">
        <v>4500</v>
      </c>
      <c r="BF170" s="5">
        <f>Table1[[#This Row],[الحد الادني]]-Table1[[#This Row],[الراتب 2018+النسبه]]</f>
        <v>2980</v>
      </c>
      <c r="BG170" s="5">
        <f>Table1[[#This Row],[التعديل حتي]]-Table1[[#This Row],[kkk]]</f>
        <v>-4500</v>
      </c>
      <c r="BH170" s="5">
        <v>4500</v>
      </c>
      <c r="BI170" s="5"/>
    </row>
    <row r="171" spans="1:61" ht="21" customHeight="1">
      <c r="A171" s="602">
        <v>862</v>
      </c>
      <c r="B171" s="618" t="str">
        <f>VLOOKUP(Table1[[#This Row],[الرقم الوظيفي]],[1]Sheet2!$1:$1048576,2,)</f>
        <v>على محمد المهدى سعيد</v>
      </c>
      <c r="C171" s="618" t="str">
        <f>VLOOKUP(Table1[[#This Row],[الرقم الوظيفي]],[1]Sheet2!$1:$1048576,7,)</f>
        <v>المصنع</v>
      </c>
      <c r="D171" s="618" t="str">
        <f>VLOOKUP(Table1[[#This Row],[الرقم الوظيفي]],[1]Sheet2!$1:$1048576,8,)</f>
        <v>الانتاج</v>
      </c>
      <c r="E171" s="599" t="str">
        <f>VLOOKUP(Table1[[#This Row],[الرقم الوظيفي]],[1]Sheet2!$1:$1048576,9,)</f>
        <v>المواسير</v>
      </c>
      <c r="F171" s="599" t="str">
        <f>VLOOKUP(Table1[[#This Row],[الرقم الوظيفي]],[1]Sheet2!$1:$1048576,12,)</f>
        <v>مشغل كرين</v>
      </c>
      <c r="G171" s="599" t="str">
        <f>VLOOKUP(Table1[[#This Row],[الرقم الوظيفي]],[1]Sheet2!$1:$1048576,72,)</f>
        <v>شهاده ثانويه</v>
      </c>
      <c r="H171" s="599">
        <f>VLOOKUP(Table1[[#This Row],[الرقم الوظيفي]],[1]Sheet2!$1:$1048576,71,)</f>
        <v>0</v>
      </c>
      <c r="I171" s="599" t="str">
        <f>VLOOKUP(Table1[[#This Row],[المؤهل الرئيسي]],Table4[],3,)</f>
        <v>F</v>
      </c>
      <c r="J171" s="599" t="s">
        <v>42</v>
      </c>
      <c r="K171" s="615">
        <f>VLOOKUP(Table1[[#This Row],[الرقم الوظيفي]],[1]Sheet2!$1:$1048576,13,)</f>
        <v>42404</v>
      </c>
      <c r="L171" s="615">
        <v>43830</v>
      </c>
      <c r="M171" s="599">
        <f>DATEDIF(Table1[[#This Row],[تاريخ التعيين]],Table1[[#This Row],[اخر العام]],"y")</f>
        <v>3</v>
      </c>
      <c r="N171" s="599">
        <f>DATEDIF(Table1[[#This Row],[تاريخ التعيين]],Table1[[#This Row],[اخر العام]],"ym")</f>
        <v>10</v>
      </c>
      <c r="O171" s="610">
        <f>Table1[[#This Row],[سنوات الخدمه]]*1+Table1[[#This Row],[الشهور اقل من سنه]]*0.08</f>
        <v>3.8</v>
      </c>
      <c r="P171" s="616">
        <v>4080</v>
      </c>
      <c r="Q171" s="617">
        <v>228.48</v>
      </c>
      <c r="R171" s="612"/>
      <c r="S171" s="599"/>
      <c r="T171" s="612"/>
      <c r="U171" s="612"/>
      <c r="V171" s="612"/>
      <c r="W171" s="612"/>
      <c r="X171" s="612"/>
      <c r="Y171" s="612"/>
      <c r="Z171" s="612"/>
      <c r="AA17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1" s="612"/>
      <c r="AC171" s="599"/>
      <c r="AD171" s="612"/>
      <c r="AE171" s="612"/>
      <c r="AF171" s="612"/>
      <c r="AG171" s="612"/>
      <c r="AH171" s="619">
        <f>SUM(Table1[[#This Row],[التقييد  باللوائح و تنفيذالتوجيه]:[اتباع اجراءات السلامه]])</f>
        <v>0</v>
      </c>
      <c r="AI171" s="619">
        <f>Table1[[#This Row],[المجموع]]+Table1[[#This Row],[المجموع2]]</f>
        <v>0</v>
      </c>
      <c r="AJ171" s="612"/>
      <c r="AK171" s="612"/>
      <c r="AL171" s="612"/>
      <c r="AM171" s="612"/>
      <c r="AN171" s="612"/>
      <c r="AO171" s="606">
        <f>Table1[[#This Row],[المجموع 1+2]]*$AO$2</f>
        <v>0</v>
      </c>
      <c r="AP171" s="648">
        <f>Table1[[#This Row],[راتب ديسمبر 2019]]*Table1[[#This Row],[نسبه التقييم الرئيسي 2018]]%</f>
        <v>0</v>
      </c>
      <c r="AQ171" s="627">
        <f>Table1[[#This Row],[مبلغ التقييم النسبي 2018]]+Table1[[#This Row],[راتب ديسمبر 2019]]</f>
        <v>4080</v>
      </c>
      <c r="AR171" s="611">
        <f>IF(Table1[[#This Row],[Column3]]&lt;0,0,Table1[[#This Row],[Column3]])</f>
        <v>920</v>
      </c>
      <c r="AS171" s="599">
        <f>VLOOKUP(Table1[[#This Row],[درجه التوسيط]],Table10[],3,)</f>
        <v>5000</v>
      </c>
      <c r="AT171" s="608">
        <f>Table1[[#This Row],[الراتب 2018+النسبه]]+Table1[[#This Row],[فروقات الحد الادني]]</f>
        <v>5000</v>
      </c>
      <c r="AU171" s="629">
        <f>Table1[[#This Row],[الراتب 2018 + النسبه + الفرق]]-Table1[[#This Row],[راتب ديسمبر 2019]]</f>
        <v>920</v>
      </c>
      <c r="AV171" s="628">
        <f>Table1[[#This Row],[الزياده]]/Table1[[#This Row],[راتب ديسمبر 2019]]%</f>
        <v>22.549019607843139</v>
      </c>
      <c r="AW171" s="659">
        <f>IF(Table1[[#This Row],[Column4]]&lt;0,0,Table1[[#This Row],[Column4]])</f>
        <v>0</v>
      </c>
      <c r="AX171" s="611">
        <f>Table1[[#This Row],[الجبر حتي]]-Table1[[#This Row],[رن]]</f>
        <v>3.2799999999997453</v>
      </c>
      <c r="AY171" s="611">
        <f>Table1[[#This Row],[الزياده]]+Table1[[#This Row],[التعديل]]+Table1[[#This Row],[جبر الرقم]]</f>
        <v>923.27999999999975</v>
      </c>
      <c r="AZ171" s="611">
        <f>Table1[[#This Row],[الراتب 2018 + النسبه + الفرق]]+Table1[[#This Row],[جبر الرقم]]+Table1[[#This Row],[التعديل]]</f>
        <v>5003.28</v>
      </c>
      <c r="BA171" s="631">
        <f>Table1[[#This Row],[الزياده النهائيه]]/Table1[[#This Row],[راتب ديسمبر 2019]]%</f>
        <v>22.629411764705878</v>
      </c>
      <c r="BB171" s="612">
        <f>VLOOKUP(Table1[[#This Row],[الرقم الوظيفي]],Table6[],8,)</f>
        <v>4080</v>
      </c>
      <c r="BC171" s="7"/>
      <c r="BD171" s="7">
        <v>5650</v>
      </c>
      <c r="BE171" s="7">
        <v>5646.72</v>
      </c>
      <c r="BF171" s="5">
        <f>Table1[[#This Row],[الحد الادني]]-Table1[[#This Row],[الراتب 2018+النسبه]]</f>
        <v>920</v>
      </c>
      <c r="BG171" s="5">
        <f>Table1[[#This Row],[التعديل حتي]]-Table1[[#This Row],[kkk]]</f>
        <v>-5646.72</v>
      </c>
      <c r="BH171" s="5">
        <v>5646.72</v>
      </c>
      <c r="BI171" s="5"/>
    </row>
    <row r="172" spans="1:61" ht="21" customHeight="1">
      <c r="A172" s="602">
        <v>863</v>
      </c>
      <c r="B172" s="618" t="str">
        <f>VLOOKUP(Table1[[#This Row],[الرقم الوظيفي]],[1]Sheet2!$1:$1048576,2,)</f>
        <v>فواز توفيق محمد صادق</v>
      </c>
      <c r="C172" s="618" t="str">
        <f>VLOOKUP(Table1[[#This Row],[الرقم الوظيفي]],[1]Sheet2!$1:$1048576,7,)</f>
        <v>المصنع</v>
      </c>
      <c r="D172" s="618" t="str">
        <f>VLOOKUP(Table1[[#This Row],[الرقم الوظيفي]],[1]Sheet2!$1:$1048576,8,)</f>
        <v>الموارد البشريه</v>
      </c>
      <c r="E172" s="599" t="str">
        <f>VLOOKUP(Table1[[#This Row],[الرقم الوظيفي]],[1]Sheet2!$1:$1048576,9,)</f>
        <v>موظف</v>
      </c>
      <c r="F172" s="599" t="str">
        <f>VLOOKUP(Table1[[#This Row],[الرقم الوظيفي]],[1]Sheet2!$1:$1048576,12,)</f>
        <v>موظف موارد بشريه</v>
      </c>
      <c r="G172" s="599" t="str">
        <f>VLOOKUP(Table1[[#This Row],[الرقم الوظيفي]],[1]Sheet2!$1:$1048576,72,)</f>
        <v>بكلاريوس</v>
      </c>
      <c r="H172" s="599" t="str">
        <f>VLOOKUP(Table1[[#This Row],[الرقم الوظيفي]],[1]Sheet2!$1:$1048576,71,)</f>
        <v>إدارة الاعمال</v>
      </c>
      <c r="I172" s="599" t="str">
        <f>VLOOKUP(Table1[[#This Row],[المؤهل الرئيسي]],Table4[],3,)</f>
        <v>C</v>
      </c>
      <c r="J172" s="599" t="s">
        <v>494</v>
      </c>
      <c r="K172" s="615">
        <f>VLOOKUP(Table1[[#This Row],[الرقم الوظيفي]],[1]Sheet2!$1:$1048576,13,)</f>
        <v>42409</v>
      </c>
      <c r="L172" s="615">
        <v>43830</v>
      </c>
      <c r="M172" s="599">
        <f>DATEDIF(Table1[[#This Row],[تاريخ التعيين]],Table1[[#This Row],[اخر العام]],"y")</f>
        <v>3</v>
      </c>
      <c r="N172" s="599">
        <f>DATEDIF(Table1[[#This Row],[تاريخ التعيين]],Table1[[#This Row],[اخر العام]],"ym")</f>
        <v>10</v>
      </c>
      <c r="O172" s="610">
        <f>Table1[[#This Row],[سنوات الخدمه]]*1+Table1[[#This Row],[الشهور اقل من سنه]]*0.08</f>
        <v>3.8</v>
      </c>
      <c r="P172" s="616">
        <v>5090</v>
      </c>
      <c r="Q172" s="617">
        <v>285.04000000000002</v>
      </c>
      <c r="R172" s="612"/>
      <c r="S172" s="599"/>
      <c r="T172" s="612"/>
      <c r="U172" s="612"/>
      <c r="V172" s="612"/>
      <c r="W172" s="612"/>
      <c r="X172" s="612"/>
      <c r="Y172" s="612"/>
      <c r="Z172" s="612"/>
      <c r="AA17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2" s="612"/>
      <c r="AC172" s="599"/>
      <c r="AD172" s="612"/>
      <c r="AE172" s="612"/>
      <c r="AF172" s="612"/>
      <c r="AG172" s="612"/>
      <c r="AH172" s="619">
        <f>SUM(Table1[[#This Row],[التقييد  باللوائح و تنفيذالتوجيه]:[اتباع اجراءات السلامه]])</f>
        <v>0</v>
      </c>
      <c r="AI172" s="619">
        <f>Table1[[#This Row],[المجموع]]+Table1[[#This Row],[المجموع2]]</f>
        <v>0</v>
      </c>
      <c r="AJ172" s="612"/>
      <c r="AK172" s="612"/>
      <c r="AL172" s="612"/>
      <c r="AM172" s="612"/>
      <c r="AN172" s="612"/>
      <c r="AO172" s="606">
        <f>Table1[[#This Row],[المجموع 1+2]]*$AO$2</f>
        <v>0</v>
      </c>
      <c r="AP172" s="648">
        <f>Table1[[#This Row],[راتب ديسمبر 2019]]*Table1[[#This Row],[نسبه التقييم الرئيسي 2018]]%</f>
        <v>0</v>
      </c>
      <c r="AQ172" s="627">
        <f>Table1[[#This Row],[مبلغ التقييم النسبي 2018]]+Table1[[#This Row],[راتب ديسمبر 2019]]</f>
        <v>5090</v>
      </c>
      <c r="AR172" s="611">
        <f>IF(Table1[[#This Row],[Column3]]&lt;0,0,Table1[[#This Row],[Column3]])</f>
        <v>9910</v>
      </c>
      <c r="AS172" s="599">
        <f>VLOOKUP(Table1[[#This Row],[درجه التوسيط]],Table10[],3,)</f>
        <v>15000</v>
      </c>
      <c r="AT172" s="608">
        <f>Table1[[#This Row],[الراتب 2018+النسبه]]+Table1[[#This Row],[فروقات الحد الادني]]</f>
        <v>15000</v>
      </c>
      <c r="AU172" s="629">
        <f>Table1[[#This Row],[الراتب 2018 + النسبه + الفرق]]-Table1[[#This Row],[راتب ديسمبر 2019]]</f>
        <v>9910</v>
      </c>
      <c r="AV172" s="628">
        <f>Table1[[#This Row],[الزياده]]/Table1[[#This Row],[راتب ديسمبر 2019]]%</f>
        <v>194.69548133595285</v>
      </c>
      <c r="AW172" s="659">
        <f>IF(Table1[[#This Row],[Column4]]&lt;0,0,Table1[[#This Row],[Column4]])</f>
        <v>1000</v>
      </c>
      <c r="AX172" s="611">
        <f>Table1[[#This Row],[الجبر حتي]]-Table1[[#This Row],[رن]]</f>
        <v>0</v>
      </c>
      <c r="AY172" s="611">
        <f>Table1[[#This Row],[الزياده]]+Table1[[#This Row],[التعديل]]+Table1[[#This Row],[جبر الرقم]]</f>
        <v>10910</v>
      </c>
      <c r="AZ172" s="611">
        <f>Table1[[#This Row],[الراتب 2018 + النسبه + الفرق]]+Table1[[#This Row],[جبر الرقم]]+Table1[[#This Row],[التعديل]]</f>
        <v>16000</v>
      </c>
      <c r="BA172" s="631">
        <f>Table1[[#This Row],[الزياده النهائيه]]/Table1[[#This Row],[راتب ديسمبر 2019]]%</f>
        <v>214.3418467583497</v>
      </c>
      <c r="BB172" s="612">
        <f>VLOOKUP(Table1[[#This Row],[الرقم الوظيفي]],Table6[],8,)</f>
        <v>5090</v>
      </c>
      <c r="BC172" s="7">
        <v>11000</v>
      </c>
      <c r="BD172" s="7">
        <v>11000</v>
      </c>
      <c r="BE172" s="7">
        <v>11000</v>
      </c>
      <c r="BF172" s="5">
        <f>Table1[[#This Row],[الحد الادني]]-Table1[[#This Row],[الراتب 2018+النسبه]]</f>
        <v>9910</v>
      </c>
      <c r="BG172" s="5">
        <f>Table1[[#This Row],[التعديل حتي]]-Table1[[#This Row],[kkk]]</f>
        <v>1000</v>
      </c>
      <c r="BH172" s="5">
        <v>10000</v>
      </c>
      <c r="BI172" s="5"/>
    </row>
    <row r="173" spans="1:61" ht="21" customHeight="1">
      <c r="A173" s="602">
        <v>866</v>
      </c>
      <c r="B173" s="618" t="str">
        <f>VLOOKUP(Table1[[#This Row],[الرقم الوظيفي]],[1]Sheet2!$1:$1048576,2,)</f>
        <v>بركات حميده النعمه بركات</v>
      </c>
      <c r="C173" s="618" t="str">
        <f>VLOOKUP(Table1[[#This Row],[الرقم الوظيفي]],[1]Sheet2!$1:$1048576,7,)</f>
        <v>المصنع</v>
      </c>
      <c r="D173" s="618" t="str">
        <f>VLOOKUP(Table1[[#This Row],[الرقم الوظيفي]],[1]Sheet2!$1:$1048576,8,)</f>
        <v>الانتاج</v>
      </c>
      <c r="E173" s="599" t="str">
        <f>VLOOKUP(Table1[[#This Row],[الرقم الوظيفي]],[1]Sheet2!$1:$1048576,9,)</f>
        <v>الخوص</v>
      </c>
      <c r="F173" s="599" t="str">
        <f>VLOOKUP(Table1[[#This Row],[الرقم الوظيفي]],[1]Sheet2!$1:$1048576,12,)</f>
        <v>مساعد مشغل</v>
      </c>
      <c r="G173" s="599">
        <f>VLOOKUP(Table1[[#This Row],[الرقم الوظيفي]],[1]Sheet2!$1:$1048576,72,)</f>
        <v>0</v>
      </c>
      <c r="H173" s="599">
        <f>VLOOKUP(Table1[[#This Row],[الرقم الوظيفي]],[1]Sheet2!$1:$1048576,71,)</f>
        <v>0</v>
      </c>
      <c r="I173" s="599" t="str">
        <f>VLOOKUP(Table1[[#This Row],[المؤهل الرئيسي]],Table4[],3,)</f>
        <v>H</v>
      </c>
      <c r="J173" s="599" t="s">
        <v>42</v>
      </c>
      <c r="K173" s="615">
        <f>VLOOKUP(Table1[[#This Row],[الرقم الوظيفي]],[1]Sheet2!$1:$1048576,13,)</f>
        <v>42415</v>
      </c>
      <c r="L173" s="615">
        <v>43830</v>
      </c>
      <c r="M173" s="599">
        <f>DATEDIF(Table1[[#This Row],[تاريخ التعيين]],Table1[[#This Row],[اخر العام]],"y")</f>
        <v>3</v>
      </c>
      <c r="N173" s="599">
        <f>DATEDIF(Table1[[#This Row],[تاريخ التعيين]],Table1[[#This Row],[اخر العام]],"ym")</f>
        <v>10</v>
      </c>
      <c r="O173" s="610">
        <f>Table1[[#This Row],[سنوات الخدمه]]*1+Table1[[#This Row],[الشهور اقل من سنه]]*0.08</f>
        <v>3.8</v>
      </c>
      <c r="P173" s="616">
        <v>3070</v>
      </c>
      <c r="Q173" s="617">
        <v>171.92</v>
      </c>
      <c r="R173" s="612"/>
      <c r="S173" s="599"/>
      <c r="T173" s="612"/>
      <c r="U173" s="612"/>
      <c r="V173" s="612"/>
      <c r="W173" s="612"/>
      <c r="X173" s="612"/>
      <c r="Y173" s="612"/>
      <c r="Z173" s="612"/>
      <c r="AA17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3" s="612"/>
      <c r="AC173" s="599"/>
      <c r="AD173" s="612"/>
      <c r="AE173" s="612"/>
      <c r="AF173" s="612"/>
      <c r="AG173" s="612"/>
      <c r="AH173" s="619">
        <f>SUM(Table1[[#This Row],[التقييد  باللوائح و تنفيذالتوجيه]:[اتباع اجراءات السلامه]])</f>
        <v>0</v>
      </c>
      <c r="AI173" s="619">
        <f>Table1[[#This Row],[المجموع]]+Table1[[#This Row],[المجموع2]]</f>
        <v>0</v>
      </c>
      <c r="AJ173" s="612"/>
      <c r="AK173" s="612"/>
      <c r="AL173" s="612"/>
      <c r="AM173" s="612"/>
      <c r="AN173" s="612"/>
      <c r="AO173" s="606">
        <f>Table1[[#This Row],[المجموع 1+2]]*$AO$2</f>
        <v>0</v>
      </c>
      <c r="AP173" s="648">
        <f>Table1[[#This Row],[راتب ديسمبر 2019]]*Table1[[#This Row],[نسبه التقييم الرئيسي 2018]]%</f>
        <v>0</v>
      </c>
      <c r="AQ173" s="627">
        <f>Table1[[#This Row],[مبلغ التقييم النسبي 2018]]+Table1[[#This Row],[راتب ديسمبر 2019]]</f>
        <v>3070</v>
      </c>
      <c r="AR173" s="611">
        <f>IF(Table1[[#This Row],[Column3]]&lt;0,0,Table1[[#This Row],[Column3]])</f>
        <v>1930</v>
      </c>
      <c r="AS173" s="599">
        <f>VLOOKUP(Table1[[#This Row],[درجه التوسيط]],Table10[],3,)</f>
        <v>5000</v>
      </c>
      <c r="AT173" s="608">
        <f>Table1[[#This Row],[الراتب 2018+النسبه]]+Table1[[#This Row],[فروقات الحد الادني]]</f>
        <v>5000</v>
      </c>
      <c r="AU173" s="629">
        <f>Table1[[#This Row],[الراتب 2018 + النسبه + الفرق]]-Table1[[#This Row],[راتب ديسمبر 2019]]</f>
        <v>1930</v>
      </c>
      <c r="AV173" s="628">
        <f>Table1[[#This Row],[الزياده]]/Table1[[#This Row],[راتب ديسمبر 2019]]%</f>
        <v>62.866449511400653</v>
      </c>
      <c r="AW173" s="659">
        <f>IF(Table1[[#This Row],[Column4]]&lt;0,0,Table1[[#This Row],[Column4]])</f>
        <v>0</v>
      </c>
      <c r="AX173" s="611">
        <f>Table1[[#This Row],[الجبر حتي]]-Table1[[#This Row],[رن]]</f>
        <v>6.9200000000000728</v>
      </c>
      <c r="AY173" s="611">
        <f>Table1[[#This Row],[الزياده]]+Table1[[#This Row],[التعديل]]+Table1[[#This Row],[جبر الرقم]]</f>
        <v>1936.92</v>
      </c>
      <c r="AZ173" s="611">
        <f>Table1[[#This Row],[الراتب 2018 + النسبه + الفرق]]+Table1[[#This Row],[جبر الرقم]]+Table1[[#This Row],[التعديل]]</f>
        <v>5006.92</v>
      </c>
      <c r="BA173" s="631">
        <f>Table1[[#This Row],[الزياده النهائيه]]/Table1[[#This Row],[راتب ديسمبر 2019]]%</f>
        <v>63.091856677524433</v>
      </c>
      <c r="BB173" s="612">
        <f>VLOOKUP(Table1[[#This Row],[الرقم الوظيفي]],Table6[],8,)</f>
        <v>3070</v>
      </c>
      <c r="BC173" s="7"/>
      <c r="BD173" s="7">
        <v>4440</v>
      </c>
      <c r="BE173" s="7">
        <v>4433.08</v>
      </c>
      <c r="BF173" s="5">
        <f>Table1[[#This Row],[الحد الادني]]-Table1[[#This Row],[الراتب 2018+النسبه]]</f>
        <v>1930</v>
      </c>
      <c r="BG173" s="5">
        <f>Table1[[#This Row],[التعديل حتي]]-Table1[[#This Row],[kkk]]</f>
        <v>-4433.08</v>
      </c>
      <c r="BH173" s="5">
        <v>4433.08</v>
      </c>
      <c r="BI173" s="5"/>
    </row>
    <row r="174" spans="1:61" ht="21" customHeight="1">
      <c r="A174" s="602">
        <v>867</v>
      </c>
      <c r="B174" s="618" t="str">
        <f>VLOOKUP(Table1[[#This Row],[الرقم الوظيفي]],[1]Sheet2!$1:$1048576,2,)</f>
        <v>هشام فتحى محمد صالح</v>
      </c>
      <c r="C174" s="618" t="str">
        <f>VLOOKUP(Table1[[#This Row],[الرقم الوظيفي]],[1]Sheet2!$1:$1048576,7,)</f>
        <v>المصنع</v>
      </c>
      <c r="D174" s="618" t="str">
        <f>VLOOKUP(Table1[[#This Row],[الرقم الوظيفي]],[1]Sheet2!$1:$1048576,8,)</f>
        <v>الكهرباء</v>
      </c>
      <c r="E174" s="599" t="str">
        <f>VLOOKUP(Table1[[#This Row],[الرقم الوظيفي]],[1]Sheet2!$1:$1048576,9,)</f>
        <v>تبريد وتكيف</v>
      </c>
      <c r="F174" s="599" t="str">
        <f>VLOOKUP(Table1[[#This Row],[الرقم الوظيفي]],[1]Sheet2!$1:$1048576,12,)</f>
        <v>فني تبريد وتكيف</v>
      </c>
      <c r="G174" s="599" t="str">
        <f>VLOOKUP(Table1[[#This Row],[الرقم الوظيفي]],[1]Sheet2!$1:$1048576,72,)</f>
        <v>تدريب مهني</v>
      </c>
      <c r="H174" s="599" t="str">
        <f>VLOOKUP(Table1[[#This Row],[الرقم الوظيفي]],[1]Sheet2!$1:$1048576,71,)</f>
        <v>تبريد وتكييف</v>
      </c>
      <c r="I174" s="599" t="str">
        <f>VLOOKUP(Table1[[#This Row],[المؤهل الرئيسي]],Table4[],3,)</f>
        <v>F</v>
      </c>
      <c r="J174" s="599" t="s">
        <v>42</v>
      </c>
      <c r="K174" s="615">
        <f>VLOOKUP(Table1[[#This Row],[الرقم الوظيفي]],[1]Sheet2!$1:$1048576,13,)</f>
        <v>42424</v>
      </c>
      <c r="L174" s="615">
        <v>43830</v>
      </c>
      <c r="M174" s="599">
        <f>DATEDIF(Table1[[#This Row],[تاريخ التعيين]],Table1[[#This Row],[اخر العام]],"y")</f>
        <v>3</v>
      </c>
      <c r="N174" s="599">
        <f>DATEDIF(Table1[[#This Row],[تاريخ التعيين]],Table1[[#This Row],[اخر العام]],"ym")</f>
        <v>10</v>
      </c>
      <c r="O174" s="610">
        <f>Table1[[#This Row],[سنوات الخدمه]]*1+Table1[[#This Row],[الشهور اقل من سنه]]*0.08</f>
        <v>3.8</v>
      </c>
      <c r="P174" s="616">
        <v>4090</v>
      </c>
      <c r="Q174" s="617">
        <v>229.04</v>
      </c>
      <c r="R174" s="612"/>
      <c r="S174" s="599"/>
      <c r="T174" s="612"/>
      <c r="U174" s="612"/>
      <c r="V174" s="612"/>
      <c r="W174" s="612"/>
      <c r="X174" s="612"/>
      <c r="Y174" s="612"/>
      <c r="Z174" s="612"/>
      <c r="AA17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4" s="612"/>
      <c r="AC174" s="599"/>
      <c r="AD174" s="612"/>
      <c r="AE174" s="612"/>
      <c r="AF174" s="612"/>
      <c r="AG174" s="612"/>
      <c r="AH174" s="619">
        <f>SUM(Table1[[#This Row],[التقييد  باللوائح و تنفيذالتوجيه]:[اتباع اجراءات السلامه]])</f>
        <v>0</v>
      </c>
      <c r="AI174" s="619">
        <f>Table1[[#This Row],[المجموع]]+Table1[[#This Row],[المجموع2]]</f>
        <v>0</v>
      </c>
      <c r="AJ174" s="612">
        <v>10</v>
      </c>
      <c r="AK174" s="612"/>
      <c r="AL174" s="612"/>
      <c r="AM174" s="612"/>
      <c r="AN174" s="612"/>
      <c r="AO174" s="606">
        <f>Table1[[#This Row],[المجموع 1+2]]*$AO$2</f>
        <v>0</v>
      </c>
      <c r="AP174" s="648">
        <f>Table1[[#This Row],[راتب ديسمبر 2019]]*Table1[[#This Row],[نسبه التقييم الرئيسي 2018]]%</f>
        <v>0</v>
      </c>
      <c r="AQ174" s="627">
        <f>Table1[[#This Row],[مبلغ التقييم النسبي 2018]]+Table1[[#This Row],[راتب ديسمبر 2019]]</f>
        <v>4090</v>
      </c>
      <c r="AR174" s="611">
        <f>IF(Table1[[#This Row],[Column3]]&lt;0,0,Table1[[#This Row],[Column3]])</f>
        <v>910</v>
      </c>
      <c r="AS174" s="599">
        <f>VLOOKUP(Table1[[#This Row],[درجه التوسيط]],Table10[],3,)</f>
        <v>5000</v>
      </c>
      <c r="AT174" s="608">
        <f>Table1[[#This Row],[الراتب 2018+النسبه]]+Table1[[#This Row],[فروقات الحد الادني]]</f>
        <v>5000</v>
      </c>
      <c r="AU174" s="629">
        <f>Table1[[#This Row],[الراتب 2018 + النسبه + الفرق]]-Table1[[#This Row],[راتب ديسمبر 2019]]</f>
        <v>910</v>
      </c>
      <c r="AV174" s="628">
        <f>Table1[[#This Row],[الزياده]]/Table1[[#This Row],[راتب ديسمبر 2019]]%</f>
        <v>22.249388753056234</v>
      </c>
      <c r="AW174" s="659">
        <f>IF(Table1[[#This Row],[Column4]]&lt;0,0,Table1[[#This Row],[Column4]])</f>
        <v>0</v>
      </c>
      <c r="AX174" s="611">
        <f>Table1[[#This Row],[الجبر حتي]]-Table1[[#This Row],[رن]]</f>
        <v>7.6000000000003638</v>
      </c>
      <c r="AY174" s="611">
        <f>Table1[[#This Row],[الزياده]]+Table1[[#This Row],[التعديل]]+Table1[[#This Row],[جبر الرقم]]</f>
        <v>917.60000000000036</v>
      </c>
      <c r="AZ174" s="611">
        <f>Table1[[#This Row],[الراتب 2018 + النسبه + الفرق]]+Table1[[#This Row],[جبر الرقم]]+Table1[[#This Row],[التعديل]]</f>
        <v>5007.6000000000004</v>
      </c>
      <c r="BA174" s="631">
        <f>Table1[[#This Row],[الزياده النهائيه]]/Table1[[#This Row],[راتب ديسمبر 2019]]%</f>
        <v>22.435207823960891</v>
      </c>
      <c r="BB174" s="612">
        <f>VLOOKUP(Table1[[#This Row],[الرقم الوظيفي]],Table6[],8,)</f>
        <v>4090</v>
      </c>
      <c r="BC174" s="7"/>
      <c r="BD174" s="7">
        <v>5570</v>
      </c>
      <c r="BE174" s="7">
        <v>5562.4</v>
      </c>
      <c r="BF174" s="5">
        <f>Table1[[#This Row],[الحد الادني]]-Table1[[#This Row],[الراتب 2018+النسبه]]</f>
        <v>910</v>
      </c>
      <c r="BG174" s="5">
        <f>Table1[[#This Row],[التعديل حتي]]-Table1[[#This Row],[kkk]]</f>
        <v>-5562.4</v>
      </c>
      <c r="BH174" s="5">
        <v>5562.4</v>
      </c>
      <c r="BI174" s="5"/>
    </row>
    <row r="175" spans="1:61" ht="21" customHeight="1">
      <c r="A175" s="602">
        <v>868</v>
      </c>
      <c r="B175" s="618" t="str">
        <f>VLOOKUP(Table1[[#This Row],[الرقم الوظيفي]],[1]Sheet2!$1:$1048576,2,)</f>
        <v>طلال محمد سليمان محمد على</v>
      </c>
      <c r="C175" s="618" t="str">
        <f>VLOOKUP(Table1[[#This Row],[الرقم الوظيفي]],[1]Sheet2!$1:$1048576,7,)</f>
        <v>الرئاسه</v>
      </c>
      <c r="D175" s="618" t="str">
        <f>VLOOKUP(Table1[[#This Row],[الرقم الوظيفي]],[1]Sheet2!$1:$1048576,8,)</f>
        <v>الرقابه الداخليه</v>
      </c>
      <c r="E175" s="599">
        <f>VLOOKUP(Table1[[#This Row],[الرقم الوظيفي]],[1]Sheet2!$1:$1048576,9,)</f>
        <v>0</v>
      </c>
      <c r="F175" s="599" t="str">
        <f>VLOOKUP(Table1[[#This Row],[الرقم الوظيفي]],[1]Sheet2!$1:$1048576,12,)</f>
        <v>مراجع</v>
      </c>
      <c r="G175" s="599" t="str">
        <f>VLOOKUP(Table1[[#This Row],[الرقم الوظيفي]],[1]Sheet2!$1:$1048576,72,)</f>
        <v>بكلاريوس</v>
      </c>
      <c r="H175" s="599" t="str">
        <f>VLOOKUP(Table1[[#This Row],[الرقم الوظيفي]],[1]Sheet2!$1:$1048576,71,)</f>
        <v>محاسبة</v>
      </c>
      <c r="I175" s="599" t="str">
        <f>VLOOKUP(Table1[[#This Row],[المؤهل الرئيسي]],Table4[],3,)</f>
        <v>C</v>
      </c>
      <c r="J175" s="599" t="s">
        <v>38</v>
      </c>
      <c r="K175" s="615">
        <f>VLOOKUP(Table1[[#This Row],[الرقم الوظيفي]],[1]Sheet2!$1:$1048576,13,)</f>
        <v>42417</v>
      </c>
      <c r="L175" s="615">
        <v>43830</v>
      </c>
      <c r="M175" s="599">
        <f>DATEDIF(Table1[[#This Row],[تاريخ التعيين]],Table1[[#This Row],[اخر العام]],"y")</f>
        <v>3</v>
      </c>
      <c r="N175" s="599">
        <f>DATEDIF(Table1[[#This Row],[تاريخ التعيين]],Table1[[#This Row],[اخر العام]],"ym")</f>
        <v>10</v>
      </c>
      <c r="O175" s="610">
        <f>Table1[[#This Row],[سنوات الخدمه]]*1+Table1[[#This Row],[الشهور اقل من سنه]]*0.08</f>
        <v>3.8</v>
      </c>
      <c r="P175" s="616">
        <v>5060</v>
      </c>
      <c r="Q175" s="617">
        <v>283.36</v>
      </c>
      <c r="R175" s="612"/>
      <c r="S175" s="599"/>
      <c r="T175" s="612"/>
      <c r="U175" s="612"/>
      <c r="V175" s="612"/>
      <c r="W175" s="612"/>
      <c r="X175" s="612"/>
      <c r="Y175" s="612"/>
      <c r="Z175" s="612"/>
      <c r="AA17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5" s="612"/>
      <c r="AC175" s="599"/>
      <c r="AD175" s="612"/>
      <c r="AE175" s="612"/>
      <c r="AF175" s="612"/>
      <c r="AG175" s="612"/>
      <c r="AH175" s="619">
        <f>SUM(Table1[[#This Row],[التقييد  باللوائح و تنفيذالتوجيه]:[اتباع اجراءات السلامه]])</f>
        <v>0</v>
      </c>
      <c r="AI175" s="619">
        <f>Table1[[#This Row],[المجموع]]+Table1[[#This Row],[المجموع2]]</f>
        <v>0</v>
      </c>
      <c r="AJ175" s="612"/>
      <c r="AK175" s="612"/>
      <c r="AL175" s="612"/>
      <c r="AM175" s="612"/>
      <c r="AN175" s="612"/>
      <c r="AO175" s="606">
        <f>Table1[[#This Row],[المجموع 1+2]]*$AO$2</f>
        <v>0</v>
      </c>
      <c r="AP175" s="648">
        <f>Table1[[#This Row],[راتب ديسمبر 2019]]*Table1[[#This Row],[نسبه التقييم الرئيسي 2018]]%</f>
        <v>0</v>
      </c>
      <c r="AQ175" s="627">
        <f>Table1[[#This Row],[مبلغ التقييم النسبي 2018]]+Table1[[#This Row],[راتب ديسمبر 2019]]</f>
        <v>5060</v>
      </c>
      <c r="AR175" s="611">
        <f>IF(Table1[[#This Row],[Column3]]&lt;0,0,Table1[[#This Row],[Column3]])</f>
        <v>11940</v>
      </c>
      <c r="AS175" s="599">
        <f>VLOOKUP(Table1[[#This Row],[درجه التوسيط]],Table10[],3,)</f>
        <v>17000</v>
      </c>
      <c r="AT175" s="608">
        <f>Table1[[#This Row],[الراتب 2018+النسبه]]+Table1[[#This Row],[فروقات الحد الادني]]</f>
        <v>17000</v>
      </c>
      <c r="AU175" s="629">
        <f>Table1[[#This Row],[الراتب 2018 + النسبه + الفرق]]-Table1[[#This Row],[راتب ديسمبر 2019]]</f>
        <v>11940</v>
      </c>
      <c r="AV175" s="628">
        <f>Table1[[#This Row],[الزياده]]/Table1[[#This Row],[راتب ديسمبر 2019]]%</f>
        <v>235.96837944664031</v>
      </c>
      <c r="AW175" s="659">
        <f>IF(Table1[[#This Row],[Column4]]&lt;0,0,Table1[[#This Row],[Column4]])</f>
        <v>0</v>
      </c>
      <c r="AX175" s="611">
        <f>Table1[[#This Row],[الجبر حتي]]-Table1[[#This Row],[رن]]</f>
        <v>0</v>
      </c>
      <c r="AY175" s="611">
        <f>Table1[[#This Row],[الزياده]]+Table1[[#This Row],[التعديل]]+Table1[[#This Row],[جبر الرقم]]</f>
        <v>11940</v>
      </c>
      <c r="AZ175" s="611">
        <f>Table1[[#This Row],[الراتب 2018 + النسبه + الفرق]]+Table1[[#This Row],[جبر الرقم]]+Table1[[#This Row],[التعديل]]</f>
        <v>17000</v>
      </c>
      <c r="BA175" s="631">
        <f>Table1[[#This Row],[الزياده النهائيه]]/Table1[[#This Row],[راتب ديسمبر 2019]]%</f>
        <v>235.96837944664031</v>
      </c>
      <c r="BB175" s="612">
        <f>VLOOKUP(Table1[[#This Row],[الرقم الوظيفي]],Table6[],8,)</f>
        <v>5060</v>
      </c>
      <c r="BC175" s="7"/>
      <c r="BD175" s="7">
        <v>12000</v>
      </c>
      <c r="BE175" s="7">
        <v>12000</v>
      </c>
      <c r="BF175" s="5">
        <f>Table1[[#This Row],[الحد الادني]]-Table1[[#This Row],[الراتب 2018+النسبه]]</f>
        <v>11940</v>
      </c>
      <c r="BG175" s="5">
        <f>Table1[[#This Row],[التعديل حتي]]-Table1[[#This Row],[kkk]]</f>
        <v>-12000</v>
      </c>
      <c r="BH175" s="5">
        <v>12000</v>
      </c>
      <c r="BI175" s="5"/>
    </row>
    <row r="176" spans="1:61" ht="21" customHeight="1">
      <c r="A176" s="602">
        <v>873</v>
      </c>
      <c r="B176" s="618" t="str">
        <f>VLOOKUP(Table1[[#This Row],[الرقم الوظيفي]],[1]Sheet2!$1:$1048576,2,)</f>
        <v>رماح صلاح الدين سالم رفاى</v>
      </c>
      <c r="C176" s="618" t="str">
        <f>VLOOKUP(Table1[[#This Row],[الرقم الوظيفي]],[1]Sheet2!$1:$1048576,7,)</f>
        <v>المصنع</v>
      </c>
      <c r="D176" s="618" t="str">
        <f>VLOOKUP(Table1[[#This Row],[الرقم الوظيفي]],[1]Sheet2!$1:$1048576,8,)</f>
        <v>الجوده</v>
      </c>
      <c r="E176" s="599">
        <f>VLOOKUP(Table1[[#This Row],[الرقم الوظيفي]],[1]Sheet2!$1:$1048576,9,)</f>
        <v>0</v>
      </c>
      <c r="F176" s="599" t="str">
        <f>VLOOKUP(Table1[[#This Row],[الرقم الوظيفي]],[1]Sheet2!$1:$1048576,12,)</f>
        <v>مراقب انتاج</v>
      </c>
      <c r="G176" s="599" t="str">
        <f>VLOOKUP(Table1[[#This Row],[الرقم الوظيفي]],[1]Sheet2!$1:$1048576,72,)</f>
        <v>دبلوم تقني</v>
      </c>
      <c r="H176" s="599" t="str">
        <f>VLOOKUP(Table1[[#This Row],[الرقم الوظيفي]],[1]Sheet2!$1:$1048576,71,)</f>
        <v>هندسة مدنية</v>
      </c>
      <c r="I176" s="599" t="str">
        <f>VLOOKUP(Table1[[#This Row],[المؤهل الرئيسي]],Table4[],3,)</f>
        <v>D</v>
      </c>
      <c r="J176" s="599" t="s">
        <v>924</v>
      </c>
      <c r="K176" s="615">
        <f>VLOOKUP(Table1[[#This Row],[الرقم الوظيفي]],[1]Sheet2!$1:$1048576,13,)</f>
        <v>42436</v>
      </c>
      <c r="L176" s="615">
        <v>43830</v>
      </c>
      <c r="M176" s="599">
        <f>DATEDIF(Table1[[#This Row],[تاريخ التعيين]],Table1[[#This Row],[اخر العام]],"y")</f>
        <v>3</v>
      </c>
      <c r="N176" s="599">
        <f>DATEDIF(Table1[[#This Row],[تاريخ التعيين]],Table1[[#This Row],[اخر العام]],"ym")</f>
        <v>9</v>
      </c>
      <c r="O176" s="610">
        <f>Table1[[#This Row],[سنوات الخدمه]]*1+Table1[[#This Row],[الشهور اقل من سنه]]*0.08</f>
        <v>3.7199999999999998</v>
      </c>
      <c r="P176" s="616">
        <v>3060</v>
      </c>
      <c r="Q176" s="617">
        <v>166.464</v>
      </c>
      <c r="R176" s="612"/>
      <c r="S176" s="599"/>
      <c r="T176" s="612"/>
      <c r="U176" s="612"/>
      <c r="V176" s="612"/>
      <c r="W176" s="612"/>
      <c r="X176" s="612"/>
      <c r="Y176" s="612"/>
      <c r="Z176" s="612"/>
      <c r="AA17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6" s="612"/>
      <c r="AC176" s="599"/>
      <c r="AD176" s="612"/>
      <c r="AE176" s="612"/>
      <c r="AF176" s="612"/>
      <c r="AG176" s="612"/>
      <c r="AH176" s="619">
        <f>SUM(Table1[[#This Row],[التقييد  باللوائح و تنفيذالتوجيه]:[اتباع اجراءات السلامه]])</f>
        <v>0</v>
      </c>
      <c r="AI176" s="619">
        <f>Table1[[#This Row],[المجموع]]+Table1[[#This Row],[المجموع2]]</f>
        <v>0</v>
      </c>
      <c r="AJ176" s="612">
        <v>10</v>
      </c>
      <c r="AK176" s="612"/>
      <c r="AL176" s="612"/>
      <c r="AM176" s="612"/>
      <c r="AN176" s="612"/>
      <c r="AO176" s="606">
        <f>Table1[[#This Row],[المجموع 1+2]]*$AO$2</f>
        <v>0</v>
      </c>
      <c r="AP176" s="648">
        <f>Table1[[#This Row],[راتب ديسمبر 2019]]*Table1[[#This Row],[نسبه التقييم الرئيسي 2018]]%</f>
        <v>0</v>
      </c>
      <c r="AQ176" s="627">
        <f>Table1[[#This Row],[مبلغ التقييم النسبي 2018]]+Table1[[#This Row],[راتب ديسمبر 2019]]</f>
        <v>3060</v>
      </c>
      <c r="AR176" s="611">
        <f>IF(Table1[[#This Row],[Column3]]&lt;0,0,Table1[[#This Row],[Column3]])</f>
        <v>5940</v>
      </c>
      <c r="AS176" s="599">
        <f>VLOOKUP(Table1[[#This Row],[درجه التوسيط]],Table10[],3,)</f>
        <v>9000</v>
      </c>
      <c r="AT176" s="608">
        <f>Table1[[#This Row],[الراتب 2018+النسبه]]+Table1[[#This Row],[فروقات الحد الادني]]</f>
        <v>9000</v>
      </c>
      <c r="AU176" s="629">
        <f>Table1[[#This Row],[الراتب 2018 + النسبه + الفرق]]-Table1[[#This Row],[راتب ديسمبر 2019]]</f>
        <v>5940</v>
      </c>
      <c r="AV176" s="628">
        <f>Table1[[#This Row],[الزياده]]/Table1[[#This Row],[راتب ديسمبر 2019]]%</f>
        <v>194.11764705882351</v>
      </c>
      <c r="AW176" s="659">
        <f>IF(Table1[[#This Row],[Column4]]&lt;0,0,Table1[[#This Row],[Column4]])</f>
        <v>0</v>
      </c>
      <c r="AX176" s="611">
        <f>Table1[[#This Row],[الجبر حتي]]-Table1[[#This Row],[رن]]</f>
        <v>0</v>
      </c>
      <c r="AY176" s="611">
        <f>Table1[[#This Row],[الزياده]]+Table1[[#This Row],[التعديل]]+Table1[[#This Row],[جبر الرقم]]</f>
        <v>5940</v>
      </c>
      <c r="AZ176" s="611">
        <f>Table1[[#This Row],[الراتب 2018 + النسبه + الفرق]]+Table1[[#This Row],[جبر الرقم]]+Table1[[#This Row],[التعديل]]</f>
        <v>9000</v>
      </c>
      <c r="BA176" s="631">
        <f>Table1[[#This Row],[الزياده النهائيه]]/Table1[[#This Row],[راتب ديسمبر 2019]]%</f>
        <v>194.11764705882351</v>
      </c>
      <c r="BB176" s="612">
        <f>VLOOKUP(Table1[[#This Row],[الرقم الوظيفي]],Table6[],8,)</f>
        <v>3060</v>
      </c>
      <c r="BC176" s="7"/>
      <c r="BD176" s="7">
        <v>6000</v>
      </c>
      <c r="BE176" s="7">
        <v>6000</v>
      </c>
      <c r="BF176" s="5">
        <f>Table1[[#This Row],[الحد الادني]]-Table1[[#This Row],[الراتب 2018+النسبه]]</f>
        <v>5940</v>
      </c>
      <c r="BG176" s="5">
        <f>Table1[[#This Row],[التعديل حتي]]-Table1[[#This Row],[kkk]]</f>
        <v>-6000</v>
      </c>
      <c r="BH176" s="5">
        <v>6000</v>
      </c>
      <c r="BI176" s="5"/>
    </row>
    <row r="177" spans="1:61" ht="21" customHeight="1">
      <c r="A177" s="602">
        <v>874</v>
      </c>
      <c r="B177" s="618" t="str">
        <f>VLOOKUP(Table1[[#This Row],[الرقم الوظيفي]],[1]Sheet2!$1:$1048576,2,)</f>
        <v>حسين عثمان سيد حمد</v>
      </c>
      <c r="C177" s="618" t="str">
        <f>VLOOKUP(Table1[[#This Row],[الرقم الوظيفي]],[1]Sheet2!$1:$1048576,7,)</f>
        <v>المصنع</v>
      </c>
      <c r="D177" s="618" t="str">
        <f>VLOOKUP(Table1[[#This Row],[الرقم الوظيفي]],[1]Sheet2!$1:$1048576,8,)</f>
        <v>المستودعات</v>
      </c>
      <c r="E177" s="599" t="str">
        <f>VLOOKUP(Table1[[#This Row],[الرقم الوظيفي]],[1]Sheet2!$1:$1048576,9,)</f>
        <v>الاسكبات</v>
      </c>
      <c r="F177" s="599" t="str">
        <f>VLOOKUP(Table1[[#This Row],[الرقم الوظيفي]],[1]Sheet2!$1:$1048576,12,)</f>
        <v>امين مستودع ا س</v>
      </c>
      <c r="G177" s="599" t="str">
        <f>VLOOKUP(Table1[[#This Row],[الرقم الوظيفي]],[1]Sheet2!$1:$1048576,72,)</f>
        <v>دبلوم تقني</v>
      </c>
      <c r="H177" s="599" t="str">
        <f>VLOOKUP(Table1[[#This Row],[الرقم الوظيفي]],[1]Sheet2!$1:$1048576,71,)</f>
        <v>محاسبة</v>
      </c>
      <c r="I177" s="599" t="str">
        <f>VLOOKUP(Table1[[#This Row],[المؤهل الرئيسي]],Table4[],3,)</f>
        <v>D</v>
      </c>
      <c r="J177" s="599" t="s">
        <v>925</v>
      </c>
      <c r="K177" s="615">
        <f>VLOOKUP(Table1[[#This Row],[الرقم الوظيفي]],[1]Sheet2!$1:$1048576,13,)</f>
        <v>42437</v>
      </c>
      <c r="L177" s="615">
        <v>43830</v>
      </c>
      <c r="M177" s="599">
        <f>DATEDIF(Table1[[#This Row],[تاريخ التعيين]],Table1[[#This Row],[اخر العام]],"y")</f>
        <v>3</v>
      </c>
      <c r="N177" s="599">
        <f>DATEDIF(Table1[[#This Row],[تاريخ التعيين]],Table1[[#This Row],[اخر العام]],"ym")</f>
        <v>9</v>
      </c>
      <c r="O177" s="610">
        <f>Table1[[#This Row],[سنوات الخدمه]]*1+Table1[[#This Row],[الشهور اقل من سنه]]*0.08</f>
        <v>3.7199999999999998</v>
      </c>
      <c r="P177" s="616">
        <v>3570</v>
      </c>
      <c r="Q177" s="617">
        <v>194.208</v>
      </c>
      <c r="R177" s="612"/>
      <c r="S177" s="599"/>
      <c r="T177" s="612"/>
      <c r="U177" s="612"/>
      <c r="V177" s="612"/>
      <c r="W177" s="612"/>
      <c r="X177" s="612"/>
      <c r="Y177" s="612"/>
      <c r="Z177" s="612"/>
      <c r="AA17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7" s="612"/>
      <c r="AC177" s="599"/>
      <c r="AD177" s="612"/>
      <c r="AE177" s="612"/>
      <c r="AF177" s="612"/>
      <c r="AG177" s="612"/>
      <c r="AH177" s="619">
        <f>SUM(Table1[[#This Row],[التقييد  باللوائح و تنفيذالتوجيه]:[اتباع اجراءات السلامه]])</f>
        <v>0</v>
      </c>
      <c r="AI177" s="619">
        <f>Table1[[#This Row],[المجموع]]+Table1[[#This Row],[المجموع2]]</f>
        <v>0</v>
      </c>
      <c r="AJ177" s="612"/>
      <c r="AK177" s="612"/>
      <c r="AL177" s="612"/>
      <c r="AM177" s="612"/>
      <c r="AN177" s="612"/>
      <c r="AO177" s="606">
        <f>Table1[[#This Row],[المجموع 1+2]]*$AO$2</f>
        <v>0</v>
      </c>
      <c r="AP177" s="648">
        <f>Table1[[#This Row],[راتب ديسمبر 2019]]*Table1[[#This Row],[نسبه التقييم الرئيسي 2018]]%</f>
        <v>0</v>
      </c>
      <c r="AQ177" s="627">
        <f>Table1[[#This Row],[مبلغ التقييم النسبي 2018]]+Table1[[#This Row],[راتب ديسمبر 2019]]</f>
        <v>3570</v>
      </c>
      <c r="AR177" s="611">
        <f>IF(Table1[[#This Row],[Column3]]&lt;0,0,Table1[[#This Row],[Column3]])</f>
        <v>5430</v>
      </c>
      <c r="AS177" s="599">
        <f>VLOOKUP(Table1[[#This Row],[درجه التوسيط]],Table10[],3,)</f>
        <v>9000</v>
      </c>
      <c r="AT177" s="608">
        <f>Table1[[#This Row],[الراتب 2018+النسبه]]+Table1[[#This Row],[فروقات الحد الادني]]</f>
        <v>9000</v>
      </c>
      <c r="AU177" s="629">
        <f>Table1[[#This Row],[الراتب 2018 + النسبه + الفرق]]-Table1[[#This Row],[راتب ديسمبر 2019]]</f>
        <v>5430</v>
      </c>
      <c r="AV177" s="628">
        <f>Table1[[#This Row],[الزياده]]/Table1[[#This Row],[راتب ديسمبر 2019]]%</f>
        <v>152.10084033613444</v>
      </c>
      <c r="AW177" s="659">
        <f>IF(Table1[[#This Row],[Column4]]&lt;0,0,Table1[[#This Row],[Column4]])</f>
        <v>0</v>
      </c>
      <c r="AX177" s="611">
        <f>Table1[[#This Row],[الجبر حتي]]-Table1[[#This Row],[رن]]</f>
        <v>0</v>
      </c>
      <c r="AY177" s="611">
        <f>Table1[[#This Row],[الزياده]]+Table1[[#This Row],[التعديل]]+Table1[[#This Row],[جبر الرقم]]</f>
        <v>5430</v>
      </c>
      <c r="AZ177" s="611">
        <f>Table1[[#This Row],[الراتب 2018 + النسبه + الفرق]]+Table1[[#This Row],[جبر الرقم]]+Table1[[#This Row],[التعديل]]</f>
        <v>9000</v>
      </c>
      <c r="BA177" s="631">
        <f>Table1[[#This Row],[الزياده النهائيه]]/Table1[[#This Row],[راتب ديسمبر 2019]]%</f>
        <v>152.10084033613444</v>
      </c>
      <c r="BB177" s="612">
        <f>VLOOKUP(Table1[[#This Row],[الرقم الوظيفي]],Table6[],8,)</f>
        <v>3570</v>
      </c>
      <c r="BC177" s="7"/>
      <c r="BD177" s="7">
        <v>6000</v>
      </c>
      <c r="BE177" s="7">
        <v>6000</v>
      </c>
      <c r="BF177" s="5">
        <f>Table1[[#This Row],[الحد الادني]]-Table1[[#This Row],[الراتب 2018+النسبه]]</f>
        <v>5430</v>
      </c>
      <c r="BG177" s="5">
        <f>Table1[[#This Row],[التعديل حتي]]-Table1[[#This Row],[kkk]]</f>
        <v>-6000</v>
      </c>
      <c r="BH177" s="5">
        <v>6000</v>
      </c>
      <c r="BI177" s="5"/>
    </row>
    <row r="178" spans="1:61">
      <c r="A178" s="602">
        <v>882</v>
      </c>
      <c r="B178" s="618" t="str">
        <f>VLOOKUP(Table1[[#This Row],[الرقم الوظيفي]],[1]Sheet2!$1:$1048576,2,)</f>
        <v>محمد بشير عبدالكريم الهادى</v>
      </c>
      <c r="C178" s="618" t="str">
        <f>VLOOKUP(Table1[[#This Row],[الرقم الوظيفي]],[1]Sheet2!$1:$1048576,7,)</f>
        <v>المصنع</v>
      </c>
      <c r="D178" s="618" t="str">
        <f>VLOOKUP(Table1[[#This Row],[الرقم الوظيفي]],[1]Sheet2!$1:$1048576,8,)</f>
        <v>الانتاج</v>
      </c>
      <c r="E178" s="599" t="str">
        <f>VLOOKUP(Table1[[#This Row],[الرقم الوظيفي]],[1]Sheet2!$1:$1048576,9,)</f>
        <v>المواسير</v>
      </c>
      <c r="F178" s="599" t="str">
        <f>VLOOKUP(Table1[[#This Row],[الرقم الوظيفي]],[1]Sheet2!$1:$1048576,12,)</f>
        <v>عامل</v>
      </c>
      <c r="G178" s="599" t="str">
        <f>VLOOKUP(Table1[[#This Row],[الرقم الوظيفي]],[1]Sheet2!$1:$1048576,72,)</f>
        <v>دبلوم تقني</v>
      </c>
      <c r="H178" s="599" t="str">
        <f>VLOOKUP(Table1[[#This Row],[الرقم الوظيفي]],[1]Sheet2!$1:$1048576,71,)</f>
        <v>الهندسة الزراعية</v>
      </c>
      <c r="I178" s="599" t="str">
        <f>VLOOKUP(Table1[[#This Row],[المؤهل الرئيسي]],Table4[],3,)</f>
        <v>D</v>
      </c>
      <c r="J178" s="599" t="s">
        <v>929</v>
      </c>
      <c r="K178" s="615">
        <f>VLOOKUP(Table1[[#This Row],[الرقم الوظيفي]],[1]Sheet2!$1:$1048576,13,)</f>
        <v>42504</v>
      </c>
      <c r="L178" s="615">
        <v>43830</v>
      </c>
      <c r="M178" s="599">
        <f>DATEDIF(Table1[[#This Row],[تاريخ التعيين]],Table1[[#This Row],[اخر العام]],"y")</f>
        <v>3</v>
      </c>
      <c r="N178" s="599">
        <f>DATEDIF(Table1[[#This Row],[تاريخ التعيين]],Table1[[#This Row],[اخر العام]],"ym")</f>
        <v>7</v>
      </c>
      <c r="O178" s="610">
        <f>Table1[[#This Row],[سنوات الخدمه]]*1+Table1[[#This Row],[الشهور اقل من سنه]]*0.08</f>
        <v>3.56</v>
      </c>
      <c r="P178" s="616">
        <v>3050</v>
      </c>
      <c r="Q178" s="617">
        <v>156.16</v>
      </c>
      <c r="R178" s="612"/>
      <c r="S178" s="599"/>
      <c r="T178" s="612"/>
      <c r="U178" s="612"/>
      <c r="V178" s="612"/>
      <c r="W178" s="612"/>
      <c r="X178" s="612"/>
      <c r="Y178" s="612"/>
      <c r="Z178" s="612"/>
      <c r="AA17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8" s="612"/>
      <c r="AC178" s="599"/>
      <c r="AD178" s="612"/>
      <c r="AE178" s="612"/>
      <c r="AF178" s="612"/>
      <c r="AG178" s="612"/>
      <c r="AH178" s="619">
        <f>SUM(Table1[[#This Row],[التقييد  باللوائح و تنفيذالتوجيه]:[اتباع اجراءات السلامه]])</f>
        <v>0</v>
      </c>
      <c r="AI178" s="619">
        <f>Table1[[#This Row],[المجموع]]+Table1[[#This Row],[المجموع2]]</f>
        <v>0</v>
      </c>
      <c r="AJ178" s="612"/>
      <c r="AK178" s="612"/>
      <c r="AL178" s="612"/>
      <c r="AM178" s="612"/>
      <c r="AN178" s="612"/>
      <c r="AO178" s="606">
        <f>Table1[[#This Row],[المجموع 1+2]]*$AO$2</f>
        <v>0</v>
      </c>
      <c r="AP178" s="648">
        <f>Table1[[#This Row],[راتب ديسمبر 2019]]*Table1[[#This Row],[نسبه التقييم الرئيسي 2018]]%</f>
        <v>0</v>
      </c>
      <c r="AQ178" s="627">
        <f>Table1[[#This Row],[مبلغ التقييم النسبي 2018]]+Table1[[#This Row],[راتب ديسمبر 2019]]</f>
        <v>3050</v>
      </c>
      <c r="AR178" s="611">
        <f>IF(Table1[[#This Row],[Column3]]&lt;0,0,Table1[[#This Row],[Column3]])</f>
        <v>2950</v>
      </c>
      <c r="AS178" s="599">
        <f>VLOOKUP(Table1[[#This Row],[درجه التوسيط]],Table10[],3,)</f>
        <v>6000</v>
      </c>
      <c r="AT178" s="608">
        <f>Table1[[#This Row],[الراتب 2018+النسبه]]+Table1[[#This Row],[فروقات الحد الادني]]</f>
        <v>6000</v>
      </c>
      <c r="AU178" s="629">
        <f>Table1[[#This Row],[الراتب 2018 + النسبه + الفرق]]-Table1[[#This Row],[راتب ديسمبر 2019]]</f>
        <v>2950</v>
      </c>
      <c r="AV178" s="628">
        <f>Table1[[#This Row],[الزياده]]/Table1[[#This Row],[راتب ديسمبر 2019]]%</f>
        <v>96.721311475409834</v>
      </c>
      <c r="AW178" s="659">
        <f>IF(Table1[[#This Row],[Column4]]&lt;0,0,Table1[[#This Row],[Column4]])</f>
        <v>0</v>
      </c>
      <c r="AX178" s="611">
        <f>Table1[[#This Row],[الجبر حتي]]-Table1[[#This Row],[رن]]</f>
        <v>2.8000000000001819</v>
      </c>
      <c r="AY178" s="611">
        <f>Table1[[#This Row],[الزياده]]+Table1[[#This Row],[التعديل]]+Table1[[#This Row],[جبر الرقم]]</f>
        <v>2952.8</v>
      </c>
      <c r="AZ178" s="611">
        <f>Table1[[#This Row],[الراتب 2018 + النسبه + الفرق]]+Table1[[#This Row],[جبر الرقم]]+Table1[[#This Row],[التعديل]]</f>
        <v>6002.8</v>
      </c>
      <c r="BA178" s="631">
        <f>Table1[[#This Row],[الزياده النهائيه]]/Table1[[#This Row],[راتب ديسمبر 2019]]%</f>
        <v>96.813114754098365</v>
      </c>
      <c r="BB178" s="612">
        <f>VLOOKUP(Table1[[#This Row],[الرقم الوظيفي]],Table6[],8,)</f>
        <v>3050</v>
      </c>
      <c r="BC178" s="7"/>
      <c r="BD178" s="7">
        <v>4590</v>
      </c>
      <c r="BE178" s="7">
        <v>4587.2</v>
      </c>
      <c r="BF178" s="5">
        <f>Table1[[#This Row],[الحد الادني]]-Table1[[#This Row],[الراتب 2018+النسبه]]</f>
        <v>2950</v>
      </c>
      <c r="BG178" s="5">
        <f>Table1[[#This Row],[التعديل حتي]]-Table1[[#This Row],[kkk]]</f>
        <v>-4587.2</v>
      </c>
      <c r="BH178" s="5">
        <v>4587.2</v>
      </c>
      <c r="BI178" s="5"/>
    </row>
    <row r="179" spans="1:61" ht="21" customHeight="1">
      <c r="A179" s="602">
        <v>883</v>
      </c>
      <c r="B179" s="618" t="str">
        <f>VLOOKUP(Table1[[#This Row],[الرقم الوظيفي]],[1]Sheet2!$1:$1048576,2,)</f>
        <v>مصطفى جاروط مصطفى جاروط</v>
      </c>
      <c r="C179" s="618" t="str">
        <f>VLOOKUP(Table1[[#This Row],[الرقم الوظيفي]],[1]Sheet2!$1:$1048576,7,)</f>
        <v>المصنع</v>
      </c>
      <c r="D179" s="618" t="str">
        <f>VLOOKUP(Table1[[#This Row],[الرقم الوظيفي]],[1]Sheet2!$1:$1048576,8,)</f>
        <v>الانتاج</v>
      </c>
      <c r="E179" s="599" t="str">
        <f>VLOOKUP(Table1[[#This Row],[الرقم الوظيفي]],[1]Sheet2!$1:$1048576,9,)</f>
        <v>المواسير</v>
      </c>
      <c r="F179" s="599" t="str">
        <f>VLOOKUP(Table1[[#This Row],[الرقم الوظيفي]],[1]Sheet2!$1:$1048576,12,)</f>
        <v>مشغل</v>
      </c>
      <c r="G179" s="599" t="str">
        <f>VLOOKUP(Table1[[#This Row],[الرقم الوظيفي]],[1]Sheet2!$1:$1048576,72,)</f>
        <v>دبلوم وسيط</v>
      </c>
      <c r="H179" s="599" t="str">
        <f>VLOOKUP(Table1[[#This Row],[الرقم الوظيفي]],[1]Sheet2!$1:$1048576,71,)</f>
        <v>هندسة ميكانيكية ( إنتاج )</v>
      </c>
      <c r="I179" s="599" t="str">
        <f>VLOOKUP(Table1[[#This Row],[المؤهل الرئيسي]],Table4[],3,)</f>
        <v>E</v>
      </c>
      <c r="J179" s="599" t="s">
        <v>922</v>
      </c>
      <c r="K179" s="615">
        <f>VLOOKUP(Table1[[#This Row],[الرقم الوظيفي]],[1]Sheet2!$1:$1048576,13,)</f>
        <v>42504</v>
      </c>
      <c r="L179" s="615">
        <v>43830</v>
      </c>
      <c r="M179" s="599">
        <f>DATEDIF(Table1[[#This Row],[تاريخ التعيين]],Table1[[#This Row],[اخر العام]],"y")</f>
        <v>3</v>
      </c>
      <c r="N179" s="599">
        <f>DATEDIF(Table1[[#This Row],[تاريخ التعيين]],Table1[[#This Row],[اخر العام]],"ym")</f>
        <v>7</v>
      </c>
      <c r="O179" s="610">
        <f>Table1[[#This Row],[سنوات الخدمه]]*1+Table1[[#This Row],[الشهور اقل من سنه]]*0.08</f>
        <v>3.56</v>
      </c>
      <c r="P179" s="616">
        <v>4060</v>
      </c>
      <c r="Q179" s="617">
        <v>207.87200000000001</v>
      </c>
      <c r="R179" s="612"/>
      <c r="S179" s="599"/>
      <c r="T179" s="612"/>
      <c r="U179" s="612"/>
      <c r="V179" s="612"/>
      <c r="W179" s="612"/>
      <c r="X179" s="612"/>
      <c r="Y179" s="612"/>
      <c r="Z179" s="612"/>
      <c r="AA17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79" s="612"/>
      <c r="AC179" s="599"/>
      <c r="AD179" s="612"/>
      <c r="AE179" s="612"/>
      <c r="AF179" s="612"/>
      <c r="AG179" s="612"/>
      <c r="AH179" s="619">
        <f>SUM(Table1[[#This Row],[التقييد  باللوائح و تنفيذالتوجيه]:[اتباع اجراءات السلامه]])</f>
        <v>0</v>
      </c>
      <c r="AI179" s="619">
        <f>Table1[[#This Row],[المجموع]]+Table1[[#This Row],[المجموع2]]</f>
        <v>0</v>
      </c>
      <c r="AJ179" s="612"/>
      <c r="AK179" s="612"/>
      <c r="AL179" s="612"/>
      <c r="AM179" s="612"/>
      <c r="AN179" s="612"/>
      <c r="AO179" s="606">
        <f>Table1[[#This Row],[المجموع 1+2]]*$AO$2</f>
        <v>0</v>
      </c>
      <c r="AP179" s="648">
        <f>Table1[[#This Row],[راتب ديسمبر 2019]]*Table1[[#This Row],[نسبه التقييم الرئيسي 2018]]%</f>
        <v>0</v>
      </c>
      <c r="AQ179" s="627">
        <f>Table1[[#This Row],[مبلغ التقييم النسبي 2018]]+Table1[[#This Row],[راتب ديسمبر 2019]]</f>
        <v>4060</v>
      </c>
      <c r="AR179" s="611">
        <f>IF(Table1[[#This Row],[Column3]]&lt;0,0,Table1[[#This Row],[Column3]])</f>
        <v>6940</v>
      </c>
      <c r="AS179" s="599">
        <f>VLOOKUP(Table1[[#This Row],[درجه التوسيط]],Table10[],3,)</f>
        <v>11000</v>
      </c>
      <c r="AT179" s="608">
        <f>Table1[[#This Row],[الراتب 2018+النسبه]]+Table1[[#This Row],[فروقات الحد الادني]]</f>
        <v>11000</v>
      </c>
      <c r="AU179" s="629">
        <f>Table1[[#This Row],[الراتب 2018 + النسبه + الفرق]]-Table1[[#This Row],[راتب ديسمبر 2019]]</f>
        <v>6940</v>
      </c>
      <c r="AV179" s="628">
        <f>Table1[[#This Row],[الزياده]]/Table1[[#This Row],[راتب ديسمبر 2019]]%</f>
        <v>170.93596059113301</v>
      </c>
      <c r="AW179" s="659">
        <f>IF(Table1[[#This Row],[Column4]]&lt;0,0,Table1[[#This Row],[Column4]])</f>
        <v>0</v>
      </c>
      <c r="AX179" s="611">
        <f>Table1[[#This Row],[الجبر حتي]]-Table1[[#This Row],[رن]]</f>
        <v>0</v>
      </c>
      <c r="AY179" s="611">
        <f>Table1[[#This Row],[الزياده]]+Table1[[#This Row],[التعديل]]+Table1[[#This Row],[جبر الرقم]]</f>
        <v>6940</v>
      </c>
      <c r="AZ179" s="611">
        <f>Table1[[#This Row],[الراتب 2018 + النسبه + الفرق]]+Table1[[#This Row],[جبر الرقم]]+Table1[[#This Row],[التعديل]]</f>
        <v>11000</v>
      </c>
      <c r="BA179" s="631">
        <f>Table1[[#This Row],[الزياده النهائيه]]/Table1[[#This Row],[راتب ديسمبر 2019]]%</f>
        <v>170.93596059113301</v>
      </c>
      <c r="BB179" s="612">
        <f>VLOOKUP(Table1[[#This Row],[الرقم الوظيفي]],Table6[],8,)</f>
        <v>4060</v>
      </c>
      <c r="BC179" s="7"/>
      <c r="BD179" s="7">
        <v>7000</v>
      </c>
      <c r="BE179" s="7">
        <v>7000</v>
      </c>
      <c r="BF179" s="5">
        <f>Table1[[#This Row],[الحد الادني]]-Table1[[#This Row],[الراتب 2018+النسبه]]</f>
        <v>6940</v>
      </c>
      <c r="BG179" s="5">
        <f>Table1[[#This Row],[التعديل حتي]]-Table1[[#This Row],[kkk]]</f>
        <v>-7000</v>
      </c>
      <c r="BH179" s="5">
        <v>7000</v>
      </c>
      <c r="BI179" s="5"/>
    </row>
    <row r="180" spans="1:61" ht="21" customHeight="1">
      <c r="A180" s="602">
        <v>894</v>
      </c>
      <c r="B180" s="618" t="str">
        <f>VLOOKUP(Table1[[#This Row],[الرقم الوظيفي]],[1]Sheet2!$1:$1048576,2,)</f>
        <v>مدثر على النور اسماعيل</v>
      </c>
      <c r="C180" s="618" t="str">
        <f>VLOOKUP(Table1[[#This Row],[الرقم الوظيفي]],[1]Sheet2!$1:$1048576,7,)</f>
        <v>المصنع</v>
      </c>
      <c r="D180" s="618" t="str">
        <f>VLOOKUP(Table1[[#This Row],[الرقم الوظيفي]],[1]Sheet2!$1:$1048576,8,)</f>
        <v>الانتاج</v>
      </c>
      <c r="E180" s="599" t="str">
        <f>VLOOKUP(Table1[[#This Row],[الرقم الوظيفي]],[1]Sheet2!$1:$1048576,9,)</f>
        <v>المواسير</v>
      </c>
      <c r="F180" s="599" t="str">
        <f>VLOOKUP(Table1[[#This Row],[الرقم الوظيفي]],[1]Sheet2!$1:$1048576,12,)</f>
        <v>مشغل كرين</v>
      </c>
      <c r="G180" s="599" t="str">
        <f>VLOOKUP(Table1[[#This Row],[الرقم الوظيفي]],[1]Sheet2!$1:$1048576,72,)</f>
        <v>بكلاريوس</v>
      </c>
      <c r="H180" s="599" t="str">
        <f>VLOOKUP(Table1[[#This Row],[الرقم الوظيفي]],[1]Sheet2!$1:$1048576,71,)</f>
        <v xml:space="preserve">الدراسات الإسلامية </v>
      </c>
      <c r="I180" s="599" t="str">
        <f>VLOOKUP(Table1[[#This Row],[المؤهل الرئيسي]],Table4[],3,)</f>
        <v>C</v>
      </c>
      <c r="J180" s="599" t="s">
        <v>925</v>
      </c>
      <c r="K180" s="615">
        <f>VLOOKUP(Table1[[#This Row],[الرقم الوظيفي]],[1]Sheet2!$1:$1048576,13,)</f>
        <v>42509</v>
      </c>
      <c r="L180" s="615">
        <v>43830</v>
      </c>
      <c r="M180" s="599">
        <f>DATEDIF(Table1[[#This Row],[تاريخ التعيين]],Table1[[#This Row],[اخر العام]],"y")</f>
        <v>3</v>
      </c>
      <c r="N180" s="599">
        <f>DATEDIF(Table1[[#This Row],[تاريخ التعيين]],Table1[[#This Row],[اخر العام]],"ym")</f>
        <v>7</v>
      </c>
      <c r="O180" s="610">
        <f>Table1[[#This Row],[سنوات الخدمه]]*1+Table1[[#This Row],[الشهور اقل من سنه]]*0.08</f>
        <v>3.56</v>
      </c>
      <c r="P180" s="616">
        <v>4050</v>
      </c>
      <c r="Q180" s="617">
        <v>207.36</v>
      </c>
      <c r="R180" s="612"/>
      <c r="S180" s="599"/>
      <c r="T180" s="612"/>
      <c r="U180" s="612"/>
      <c r="V180" s="612"/>
      <c r="W180" s="612"/>
      <c r="X180" s="612"/>
      <c r="Y180" s="612"/>
      <c r="Z180" s="612"/>
      <c r="AA18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0" s="612"/>
      <c r="AC180" s="599"/>
      <c r="AD180" s="612"/>
      <c r="AE180" s="612"/>
      <c r="AF180" s="612"/>
      <c r="AG180" s="612"/>
      <c r="AH180" s="619">
        <f>SUM(Table1[[#This Row],[التقييد  باللوائح و تنفيذالتوجيه]:[اتباع اجراءات السلامه]])</f>
        <v>0</v>
      </c>
      <c r="AI180" s="619">
        <f>Table1[[#This Row],[المجموع]]+Table1[[#This Row],[المجموع2]]</f>
        <v>0</v>
      </c>
      <c r="AJ180" s="612"/>
      <c r="AK180" s="612"/>
      <c r="AL180" s="612"/>
      <c r="AM180" s="612"/>
      <c r="AN180" s="612"/>
      <c r="AO180" s="606">
        <f>Table1[[#This Row],[المجموع 1+2]]*$AO$2</f>
        <v>0</v>
      </c>
      <c r="AP180" s="648">
        <f>Table1[[#This Row],[راتب ديسمبر 2019]]*Table1[[#This Row],[نسبه التقييم الرئيسي 2018]]%</f>
        <v>0</v>
      </c>
      <c r="AQ180" s="627">
        <f>Table1[[#This Row],[مبلغ التقييم النسبي 2018]]+Table1[[#This Row],[راتب ديسمبر 2019]]</f>
        <v>4050</v>
      </c>
      <c r="AR180" s="611">
        <f>IF(Table1[[#This Row],[Column3]]&lt;0,0,Table1[[#This Row],[Column3]])</f>
        <v>4950</v>
      </c>
      <c r="AS180" s="599">
        <f>VLOOKUP(Table1[[#This Row],[درجه التوسيط]],Table10[],3,)</f>
        <v>9000</v>
      </c>
      <c r="AT180" s="608">
        <f>Table1[[#This Row],[الراتب 2018+النسبه]]+Table1[[#This Row],[فروقات الحد الادني]]</f>
        <v>9000</v>
      </c>
      <c r="AU180" s="629">
        <f>Table1[[#This Row],[الراتب 2018 + النسبه + الفرق]]-Table1[[#This Row],[راتب ديسمبر 2019]]</f>
        <v>4950</v>
      </c>
      <c r="AV180" s="628">
        <f>Table1[[#This Row],[الزياده]]/Table1[[#This Row],[راتب ديسمبر 2019]]%</f>
        <v>122.22222222222223</v>
      </c>
      <c r="AW180" s="659">
        <f>IF(Table1[[#This Row],[Column4]]&lt;0,0,Table1[[#This Row],[Column4]])</f>
        <v>0</v>
      </c>
      <c r="AX180" s="611">
        <f>Table1[[#This Row],[الجبر حتي]]-Table1[[#This Row],[رن]]</f>
        <v>0.1000000000003638</v>
      </c>
      <c r="AY180" s="611">
        <f>Table1[[#This Row],[الزياده]]+Table1[[#This Row],[التعديل]]+Table1[[#This Row],[جبر الرقم]]</f>
        <v>4950.1000000000004</v>
      </c>
      <c r="AZ180" s="611">
        <f>Table1[[#This Row],[الراتب 2018 + النسبه + الفرق]]+Table1[[#This Row],[جبر الرقم]]+Table1[[#This Row],[التعديل]]</f>
        <v>9000.1</v>
      </c>
      <c r="BA180" s="631">
        <f>Table1[[#This Row],[الزياده النهائيه]]/Table1[[#This Row],[راتب ديسمبر 2019]]%</f>
        <v>122.2246913580247</v>
      </c>
      <c r="BB180" s="612">
        <f>VLOOKUP(Table1[[#This Row],[الرقم الوظيفي]],Table6[],8,)</f>
        <v>4050</v>
      </c>
      <c r="BC180" s="7"/>
      <c r="BD180" s="7">
        <v>6310</v>
      </c>
      <c r="BE180" s="7">
        <v>6309.9</v>
      </c>
      <c r="BF180" s="5">
        <f>Table1[[#This Row],[الحد الادني]]-Table1[[#This Row],[الراتب 2018+النسبه]]</f>
        <v>4950</v>
      </c>
      <c r="BG180" s="5">
        <f>Table1[[#This Row],[التعديل حتي]]-Table1[[#This Row],[kkk]]</f>
        <v>-6309.9</v>
      </c>
      <c r="BH180" s="5">
        <v>6309.9</v>
      </c>
      <c r="BI180" s="5"/>
    </row>
    <row r="181" spans="1:61" ht="21" customHeight="1">
      <c r="A181" s="602">
        <v>895</v>
      </c>
      <c r="B181" s="618" t="str">
        <f>VLOOKUP(Table1[[#This Row],[الرقم الوظيفي]],[1]Sheet2!$1:$1048576,2,)</f>
        <v>عبد الرحمن ادم اسماعيل حماد</v>
      </c>
      <c r="C181" s="618" t="str">
        <f>VLOOKUP(Table1[[#This Row],[الرقم الوظيفي]],[1]Sheet2!$1:$1048576,7,)</f>
        <v>المصنع</v>
      </c>
      <c r="D181" s="618" t="str">
        <f>VLOOKUP(Table1[[#This Row],[الرقم الوظيفي]],[1]Sheet2!$1:$1048576,8,)</f>
        <v>الميكانيكا</v>
      </c>
      <c r="E181" s="599">
        <f>VLOOKUP(Table1[[#This Row],[الرقم الوظيفي]],[1]Sheet2!$1:$1048576,9,)</f>
        <v>0</v>
      </c>
      <c r="F181" s="599" t="str">
        <f>VLOOKUP(Table1[[#This Row],[الرقم الوظيفي]],[1]Sheet2!$1:$1048576,12,)</f>
        <v>حداد صيانه</v>
      </c>
      <c r="G181" s="599">
        <f>VLOOKUP(Table1[[#This Row],[الرقم الوظيفي]],[1]Sheet2!$1:$1048576,72,)</f>
        <v>0</v>
      </c>
      <c r="H181" s="599">
        <f>VLOOKUP(Table1[[#This Row],[الرقم الوظيفي]],[1]Sheet2!$1:$1048576,71,)</f>
        <v>0</v>
      </c>
      <c r="I181" s="599" t="str">
        <f>VLOOKUP(Table1[[#This Row],[المؤهل الرئيسي]],Table4[],3,)</f>
        <v>H</v>
      </c>
      <c r="J181" s="599" t="s">
        <v>924</v>
      </c>
      <c r="K181" s="615">
        <f>VLOOKUP(Table1[[#This Row],[الرقم الوظيفي]],[1]Sheet2!$1:$1048576,13,)</f>
        <v>42522</v>
      </c>
      <c r="L181" s="615">
        <v>43830</v>
      </c>
      <c r="M181" s="599">
        <f>DATEDIF(Table1[[#This Row],[تاريخ التعيين]],Table1[[#This Row],[اخر العام]],"y")</f>
        <v>3</v>
      </c>
      <c r="N181" s="599">
        <f>DATEDIF(Table1[[#This Row],[تاريخ التعيين]],Table1[[#This Row],[اخر العام]],"ym")</f>
        <v>6</v>
      </c>
      <c r="O181" s="610">
        <f>Table1[[#This Row],[سنوات الخدمه]]*1+Table1[[#This Row],[الشهور اقل من سنه]]*0.08</f>
        <v>3.48</v>
      </c>
      <c r="P181" s="616">
        <v>4070</v>
      </c>
      <c r="Q181" s="617">
        <v>201.87200000000001</v>
      </c>
      <c r="R181" s="612"/>
      <c r="S181" s="599"/>
      <c r="T181" s="612"/>
      <c r="U181" s="612"/>
      <c r="V181" s="612"/>
      <c r="W181" s="612"/>
      <c r="X181" s="612"/>
      <c r="Y181" s="612"/>
      <c r="Z181" s="612"/>
      <c r="AA18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1" s="612"/>
      <c r="AC181" s="599"/>
      <c r="AD181" s="612"/>
      <c r="AE181" s="612"/>
      <c r="AF181" s="612"/>
      <c r="AG181" s="612"/>
      <c r="AH181" s="619">
        <f>SUM(Table1[[#This Row],[التقييد  باللوائح و تنفيذالتوجيه]:[اتباع اجراءات السلامه]])</f>
        <v>0</v>
      </c>
      <c r="AI181" s="619">
        <f>Table1[[#This Row],[المجموع]]+Table1[[#This Row],[المجموع2]]</f>
        <v>0</v>
      </c>
      <c r="AJ181" s="612">
        <v>9</v>
      </c>
      <c r="AK181" s="612"/>
      <c r="AL181" s="612"/>
      <c r="AM181" s="612"/>
      <c r="AN181" s="612"/>
      <c r="AO181" s="606">
        <f>Table1[[#This Row],[المجموع 1+2]]*$AO$2</f>
        <v>0</v>
      </c>
      <c r="AP181" s="648">
        <f>Table1[[#This Row],[راتب ديسمبر 2019]]*Table1[[#This Row],[نسبه التقييم الرئيسي 2018]]%</f>
        <v>0</v>
      </c>
      <c r="AQ181" s="627">
        <f>Table1[[#This Row],[مبلغ التقييم النسبي 2018]]+Table1[[#This Row],[راتب ديسمبر 2019]]</f>
        <v>4070</v>
      </c>
      <c r="AR181" s="611">
        <f>IF(Table1[[#This Row],[Column3]]&lt;0,0,Table1[[#This Row],[Column3]])</f>
        <v>4930</v>
      </c>
      <c r="AS181" s="599">
        <f>VLOOKUP(Table1[[#This Row],[درجه التوسيط]],Table10[],3,)</f>
        <v>9000</v>
      </c>
      <c r="AT181" s="608">
        <f>Table1[[#This Row],[الراتب 2018+النسبه]]+Table1[[#This Row],[فروقات الحد الادني]]</f>
        <v>9000</v>
      </c>
      <c r="AU181" s="629">
        <f>Table1[[#This Row],[الراتب 2018 + النسبه + الفرق]]-Table1[[#This Row],[راتب ديسمبر 2019]]</f>
        <v>4930</v>
      </c>
      <c r="AV181" s="628">
        <f>Table1[[#This Row],[الزياده]]/Table1[[#This Row],[راتب ديسمبر 2019]]%</f>
        <v>121.13022113022112</v>
      </c>
      <c r="AW181" s="659">
        <f>IF(Table1[[#This Row],[Column4]]&lt;0,0,Table1[[#This Row],[Column4]])</f>
        <v>0</v>
      </c>
      <c r="AX181" s="611">
        <f>Table1[[#This Row],[الجبر حتي]]-Table1[[#This Row],[رن]]</f>
        <v>7.7799999999997453</v>
      </c>
      <c r="AY181" s="611">
        <f>Table1[[#This Row],[الزياده]]+Table1[[#This Row],[التعديل]]+Table1[[#This Row],[جبر الرقم]]</f>
        <v>4937.78</v>
      </c>
      <c r="AZ181" s="611">
        <f>Table1[[#This Row],[الراتب 2018 + النسبه + الفرق]]+Table1[[#This Row],[جبر الرقم]]+Table1[[#This Row],[التعديل]]</f>
        <v>9007.7799999999988</v>
      </c>
      <c r="BA181" s="631">
        <f>Table1[[#This Row],[الزياده النهائيه]]/Table1[[#This Row],[راتب ديسمبر 2019]]%</f>
        <v>121.3213759213759</v>
      </c>
      <c r="BB181" s="612">
        <f>VLOOKUP(Table1[[#This Row],[الرقم الوظيفي]],Table6[],8,)</f>
        <v>4070</v>
      </c>
      <c r="BC181" s="7"/>
      <c r="BD181" s="7">
        <v>6300</v>
      </c>
      <c r="BE181" s="7">
        <v>6292.22</v>
      </c>
      <c r="BF181" s="5">
        <f>Table1[[#This Row],[الحد الادني]]-Table1[[#This Row],[الراتب 2018+النسبه]]</f>
        <v>4930</v>
      </c>
      <c r="BG181" s="5">
        <f>Table1[[#This Row],[التعديل حتي]]-Table1[[#This Row],[kkk]]</f>
        <v>-6292.22</v>
      </c>
      <c r="BH181" s="5">
        <v>6292.22</v>
      </c>
      <c r="BI181" s="5"/>
    </row>
    <row r="182" spans="1:61" ht="21" customHeight="1">
      <c r="A182" s="602">
        <v>896</v>
      </c>
      <c r="B182" s="618" t="str">
        <f>VLOOKUP(Table1[[#This Row],[الرقم الوظيفي]],[1]Sheet2!$1:$1048576,2,)</f>
        <v>محمد بخيت عثمان الصديق</v>
      </c>
      <c r="C182" s="618" t="str">
        <f>VLOOKUP(Table1[[#This Row],[الرقم الوظيفي]],[1]Sheet2!$1:$1048576,7,)</f>
        <v>المصنع</v>
      </c>
      <c r="D182" s="618" t="str">
        <f>VLOOKUP(Table1[[#This Row],[الرقم الوظيفي]],[1]Sheet2!$1:$1048576,8,)</f>
        <v>الانتاج</v>
      </c>
      <c r="E182" s="599">
        <f>VLOOKUP(Table1[[#This Row],[الرقم الوظيفي]],[1]Sheet2!$1:$1048576,9,)</f>
        <v>0</v>
      </c>
      <c r="F182" s="599" t="str">
        <f>VLOOKUP(Table1[[#This Row],[الرقم الوظيفي]],[1]Sheet2!$1:$1048576,12,)</f>
        <v>عداد</v>
      </c>
      <c r="G182" s="599" t="str">
        <f>VLOOKUP(Table1[[#This Row],[الرقم الوظيفي]],[1]Sheet2!$1:$1048576,72,)</f>
        <v>دبلوم تقني</v>
      </c>
      <c r="H182" s="599" t="str">
        <f>VLOOKUP(Table1[[#This Row],[الرقم الوظيفي]],[1]Sheet2!$1:$1048576,71,)</f>
        <v>إدارة المكاتب</v>
      </c>
      <c r="I182" s="599" t="str">
        <f>VLOOKUP(Table1[[#This Row],[المؤهل الرئيسي]],Table4[],3,)</f>
        <v>D</v>
      </c>
      <c r="J182" s="599" t="s">
        <v>929</v>
      </c>
      <c r="K182" s="615">
        <f>VLOOKUP(Table1[[#This Row],[الرقم الوظيفي]],[1]Sheet2!$1:$1048576,13,)</f>
        <v>42522</v>
      </c>
      <c r="L182" s="615">
        <v>43830</v>
      </c>
      <c r="M182" s="599">
        <f>DATEDIF(Table1[[#This Row],[تاريخ التعيين]],Table1[[#This Row],[اخر العام]],"y")</f>
        <v>3</v>
      </c>
      <c r="N182" s="599">
        <f>DATEDIF(Table1[[#This Row],[تاريخ التعيين]],Table1[[#This Row],[اخر العام]],"ym")</f>
        <v>6</v>
      </c>
      <c r="O182" s="610">
        <f>Table1[[#This Row],[سنوات الخدمه]]*1+Table1[[#This Row],[الشهور اقل من سنه]]*0.08</f>
        <v>3.48</v>
      </c>
      <c r="P182" s="616">
        <v>3050</v>
      </c>
      <c r="Q182" s="617">
        <v>151.28</v>
      </c>
      <c r="R182" s="612"/>
      <c r="S182" s="599"/>
      <c r="T182" s="612"/>
      <c r="U182" s="612"/>
      <c r="V182" s="612"/>
      <c r="W182" s="612"/>
      <c r="X182" s="612"/>
      <c r="Y182" s="612"/>
      <c r="Z182" s="612"/>
      <c r="AA18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2" s="612"/>
      <c r="AC182" s="599"/>
      <c r="AD182" s="612"/>
      <c r="AE182" s="612"/>
      <c r="AF182" s="612"/>
      <c r="AG182" s="612"/>
      <c r="AH182" s="619">
        <f>SUM(Table1[[#This Row],[التقييد  باللوائح و تنفيذالتوجيه]:[اتباع اجراءات السلامه]])</f>
        <v>0</v>
      </c>
      <c r="AI182" s="619">
        <f>Table1[[#This Row],[المجموع]]+Table1[[#This Row],[المجموع2]]</f>
        <v>0</v>
      </c>
      <c r="AJ182" s="612"/>
      <c r="AK182" s="612"/>
      <c r="AL182" s="612"/>
      <c r="AM182" s="612"/>
      <c r="AN182" s="612"/>
      <c r="AO182" s="606">
        <f>Table1[[#This Row],[المجموع 1+2]]*$AO$2</f>
        <v>0</v>
      </c>
      <c r="AP182" s="648">
        <f>Table1[[#This Row],[راتب ديسمبر 2019]]*Table1[[#This Row],[نسبه التقييم الرئيسي 2018]]%</f>
        <v>0</v>
      </c>
      <c r="AQ182" s="627">
        <f>Table1[[#This Row],[مبلغ التقييم النسبي 2018]]+Table1[[#This Row],[راتب ديسمبر 2019]]</f>
        <v>3050</v>
      </c>
      <c r="AR182" s="611">
        <f>IF(Table1[[#This Row],[Column3]]&lt;0,0,Table1[[#This Row],[Column3]])</f>
        <v>2950</v>
      </c>
      <c r="AS182" s="599">
        <f>VLOOKUP(Table1[[#This Row],[درجه التوسيط]],Table10[],3,)</f>
        <v>6000</v>
      </c>
      <c r="AT182" s="608">
        <f>Table1[[#This Row],[الراتب 2018+النسبه]]+Table1[[#This Row],[فروقات الحد الادني]]</f>
        <v>6000</v>
      </c>
      <c r="AU182" s="629">
        <f>Table1[[#This Row],[الراتب 2018 + النسبه + الفرق]]-Table1[[#This Row],[راتب ديسمبر 2019]]</f>
        <v>2950</v>
      </c>
      <c r="AV182" s="628">
        <f>Table1[[#This Row],[الزياده]]/Table1[[#This Row],[راتب ديسمبر 2019]]%</f>
        <v>96.721311475409834</v>
      </c>
      <c r="AW182" s="659">
        <f>IF(Table1[[#This Row],[Column4]]&lt;0,0,Table1[[#This Row],[Column4]])</f>
        <v>0</v>
      </c>
      <c r="AX182" s="611">
        <f>Table1[[#This Row],[الجبر حتي]]-Table1[[#This Row],[رن]]</f>
        <v>4.5</v>
      </c>
      <c r="AY182" s="611">
        <f>Table1[[#This Row],[الزياده]]+Table1[[#This Row],[التعديل]]+Table1[[#This Row],[جبر الرقم]]</f>
        <v>2954.5</v>
      </c>
      <c r="AZ182" s="611">
        <f>Table1[[#This Row],[الراتب 2018 + النسبه + الفرق]]+Table1[[#This Row],[جبر الرقم]]+Table1[[#This Row],[التعديل]]</f>
        <v>6004.5</v>
      </c>
      <c r="BA182" s="631">
        <f>Table1[[#This Row],[الزياده النهائيه]]/Table1[[#This Row],[راتب ديسمبر 2019]]%</f>
        <v>96.868852459016395</v>
      </c>
      <c r="BB182" s="612">
        <f>VLOOKUP(Table1[[#This Row],[الرقم الوظيفي]],Table6[],8,)</f>
        <v>3050</v>
      </c>
      <c r="BC182" s="7"/>
      <c r="BD182" s="7">
        <v>4610</v>
      </c>
      <c r="BE182" s="7">
        <v>4605.5</v>
      </c>
      <c r="BF182" s="5">
        <f>Table1[[#This Row],[الحد الادني]]-Table1[[#This Row],[الراتب 2018+النسبه]]</f>
        <v>2950</v>
      </c>
      <c r="BG182" s="5">
        <f>Table1[[#This Row],[التعديل حتي]]-Table1[[#This Row],[kkk]]</f>
        <v>-4605.5</v>
      </c>
      <c r="BH182" s="5">
        <v>4605.5</v>
      </c>
      <c r="BI182" s="5"/>
    </row>
    <row r="183" spans="1:61" ht="21" customHeight="1">
      <c r="A183" s="602">
        <v>900</v>
      </c>
      <c r="B183" s="618" t="str">
        <f>VLOOKUP(Table1[[#This Row],[الرقم الوظيفي]],[1]Sheet2!$1:$1048576,2,)</f>
        <v>عثمان على عثمان على</v>
      </c>
      <c r="C183" s="618" t="str">
        <f>VLOOKUP(Table1[[#This Row],[الرقم الوظيفي]],[1]Sheet2!$1:$1048576,7,)</f>
        <v>المصنع</v>
      </c>
      <c r="D183" s="618" t="str">
        <f>VLOOKUP(Table1[[#This Row],[الرقم الوظيفي]],[1]Sheet2!$1:$1048576,8,)</f>
        <v>الماليه</v>
      </c>
      <c r="E183" s="599">
        <f>VLOOKUP(Table1[[#This Row],[الرقم الوظيفي]],[1]Sheet2!$1:$1048576,9,)</f>
        <v>0</v>
      </c>
      <c r="F183" s="599" t="str">
        <f>VLOOKUP(Table1[[#This Row],[الرقم الوظيفي]],[1]Sheet2!$1:$1048576,12,)</f>
        <v>محاسب</v>
      </c>
      <c r="G183" s="599" t="str">
        <f>VLOOKUP(Table1[[#This Row],[الرقم الوظيفي]],[1]Sheet2!$1:$1048576,72,)</f>
        <v>دبلوم تقني</v>
      </c>
      <c r="H183" s="599" t="str">
        <f>VLOOKUP(Table1[[#This Row],[الرقم الوظيفي]],[1]Sheet2!$1:$1048576,71,)</f>
        <v>محاسبة وإدارة الاعمال</v>
      </c>
      <c r="I183" s="599" t="str">
        <f>VLOOKUP(Table1[[#This Row],[المؤهل الرئيسي]],Table4[],3,)</f>
        <v>D</v>
      </c>
      <c r="J183" s="599" t="s">
        <v>924</v>
      </c>
      <c r="K183" s="615">
        <f>VLOOKUP(Table1[[#This Row],[الرقم الوظيفي]],[1]Sheet2!$1:$1048576,13,)</f>
        <v>42523</v>
      </c>
      <c r="L183" s="615">
        <v>43830</v>
      </c>
      <c r="M183" s="599">
        <f>DATEDIF(Table1[[#This Row],[تاريخ التعيين]],Table1[[#This Row],[اخر العام]],"y")</f>
        <v>3</v>
      </c>
      <c r="N183" s="599">
        <f>DATEDIF(Table1[[#This Row],[تاريخ التعيين]],Table1[[#This Row],[اخر العام]],"ym")</f>
        <v>6</v>
      </c>
      <c r="O183" s="610">
        <f>Table1[[#This Row],[سنوات الخدمه]]*1+Table1[[#This Row],[الشهور اقل من سنه]]*0.08</f>
        <v>3.48</v>
      </c>
      <c r="P183" s="616">
        <v>4570</v>
      </c>
      <c r="Q183" s="617">
        <v>226.672</v>
      </c>
      <c r="R183" s="612"/>
      <c r="S183" s="599"/>
      <c r="T183" s="612"/>
      <c r="U183" s="612"/>
      <c r="V183" s="612"/>
      <c r="W183" s="612"/>
      <c r="X183" s="612"/>
      <c r="Y183" s="612"/>
      <c r="Z183" s="612"/>
      <c r="AA18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3" s="612"/>
      <c r="AC183" s="599"/>
      <c r="AD183" s="612"/>
      <c r="AE183" s="612"/>
      <c r="AF183" s="612"/>
      <c r="AG183" s="612"/>
      <c r="AH183" s="619">
        <f>SUM(Table1[[#This Row],[التقييد  باللوائح و تنفيذالتوجيه]:[اتباع اجراءات السلامه]])</f>
        <v>0</v>
      </c>
      <c r="AI183" s="619">
        <f>Table1[[#This Row],[المجموع]]+Table1[[#This Row],[المجموع2]]</f>
        <v>0</v>
      </c>
      <c r="AJ183" s="612">
        <v>8</v>
      </c>
      <c r="AK183" s="612"/>
      <c r="AL183" s="612"/>
      <c r="AM183" s="612">
        <v>7</v>
      </c>
      <c r="AN183" s="612"/>
      <c r="AO183" s="606">
        <f>Table1[[#This Row],[المجموع 1+2]]*$AO$2</f>
        <v>0</v>
      </c>
      <c r="AP183" s="648">
        <f>Table1[[#This Row],[راتب ديسمبر 2019]]*Table1[[#This Row],[نسبه التقييم الرئيسي 2018]]%</f>
        <v>0</v>
      </c>
      <c r="AQ183" s="627">
        <f>Table1[[#This Row],[مبلغ التقييم النسبي 2018]]+Table1[[#This Row],[راتب ديسمبر 2019]]</f>
        <v>4570</v>
      </c>
      <c r="AR183" s="611">
        <f>IF(Table1[[#This Row],[Column3]]&lt;0,0,Table1[[#This Row],[Column3]])</f>
        <v>4430</v>
      </c>
      <c r="AS183" s="599">
        <f>VLOOKUP(Table1[[#This Row],[درجه التوسيط]],Table10[],3,)</f>
        <v>9000</v>
      </c>
      <c r="AT183" s="608">
        <f>Table1[[#This Row],[الراتب 2018+النسبه]]+Table1[[#This Row],[فروقات الحد الادني]]</f>
        <v>9000</v>
      </c>
      <c r="AU183" s="629">
        <f>Table1[[#This Row],[الراتب 2018 + النسبه + الفرق]]-Table1[[#This Row],[راتب ديسمبر 2019]]</f>
        <v>4430</v>
      </c>
      <c r="AV183" s="628">
        <f>Table1[[#This Row],[الزياده]]/Table1[[#This Row],[راتب ديسمبر 2019]]%</f>
        <v>96.936542669584242</v>
      </c>
      <c r="AW183" s="659">
        <f>IF(Table1[[#This Row],[Column4]]&lt;0,0,Table1[[#This Row],[Column4]])</f>
        <v>1000</v>
      </c>
      <c r="AX183" s="611">
        <f>Table1[[#This Row],[الجبر حتي]]-Table1[[#This Row],[رن]]</f>
        <v>0</v>
      </c>
      <c r="AY183" s="611">
        <f>Table1[[#This Row],[الزياده]]+Table1[[#This Row],[التعديل]]+Table1[[#This Row],[جبر الرقم]]</f>
        <v>5430</v>
      </c>
      <c r="AZ183" s="611">
        <f>Table1[[#This Row],[الراتب 2018 + النسبه + الفرق]]+Table1[[#This Row],[جبر الرقم]]+Table1[[#This Row],[التعديل]]</f>
        <v>10000</v>
      </c>
      <c r="BA183" s="631">
        <f>Table1[[#This Row],[الزياده النهائيه]]/Table1[[#This Row],[راتب ديسمبر 2019]]%</f>
        <v>118.81838074398249</v>
      </c>
      <c r="BB183" s="612">
        <f>VLOOKUP(Table1[[#This Row],[الرقم الوظيفي]],Table6[],8,)</f>
        <v>4570</v>
      </c>
      <c r="BC183" s="7">
        <v>7000</v>
      </c>
      <c r="BD183" s="7">
        <v>7000</v>
      </c>
      <c r="BE183" s="7">
        <v>7000</v>
      </c>
      <c r="BF183" s="5">
        <f>Table1[[#This Row],[الحد الادني]]-Table1[[#This Row],[الراتب 2018+النسبه]]</f>
        <v>4430</v>
      </c>
      <c r="BG183" s="5">
        <f>Table1[[#This Row],[التعديل حتي]]-Table1[[#This Row],[kkk]]</f>
        <v>1000</v>
      </c>
      <c r="BH183" s="5">
        <v>6000</v>
      </c>
      <c r="BI183" s="5"/>
    </row>
    <row r="184" spans="1:61" ht="21" customHeight="1">
      <c r="A184" s="602">
        <v>902</v>
      </c>
      <c r="B184" s="618" t="str">
        <f>VLOOKUP(Table1[[#This Row],[الرقم الوظيفي]],[1]Sheet2!$1:$1048576,2,)</f>
        <v>جمال حامد عبد الكريم العبيد</v>
      </c>
      <c r="C184" s="618" t="str">
        <f>VLOOKUP(Table1[[#This Row],[الرقم الوظيفي]],[1]Sheet2!$1:$1048576,7,)</f>
        <v>المصنع</v>
      </c>
      <c r="D184" s="618" t="str">
        <f>VLOOKUP(Table1[[#This Row],[الرقم الوظيفي]],[1]Sheet2!$1:$1048576,8,)</f>
        <v>الاليات</v>
      </c>
      <c r="E184" s="599">
        <f>VLOOKUP(Table1[[#This Row],[الرقم الوظيفي]],[1]Sheet2!$1:$1048576,9,)</f>
        <v>0</v>
      </c>
      <c r="F184" s="599" t="str">
        <f>VLOOKUP(Table1[[#This Row],[الرقم الوظيفي]],[1]Sheet2!$1:$1048576,12,)</f>
        <v>مسئول قسم الاليات</v>
      </c>
      <c r="G184" s="599">
        <f>VLOOKUP(Table1[[#This Row],[الرقم الوظيفي]],[1]Sheet2!$1:$1048576,72,)</f>
        <v>0</v>
      </c>
      <c r="H184" s="599">
        <f>VLOOKUP(Table1[[#This Row],[الرقم الوظيفي]],[1]Sheet2!$1:$1048576,71,)</f>
        <v>0</v>
      </c>
      <c r="I184" s="599" t="str">
        <f>VLOOKUP(Table1[[#This Row],[المؤهل الرئيسي]],Table4[],3,)</f>
        <v>H</v>
      </c>
      <c r="J184" s="599" t="s">
        <v>38</v>
      </c>
      <c r="K184" s="615">
        <f>VLOOKUP(Table1[[#This Row],[الرقم الوظيفي]],[1]Sheet2!$1:$1048576,13,)</f>
        <v>42541</v>
      </c>
      <c r="L184" s="615">
        <v>43830</v>
      </c>
      <c r="M184" s="599">
        <f>DATEDIF(Table1[[#This Row],[تاريخ التعيين]],Table1[[#This Row],[اخر العام]],"y")</f>
        <v>3</v>
      </c>
      <c r="N184" s="599">
        <f>DATEDIF(Table1[[#This Row],[تاريخ التعيين]],Table1[[#This Row],[اخر العام]],"ym")</f>
        <v>6</v>
      </c>
      <c r="O184" s="610">
        <f>Table1[[#This Row],[سنوات الخدمه]]*1+Table1[[#This Row],[الشهور اقل من سنه]]*0.08</f>
        <v>3.48</v>
      </c>
      <c r="P184" s="616">
        <v>6500</v>
      </c>
      <c r="Q184" s="617">
        <v>322.39999999999998</v>
      </c>
      <c r="R184" s="612"/>
      <c r="S184" s="599"/>
      <c r="T184" s="612"/>
      <c r="U184" s="612"/>
      <c r="V184" s="612"/>
      <c r="W184" s="612"/>
      <c r="X184" s="612"/>
      <c r="Y184" s="612"/>
      <c r="Z184" s="612"/>
      <c r="AA18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4" s="612"/>
      <c r="AC184" s="599"/>
      <c r="AD184" s="612"/>
      <c r="AE184" s="612"/>
      <c r="AF184" s="612"/>
      <c r="AG184" s="612"/>
      <c r="AH184" s="619">
        <f>SUM(Table1[[#This Row],[التقييد  باللوائح و تنفيذالتوجيه]:[اتباع اجراءات السلامه]])</f>
        <v>0</v>
      </c>
      <c r="AI184" s="619">
        <f>Table1[[#This Row],[المجموع]]+Table1[[#This Row],[المجموع2]]</f>
        <v>0</v>
      </c>
      <c r="AJ184" s="612"/>
      <c r="AK184" s="612"/>
      <c r="AL184" s="612"/>
      <c r="AM184" s="612"/>
      <c r="AN184" s="612"/>
      <c r="AO184" s="606">
        <f>Table1[[#This Row],[المجموع 1+2]]*$AO$2</f>
        <v>0</v>
      </c>
      <c r="AP184" s="648">
        <f>Table1[[#This Row],[راتب ديسمبر 2019]]*Table1[[#This Row],[نسبه التقييم الرئيسي 2018]]%</f>
        <v>0</v>
      </c>
      <c r="AQ184" s="627">
        <f>Table1[[#This Row],[مبلغ التقييم النسبي 2018]]+Table1[[#This Row],[راتب ديسمبر 2019]]</f>
        <v>6500</v>
      </c>
      <c r="AR184" s="611">
        <f>IF(Table1[[#This Row],[Column3]]&lt;0,0,Table1[[#This Row],[Column3]])</f>
        <v>10500</v>
      </c>
      <c r="AS184" s="599">
        <f>VLOOKUP(Table1[[#This Row],[درجه التوسيط]],Table10[],3,)</f>
        <v>17000</v>
      </c>
      <c r="AT184" s="608">
        <f>Table1[[#This Row],[الراتب 2018+النسبه]]+Table1[[#This Row],[فروقات الحد الادني]]</f>
        <v>17000</v>
      </c>
      <c r="AU184" s="629">
        <f>Table1[[#This Row],[الراتب 2018 + النسبه + الفرق]]-Table1[[#This Row],[راتب ديسمبر 2019]]</f>
        <v>10500</v>
      </c>
      <c r="AV184" s="628">
        <f>Table1[[#This Row],[الزياده]]/Table1[[#This Row],[راتب ديسمبر 2019]]%</f>
        <v>161.53846153846155</v>
      </c>
      <c r="AW184" s="659">
        <f>IF(Table1[[#This Row],[Column4]]&lt;0,0,Table1[[#This Row],[Column4]])</f>
        <v>0</v>
      </c>
      <c r="AX184" s="611">
        <f>Table1[[#This Row],[الجبر حتي]]-Table1[[#This Row],[رن]]</f>
        <v>0</v>
      </c>
      <c r="AY184" s="611">
        <f>Table1[[#This Row],[الزياده]]+Table1[[#This Row],[التعديل]]+Table1[[#This Row],[جبر الرقم]]</f>
        <v>10500</v>
      </c>
      <c r="AZ184" s="611">
        <f>Table1[[#This Row],[الراتب 2018 + النسبه + الفرق]]+Table1[[#This Row],[جبر الرقم]]+Table1[[#This Row],[التعديل]]</f>
        <v>17000</v>
      </c>
      <c r="BA184" s="631">
        <f>Table1[[#This Row],[الزياده النهائيه]]/Table1[[#This Row],[راتب ديسمبر 2019]]%</f>
        <v>161.53846153846155</v>
      </c>
      <c r="BB184" s="612">
        <f>VLOOKUP(Table1[[#This Row],[الرقم الوظيفي]],Table6[],8,)</f>
        <v>6500</v>
      </c>
      <c r="BC184" s="7"/>
      <c r="BD184" s="7">
        <v>12000</v>
      </c>
      <c r="BE184" s="7">
        <v>12000</v>
      </c>
      <c r="BF184" s="5">
        <f>Table1[[#This Row],[الحد الادني]]-Table1[[#This Row],[الراتب 2018+النسبه]]</f>
        <v>10500</v>
      </c>
      <c r="BG184" s="5">
        <f>Table1[[#This Row],[التعديل حتي]]-Table1[[#This Row],[kkk]]</f>
        <v>-12000</v>
      </c>
      <c r="BH184" s="5">
        <v>12000</v>
      </c>
      <c r="BI184" s="5"/>
    </row>
    <row r="185" spans="1:61" ht="21" customHeight="1">
      <c r="A185" s="602">
        <v>904</v>
      </c>
      <c r="B185" s="618" t="str">
        <f>VLOOKUP(Table1[[#This Row],[الرقم الوظيفي]],[1]Sheet2!$1:$1048576,2,)</f>
        <v>الشيخ محمد ادم احمد</v>
      </c>
      <c r="C185" s="618" t="str">
        <f>VLOOKUP(Table1[[#This Row],[الرقم الوظيفي]],[1]Sheet2!$1:$1048576,7,)</f>
        <v>المصنع</v>
      </c>
      <c r="D185" s="618" t="str">
        <f>VLOOKUP(Table1[[#This Row],[الرقم الوظيفي]],[1]Sheet2!$1:$1048576,8,)</f>
        <v>الانتاج</v>
      </c>
      <c r="E185" s="599">
        <f>VLOOKUP(Table1[[#This Row],[الرقم الوظيفي]],[1]Sheet2!$1:$1048576,9,)</f>
        <v>0</v>
      </c>
      <c r="F185" s="599" t="str">
        <f>VLOOKUP(Table1[[#This Row],[الرقم الوظيفي]],[1]Sheet2!$1:$1048576,12,)</f>
        <v>عامل</v>
      </c>
      <c r="G185" s="599">
        <f>VLOOKUP(Table1[[#This Row],[الرقم الوظيفي]],[1]Sheet2!$1:$1048576,72,)</f>
        <v>0</v>
      </c>
      <c r="H185" s="599">
        <f>VLOOKUP(Table1[[#This Row],[الرقم الوظيفي]],[1]Sheet2!$1:$1048576,71,)</f>
        <v>0</v>
      </c>
      <c r="I185" s="599" t="str">
        <f>VLOOKUP(Table1[[#This Row],[المؤهل الرئيسي]],Table4[],3,)</f>
        <v>H</v>
      </c>
      <c r="J185" s="599" t="s">
        <v>925</v>
      </c>
      <c r="K185" s="615">
        <f>VLOOKUP(Table1[[#This Row],[الرقم الوظيفي]],[1]Sheet2!$1:$1048576,13,)</f>
        <v>42569</v>
      </c>
      <c r="L185" s="615">
        <v>43830</v>
      </c>
      <c r="M185" s="599">
        <f>DATEDIF(Table1[[#This Row],[تاريخ التعيين]],Table1[[#This Row],[اخر العام]],"y")</f>
        <v>3</v>
      </c>
      <c r="N185" s="599">
        <f>DATEDIF(Table1[[#This Row],[تاريخ التعيين]],Table1[[#This Row],[اخر العام]],"ym")</f>
        <v>5</v>
      </c>
      <c r="O185" s="610">
        <f>Table1[[#This Row],[سنوات الخدمه]]*1+Table1[[#This Row],[الشهور اقل من سنه]]*0.08</f>
        <v>3.4</v>
      </c>
      <c r="P185" s="616">
        <v>3050</v>
      </c>
      <c r="Q185" s="617">
        <v>146.4</v>
      </c>
      <c r="R185" s="612"/>
      <c r="S185" s="599"/>
      <c r="T185" s="612"/>
      <c r="U185" s="612"/>
      <c r="V185" s="612"/>
      <c r="W185" s="612"/>
      <c r="X185" s="612"/>
      <c r="Y185" s="612"/>
      <c r="Z185" s="612"/>
      <c r="AA18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5" s="612"/>
      <c r="AC185" s="599"/>
      <c r="AD185" s="612"/>
      <c r="AE185" s="612"/>
      <c r="AF185" s="612"/>
      <c r="AG185" s="612"/>
      <c r="AH185" s="619">
        <f>SUM(Table1[[#This Row],[التقييد  باللوائح و تنفيذالتوجيه]:[اتباع اجراءات السلامه]])</f>
        <v>0</v>
      </c>
      <c r="AI185" s="619">
        <f>Table1[[#This Row],[المجموع]]+Table1[[#This Row],[المجموع2]]</f>
        <v>0</v>
      </c>
      <c r="AJ185" s="612"/>
      <c r="AK185" s="612"/>
      <c r="AL185" s="612"/>
      <c r="AM185" s="612"/>
      <c r="AN185" s="612"/>
      <c r="AO185" s="606">
        <f>Table1[[#This Row],[المجموع 1+2]]*$AO$2</f>
        <v>0</v>
      </c>
      <c r="AP185" s="648">
        <f>Table1[[#This Row],[راتب ديسمبر 2019]]*Table1[[#This Row],[نسبه التقييم الرئيسي 2018]]%</f>
        <v>0</v>
      </c>
      <c r="AQ185" s="627">
        <f>Table1[[#This Row],[مبلغ التقييم النسبي 2018]]+Table1[[#This Row],[راتب ديسمبر 2019]]</f>
        <v>3050</v>
      </c>
      <c r="AR185" s="611">
        <f>IF(Table1[[#This Row],[Column3]]&lt;0,0,Table1[[#This Row],[Column3]])</f>
        <v>5950</v>
      </c>
      <c r="AS185" s="599">
        <f>VLOOKUP(Table1[[#This Row],[درجه التوسيط]],Table10[],3,)</f>
        <v>9000</v>
      </c>
      <c r="AT185" s="608">
        <f>Table1[[#This Row],[الراتب 2018+النسبه]]+Table1[[#This Row],[فروقات الحد الادني]]</f>
        <v>9000</v>
      </c>
      <c r="AU185" s="629">
        <f>Table1[[#This Row],[الراتب 2018 + النسبه + الفرق]]-Table1[[#This Row],[راتب ديسمبر 2019]]</f>
        <v>5950</v>
      </c>
      <c r="AV185" s="628">
        <f>Table1[[#This Row],[الزياده]]/Table1[[#This Row],[راتب ديسمبر 2019]]%</f>
        <v>195.08196721311475</v>
      </c>
      <c r="AW185" s="659">
        <f>IF(Table1[[#This Row],[Column4]]&lt;0,0,Table1[[#This Row],[Column4]])</f>
        <v>0</v>
      </c>
      <c r="AX185" s="611">
        <f>Table1[[#This Row],[الجبر حتي]]-Table1[[#This Row],[رن]]</f>
        <v>0</v>
      </c>
      <c r="AY185" s="611">
        <f>Table1[[#This Row],[الزياده]]+Table1[[#This Row],[التعديل]]+Table1[[#This Row],[جبر الرقم]]</f>
        <v>5950</v>
      </c>
      <c r="AZ185" s="611">
        <f>Table1[[#This Row],[الراتب 2018 + النسبه + الفرق]]+Table1[[#This Row],[جبر الرقم]]+Table1[[#This Row],[التعديل]]</f>
        <v>9000</v>
      </c>
      <c r="BA185" s="631">
        <f>Table1[[#This Row],[الزياده النهائيه]]/Table1[[#This Row],[راتب ديسمبر 2019]]%</f>
        <v>195.08196721311475</v>
      </c>
      <c r="BB185" s="612">
        <f>VLOOKUP(Table1[[#This Row],[الرقم الوظيفي]],Table6[],8,)</f>
        <v>3050</v>
      </c>
      <c r="BC185" s="7"/>
      <c r="BD185" s="7">
        <v>6000</v>
      </c>
      <c r="BE185" s="7">
        <v>6000</v>
      </c>
      <c r="BF185" s="5">
        <f>Table1[[#This Row],[الحد الادني]]-Table1[[#This Row],[الراتب 2018+النسبه]]</f>
        <v>5950</v>
      </c>
      <c r="BG185" s="5">
        <f>Table1[[#This Row],[التعديل حتي]]-Table1[[#This Row],[kkk]]</f>
        <v>-6000</v>
      </c>
      <c r="BH185" s="5">
        <v>6000</v>
      </c>
      <c r="BI185" s="5"/>
    </row>
    <row r="186" spans="1:61" ht="21" customHeight="1">
      <c r="A186" s="602">
        <v>907</v>
      </c>
      <c r="B186" s="618" t="str">
        <f>VLOOKUP(Table1[[#This Row],[الرقم الوظيفي]],[1]Sheet2!$1:$1048576,2,)</f>
        <v>بهاء الدين الحاج الصديق محمد</v>
      </c>
      <c r="C186" s="618" t="str">
        <f>VLOOKUP(Table1[[#This Row],[الرقم الوظيفي]],[1]Sheet2!$1:$1048576,7,)</f>
        <v>المصنع</v>
      </c>
      <c r="D186" s="618" t="str">
        <f>VLOOKUP(Table1[[#This Row],[الرقم الوظيفي]],[1]Sheet2!$1:$1048576,8,)</f>
        <v>الميكانيكا</v>
      </c>
      <c r="E186" s="599">
        <f>VLOOKUP(Table1[[#This Row],[الرقم الوظيفي]],[1]Sheet2!$1:$1048576,9,)</f>
        <v>0</v>
      </c>
      <c r="F186" s="599" t="str">
        <f>VLOOKUP(Table1[[#This Row],[الرقم الوظيفي]],[1]Sheet2!$1:$1048576,12,)</f>
        <v>خراط</v>
      </c>
      <c r="G186" s="599" t="str">
        <f>VLOOKUP(Table1[[#This Row],[الرقم الوظيفي]],[1]Sheet2!$1:$1048576,72,)</f>
        <v>تدريب مهني</v>
      </c>
      <c r="H186" s="599" t="str">
        <f>VLOOKUP(Table1[[#This Row],[الرقم الوظيفي]],[1]Sheet2!$1:$1048576,71,)</f>
        <v>خراطه</v>
      </c>
      <c r="I186" s="599" t="str">
        <f>VLOOKUP(Table1[[#This Row],[المؤهل الرئيسي]],Table4[],3,)</f>
        <v>F</v>
      </c>
      <c r="J186" s="599" t="s">
        <v>926</v>
      </c>
      <c r="K186" s="615">
        <f>VLOOKUP(Table1[[#This Row],[الرقم الوظيفي]],[1]Sheet2!$1:$1048576,13,)</f>
        <v>42583</v>
      </c>
      <c r="L186" s="615">
        <v>43830</v>
      </c>
      <c r="M186" s="599">
        <f>DATEDIF(Table1[[#This Row],[تاريخ التعيين]],Table1[[#This Row],[اخر العام]],"y")</f>
        <v>3</v>
      </c>
      <c r="N186" s="599">
        <f>DATEDIF(Table1[[#This Row],[تاريخ التعيين]],Table1[[#This Row],[اخر العام]],"ym")</f>
        <v>4</v>
      </c>
      <c r="O186" s="610">
        <f>Table1[[#This Row],[سنوات الخدمه]]*1+Table1[[#This Row],[الشهور اقل من سنه]]*0.08</f>
        <v>3.32</v>
      </c>
      <c r="P186" s="616">
        <v>4060</v>
      </c>
      <c r="Q186" s="617">
        <v>188.38399999999999</v>
      </c>
      <c r="R186" s="612"/>
      <c r="S186" s="599"/>
      <c r="T186" s="612"/>
      <c r="U186" s="612"/>
      <c r="V186" s="612"/>
      <c r="W186" s="612"/>
      <c r="X186" s="612"/>
      <c r="Y186" s="612"/>
      <c r="Z186" s="612"/>
      <c r="AA18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6" s="612"/>
      <c r="AC186" s="599"/>
      <c r="AD186" s="612"/>
      <c r="AE186" s="612"/>
      <c r="AF186" s="612"/>
      <c r="AG186" s="612"/>
      <c r="AH186" s="619">
        <f>SUM(Table1[[#This Row],[التقييد  باللوائح و تنفيذالتوجيه]:[اتباع اجراءات السلامه]])</f>
        <v>0</v>
      </c>
      <c r="AI186" s="619">
        <f>Table1[[#This Row],[المجموع]]+Table1[[#This Row],[المجموع2]]</f>
        <v>0</v>
      </c>
      <c r="AJ186" s="612">
        <v>6</v>
      </c>
      <c r="AK186" s="612"/>
      <c r="AL186" s="612"/>
      <c r="AM186" s="612"/>
      <c r="AN186" s="612"/>
      <c r="AO186" s="606">
        <f>Table1[[#This Row],[المجموع 1+2]]*$AO$2</f>
        <v>0</v>
      </c>
      <c r="AP186" s="648">
        <f>Table1[[#This Row],[راتب ديسمبر 2019]]*Table1[[#This Row],[نسبه التقييم الرئيسي 2018]]%</f>
        <v>0</v>
      </c>
      <c r="AQ186" s="627">
        <f>Table1[[#This Row],[مبلغ التقييم النسبي 2018]]+Table1[[#This Row],[راتب ديسمبر 2019]]</f>
        <v>4060</v>
      </c>
      <c r="AR186" s="611">
        <f>IF(Table1[[#This Row],[Column3]]&lt;0,0,Table1[[#This Row],[Column3]])</f>
        <v>3940</v>
      </c>
      <c r="AS186" s="599">
        <f>VLOOKUP(Table1[[#This Row],[درجه التوسيط]],Table10[],3,)</f>
        <v>8000</v>
      </c>
      <c r="AT186" s="608">
        <f>Table1[[#This Row],[الراتب 2018+النسبه]]+Table1[[#This Row],[فروقات الحد الادني]]</f>
        <v>8000</v>
      </c>
      <c r="AU186" s="629">
        <f>Table1[[#This Row],[الراتب 2018 + النسبه + الفرق]]-Table1[[#This Row],[راتب ديسمبر 2019]]</f>
        <v>3940</v>
      </c>
      <c r="AV186" s="628">
        <f>Table1[[#This Row],[الزياده]]/Table1[[#This Row],[راتب ديسمبر 2019]]%</f>
        <v>97.044334975369452</v>
      </c>
      <c r="AW186" s="659">
        <f>IF(Table1[[#This Row],[Column4]]&lt;0,0,Table1[[#This Row],[Column4]])</f>
        <v>0</v>
      </c>
      <c r="AX186" s="611">
        <f>Table1[[#This Row],[الجبر حتي]]-Table1[[#This Row],[رن]]</f>
        <v>7.6000000000003638</v>
      </c>
      <c r="AY186" s="611">
        <f>Table1[[#This Row],[الزياده]]+Table1[[#This Row],[التعديل]]+Table1[[#This Row],[جبر الرقم]]</f>
        <v>3947.6000000000004</v>
      </c>
      <c r="AZ186" s="611">
        <f>Table1[[#This Row],[الراتب 2018 + النسبه + الفرق]]+Table1[[#This Row],[جبر الرقم]]+Table1[[#This Row],[التعديل]]</f>
        <v>8007.6</v>
      </c>
      <c r="BA186" s="631">
        <f>Table1[[#This Row],[الزياده النهائيه]]/Table1[[#This Row],[راتب ديسمبر 2019]]%</f>
        <v>97.231527093596071</v>
      </c>
      <c r="BB186" s="612">
        <f>VLOOKUP(Table1[[#This Row],[الرقم الوظيفي]],Table6[],8,)</f>
        <v>4060</v>
      </c>
      <c r="BC186" s="7"/>
      <c r="BD186" s="7">
        <v>6260</v>
      </c>
      <c r="BE186" s="7">
        <v>6252.4</v>
      </c>
      <c r="BF186" s="5">
        <f>Table1[[#This Row],[الحد الادني]]-Table1[[#This Row],[الراتب 2018+النسبه]]</f>
        <v>3940</v>
      </c>
      <c r="BG186" s="5">
        <f>Table1[[#This Row],[التعديل حتي]]-Table1[[#This Row],[kkk]]</f>
        <v>-6252.4</v>
      </c>
      <c r="BH186" s="5">
        <v>6252.4</v>
      </c>
      <c r="BI186" s="5"/>
    </row>
    <row r="187" spans="1:61" ht="21" customHeight="1">
      <c r="A187" s="602">
        <v>908</v>
      </c>
      <c r="B187" s="618" t="str">
        <f>VLOOKUP(Table1[[#This Row],[الرقم الوظيفي]],[1]Sheet2!$1:$1048576,2,)</f>
        <v>محمد عدلان عبد الرحمن احمد</v>
      </c>
      <c r="C187" s="618" t="str">
        <f>VLOOKUP(Table1[[#This Row],[الرقم الوظيفي]],[1]Sheet2!$1:$1048576,7,)</f>
        <v>المصنع</v>
      </c>
      <c r="D187" s="618" t="str">
        <f>VLOOKUP(Table1[[#This Row],[الرقم الوظيفي]],[1]Sheet2!$1:$1048576,8,)</f>
        <v>الميكانيكا</v>
      </c>
      <c r="E187" s="599">
        <f>VLOOKUP(Table1[[#This Row],[الرقم الوظيفي]],[1]Sheet2!$1:$1048576,9,)</f>
        <v>0</v>
      </c>
      <c r="F187" s="599" t="str">
        <f>VLOOKUP(Table1[[#This Row],[الرقم الوظيفي]],[1]Sheet2!$1:$1048576,12,)</f>
        <v>فنى صيانه عامه</v>
      </c>
      <c r="G187" s="599" t="str">
        <f>VLOOKUP(Table1[[#This Row],[الرقم الوظيفي]],[1]Sheet2!$1:$1048576,72,)</f>
        <v>شهاده ثانويه</v>
      </c>
      <c r="H187" s="599" t="str">
        <f>VLOOKUP(Table1[[#This Row],[الرقم الوظيفي]],[1]Sheet2!$1:$1048576,71,)</f>
        <v>سيارات</v>
      </c>
      <c r="I187" s="599" t="str">
        <f>VLOOKUP(Table1[[#This Row],[المؤهل الرئيسي]],Table4[],3,)</f>
        <v>F</v>
      </c>
      <c r="J187" s="599" t="s">
        <v>925</v>
      </c>
      <c r="K187" s="615">
        <f>VLOOKUP(Table1[[#This Row],[الرقم الوظيفي]],[1]Sheet2!$1:$1048576,13,)</f>
        <v>42583</v>
      </c>
      <c r="L187" s="615">
        <v>43830</v>
      </c>
      <c r="M187" s="599">
        <f>DATEDIF(Table1[[#This Row],[تاريخ التعيين]],Table1[[#This Row],[اخر العام]],"y")</f>
        <v>3</v>
      </c>
      <c r="N187" s="599">
        <f>DATEDIF(Table1[[#This Row],[تاريخ التعيين]],Table1[[#This Row],[اخر العام]],"ym")</f>
        <v>4</v>
      </c>
      <c r="O187" s="610">
        <f>Table1[[#This Row],[سنوات الخدمه]]*1+Table1[[#This Row],[الشهور اقل من سنه]]*0.08</f>
        <v>3.32</v>
      </c>
      <c r="P187" s="616">
        <v>4060</v>
      </c>
      <c r="Q187" s="617">
        <v>188.38399999999999</v>
      </c>
      <c r="R187" s="612"/>
      <c r="S187" s="599"/>
      <c r="T187" s="612"/>
      <c r="U187" s="612"/>
      <c r="V187" s="612"/>
      <c r="W187" s="612"/>
      <c r="X187" s="612"/>
      <c r="Y187" s="612"/>
      <c r="Z187" s="612"/>
      <c r="AA18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7" s="612"/>
      <c r="AC187" s="599"/>
      <c r="AD187" s="612"/>
      <c r="AE187" s="612"/>
      <c r="AF187" s="612"/>
      <c r="AG187" s="612"/>
      <c r="AH187" s="619">
        <f>SUM(Table1[[#This Row],[التقييد  باللوائح و تنفيذالتوجيه]:[اتباع اجراءات السلامه]])</f>
        <v>0</v>
      </c>
      <c r="AI187" s="619">
        <f>Table1[[#This Row],[المجموع]]+Table1[[#This Row],[المجموع2]]</f>
        <v>0</v>
      </c>
      <c r="AJ187" s="612">
        <v>9</v>
      </c>
      <c r="AK187" s="612"/>
      <c r="AL187" s="612"/>
      <c r="AM187" s="612"/>
      <c r="AN187" s="612"/>
      <c r="AO187" s="606">
        <f>Table1[[#This Row],[المجموع 1+2]]*$AO$2</f>
        <v>0</v>
      </c>
      <c r="AP187" s="648">
        <f>Table1[[#This Row],[راتب ديسمبر 2019]]*Table1[[#This Row],[نسبه التقييم الرئيسي 2018]]%</f>
        <v>0</v>
      </c>
      <c r="AQ187" s="627">
        <f>Table1[[#This Row],[مبلغ التقييم النسبي 2018]]+Table1[[#This Row],[راتب ديسمبر 2019]]</f>
        <v>4060</v>
      </c>
      <c r="AR187" s="611">
        <f>IF(Table1[[#This Row],[Column3]]&lt;0,0,Table1[[#This Row],[Column3]])</f>
        <v>4940</v>
      </c>
      <c r="AS187" s="599">
        <f>VLOOKUP(Table1[[#This Row],[درجه التوسيط]],Table10[],3,)</f>
        <v>9000</v>
      </c>
      <c r="AT187" s="608">
        <f>Table1[[#This Row],[الراتب 2018+النسبه]]+Table1[[#This Row],[فروقات الحد الادني]]</f>
        <v>9000</v>
      </c>
      <c r="AU187" s="629">
        <f>Table1[[#This Row],[الراتب 2018 + النسبه + الفرق]]-Table1[[#This Row],[راتب ديسمبر 2019]]</f>
        <v>4940</v>
      </c>
      <c r="AV187" s="628">
        <f>Table1[[#This Row],[الزياده]]/Table1[[#This Row],[راتب ديسمبر 2019]]%</f>
        <v>121.67487684729063</v>
      </c>
      <c r="AW187" s="659">
        <f>IF(Table1[[#This Row],[Column4]]&lt;0,0,Table1[[#This Row],[Column4]])</f>
        <v>0</v>
      </c>
      <c r="AX187" s="611">
        <f>Table1[[#This Row],[الجبر حتي]]-Table1[[#This Row],[رن]]</f>
        <v>3.2399999999997817</v>
      </c>
      <c r="AY187" s="611">
        <f>Table1[[#This Row],[الزياده]]+Table1[[#This Row],[التعديل]]+Table1[[#This Row],[جبر الرقم]]</f>
        <v>4943.24</v>
      </c>
      <c r="AZ187" s="611">
        <f>Table1[[#This Row],[الراتب 2018 + النسبه + الفرق]]+Table1[[#This Row],[جبر الرقم]]+Table1[[#This Row],[التعديل]]</f>
        <v>9003.24</v>
      </c>
      <c r="BA187" s="631">
        <f>Table1[[#This Row],[الزياده النهائيه]]/Table1[[#This Row],[راتب ديسمبر 2019]]%</f>
        <v>121.75467980295565</v>
      </c>
      <c r="BB187" s="612">
        <f>VLOOKUP(Table1[[#This Row],[الرقم الوظيفي]],Table6[],8,)</f>
        <v>4060</v>
      </c>
      <c r="BC187" s="7"/>
      <c r="BD187" s="7">
        <v>6280</v>
      </c>
      <c r="BE187" s="7">
        <v>6276.76</v>
      </c>
      <c r="BF187" s="5">
        <f>Table1[[#This Row],[الحد الادني]]-Table1[[#This Row],[الراتب 2018+النسبه]]</f>
        <v>4940</v>
      </c>
      <c r="BG187" s="5">
        <f>Table1[[#This Row],[التعديل حتي]]-Table1[[#This Row],[kkk]]</f>
        <v>-6276.76</v>
      </c>
      <c r="BH187" s="5">
        <v>6276.76</v>
      </c>
      <c r="BI187" s="5"/>
    </row>
    <row r="188" spans="1:61" ht="21" customHeight="1">
      <c r="A188" s="602">
        <v>909</v>
      </c>
      <c r="B188" s="618" t="str">
        <f>VLOOKUP(Table1[[#This Row],[الرقم الوظيفي]],[1]Sheet2!$1:$1048576,2,)</f>
        <v>حمدى النور محمد حمد</v>
      </c>
      <c r="C188" s="618" t="str">
        <f>VLOOKUP(Table1[[#This Row],[الرقم الوظيفي]],[1]Sheet2!$1:$1048576,7,)</f>
        <v>المصنع</v>
      </c>
      <c r="D188" s="618" t="str">
        <f>VLOOKUP(Table1[[#This Row],[الرقم الوظيفي]],[1]Sheet2!$1:$1048576,8,)</f>
        <v>الانتاج</v>
      </c>
      <c r="E188" s="599" t="str">
        <f>VLOOKUP(Table1[[#This Row],[الرقم الوظيفي]],[1]Sheet2!$1:$1048576,9,)</f>
        <v>التشريح</v>
      </c>
      <c r="F188" s="599" t="str">
        <f>VLOOKUP(Table1[[#This Row],[الرقم الوظيفي]],[1]Sheet2!$1:$1048576,12,)</f>
        <v>مشغل</v>
      </c>
      <c r="G188" s="599" t="str">
        <f>VLOOKUP(Table1[[#This Row],[الرقم الوظيفي]],[1]Sheet2!$1:$1048576,72,)</f>
        <v>شهاده ثانويه</v>
      </c>
      <c r="H188" s="599" t="str">
        <f>VLOOKUP(Table1[[#This Row],[الرقم الوظيفي]],[1]Sheet2!$1:$1048576,71,)</f>
        <v>كهرباء</v>
      </c>
      <c r="I188" s="599" t="str">
        <f>VLOOKUP(Table1[[#This Row],[المؤهل الرئيسي]],Table4[],3,)</f>
        <v>F</v>
      </c>
      <c r="J188" s="599" t="s">
        <v>922</v>
      </c>
      <c r="K188" s="615">
        <f>VLOOKUP(Table1[[#This Row],[الرقم الوظيفي]],[1]Sheet2!$1:$1048576,13,)</f>
        <v>42585</v>
      </c>
      <c r="L188" s="615">
        <v>43830</v>
      </c>
      <c r="M188" s="599">
        <f>DATEDIF(Table1[[#This Row],[تاريخ التعيين]],Table1[[#This Row],[اخر العام]],"y")</f>
        <v>3</v>
      </c>
      <c r="N188" s="599">
        <f>DATEDIF(Table1[[#This Row],[تاريخ التعيين]],Table1[[#This Row],[اخر العام]],"ym")</f>
        <v>4</v>
      </c>
      <c r="O188" s="610">
        <f>Table1[[#This Row],[سنوات الخدمه]]*1+Table1[[#This Row],[الشهور اقل من سنه]]*0.08</f>
        <v>3.32</v>
      </c>
      <c r="P188" s="616">
        <v>5550</v>
      </c>
      <c r="Q188" s="617">
        <v>257.52</v>
      </c>
      <c r="R188" s="612"/>
      <c r="S188" s="599"/>
      <c r="T188" s="612"/>
      <c r="U188" s="612"/>
      <c r="V188" s="612"/>
      <c r="W188" s="612"/>
      <c r="X188" s="612"/>
      <c r="Y188" s="612"/>
      <c r="Z188" s="612"/>
      <c r="AA18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8" s="612"/>
      <c r="AC188" s="599"/>
      <c r="AD188" s="612"/>
      <c r="AE188" s="612"/>
      <c r="AF188" s="612"/>
      <c r="AG188" s="612"/>
      <c r="AH188" s="619">
        <f>SUM(Table1[[#This Row],[التقييد  باللوائح و تنفيذالتوجيه]:[اتباع اجراءات السلامه]])</f>
        <v>0</v>
      </c>
      <c r="AI188" s="619">
        <f>Table1[[#This Row],[المجموع]]+Table1[[#This Row],[المجموع2]]</f>
        <v>0</v>
      </c>
      <c r="AJ188" s="612"/>
      <c r="AK188" s="612"/>
      <c r="AL188" s="612"/>
      <c r="AM188" s="612"/>
      <c r="AN188" s="612"/>
      <c r="AO188" s="606">
        <f>Table1[[#This Row],[المجموع 1+2]]*$AO$2</f>
        <v>0</v>
      </c>
      <c r="AP188" s="648">
        <f>Table1[[#This Row],[راتب ديسمبر 2019]]*Table1[[#This Row],[نسبه التقييم الرئيسي 2018]]%</f>
        <v>0</v>
      </c>
      <c r="AQ188" s="627">
        <f>Table1[[#This Row],[مبلغ التقييم النسبي 2018]]+Table1[[#This Row],[راتب ديسمبر 2019]]</f>
        <v>5550</v>
      </c>
      <c r="AR188" s="611">
        <f>IF(Table1[[#This Row],[Column3]]&lt;0,0,Table1[[#This Row],[Column3]])</f>
        <v>5450</v>
      </c>
      <c r="AS188" s="599">
        <f>VLOOKUP(Table1[[#This Row],[درجه التوسيط]],Table10[],3,)</f>
        <v>11000</v>
      </c>
      <c r="AT188" s="608">
        <f>Table1[[#This Row],[الراتب 2018+النسبه]]+Table1[[#This Row],[فروقات الحد الادني]]</f>
        <v>11000</v>
      </c>
      <c r="AU188" s="629">
        <f>Table1[[#This Row],[الراتب 2018 + النسبه + الفرق]]-Table1[[#This Row],[راتب ديسمبر 2019]]</f>
        <v>5450</v>
      </c>
      <c r="AV188" s="628">
        <f>Table1[[#This Row],[الزياده]]/Table1[[#This Row],[راتب ديسمبر 2019]]%</f>
        <v>98.198198198198199</v>
      </c>
      <c r="AW188" s="659">
        <f>IF(Table1[[#This Row],[Column4]]&lt;0,0,Table1[[#This Row],[Column4]])</f>
        <v>286.5</v>
      </c>
      <c r="AX188" s="611">
        <f>Table1[[#This Row],[الجبر حتي]]-Table1[[#This Row],[رن]]</f>
        <v>0</v>
      </c>
      <c r="AY188" s="611">
        <f>Table1[[#This Row],[الزياده]]+Table1[[#This Row],[التعديل]]+Table1[[#This Row],[جبر الرقم]]</f>
        <v>5736.5</v>
      </c>
      <c r="AZ188" s="611">
        <f>Table1[[#This Row],[الراتب 2018 + النسبه + الفرق]]+Table1[[#This Row],[جبر الرقم]]+Table1[[#This Row],[التعديل]]</f>
        <v>11286.5</v>
      </c>
      <c r="BA188" s="631">
        <f>Table1[[#This Row],[الزياده النهائيه]]/Table1[[#This Row],[راتب ديسمبر 2019]]%</f>
        <v>103.36036036036036</v>
      </c>
      <c r="BB188" s="612">
        <f>VLOOKUP(Table1[[#This Row],[الرقم الوظيفي]],Table6[],8,)</f>
        <v>5550</v>
      </c>
      <c r="BC188" s="7">
        <v>9000</v>
      </c>
      <c r="BD188" s="7">
        <v>9000</v>
      </c>
      <c r="BE188" s="7">
        <v>9000</v>
      </c>
      <c r="BF188" s="5">
        <f>Table1[[#This Row],[الحد الادني]]-Table1[[#This Row],[الراتب 2018+النسبه]]</f>
        <v>5450</v>
      </c>
      <c r="BG188" s="5">
        <f>Table1[[#This Row],[التعديل حتي]]-Table1[[#This Row],[kkk]]</f>
        <v>286.5</v>
      </c>
      <c r="BH188" s="5">
        <v>8713.5</v>
      </c>
      <c r="BI188" s="5"/>
    </row>
    <row r="189" spans="1:61" ht="21" customHeight="1">
      <c r="A189" s="602">
        <v>911</v>
      </c>
      <c r="B189" s="618" t="str">
        <f>VLOOKUP(Table1[[#This Row],[الرقم الوظيفي]],[1]Sheet2!$1:$1048576,2,)</f>
        <v>السر كباشى احمد ازرق</v>
      </c>
      <c r="C189" s="618" t="str">
        <f>VLOOKUP(Table1[[#This Row],[الرقم الوظيفي]],[1]Sheet2!$1:$1048576,7,)</f>
        <v>المصنع</v>
      </c>
      <c r="D189" s="618" t="str">
        <f>VLOOKUP(Table1[[#This Row],[الرقم الوظيفي]],[1]Sheet2!$1:$1048576,8,)</f>
        <v>الانتاج</v>
      </c>
      <c r="E189" s="599" t="str">
        <f>VLOOKUP(Table1[[#This Row],[الرقم الوظيفي]],[1]Sheet2!$1:$1048576,9,)</f>
        <v>المواسير</v>
      </c>
      <c r="F189" s="599" t="str">
        <f>VLOOKUP(Table1[[#This Row],[الرقم الوظيفي]],[1]Sheet2!$1:$1048576,12,)</f>
        <v>مشغل كرين</v>
      </c>
      <c r="G189" s="599">
        <f>VLOOKUP(Table1[[#This Row],[الرقم الوظيفي]],[1]Sheet2!$1:$1048576,72,)</f>
        <v>0</v>
      </c>
      <c r="H189" s="599">
        <f>VLOOKUP(Table1[[#This Row],[الرقم الوظيفي]],[1]Sheet2!$1:$1048576,71,)</f>
        <v>0</v>
      </c>
      <c r="I189" s="599" t="str">
        <f>VLOOKUP(Table1[[#This Row],[المؤهل الرئيسي]],Table4[],3,)</f>
        <v>H</v>
      </c>
      <c r="J189" s="599" t="s">
        <v>925</v>
      </c>
      <c r="K189" s="615">
        <f>VLOOKUP(Table1[[#This Row],[الرقم الوظيفي]],[1]Sheet2!$1:$1048576,13,)</f>
        <v>42593</v>
      </c>
      <c r="L189" s="615">
        <v>43830</v>
      </c>
      <c r="M189" s="599">
        <f>DATEDIF(Table1[[#This Row],[تاريخ التعيين]],Table1[[#This Row],[اخر العام]],"y")</f>
        <v>3</v>
      </c>
      <c r="N189" s="599">
        <f>DATEDIF(Table1[[#This Row],[تاريخ التعيين]],Table1[[#This Row],[اخر العام]],"ym")</f>
        <v>4</v>
      </c>
      <c r="O189" s="610">
        <f>Table1[[#This Row],[سنوات الخدمه]]*1+Table1[[#This Row],[الشهور اقل من سنه]]*0.08</f>
        <v>3.32</v>
      </c>
      <c r="P189" s="616">
        <v>4050</v>
      </c>
      <c r="Q189" s="617">
        <v>187.92</v>
      </c>
      <c r="R189" s="612"/>
      <c r="S189" s="599"/>
      <c r="T189" s="612"/>
      <c r="U189" s="612"/>
      <c r="V189" s="612"/>
      <c r="W189" s="612"/>
      <c r="X189" s="612"/>
      <c r="Y189" s="612"/>
      <c r="Z189" s="612"/>
      <c r="AA18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89" s="612"/>
      <c r="AC189" s="599"/>
      <c r="AD189" s="612"/>
      <c r="AE189" s="612"/>
      <c r="AF189" s="612"/>
      <c r="AG189" s="612"/>
      <c r="AH189" s="619">
        <f>SUM(Table1[[#This Row],[التقييد  باللوائح و تنفيذالتوجيه]:[اتباع اجراءات السلامه]])</f>
        <v>0</v>
      </c>
      <c r="AI189" s="619">
        <f>Table1[[#This Row],[المجموع]]+Table1[[#This Row],[المجموع2]]</f>
        <v>0</v>
      </c>
      <c r="AJ189" s="612"/>
      <c r="AK189" s="612"/>
      <c r="AL189" s="612"/>
      <c r="AM189" s="612"/>
      <c r="AN189" s="612"/>
      <c r="AO189" s="606">
        <f>Table1[[#This Row],[المجموع 1+2]]*$AO$2</f>
        <v>0</v>
      </c>
      <c r="AP189" s="648">
        <f>Table1[[#This Row],[راتب ديسمبر 2019]]*Table1[[#This Row],[نسبه التقييم الرئيسي 2018]]%</f>
        <v>0</v>
      </c>
      <c r="AQ189" s="627">
        <f>Table1[[#This Row],[مبلغ التقييم النسبي 2018]]+Table1[[#This Row],[راتب ديسمبر 2019]]</f>
        <v>4050</v>
      </c>
      <c r="AR189" s="611">
        <f>IF(Table1[[#This Row],[Column3]]&lt;0,0,Table1[[#This Row],[Column3]])</f>
        <v>4950</v>
      </c>
      <c r="AS189" s="599">
        <f>VLOOKUP(Table1[[#This Row],[درجه التوسيط]],Table10[],3,)</f>
        <v>9000</v>
      </c>
      <c r="AT189" s="608">
        <f>Table1[[#This Row],[الراتب 2018+النسبه]]+Table1[[#This Row],[فروقات الحد الادني]]</f>
        <v>9000</v>
      </c>
      <c r="AU189" s="629">
        <f>Table1[[#This Row],[الراتب 2018 + النسبه + الفرق]]-Table1[[#This Row],[راتب ديسمبر 2019]]</f>
        <v>4950</v>
      </c>
      <c r="AV189" s="628">
        <f>Table1[[#This Row],[الزياده]]/Table1[[#This Row],[راتب ديسمبر 2019]]%</f>
        <v>122.22222222222223</v>
      </c>
      <c r="AW189" s="659">
        <f>IF(Table1[[#This Row],[Column4]]&lt;0,0,Table1[[#This Row],[Column4]])</f>
        <v>0</v>
      </c>
      <c r="AX189" s="611">
        <f>Table1[[#This Row],[الجبر حتي]]-Table1[[#This Row],[رن]]</f>
        <v>7.2000000000007276</v>
      </c>
      <c r="AY189" s="611">
        <f>Table1[[#This Row],[الزياده]]+Table1[[#This Row],[التعديل]]+Table1[[#This Row],[جبر الرقم]]</f>
        <v>4957.2000000000007</v>
      </c>
      <c r="AZ189" s="611">
        <f>Table1[[#This Row],[الراتب 2018 + النسبه + الفرق]]+Table1[[#This Row],[جبر الرقم]]+Table1[[#This Row],[التعديل]]</f>
        <v>9007.2000000000007</v>
      </c>
      <c r="BA189" s="631">
        <f>Table1[[#This Row],[الزياده النهائيه]]/Table1[[#This Row],[راتب ديسمبر 2019]]%</f>
        <v>122.40000000000002</v>
      </c>
      <c r="BB189" s="612">
        <f>VLOOKUP(Table1[[#This Row],[الرقم الوظيفي]],Table6[],8,)</f>
        <v>4050</v>
      </c>
      <c r="BC189" s="7"/>
      <c r="BD189" s="7">
        <v>6390</v>
      </c>
      <c r="BE189" s="7">
        <v>6382.7999999999993</v>
      </c>
      <c r="BF189" s="5">
        <f>Table1[[#This Row],[الحد الادني]]-Table1[[#This Row],[الراتب 2018+النسبه]]</f>
        <v>4950</v>
      </c>
      <c r="BG189" s="5">
        <f>Table1[[#This Row],[التعديل حتي]]-Table1[[#This Row],[kkk]]</f>
        <v>-6382.7999999999993</v>
      </c>
      <c r="BH189" s="5">
        <v>6382.7999999999993</v>
      </c>
      <c r="BI189" s="5"/>
    </row>
    <row r="190" spans="1:61" ht="21" customHeight="1">
      <c r="A190" s="602">
        <v>912</v>
      </c>
      <c r="B190" s="618" t="str">
        <f>VLOOKUP(Table1[[#This Row],[الرقم الوظيفي]],[1]Sheet2!$1:$1048576,2,)</f>
        <v>بريمه اسماعيل جوده توتو</v>
      </c>
      <c r="C190" s="618" t="str">
        <f>VLOOKUP(Table1[[#This Row],[الرقم الوظيفي]],[1]Sheet2!$1:$1048576,7,)</f>
        <v>المصنع</v>
      </c>
      <c r="D190" s="618" t="str">
        <f>VLOOKUP(Table1[[#This Row],[الرقم الوظيفي]],[1]Sheet2!$1:$1048576,8,)</f>
        <v>الانتاج</v>
      </c>
      <c r="E190" s="599" t="str">
        <f>VLOOKUP(Table1[[#This Row],[الرقم الوظيفي]],[1]Sheet2!$1:$1048576,9,)</f>
        <v>الخوص</v>
      </c>
      <c r="F190" s="599" t="str">
        <f>VLOOKUP(Table1[[#This Row],[الرقم الوظيفي]],[1]Sheet2!$1:$1048576,12,)</f>
        <v>مشغل كرين</v>
      </c>
      <c r="G190" s="599">
        <f>VLOOKUP(Table1[[#This Row],[الرقم الوظيفي]],[1]Sheet2!$1:$1048576,72,)</f>
        <v>0</v>
      </c>
      <c r="H190" s="599">
        <f>VLOOKUP(Table1[[#This Row],[الرقم الوظيفي]],[1]Sheet2!$1:$1048576,71,)</f>
        <v>0</v>
      </c>
      <c r="I190" s="599" t="str">
        <f>VLOOKUP(Table1[[#This Row],[المؤهل الرئيسي]],Table4[],3,)</f>
        <v>H</v>
      </c>
      <c r="J190" s="599" t="s">
        <v>928</v>
      </c>
      <c r="K190" s="615">
        <f>VLOOKUP(Table1[[#This Row],[الرقم الوظيفي]],[1]Sheet2!$1:$1048576,13,)</f>
        <v>42593</v>
      </c>
      <c r="L190" s="615">
        <v>43830</v>
      </c>
      <c r="M190" s="599">
        <f>DATEDIF(Table1[[#This Row],[تاريخ التعيين]],Table1[[#This Row],[اخر العام]],"y")</f>
        <v>3</v>
      </c>
      <c r="N190" s="599">
        <f>DATEDIF(Table1[[#This Row],[تاريخ التعيين]],Table1[[#This Row],[اخر العام]],"ym")</f>
        <v>4</v>
      </c>
      <c r="O190" s="610">
        <f>Table1[[#This Row],[سنوات الخدمه]]*1+Table1[[#This Row],[الشهور اقل من سنه]]*0.08</f>
        <v>3.32</v>
      </c>
      <c r="P190" s="616">
        <v>4050</v>
      </c>
      <c r="Q190" s="617">
        <v>187.92</v>
      </c>
      <c r="R190" s="612"/>
      <c r="S190" s="599"/>
      <c r="T190" s="612"/>
      <c r="U190" s="612"/>
      <c r="V190" s="612"/>
      <c r="W190" s="612"/>
      <c r="X190" s="612"/>
      <c r="Y190" s="612"/>
      <c r="Z190" s="612"/>
      <c r="AA19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0" s="612"/>
      <c r="AC190" s="599"/>
      <c r="AD190" s="612"/>
      <c r="AE190" s="612"/>
      <c r="AF190" s="612"/>
      <c r="AG190" s="612"/>
      <c r="AH190" s="619">
        <f>SUM(Table1[[#This Row],[التقييد  باللوائح و تنفيذالتوجيه]:[اتباع اجراءات السلامه]])</f>
        <v>0</v>
      </c>
      <c r="AI190" s="619">
        <f>Table1[[#This Row],[المجموع]]+Table1[[#This Row],[المجموع2]]</f>
        <v>0</v>
      </c>
      <c r="AJ190" s="612"/>
      <c r="AK190" s="612"/>
      <c r="AL190" s="612"/>
      <c r="AM190" s="612"/>
      <c r="AN190" s="612"/>
      <c r="AO190" s="606">
        <f>Table1[[#This Row],[المجموع 1+2]]*$AO$2</f>
        <v>0</v>
      </c>
      <c r="AP190" s="648">
        <f>Table1[[#This Row],[راتب ديسمبر 2019]]*Table1[[#This Row],[نسبه التقييم الرئيسي 2018]]%</f>
        <v>0</v>
      </c>
      <c r="AQ190" s="627">
        <f>Table1[[#This Row],[مبلغ التقييم النسبي 2018]]+Table1[[#This Row],[راتب ديسمبر 2019]]</f>
        <v>4050</v>
      </c>
      <c r="AR190" s="611">
        <f>IF(Table1[[#This Row],[Column3]]&lt;0,0,Table1[[#This Row],[Column3]])</f>
        <v>2950</v>
      </c>
      <c r="AS190" s="599">
        <f>VLOOKUP(Table1[[#This Row],[درجه التوسيط]],Table10[],3,)</f>
        <v>7000</v>
      </c>
      <c r="AT190" s="608">
        <f>Table1[[#This Row],[الراتب 2018+النسبه]]+Table1[[#This Row],[فروقات الحد الادني]]</f>
        <v>7000</v>
      </c>
      <c r="AU190" s="629">
        <f>Table1[[#This Row],[الراتب 2018 + النسبه + الفرق]]-Table1[[#This Row],[راتب ديسمبر 2019]]</f>
        <v>2950</v>
      </c>
      <c r="AV190" s="628">
        <f>Table1[[#This Row],[الزياده]]/Table1[[#This Row],[راتب ديسمبر 2019]]%</f>
        <v>72.839506172839506</v>
      </c>
      <c r="AW190" s="659">
        <f>IF(Table1[[#This Row],[Column4]]&lt;0,0,Table1[[#This Row],[Column4]])</f>
        <v>0</v>
      </c>
      <c r="AX190" s="611">
        <f>Table1[[#This Row],[الجبر حتي]]-Table1[[#This Row],[رن]]</f>
        <v>2.8999999999996362</v>
      </c>
      <c r="AY190" s="611">
        <f>Table1[[#This Row],[الزياده]]+Table1[[#This Row],[التعديل]]+Table1[[#This Row],[جبر الرقم]]</f>
        <v>2952.8999999999996</v>
      </c>
      <c r="AZ190" s="611">
        <f>Table1[[#This Row],[الراتب 2018 + النسبه + الفرق]]+Table1[[#This Row],[جبر الرقم]]+Table1[[#This Row],[التعديل]]</f>
        <v>7002.9</v>
      </c>
      <c r="BA190" s="631">
        <f>Table1[[#This Row],[الزياده النهائيه]]/Table1[[#This Row],[راتب ديسمبر 2019]]%</f>
        <v>72.911111111111097</v>
      </c>
      <c r="BB190" s="612">
        <f>VLOOKUP(Table1[[#This Row],[الرقم الوظيفي]],Table6[],8,)</f>
        <v>4050</v>
      </c>
      <c r="BC190" s="7"/>
      <c r="BD190" s="7">
        <v>6410</v>
      </c>
      <c r="BE190" s="7">
        <v>6407.1</v>
      </c>
      <c r="BF190" s="5">
        <f>Table1[[#This Row],[الحد الادني]]-Table1[[#This Row],[الراتب 2018+النسبه]]</f>
        <v>2950</v>
      </c>
      <c r="BG190" s="5">
        <f>Table1[[#This Row],[التعديل حتي]]-Table1[[#This Row],[kkk]]</f>
        <v>-6407.1</v>
      </c>
      <c r="BH190" s="5">
        <v>6407.1</v>
      </c>
      <c r="BI190" s="5"/>
    </row>
    <row r="191" spans="1:61" ht="21" customHeight="1">
      <c r="A191" s="602">
        <v>916</v>
      </c>
      <c r="B191" s="618" t="str">
        <f>VLOOKUP(Table1[[#This Row],[الرقم الوظيفي]],[1]Sheet2!$1:$1048576,2,)</f>
        <v>عبدالله محمد ادم حسب الله</v>
      </c>
      <c r="C191" s="618" t="str">
        <f>VLOOKUP(Table1[[#This Row],[الرقم الوظيفي]],[1]Sheet2!$1:$1048576,7,)</f>
        <v>المصنع</v>
      </c>
      <c r="D191" s="618" t="str">
        <f>VLOOKUP(Table1[[#This Row],[الرقم الوظيفي]],[1]Sheet2!$1:$1048576,8,)</f>
        <v>الخدمات</v>
      </c>
      <c r="E191" s="599">
        <f>VLOOKUP(Table1[[#This Row],[الرقم الوظيفي]],[1]Sheet2!$1:$1048576,9,)</f>
        <v>0</v>
      </c>
      <c r="F191" s="599" t="str">
        <f>VLOOKUP(Table1[[#This Row],[الرقم الوظيفي]],[1]Sheet2!$1:$1048576,12,)</f>
        <v>جنائني</v>
      </c>
      <c r="G191" s="599" t="str">
        <f>VLOOKUP(Table1[[#This Row],[الرقم الوظيفي]],[1]Sheet2!$1:$1048576,72,)</f>
        <v>شهاده ثانويه</v>
      </c>
      <c r="H191" s="599">
        <f>VLOOKUP(Table1[[#This Row],[الرقم الوظيفي]],[1]Sheet2!$1:$1048576,71,)</f>
        <v>0</v>
      </c>
      <c r="I191" s="599" t="str">
        <f>VLOOKUP(Table1[[#This Row],[المؤهل الرئيسي]],Table4[],3,)</f>
        <v>F</v>
      </c>
      <c r="J191" s="599" t="s">
        <v>929</v>
      </c>
      <c r="K191" s="615">
        <f>VLOOKUP(Table1[[#This Row],[الرقم الوظيفي]],[1]Sheet2!$1:$1048576,13,)</f>
        <v>42633</v>
      </c>
      <c r="L191" s="615">
        <v>43830</v>
      </c>
      <c r="M191" s="599">
        <f>DATEDIF(Table1[[#This Row],[تاريخ التعيين]],Table1[[#This Row],[اخر العام]],"y")</f>
        <v>3</v>
      </c>
      <c r="N191" s="599">
        <f>DATEDIF(Table1[[#This Row],[تاريخ التعيين]],Table1[[#This Row],[اخر العام]],"ym")</f>
        <v>3</v>
      </c>
      <c r="O191" s="610">
        <f>Table1[[#This Row],[سنوات الخدمه]]*1+Table1[[#This Row],[الشهور اقل من سنه]]*0.08</f>
        <v>3.24</v>
      </c>
      <c r="P191" s="616">
        <v>3050</v>
      </c>
      <c r="Q191" s="617">
        <v>136.63999999999999</v>
      </c>
      <c r="R191" s="612"/>
      <c r="S191" s="599"/>
      <c r="T191" s="612"/>
      <c r="U191" s="612"/>
      <c r="V191" s="612"/>
      <c r="W191" s="612"/>
      <c r="X191" s="612"/>
      <c r="Y191" s="612"/>
      <c r="Z191" s="612"/>
      <c r="AA19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1" s="612"/>
      <c r="AC191" s="599"/>
      <c r="AD191" s="612"/>
      <c r="AE191" s="612"/>
      <c r="AF191" s="612"/>
      <c r="AG191" s="612"/>
      <c r="AH191" s="619">
        <f>SUM(Table1[[#This Row],[التقييد  باللوائح و تنفيذالتوجيه]:[اتباع اجراءات السلامه]])</f>
        <v>0</v>
      </c>
      <c r="AI191" s="619">
        <f>Table1[[#This Row],[المجموع]]+Table1[[#This Row],[المجموع2]]</f>
        <v>0</v>
      </c>
      <c r="AJ191" s="612"/>
      <c r="AK191" s="612"/>
      <c r="AL191" s="612"/>
      <c r="AM191" s="612"/>
      <c r="AN191" s="612"/>
      <c r="AO191" s="606">
        <f>Table1[[#This Row],[المجموع 1+2]]*$AO$2</f>
        <v>0</v>
      </c>
      <c r="AP191" s="648">
        <f>Table1[[#This Row],[راتب ديسمبر 2019]]*Table1[[#This Row],[نسبه التقييم الرئيسي 2018]]%</f>
        <v>0</v>
      </c>
      <c r="AQ191" s="627">
        <f>Table1[[#This Row],[مبلغ التقييم النسبي 2018]]+Table1[[#This Row],[راتب ديسمبر 2019]]</f>
        <v>3050</v>
      </c>
      <c r="AR191" s="611">
        <f>IF(Table1[[#This Row],[Column3]]&lt;0,0,Table1[[#This Row],[Column3]])</f>
        <v>2950</v>
      </c>
      <c r="AS191" s="599">
        <f>VLOOKUP(Table1[[#This Row],[درجه التوسيط]],Table10[],3,)</f>
        <v>6000</v>
      </c>
      <c r="AT191" s="608">
        <f>Table1[[#This Row],[الراتب 2018+النسبه]]+Table1[[#This Row],[فروقات الحد الادني]]</f>
        <v>6000</v>
      </c>
      <c r="AU191" s="629">
        <f>Table1[[#This Row],[الراتب 2018 + النسبه + الفرق]]-Table1[[#This Row],[راتب ديسمبر 2019]]</f>
        <v>2950</v>
      </c>
      <c r="AV191" s="628">
        <f>Table1[[#This Row],[الزياده]]/Table1[[#This Row],[راتب ديسمبر 2019]]%</f>
        <v>96.721311475409834</v>
      </c>
      <c r="AW191" s="659">
        <f>IF(Table1[[#This Row],[Column4]]&lt;0,0,Table1[[#This Row],[Column4]])</f>
        <v>0</v>
      </c>
      <c r="AX191" s="611">
        <f>Table1[[#This Row],[الجبر حتي]]-Table1[[#This Row],[رن]]</f>
        <v>8.1000000000003638</v>
      </c>
      <c r="AY191" s="611">
        <f>Table1[[#This Row],[الزياده]]+Table1[[#This Row],[التعديل]]+Table1[[#This Row],[جبر الرقم]]</f>
        <v>2958.1000000000004</v>
      </c>
      <c r="AZ191" s="611">
        <f>Table1[[#This Row],[الراتب 2018 + النسبه + الفرق]]+Table1[[#This Row],[جبر الرقم]]+Table1[[#This Row],[التعديل]]</f>
        <v>6008.1</v>
      </c>
      <c r="BA191" s="631">
        <f>Table1[[#This Row],[الزياده النهائيه]]/Table1[[#This Row],[راتب ديسمبر 2019]]%</f>
        <v>96.986885245901647</v>
      </c>
      <c r="BB191" s="612">
        <f>VLOOKUP(Table1[[#This Row],[الرقم الوظيفي]],Table6[],8,)</f>
        <v>3050</v>
      </c>
      <c r="BC191" s="7"/>
      <c r="BD191" s="7">
        <v>4760</v>
      </c>
      <c r="BE191" s="7">
        <v>4751.8999999999996</v>
      </c>
      <c r="BF191" s="5">
        <f>Table1[[#This Row],[الحد الادني]]-Table1[[#This Row],[الراتب 2018+النسبه]]</f>
        <v>2950</v>
      </c>
      <c r="BG191" s="5">
        <f>Table1[[#This Row],[التعديل حتي]]-Table1[[#This Row],[kkk]]</f>
        <v>-4751.8999999999996</v>
      </c>
      <c r="BH191" s="5">
        <v>4751.8999999999996</v>
      </c>
      <c r="BI191" s="5"/>
    </row>
    <row r="192" spans="1:61" ht="21" customHeight="1">
      <c r="A192" s="602">
        <v>923</v>
      </c>
      <c r="B192" s="618" t="str">
        <f>VLOOKUP(Table1[[#This Row],[الرقم الوظيفي]],[1]Sheet2!$1:$1048576,2,)</f>
        <v>بدرالدين عثمان عوض الكريم فضل الله</v>
      </c>
      <c r="C192" s="618" t="str">
        <f>VLOOKUP(Table1[[#This Row],[الرقم الوظيفي]],[1]Sheet2!$1:$1048576,7,)</f>
        <v>المصنع</v>
      </c>
      <c r="D192" s="618" t="str">
        <f>VLOOKUP(Table1[[#This Row],[الرقم الوظيفي]],[1]Sheet2!$1:$1048576,8,)</f>
        <v>الميكانيكا</v>
      </c>
      <c r="E192" s="599">
        <f>VLOOKUP(Table1[[#This Row],[الرقم الوظيفي]],[1]Sheet2!$1:$1048576,9,)</f>
        <v>0</v>
      </c>
      <c r="F192" s="599" t="str">
        <f>VLOOKUP(Table1[[#This Row],[الرقم الوظيفي]],[1]Sheet2!$1:$1048576,12,)</f>
        <v>مهندس صيانه</v>
      </c>
      <c r="G192" s="599" t="str">
        <f>VLOOKUP(Table1[[#This Row],[الرقم الوظيفي]],[1]Sheet2!$1:$1048576,72,)</f>
        <v>بكلاريوس</v>
      </c>
      <c r="H192" s="599" t="str">
        <f>VLOOKUP(Table1[[#This Row],[الرقم الوظيفي]],[1]Sheet2!$1:$1048576,71,)</f>
        <v xml:space="preserve">هندسة ميكانيكة </v>
      </c>
      <c r="I192" s="599" t="str">
        <f>VLOOKUP(Table1[[#This Row],[المؤهل الرئيسي]],Table4[],3,)</f>
        <v>C</v>
      </c>
      <c r="J192" s="599" t="s">
        <v>922</v>
      </c>
      <c r="K192" s="615">
        <f>VLOOKUP(Table1[[#This Row],[الرقم الوظيفي]],[1]Sheet2!$1:$1048576,13,)</f>
        <v>42710</v>
      </c>
      <c r="L192" s="615">
        <v>43830</v>
      </c>
      <c r="M192" s="599">
        <f>DATEDIF(Table1[[#This Row],[تاريخ التعيين]],Table1[[#This Row],[اخر العام]],"y")</f>
        <v>3</v>
      </c>
      <c r="N192" s="599">
        <f>DATEDIF(Table1[[#This Row],[تاريخ التعيين]],Table1[[#This Row],[اخر العام]],"ym")</f>
        <v>0</v>
      </c>
      <c r="O192" s="610">
        <f>Table1[[#This Row],[سنوات الخدمه]]*1+Table1[[#This Row],[الشهور اقل من سنه]]*0.08</f>
        <v>3</v>
      </c>
      <c r="P192" s="616">
        <v>5060</v>
      </c>
      <c r="Q192" s="617">
        <v>202.4</v>
      </c>
      <c r="R192" s="612"/>
      <c r="S192" s="599"/>
      <c r="T192" s="612"/>
      <c r="U192" s="612"/>
      <c r="V192" s="612"/>
      <c r="W192" s="612"/>
      <c r="X192" s="612"/>
      <c r="Y192" s="612"/>
      <c r="Z192" s="612"/>
      <c r="AA19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2" s="612"/>
      <c r="AC192" s="599"/>
      <c r="AD192" s="612"/>
      <c r="AE192" s="612"/>
      <c r="AF192" s="612"/>
      <c r="AG192" s="612"/>
      <c r="AH192" s="619">
        <f>SUM(Table1[[#This Row],[التقييد  باللوائح و تنفيذالتوجيه]:[اتباع اجراءات السلامه]])</f>
        <v>0</v>
      </c>
      <c r="AI192" s="619">
        <f>Table1[[#This Row],[المجموع]]+Table1[[#This Row],[المجموع2]]</f>
        <v>0</v>
      </c>
      <c r="AJ192" s="612">
        <v>10</v>
      </c>
      <c r="AK192" s="612"/>
      <c r="AL192" s="612"/>
      <c r="AM192" s="612"/>
      <c r="AN192" s="612"/>
      <c r="AO192" s="606">
        <f>Table1[[#This Row],[المجموع 1+2]]*$AO$2</f>
        <v>0</v>
      </c>
      <c r="AP192" s="648">
        <f>Table1[[#This Row],[راتب ديسمبر 2019]]*Table1[[#This Row],[نسبه التقييم الرئيسي 2018]]%</f>
        <v>0</v>
      </c>
      <c r="AQ192" s="627">
        <f>Table1[[#This Row],[مبلغ التقييم النسبي 2018]]+Table1[[#This Row],[راتب ديسمبر 2019]]</f>
        <v>5060</v>
      </c>
      <c r="AR192" s="611">
        <f>IF(Table1[[#This Row],[Column3]]&lt;0,0,Table1[[#This Row],[Column3]])</f>
        <v>5940</v>
      </c>
      <c r="AS192" s="599">
        <f>VLOOKUP(Table1[[#This Row],[درجه التوسيط]],Table10[],3,)</f>
        <v>11000</v>
      </c>
      <c r="AT192" s="608">
        <f>Table1[[#This Row],[الراتب 2018+النسبه]]+Table1[[#This Row],[فروقات الحد الادني]]</f>
        <v>11000</v>
      </c>
      <c r="AU192" s="629">
        <f>Table1[[#This Row],[الراتب 2018 + النسبه + الفرق]]-Table1[[#This Row],[راتب ديسمبر 2019]]</f>
        <v>5940</v>
      </c>
      <c r="AV192" s="628">
        <f>Table1[[#This Row],[الزياده]]/Table1[[#This Row],[راتب ديسمبر 2019]]%</f>
        <v>117.39130434782608</v>
      </c>
      <c r="AW192" s="659">
        <f>IF(Table1[[#This Row],[Column4]]&lt;0,0,Table1[[#This Row],[Column4]])</f>
        <v>1116.5200000000004</v>
      </c>
      <c r="AX192" s="611">
        <f>Table1[[#This Row],[الجبر حتي]]-Table1[[#This Row],[رن]]</f>
        <v>0</v>
      </c>
      <c r="AY192" s="611">
        <f>Table1[[#This Row],[الزياده]]+Table1[[#This Row],[التعديل]]+Table1[[#This Row],[جبر الرقم]]</f>
        <v>7056.52</v>
      </c>
      <c r="AZ192" s="611">
        <f>Table1[[#This Row],[الراتب 2018 + النسبه + الفرق]]+Table1[[#This Row],[جبر الرقم]]+Table1[[#This Row],[التعديل]]</f>
        <v>12116.52</v>
      </c>
      <c r="BA192" s="631">
        <f>Table1[[#This Row],[الزياده النهائيه]]/Table1[[#This Row],[راتب ديسمبر 2019]]%</f>
        <v>139.45691699604743</v>
      </c>
      <c r="BB192" s="612">
        <f>VLOOKUP(Table1[[#This Row],[الرقم الوظيفي]],Table6[],8,)</f>
        <v>5060</v>
      </c>
      <c r="BC192" s="7">
        <v>9000</v>
      </c>
      <c r="BD192" s="7">
        <v>9000</v>
      </c>
      <c r="BE192" s="7">
        <v>9000</v>
      </c>
      <c r="BF192" s="5">
        <f>Table1[[#This Row],[الحد الادني]]-Table1[[#This Row],[الراتب 2018+النسبه]]</f>
        <v>5940</v>
      </c>
      <c r="BG192" s="5">
        <f>Table1[[#This Row],[التعديل حتي]]-Table1[[#This Row],[kkk]]</f>
        <v>1116.5200000000004</v>
      </c>
      <c r="BH192" s="5">
        <v>7883.48</v>
      </c>
      <c r="BI192" s="5"/>
    </row>
    <row r="193" spans="1:61" ht="21" customHeight="1">
      <c r="A193" s="602">
        <v>928</v>
      </c>
      <c r="B193" s="618" t="str">
        <f>VLOOKUP(Table1[[#This Row],[الرقم الوظيفي]],[1]Sheet2!$1:$1048576,2,)</f>
        <v>النعيم الامين حامد الامين</v>
      </c>
      <c r="C193" s="618" t="str">
        <f>VLOOKUP(Table1[[#This Row],[الرقم الوظيفي]],[1]Sheet2!$1:$1048576,7,)</f>
        <v>المصنع</v>
      </c>
      <c r="D193" s="618" t="str">
        <f>VLOOKUP(Table1[[#This Row],[الرقم الوظيفي]],[1]Sheet2!$1:$1048576,8,)</f>
        <v>المستودعات</v>
      </c>
      <c r="E193" s="599">
        <f>VLOOKUP(Table1[[#This Row],[الرقم الوظيفي]],[1]Sheet2!$1:$1048576,9,)</f>
        <v>0</v>
      </c>
      <c r="F193" s="599" t="str">
        <f>VLOOKUP(Table1[[#This Row],[الرقم الوظيفي]],[1]Sheet2!$1:$1048576,12,)</f>
        <v>عامل</v>
      </c>
      <c r="G193" s="599" t="str">
        <f>VLOOKUP(Table1[[#This Row],[الرقم الوظيفي]],[1]Sheet2!$1:$1048576,72,)</f>
        <v>شهاده ثانويه</v>
      </c>
      <c r="H193" s="599">
        <f>VLOOKUP(Table1[[#This Row],[الرقم الوظيفي]],[1]Sheet2!$1:$1048576,71,)</f>
        <v>0</v>
      </c>
      <c r="I193" s="599" t="str">
        <f>VLOOKUP(Table1[[#This Row],[المؤهل الرئيسي]],Table4[],3,)</f>
        <v>F</v>
      </c>
      <c r="J193" s="599" t="s">
        <v>929</v>
      </c>
      <c r="K193" s="615">
        <f>VLOOKUP(Table1[[#This Row],[الرقم الوظيفي]],[1]Sheet2!$1:$1048576,13,)</f>
        <v>42739</v>
      </c>
      <c r="L193" s="615">
        <v>43830</v>
      </c>
      <c r="M193" s="599">
        <f>DATEDIF(Table1[[#This Row],[تاريخ التعيين]],Table1[[#This Row],[اخر العام]],"y")</f>
        <v>2</v>
      </c>
      <c r="N193" s="599">
        <f>DATEDIF(Table1[[#This Row],[تاريخ التعيين]],Table1[[#This Row],[اخر العام]],"ym")</f>
        <v>11</v>
      </c>
      <c r="O193" s="610">
        <f>Table1[[#This Row],[سنوات الخدمه]]*1+Table1[[#This Row],[الشهور اقل من سنه]]*0.08</f>
        <v>2.88</v>
      </c>
      <c r="P193" s="616">
        <v>3040</v>
      </c>
      <c r="Q193" s="617">
        <v>114.304</v>
      </c>
      <c r="R193" s="612"/>
      <c r="S193" s="599"/>
      <c r="T193" s="612"/>
      <c r="U193" s="612"/>
      <c r="V193" s="612"/>
      <c r="W193" s="612"/>
      <c r="X193" s="612"/>
      <c r="Y193" s="612"/>
      <c r="Z193" s="612"/>
      <c r="AA19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3" s="612"/>
      <c r="AC193" s="599"/>
      <c r="AD193" s="612"/>
      <c r="AE193" s="612"/>
      <c r="AF193" s="612"/>
      <c r="AG193" s="612"/>
      <c r="AH193" s="619">
        <f>SUM(Table1[[#This Row],[التقييد  باللوائح و تنفيذالتوجيه]:[اتباع اجراءات السلامه]])</f>
        <v>0</v>
      </c>
      <c r="AI193" s="619">
        <f>Table1[[#This Row],[المجموع]]+Table1[[#This Row],[المجموع2]]</f>
        <v>0</v>
      </c>
      <c r="AJ193" s="612"/>
      <c r="AK193" s="612"/>
      <c r="AL193" s="612"/>
      <c r="AM193" s="612"/>
      <c r="AN193" s="612"/>
      <c r="AO193" s="606">
        <f>Table1[[#This Row],[المجموع 1+2]]*$AO$2</f>
        <v>0</v>
      </c>
      <c r="AP193" s="648">
        <f>Table1[[#This Row],[راتب ديسمبر 2019]]*Table1[[#This Row],[نسبه التقييم الرئيسي 2018]]%</f>
        <v>0</v>
      </c>
      <c r="AQ193" s="627">
        <f>Table1[[#This Row],[مبلغ التقييم النسبي 2018]]+Table1[[#This Row],[راتب ديسمبر 2019]]</f>
        <v>3040</v>
      </c>
      <c r="AR193" s="611">
        <f>IF(Table1[[#This Row],[Column3]]&lt;0,0,Table1[[#This Row],[Column3]])</f>
        <v>2960</v>
      </c>
      <c r="AS193" s="599">
        <f>VLOOKUP(Table1[[#This Row],[درجه التوسيط]],Table10[],3,)</f>
        <v>6000</v>
      </c>
      <c r="AT193" s="608">
        <f>Table1[[#This Row],[الراتب 2018+النسبه]]+Table1[[#This Row],[فروقات الحد الادني]]</f>
        <v>6000</v>
      </c>
      <c r="AU193" s="629">
        <f>Table1[[#This Row],[الراتب 2018 + النسبه + الفرق]]-Table1[[#This Row],[راتب ديسمبر 2019]]</f>
        <v>2960</v>
      </c>
      <c r="AV193" s="628">
        <f>Table1[[#This Row],[الزياده]]/Table1[[#This Row],[راتب ديسمبر 2019]]%</f>
        <v>97.368421052631589</v>
      </c>
      <c r="AW193" s="659">
        <f>IF(Table1[[#This Row],[Column4]]&lt;0,0,Table1[[#This Row],[Column4]])</f>
        <v>0</v>
      </c>
      <c r="AX193" s="611">
        <f>Table1[[#This Row],[الجبر حتي]]-Table1[[#This Row],[رن]]</f>
        <v>3.680000000000291</v>
      </c>
      <c r="AY193" s="611">
        <f>Table1[[#This Row],[الزياده]]+Table1[[#This Row],[التعديل]]+Table1[[#This Row],[جبر الرقم]]</f>
        <v>2963.6800000000003</v>
      </c>
      <c r="AZ193" s="611">
        <f>Table1[[#This Row],[الراتب 2018 + النسبه + الفرق]]+Table1[[#This Row],[جبر الرقم]]+Table1[[#This Row],[التعديل]]</f>
        <v>6003.68</v>
      </c>
      <c r="BA193" s="631">
        <f>Table1[[#This Row],[الزياده النهائيه]]/Table1[[#This Row],[راتب ديسمبر 2019]]%</f>
        <v>97.489473684210537</v>
      </c>
      <c r="BB193" s="612">
        <f>VLOOKUP(Table1[[#This Row],[الرقم الوظيفي]],Table6[],8,)</f>
        <v>3040</v>
      </c>
      <c r="BC193" s="7"/>
      <c r="BD193" s="7">
        <v>4740</v>
      </c>
      <c r="BE193" s="7">
        <v>4736.32</v>
      </c>
      <c r="BF193" s="5">
        <f>Table1[[#This Row],[الحد الادني]]-Table1[[#This Row],[الراتب 2018+النسبه]]</f>
        <v>2960</v>
      </c>
      <c r="BG193" s="5">
        <f>Table1[[#This Row],[التعديل حتي]]-Table1[[#This Row],[kkk]]</f>
        <v>-4736.32</v>
      </c>
      <c r="BH193" s="5">
        <v>4736.32</v>
      </c>
      <c r="BI193" s="5"/>
    </row>
    <row r="194" spans="1:61" ht="21" customHeight="1">
      <c r="A194" s="602">
        <v>929</v>
      </c>
      <c r="B194" s="618" t="str">
        <f>VLOOKUP(Table1[[#This Row],[الرقم الوظيفي]],[1]Sheet2!$1:$1048576,2,)</f>
        <v>محمد عوض ابراهيم شرفى</v>
      </c>
      <c r="C194" s="618" t="str">
        <f>VLOOKUP(Table1[[#This Row],[الرقم الوظيفي]],[1]Sheet2!$1:$1048576,7,)</f>
        <v>المصنع</v>
      </c>
      <c r="D194" s="618" t="str">
        <f>VLOOKUP(Table1[[#This Row],[الرقم الوظيفي]],[1]Sheet2!$1:$1048576,8,)</f>
        <v>المستودعات</v>
      </c>
      <c r="E194" s="599">
        <f>VLOOKUP(Table1[[#This Row],[الرقم الوظيفي]],[1]Sheet2!$1:$1048576,9,)</f>
        <v>0</v>
      </c>
      <c r="F194" s="599" t="str">
        <f>VLOOKUP(Table1[[#This Row],[الرقم الوظيفي]],[1]Sheet2!$1:$1048576,12,)</f>
        <v>امين مستودع</v>
      </c>
      <c r="G194" s="599" t="str">
        <f>VLOOKUP(Table1[[#This Row],[الرقم الوظيفي]],[1]Sheet2!$1:$1048576,72,)</f>
        <v>بكلاريوس</v>
      </c>
      <c r="H194" s="599" t="str">
        <f>VLOOKUP(Table1[[#This Row],[الرقم الوظيفي]],[1]Sheet2!$1:$1048576,71,)</f>
        <v>مياه جوفيه</v>
      </c>
      <c r="I194" s="599" t="str">
        <f>VLOOKUP(Table1[[#This Row],[المؤهل الرئيسي]],Table4[],3,)</f>
        <v>C</v>
      </c>
      <c r="J194" s="599" t="s">
        <v>38</v>
      </c>
      <c r="K194" s="615">
        <f>VLOOKUP(Table1[[#This Row],[الرقم الوظيفي]],[1]Sheet2!$1:$1048576,13,)</f>
        <v>42749</v>
      </c>
      <c r="L194" s="615">
        <v>43830</v>
      </c>
      <c r="M194" s="599">
        <f>DATEDIF(Table1[[#This Row],[تاريخ التعيين]],Table1[[#This Row],[اخر العام]],"y")</f>
        <v>2</v>
      </c>
      <c r="N194" s="599">
        <f>DATEDIF(Table1[[#This Row],[تاريخ التعيين]],Table1[[#This Row],[اخر العام]],"ym")</f>
        <v>11</v>
      </c>
      <c r="O194" s="610">
        <f>Table1[[#This Row],[سنوات الخدمه]]*1+Table1[[#This Row],[الشهور اقل من سنه]]*0.08</f>
        <v>2.88</v>
      </c>
      <c r="P194" s="616">
        <v>4540</v>
      </c>
      <c r="Q194" s="617">
        <v>170.70400000000001</v>
      </c>
      <c r="R194" s="612"/>
      <c r="S194" s="599"/>
      <c r="T194" s="612"/>
      <c r="U194" s="612"/>
      <c r="V194" s="612"/>
      <c r="W194" s="612"/>
      <c r="X194" s="612"/>
      <c r="Y194" s="612"/>
      <c r="Z194" s="612"/>
      <c r="AA19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4" s="612"/>
      <c r="AC194" s="599"/>
      <c r="AD194" s="612"/>
      <c r="AE194" s="612"/>
      <c r="AF194" s="612"/>
      <c r="AG194" s="612"/>
      <c r="AH194" s="619">
        <f>SUM(Table1[[#This Row],[التقييد  باللوائح و تنفيذالتوجيه]:[اتباع اجراءات السلامه]])</f>
        <v>0</v>
      </c>
      <c r="AI194" s="619">
        <f>Table1[[#This Row],[المجموع]]+Table1[[#This Row],[المجموع2]]</f>
        <v>0</v>
      </c>
      <c r="AJ194" s="612">
        <v>10</v>
      </c>
      <c r="AK194" s="612"/>
      <c r="AL194" s="612"/>
      <c r="AM194" s="612"/>
      <c r="AN194" s="612"/>
      <c r="AO194" s="606">
        <f>Table1[[#This Row],[المجموع 1+2]]*$AO$2</f>
        <v>0</v>
      </c>
      <c r="AP194" s="648">
        <f>Table1[[#This Row],[راتب ديسمبر 2019]]*Table1[[#This Row],[نسبه التقييم الرئيسي 2018]]%</f>
        <v>0</v>
      </c>
      <c r="AQ194" s="627">
        <f>Table1[[#This Row],[مبلغ التقييم النسبي 2018]]+Table1[[#This Row],[راتب ديسمبر 2019]]</f>
        <v>4540</v>
      </c>
      <c r="AR194" s="611">
        <f>IF(Table1[[#This Row],[Column3]]&lt;0,0,Table1[[#This Row],[Column3]])</f>
        <v>12460</v>
      </c>
      <c r="AS194" s="599">
        <f>VLOOKUP(Table1[[#This Row],[درجه التوسيط]],Table10[],3,)</f>
        <v>17000</v>
      </c>
      <c r="AT194" s="608">
        <f>Table1[[#This Row],[الراتب 2018+النسبه]]+Table1[[#This Row],[فروقات الحد الادني]]</f>
        <v>17000</v>
      </c>
      <c r="AU194" s="629">
        <f>Table1[[#This Row],[الراتب 2018 + النسبه + الفرق]]-Table1[[#This Row],[راتب ديسمبر 2019]]</f>
        <v>12460</v>
      </c>
      <c r="AV194" s="628">
        <f>Table1[[#This Row],[الزياده]]/Table1[[#This Row],[راتب ديسمبر 2019]]%</f>
        <v>274.44933920704847</v>
      </c>
      <c r="AW194" s="659">
        <f>IF(Table1[[#This Row],[Column4]]&lt;0,0,Table1[[#This Row],[Column4]])</f>
        <v>0</v>
      </c>
      <c r="AX194" s="611">
        <f>Table1[[#This Row],[الجبر حتي]]-Table1[[#This Row],[رن]]</f>
        <v>0</v>
      </c>
      <c r="AY194" s="611">
        <f>Table1[[#This Row],[الزياده]]+Table1[[#This Row],[التعديل]]+Table1[[#This Row],[جبر الرقم]]</f>
        <v>12460</v>
      </c>
      <c r="AZ194" s="611">
        <f>Table1[[#This Row],[الراتب 2018 + النسبه + الفرق]]+Table1[[#This Row],[جبر الرقم]]+Table1[[#This Row],[التعديل]]</f>
        <v>17000</v>
      </c>
      <c r="BA194" s="631">
        <f>Table1[[#This Row],[الزياده النهائيه]]/Table1[[#This Row],[راتب ديسمبر 2019]]%</f>
        <v>274.44933920704847</v>
      </c>
      <c r="BB194" s="612">
        <f>VLOOKUP(Table1[[#This Row],[الرقم الوظيفي]],Table6[],8,)</f>
        <v>4540</v>
      </c>
      <c r="BC194" s="7"/>
      <c r="BD194" s="7">
        <v>12000</v>
      </c>
      <c r="BE194" s="7">
        <v>12000</v>
      </c>
      <c r="BF194" s="5">
        <f>Table1[[#This Row],[الحد الادني]]-Table1[[#This Row],[الراتب 2018+النسبه]]</f>
        <v>12460</v>
      </c>
      <c r="BG194" s="5">
        <f>Table1[[#This Row],[التعديل حتي]]-Table1[[#This Row],[kkk]]</f>
        <v>-12000</v>
      </c>
      <c r="BH194" s="5">
        <v>12000</v>
      </c>
      <c r="BI194" s="5"/>
    </row>
    <row r="195" spans="1:61" ht="21" customHeight="1">
      <c r="A195" s="602">
        <v>938</v>
      </c>
      <c r="B195" s="618" t="str">
        <f>VLOOKUP(Table1[[#This Row],[الرقم الوظيفي]],[1]Sheet2!$1:$1048576,2,)</f>
        <v>حيدر عالم محمود صالح</v>
      </c>
      <c r="C195" s="618" t="str">
        <f>VLOOKUP(Table1[[#This Row],[الرقم الوظيفي]],[1]Sheet2!$1:$1048576,7,)</f>
        <v>المصنع</v>
      </c>
      <c r="D195" s="618" t="str">
        <f>VLOOKUP(Table1[[#This Row],[الرقم الوظيفي]],[1]Sheet2!$1:$1048576,8,)</f>
        <v>الانتاج</v>
      </c>
      <c r="E195" s="599">
        <f>VLOOKUP(Table1[[#This Row],[الرقم الوظيفي]],[1]Sheet2!$1:$1048576,9,)</f>
        <v>0</v>
      </c>
      <c r="F195" s="599" t="str">
        <f>VLOOKUP(Table1[[#This Row],[الرقم الوظيفي]],[1]Sheet2!$1:$1048576,12,)</f>
        <v>عامل</v>
      </c>
      <c r="G195" s="599">
        <f>VLOOKUP(Table1[[#This Row],[الرقم الوظيفي]],[1]Sheet2!$1:$1048576,72,)</f>
        <v>0</v>
      </c>
      <c r="H195" s="599">
        <f>VLOOKUP(Table1[[#This Row],[الرقم الوظيفي]],[1]Sheet2!$1:$1048576,71,)</f>
        <v>0</v>
      </c>
      <c r="I195" s="599" t="str">
        <f>VLOOKUP(Table1[[#This Row],[المؤهل الرئيسي]],Table4[],3,)</f>
        <v>H</v>
      </c>
      <c r="J195" s="599" t="s">
        <v>42</v>
      </c>
      <c r="K195" s="615">
        <f>VLOOKUP(Table1[[#This Row],[الرقم الوظيفي]],[1]Sheet2!$1:$1048576,13,)</f>
        <v>42778</v>
      </c>
      <c r="L195" s="615">
        <v>43830</v>
      </c>
      <c r="M195" s="599">
        <f>DATEDIF(Table1[[#This Row],[تاريخ التعيين]],Table1[[#This Row],[اخر العام]],"y")</f>
        <v>2</v>
      </c>
      <c r="N195" s="599">
        <f>DATEDIF(Table1[[#This Row],[تاريخ التعيين]],Table1[[#This Row],[اخر العام]],"ym")</f>
        <v>10</v>
      </c>
      <c r="O195" s="610">
        <f>Table1[[#This Row],[سنوات الخدمه]]*1+Table1[[#This Row],[الشهور اقل من سنه]]*0.08</f>
        <v>2.8</v>
      </c>
      <c r="P195" s="616">
        <v>3030</v>
      </c>
      <c r="Q195" s="617">
        <v>109.08</v>
      </c>
      <c r="R195" s="612"/>
      <c r="S195" s="599"/>
      <c r="T195" s="612"/>
      <c r="U195" s="612"/>
      <c r="V195" s="612"/>
      <c r="W195" s="612"/>
      <c r="X195" s="612"/>
      <c r="Y195" s="612"/>
      <c r="Z195" s="612"/>
      <c r="AA19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5" s="612"/>
      <c r="AC195" s="599"/>
      <c r="AD195" s="612"/>
      <c r="AE195" s="612"/>
      <c r="AF195" s="612"/>
      <c r="AG195" s="612"/>
      <c r="AH195" s="619">
        <f>SUM(Table1[[#This Row],[التقييد  باللوائح و تنفيذالتوجيه]:[اتباع اجراءات السلامه]])</f>
        <v>0</v>
      </c>
      <c r="AI195" s="619">
        <f>Table1[[#This Row],[المجموع]]+Table1[[#This Row],[المجموع2]]</f>
        <v>0</v>
      </c>
      <c r="AJ195" s="612"/>
      <c r="AK195" s="612"/>
      <c r="AL195" s="612"/>
      <c r="AM195" s="612"/>
      <c r="AN195" s="612"/>
      <c r="AO195" s="606">
        <f>Table1[[#This Row],[المجموع 1+2]]*$AO$2</f>
        <v>0</v>
      </c>
      <c r="AP195" s="648">
        <f>Table1[[#This Row],[راتب ديسمبر 2019]]*Table1[[#This Row],[نسبه التقييم الرئيسي 2018]]%</f>
        <v>0</v>
      </c>
      <c r="AQ195" s="627">
        <f>Table1[[#This Row],[مبلغ التقييم النسبي 2018]]+Table1[[#This Row],[راتب ديسمبر 2019]]</f>
        <v>3030</v>
      </c>
      <c r="AR195" s="611">
        <f>IF(Table1[[#This Row],[Column3]]&lt;0,0,Table1[[#This Row],[Column3]])</f>
        <v>1970</v>
      </c>
      <c r="AS195" s="599">
        <f>VLOOKUP(Table1[[#This Row],[درجه التوسيط]],Table10[],3,)</f>
        <v>5000</v>
      </c>
      <c r="AT195" s="608">
        <f>Table1[[#This Row],[الراتب 2018+النسبه]]+Table1[[#This Row],[فروقات الحد الادني]]</f>
        <v>5000</v>
      </c>
      <c r="AU195" s="629">
        <f>Table1[[#This Row],[الراتب 2018 + النسبه + الفرق]]-Table1[[#This Row],[راتب ديسمبر 2019]]</f>
        <v>1970</v>
      </c>
      <c r="AV195" s="628">
        <f>Table1[[#This Row],[الزياده]]/Table1[[#This Row],[راتب ديسمبر 2019]]%</f>
        <v>65.016501650165011</v>
      </c>
      <c r="AW195" s="659">
        <f>IF(Table1[[#This Row],[Column4]]&lt;0,0,Table1[[#This Row],[Column4]])</f>
        <v>0</v>
      </c>
      <c r="AX195" s="611">
        <f>Table1[[#This Row],[الجبر حتي]]-Table1[[#This Row],[رن]]</f>
        <v>8.319999999999709</v>
      </c>
      <c r="AY195" s="611">
        <f>Table1[[#This Row],[الزياده]]+Table1[[#This Row],[التعديل]]+Table1[[#This Row],[جبر الرقم]]</f>
        <v>1978.3199999999997</v>
      </c>
      <c r="AZ195" s="611">
        <f>Table1[[#This Row],[الراتب 2018 + النسبه + الفرق]]+Table1[[#This Row],[جبر الرقم]]+Table1[[#This Row],[التعديل]]</f>
        <v>5008.32</v>
      </c>
      <c r="BA195" s="631">
        <f>Table1[[#This Row],[الزياده النهائيه]]/Table1[[#This Row],[راتب ديسمبر 2019]]%</f>
        <v>65.291089108910882</v>
      </c>
      <c r="BB195" s="612">
        <f>VLOOKUP(Table1[[#This Row],[الرقم الوظيفي]],Table6[],8,)</f>
        <v>3030</v>
      </c>
      <c r="BC195" s="7"/>
      <c r="BD195" s="7">
        <v>4420</v>
      </c>
      <c r="BE195" s="7">
        <v>4411.68</v>
      </c>
      <c r="BF195" s="5">
        <f>Table1[[#This Row],[الحد الادني]]-Table1[[#This Row],[الراتب 2018+النسبه]]</f>
        <v>1970</v>
      </c>
      <c r="BG195" s="5">
        <f>Table1[[#This Row],[التعديل حتي]]-Table1[[#This Row],[kkk]]</f>
        <v>-4411.68</v>
      </c>
      <c r="BH195" s="5">
        <v>4411.68</v>
      </c>
      <c r="BI195" s="5"/>
    </row>
    <row r="196" spans="1:61" ht="21" customHeight="1">
      <c r="A196" s="602">
        <v>939</v>
      </c>
      <c r="B196" s="618" t="str">
        <f>VLOOKUP(Table1[[#This Row],[الرقم الوظيفي]],[1]Sheet2!$1:$1048576,2,)</f>
        <v>يوسف شرف الدين احمد محمد</v>
      </c>
      <c r="C196" s="618" t="str">
        <f>VLOOKUP(Table1[[#This Row],[الرقم الوظيفي]],[1]Sheet2!$1:$1048576,7,)</f>
        <v>المصنع</v>
      </c>
      <c r="D196" s="618" t="str">
        <f>VLOOKUP(Table1[[#This Row],[الرقم الوظيفي]],[1]Sheet2!$1:$1048576,8,)</f>
        <v>الانتاج</v>
      </c>
      <c r="E196" s="599" t="str">
        <f>VLOOKUP(Table1[[#This Row],[الرقم الوظيفي]],[1]Sheet2!$1:$1048576,9,)</f>
        <v>المواسير</v>
      </c>
      <c r="F196" s="599" t="str">
        <f>VLOOKUP(Table1[[#This Row],[الرقم الوظيفي]],[1]Sheet2!$1:$1048576,12,)</f>
        <v>مشغل كرين</v>
      </c>
      <c r="G196" s="599" t="str">
        <f>VLOOKUP(Table1[[#This Row],[الرقم الوظيفي]],[1]Sheet2!$1:$1048576,72,)</f>
        <v>بكلاريوس</v>
      </c>
      <c r="H196" s="599" t="str">
        <f>VLOOKUP(Table1[[#This Row],[الرقم الوظيفي]],[1]Sheet2!$1:$1048576,71,)</f>
        <v>تاريخ وحضاره</v>
      </c>
      <c r="I196" s="599" t="str">
        <f>VLOOKUP(Table1[[#This Row],[المؤهل الرئيسي]],Table4[],3,)</f>
        <v>C</v>
      </c>
      <c r="J196" s="599" t="s">
        <v>928</v>
      </c>
      <c r="K196" s="615">
        <f>VLOOKUP(Table1[[#This Row],[الرقم الوظيفي]],[1]Sheet2!$1:$1048576,13,)</f>
        <v>42777</v>
      </c>
      <c r="L196" s="615">
        <v>43830</v>
      </c>
      <c r="M196" s="599">
        <f>DATEDIF(Table1[[#This Row],[تاريخ التعيين]],Table1[[#This Row],[اخر العام]],"y")</f>
        <v>2</v>
      </c>
      <c r="N196" s="599">
        <f>DATEDIF(Table1[[#This Row],[تاريخ التعيين]],Table1[[#This Row],[اخر العام]],"ym")</f>
        <v>10</v>
      </c>
      <c r="O196" s="610">
        <f>Table1[[#This Row],[سنوات الخدمه]]*1+Table1[[#This Row],[الشهور اقل من سنه]]*0.08</f>
        <v>2.8</v>
      </c>
      <c r="P196" s="616">
        <v>4030</v>
      </c>
      <c r="Q196" s="617">
        <v>145.08000000000001</v>
      </c>
      <c r="R196" s="612"/>
      <c r="S196" s="599"/>
      <c r="T196" s="612"/>
      <c r="U196" s="612"/>
      <c r="V196" s="612"/>
      <c r="W196" s="612"/>
      <c r="X196" s="612"/>
      <c r="Y196" s="612"/>
      <c r="Z196" s="612"/>
      <c r="AA19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6" s="612"/>
      <c r="AC196" s="599"/>
      <c r="AD196" s="612"/>
      <c r="AE196" s="612"/>
      <c r="AF196" s="612"/>
      <c r="AG196" s="612"/>
      <c r="AH196" s="619">
        <f>SUM(Table1[[#This Row],[التقييد  باللوائح و تنفيذالتوجيه]:[اتباع اجراءات السلامه]])</f>
        <v>0</v>
      </c>
      <c r="AI196" s="619">
        <f>Table1[[#This Row],[المجموع]]+Table1[[#This Row],[المجموع2]]</f>
        <v>0</v>
      </c>
      <c r="AJ196" s="612"/>
      <c r="AK196" s="612"/>
      <c r="AL196" s="612"/>
      <c r="AM196" s="612"/>
      <c r="AN196" s="612"/>
      <c r="AO196" s="606">
        <f>Table1[[#This Row],[المجموع 1+2]]*$AO$2</f>
        <v>0</v>
      </c>
      <c r="AP196" s="648">
        <f>Table1[[#This Row],[راتب ديسمبر 2019]]*Table1[[#This Row],[نسبه التقييم الرئيسي 2018]]%</f>
        <v>0</v>
      </c>
      <c r="AQ196" s="627">
        <f>Table1[[#This Row],[مبلغ التقييم النسبي 2018]]+Table1[[#This Row],[راتب ديسمبر 2019]]</f>
        <v>4030</v>
      </c>
      <c r="AR196" s="611">
        <f>IF(Table1[[#This Row],[Column3]]&lt;0,0,Table1[[#This Row],[Column3]])</f>
        <v>2970</v>
      </c>
      <c r="AS196" s="599">
        <f>VLOOKUP(Table1[[#This Row],[درجه التوسيط]],Table10[],3,)</f>
        <v>7000</v>
      </c>
      <c r="AT196" s="608">
        <f>Table1[[#This Row],[الراتب 2018+النسبه]]+Table1[[#This Row],[فروقات الحد الادني]]</f>
        <v>7000</v>
      </c>
      <c r="AU196" s="629">
        <f>Table1[[#This Row],[الراتب 2018 + النسبه + الفرق]]-Table1[[#This Row],[راتب ديسمبر 2019]]</f>
        <v>2970</v>
      </c>
      <c r="AV196" s="628">
        <f>Table1[[#This Row],[الزياده]]/Table1[[#This Row],[راتب ديسمبر 2019]]%</f>
        <v>73.697270471464023</v>
      </c>
      <c r="AW196" s="659">
        <f>IF(Table1[[#This Row],[Column4]]&lt;0,0,Table1[[#This Row],[Column4]])</f>
        <v>0</v>
      </c>
      <c r="AX196" s="611">
        <f>Table1[[#This Row],[الجبر حتي]]-Table1[[#This Row],[رن]]</f>
        <v>9.6199999999998909</v>
      </c>
      <c r="AY196" s="611">
        <f>Table1[[#This Row],[الزياده]]+Table1[[#This Row],[التعديل]]+Table1[[#This Row],[جبر الرقم]]</f>
        <v>2979.62</v>
      </c>
      <c r="AZ196" s="611">
        <f>Table1[[#This Row],[الراتب 2018 + النسبه + الفرق]]+Table1[[#This Row],[جبر الرقم]]+Table1[[#This Row],[التعديل]]</f>
        <v>7009.62</v>
      </c>
      <c r="BA196" s="631">
        <f>Table1[[#This Row],[الزياده النهائيه]]/Table1[[#This Row],[راتب ديسمبر 2019]]%</f>
        <v>73.935980148883374</v>
      </c>
      <c r="BB196" s="612">
        <f>VLOOKUP(Table1[[#This Row],[الرقم الوظيفي]],Table6[],8,)</f>
        <v>4030</v>
      </c>
      <c r="BC196" s="7"/>
      <c r="BD196" s="7">
        <v>6240</v>
      </c>
      <c r="BE196" s="7">
        <v>6230.38</v>
      </c>
      <c r="BF196" s="5">
        <f>Table1[[#This Row],[الحد الادني]]-Table1[[#This Row],[الراتب 2018+النسبه]]</f>
        <v>2970</v>
      </c>
      <c r="BG196" s="5">
        <f>Table1[[#This Row],[التعديل حتي]]-Table1[[#This Row],[kkk]]</f>
        <v>-6230.38</v>
      </c>
      <c r="BH196" s="5">
        <v>6230.38</v>
      </c>
      <c r="BI196" s="5"/>
    </row>
    <row r="197" spans="1:61" ht="21" customHeight="1">
      <c r="A197" s="602">
        <v>941</v>
      </c>
      <c r="B197" s="618" t="str">
        <f>VLOOKUP(Table1[[#This Row],[الرقم الوظيفي]],[1]Sheet2!$1:$1048576,2,)</f>
        <v>محمد احمد عبدالرحمن عبدالمحمود</v>
      </c>
      <c r="C197" s="618" t="str">
        <f>VLOOKUP(Table1[[#This Row],[الرقم الوظيفي]],[1]Sheet2!$1:$1048576,7,)</f>
        <v>المصنع</v>
      </c>
      <c r="D197" s="618" t="str">
        <f>VLOOKUP(Table1[[#This Row],[الرقم الوظيفي]],[1]Sheet2!$1:$1048576,8,)</f>
        <v>الانتاج</v>
      </c>
      <c r="E197" s="599" t="str">
        <f>VLOOKUP(Table1[[#This Row],[الرقم الوظيفي]],[1]Sheet2!$1:$1048576,9,)</f>
        <v>التشريح</v>
      </c>
      <c r="F197" s="599" t="str">
        <f>VLOOKUP(Table1[[#This Row],[الرقم الوظيفي]],[1]Sheet2!$1:$1048576,12,)</f>
        <v>مساعد مشغل</v>
      </c>
      <c r="G197" s="599">
        <f>VLOOKUP(Table1[[#This Row],[الرقم الوظيفي]],[1]Sheet2!$1:$1048576,72,)</f>
        <v>0</v>
      </c>
      <c r="H197" s="599">
        <f>VLOOKUP(Table1[[#This Row],[الرقم الوظيفي]],[1]Sheet2!$1:$1048576,71,)</f>
        <v>0</v>
      </c>
      <c r="I197" s="599" t="str">
        <f>VLOOKUP(Table1[[#This Row],[المؤهل الرئيسي]],Table4[],3,)</f>
        <v>H</v>
      </c>
      <c r="J197" s="599" t="s">
        <v>925</v>
      </c>
      <c r="K197" s="615">
        <f>VLOOKUP(Table1[[#This Row],[الرقم الوظيفي]],[1]Sheet2!$1:$1048576,13,)</f>
        <v>42786</v>
      </c>
      <c r="L197" s="615">
        <v>43830</v>
      </c>
      <c r="M197" s="599">
        <f>DATEDIF(Table1[[#This Row],[تاريخ التعيين]],Table1[[#This Row],[اخر العام]],"y")</f>
        <v>2</v>
      </c>
      <c r="N197" s="599">
        <f>DATEDIF(Table1[[#This Row],[تاريخ التعيين]],Table1[[#This Row],[اخر العام]],"ym")</f>
        <v>10</v>
      </c>
      <c r="O197" s="610">
        <f>Table1[[#This Row],[سنوات الخدمه]]*1+Table1[[#This Row],[الشهور اقل من سنه]]*0.08</f>
        <v>2.8</v>
      </c>
      <c r="P197" s="616">
        <v>4040</v>
      </c>
      <c r="Q197" s="617">
        <v>145.44</v>
      </c>
      <c r="R197" s="612"/>
      <c r="S197" s="599"/>
      <c r="T197" s="612"/>
      <c r="U197" s="612"/>
      <c r="V197" s="612"/>
      <c r="W197" s="612"/>
      <c r="X197" s="612"/>
      <c r="Y197" s="612"/>
      <c r="Z197" s="612"/>
      <c r="AA19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7" s="612"/>
      <c r="AC197" s="599"/>
      <c r="AD197" s="612"/>
      <c r="AE197" s="612"/>
      <c r="AF197" s="612"/>
      <c r="AG197" s="612"/>
      <c r="AH197" s="619">
        <f>SUM(Table1[[#This Row],[التقييد  باللوائح و تنفيذالتوجيه]:[اتباع اجراءات السلامه]])</f>
        <v>0</v>
      </c>
      <c r="AI197" s="619">
        <f>Table1[[#This Row],[المجموع]]+Table1[[#This Row],[المجموع2]]</f>
        <v>0</v>
      </c>
      <c r="AJ197" s="612"/>
      <c r="AK197" s="612"/>
      <c r="AL197" s="612"/>
      <c r="AM197" s="612"/>
      <c r="AN197" s="612"/>
      <c r="AO197" s="606">
        <f>Table1[[#This Row],[المجموع 1+2]]*$AO$2</f>
        <v>0</v>
      </c>
      <c r="AP197" s="648">
        <f>Table1[[#This Row],[راتب ديسمبر 2019]]*Table1[[#This Row],[نسبه التقييم الرئيسي 2018]]%</f>
        <v>0</v>
      </c>
      <c r="AQ197" s="627">
        <f>Table1[[#This Row],[مبلغ التقييم النسبي 2018]]+Table1[[#This Row],[راتب ديسمبر 2019]]</f>
        <v>4040</v>
      </c>
      <c r="AR197" s="611">
        <f>IF(Table1[[#This Row],[Column3]]&lt;0,0,Table1[[#This Row],[Column3]])</f>
        <v>4960</v>
      </c>
      <c r="AS197" s="599">
        <f>VLOOKUP(Table1[[#This Row],[درجه التوسيط]],Table10[],3,)</f>
        <v>9000</v>
      </c>
      <c r="AT197" s="608">
        <f>Table1[[#This Row],[الراتب 2018+النسبه]]+Table1[[#This Row],[فروقات الحد الادني]]</f>
        <v>9000</v>
      </c>
      <c r="AU197" s="629">
        <f>Table1[[#This Row],[الراتب 2018 + النسبه + الفرق]]-Table1[[#This Row],[راتب ديسمبر 2019]]</f>
        <v>4960</v>
      </c>
      <c r="AV197" s="628">
        <f>Table1[[#This Row],[الزياده]]/Table1[[#This Row],[راتب ديسمبر 2019]]%</f>
        <v>122.77227722772278</v>
      </c>
      <c r="AW197" s="659">
        <f>IF(Table1[[#This Row],[Column4]]&lt;0,0,Table1[[#This Row],[Column4]])</f>
        <v>0</v>
      </c>
      <c r="AX197" s="611">
        <f>Table1[[#This Row],[الجبر حتي]]-Table1[[#This Row],[رن]]</f>
        <v>7.2000000000007276</v>
      </c>
      <c r="AY197" s="611">
        <f>Table1[[#This Row],[الزياده]]+Table1[[#This Row],[التعديل]]+Table1[[#This Row],[جبر الرقم]]</f>
        <v>4967.2000000000007</v>
      </c>
      <c r="AZ197" s="611">
        <f>Table1[[#This Row],[الراتب 2018 + النسبه + الفرق]]+Table1[[#This Row],[جبر الرقم]]+Table1[[#This Row],[التعديل]]</f>
        <v>9007.2000000000007</v>
      </c>
      <c r="BA197" s="631">
        <f>Table1[[#This Row],[الزياده النهائيه]]/Table1[[#This Row],[راتب ديسمبر 2019]]%</f>
        <v>122.95049504950498</v>
      </c>
      <c r="BB197" s="612">
        <f>VLOOKUP(Table1[[#This Row],[الرقم الوظيفي]],Table6[],8,)</f>
        <v>4040</v>
      </c>
      <c r="BC197" s="7"/>
      <c r="BD197" s="7">
        <v>6350</v>
      </c>
      <c r="BE197" s="7">
        <v>6342.7999999999993</v>
      </c>
      <c r="BF197" s="5">
        <f>Table1[[#This Row],[الحد الادني]]-Table1[[#This Row],[الراتب 2018+النسبه]]</f>
        <v>4960</v>
      </c>
      <c r="BG197" s="5">
        <f>Table1[[#This Row],[التعديل حتي]]-Table1[[#This Row],[kkk]]</f>
        <v>-6342.7999999999993</v>
      </c>
      <c r="BH197" s="5">
        <v>6342.7999999999993</v>
      </c>
      <c r="BI197" s="5"/>
    </row>
    <row r="198" spans="1:61">
      <c r="A198" s="602">
        <v>942</v>
      </c>
      <c r="B198" s="618" t="str">
        <f>VLOOKUP(Table1[[#This Row],[الرقم الوظيفي]],[1]Sheet2!$1:$1048576,2,)</f>
        <v>مهند موسى احمد النعيم</v>
      </c>
      <c r="C198" s="618" t="str">
        <f>VLOOKUP(Table1[[#This Row],[الرقم الوظيفي]],[1]Sheet2!$1:$1048576,7,)</f>
        <v>المصنع</v>
      </c>
      <c r="D198" s="618" t="str">
        <f>VLOOKUP(Table1[[#This Row],[الرقم الوظيفي]],[1]Sheet2!$1:$1048576,8,)</f>
        <v>المستودعات</v>
      </c>
      <c r="E198" s="599">
        <f>VLOOKUP(Table1[[#This Row],[الرقم الوظيفي]],[1]Sheet2!$1:$1048576,9,)</f>
        <v>0</v>
      </c>
      <c r="F198" s="599" t="str">
        <f>VLOOKUP(Table1[[#This Row],[الرقم الوظيفي]],[1]Sheet2!$1:$1048576,12,)</f>
        <v>امين مستودع</v>
      </c>
      <c r="G198" s="599" t="str">
        <f>VLOOKUP(Table1[[#This Row],[الرقم الوظيفي]],[1]Sheet2!$1:$1048576,72,)</f>
        <v>بكلاريوس</v>
      </c>
      <c r="H198" s="599" t="str">
        <f>VLOOKUP(Table1[[#This Row],[الرقم الوظيفي]],[1]Sheet2!$1:$1048576,71,)</f>
        <v>محاسبة</v>
      </c>
      <c r="I198" s="599" t="str">
        <f>VLOOKUP(Table1[[#This Row],[المؤهل الرئيسي]],Table4[],3,)</f>
        <v>C</v>
      </c>
      <c r="J198" s="599" t="s">
        <v>924</v>
      </c>
      <c r="K198" s="615">
        <f>VLOOKUP(Table1[[#This Row],[الرقم الوظيفي]],[1]Sheet2!$1:$1048576,13,)</f>
        <v>42786</v>
      </c>
      <c r="L198" s="615">
        <v>43830</v>
      </c>
      <c r="M198" s="599">
        <f>DATEDIF(Table1[[#This Row],[تاريخ التعيين]],Table1[[#This Row],[اخر العام]],"y")</f>
        <v>2</v>
      </c>
      <c r="N198" s="599">
        <f>DATEDIF(Table1[[#This Row],[تاريخ التعيين]],Table1[[#This Row],[اخر العام]],"ym")</f>
        <v>10</v>
      </c>
      <c r="O198" s="610">
        <f>Table1[[#This Row],[سنوات الخدمه]]*1+Table1[[#This Row],[الشهور اقل من سنه]]*0.08</f>
        <v>2.8</v>
      </c>
      <c r="P198" s="616">
        <v>3530</v>
      </c>
      <c r="Q198" s="617">
        <v>127.08</v>
      </c>
      <c r="R198" s="612"/>
      <c r="S198" s="599"/>
      <c r="T198" s="612"/>
      <c r="U198" s="612"/>
      <c r="V198" s="612"/>
      <c r="W198" s="612"/>
      <c r="X198" s="612"/>
      <c r="Y198" s="612"/>
      <c r="Z198" s="612"/>
      <c r="AA19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8" s="612"/>
      <c r="AC198" s="599"/>
      <c r="AD198" s="612"/>
      <c r="AE198" s="612"/>
      <c r="AF198" s="612"/>
      <c r="AG198" s="612"/>
      <c r="AH198" s="619">
        <f>SUM(Table1[[#This Row],[التقييد  باللوائح و تنفيذالتوجيه]:[اتباع اجراءات السلامه]])</f>
        <v>0</v>
      </c>
      <c r="AI198" s="619">
        <f>Table1[[#This Row],[المجموع]]+Table1[[#This Row],[المجموع2]]</f>
        <v>0</v>
      </c>
      <c r="AJ198" s="612"/>
      <c r="AK198" s="612"/>
      <c r="AL198" s="612"/>
      <c r="AM198" s="612"/>
      <c r="AN198" s="612"/>
      <c r="AO198" s="606">
        <f>Table1[[#This Row],[المجموع 1+2]]*$AO$2</f>
        <v>0</v>
      </c>
      <c r="AP198" s="648">
        <f>Table1[[#This Row],[راتب ديسمبر 2019]]*Table1[[#This Row],[نسبه التقييم الرئيسي 2018]]%</f>
        <v>0</v>
      </c>
      <c r="AQ198" s="627">
        <f>Table1[[#This Row],[مبلغ التقييم النسبي 2018]]+Table1[[#This Row],[راتب ديسمبر 2019]]</f>
        <v>3530</v>
      </c>
      <c r="AR198" s="611">
        <f>IF(Table1[[#This Row],[Column3]]&lt;0,0,Table1[[#This Row],[Column3]])</f>
        <v>5470</v>
      </c>
      <c r="AS198" s="599">
        <f>VLOOKUP(Table1[[#This Row],[درجه التوسيط]],Table10[],3,)</f>
        <v>9000</v>
      </c>
      <c r="AT198" s="608">
        <f>Table1[[#This Row],[الراتب 2018+النسبه]]+Table1[[#This Row],[فروقات الحد الادني]]</f>
        <v>9000</v>
      </c>
      <c r="AU198" s="629">
        <f>Table1[[#This Row],[الراتب 2018 + النسبه + الفرق]]-Table1[[#This Row],[راتب ديسمبر 2019]]</f>
        <v>5470</v>
      </c>
      <c r="AV198" s="628">
        <f>Table1[[#This Row],[الزياده]]/Table1[[#This Row],[راتب ديسمبر 2019]]%</f>
        <v>154.957507082153</v>
      </c>
      <c r="AW198" s="659">
        <f>IF(Table1[[#This Row],[Column4]]&lt;0,0,Table1[[#This Row],[Column4]])</f>
        <v>0</v>
      </c>
      <c r="AX198" s="611">
        <f>Table1[[#This Row],[الجبر حتي]]-Table1[[#This Row],[رن]]</f>
        <v>0</v>
      </c>
      <c r="AY198" s="611">
        <f>Table1[[#This Row],[الزياده]]+Table1[[#This Row],[التعديل]]+Table1[[#This Row],[جبر الرقم]]</f>
        <v>5470</v>
      </c>
      <c r="AZ198" s="611">
        <f>Table1[[#This Row],[الراتب 2018 + النسبه + الفرق]]+Table1[[#This Row],[جبر الرقم]]+Table1[[#This Row],[التعديل]]</f>
        <v>9000</v>
      </c>
      <c r="BA198" s="631">
        <f>Table1[[#This Row],[الزياده النهائيه]]/Table1[[#This Row],[راتب ديسمبر 2019]]%</f>
        <v>154.957507082153</v>
      </c>
      <c r="BB198" s="612">
        <f>VLOOKUP(Table1[[#This Row],[الرقم الوظيفي]],Table6[],8,)</f>
        <v>3530</v>
      </c>
      <c r="BC198" s="7"/>
      <c r="BD198" s="7">
        <v>6000</v>
      </c>
      <c r="BE198" s="7">
        <v>6000</v>
      </c>
      <c r="BF198" s="5">
        <f>Table1[[#This Row],[الحد الادني]]-Table1[[#This Row],[الراتب 2018+النسبه]]</f>
        <v>5470</v>
      </c>
      <c r="BG198" s="5">
        <f>Table1[[#This Row],[التعديل حتي]]-Table1[[#This Row],[kkk]]</f>
        <v>-6000</v>
      </c>
      <c r="BH198" s="5">
        <v>6000</v>
      </c>
      <c r="BI198" s="5"/>
    </row>
    <row r="199" spans="1:61">
      <c r="A199" s="602">
        <v>943</v>
      </c>
      <c r="B199" s="618" t="str">
        <f>VLOOKUP(Table1[[#This Row],[الرقم الوظيفي]],[1]Sheet2!$1:$1048576,2,)</f>
        <v>عادل ضوالبيت ادم ضوالبيت</v>
      </c>
      <c r="C199" s="618" t="str">
        <f>VLOOKUP(Table1[[#This Row],[الرقم الوظيفي]],[1]Sheet2!$1:$1048576,7,)</f>
        <v>المصنع</v>
      </c>
      <c r="D199" s="618" t="str">
        <f>VLOOKUP(Table1[[#This Row],[الرقم الوظيفي]],[1]Sheet2!$1:$1048576,8,)</f>
        <v>الانتاج</v>
      </c>
      <c r="E199" s="599" t="str">
        <f>VLOOKUP(Table1[[#This Row],[الرقم الوظيفي]],[1]Sheet2!$1:$1048576,9,)</f>
        <v>المواسير</v>
      </c>
      <c r="F199" s="599" t="str">
        <f>VLOOKUP(Table1[[#This Row],[الرقم الوظيفي]],[1]Sheet2!$1:$1048576,12,)</f>
        <v>مشغل</v>
      </c>
      <c r="G199" s="599">
        <f>VLOOKUP(Table1[[#This Row],[الرقم الوظيفي]],[1]Sheet2!$1:$1048576,72,)</f>
        <v>0</v>
      </c>
      <c r="H199" s="599">
        <f>VLOOKUP(Table1[[#This Row],[الرقم الوظيفي]],[1]Sheet2!$1:$1048576,71,)</f>
        <v>0</v>
      </c>
      <c r="I199" s="599" t="str">
        <f>VLOOKUP(Table1[[#This Row],[المؤهل الرئيسي]],Table4[],3,)</f>
        <v>H</v>
      </c>
      <c r="J199" s="599" t="s">
        <v>922</v>
      </c>
      <c r="K199" s="615">
        <f>VLOOKUP(Table1[[#This Row],[الرقم الوظيفي]],[1]Sheet2!$1:$1048576,13,)</f>
        <v>42802</v>
      </c>
      <c r="L199" s="615">
        <v>43830</v>
      </c>
      <c r="M199" s="599">
        <f>DATEDIF(Table1[[#This Row],[تاريخ التعيين]],Table1[[#This Row],[اخر العام]],"y")</f>
        <v>2</v>
      </c>
      <c r="N199" s="599">
        <f>DATEDIF(Table1[[#This Row],[تاريخ التعيين]],Table1[[#This Row],[اخر العام]],"ym")</f>
        <v>9</v>
      </c>
      <c r="O199" s="610">
        <f>Table1[[#This Row],[سنوات الخدمه]]*1+Table1[[#This Row],[الشهور اقل من سنه]]*0.08</f>
        <v>2.7199999999999998</v>
      </c>
      <c r="P199" s="616">
        <v>4040</v>
      </c>
      <c r="Q199" s="617">
        <v>138.976</v>
      </c>
      <c r="R199" s="612"/>
      <c r="S199" s="599"/>
      <c r="T199" s="612"/>
      <c r="U199" s="612"/>
      <c r="V199" s="612"/>
      <c r="W199" s="612"/>
      <c r="X199" s="612"/>
      <c r="Y199" s="612"/>
      <c r="Z199" s="612"/>
      <c r="AA19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199" s="612"/>
      <c r="AC199" s="599"/>
      <c r="AD199" s="612"/>
      <c r="AE199" s="612"/>
      <c r="AF199" s="612"/>
      <c r="AG199" s="612"/>
      <c r="AH199" s="619">
        <f>SUM(Table1[[#This Row],[التقييد  باللوائح و تنفيذالتوجيه]:[اتباع اجراءات السلامه]])</f>
        <v>0</v>
      </c>
      <c r="AI199" s="619">
        <f>Table1[[#This Row],[المجموع]]+Table1[[#This Row],[المجموع2]]</f>
        <v>0</v>
      </c>
      <c r="AJ199" s="612"/>
      <c r="AK199" s="612"/>
      <c r="AL199" s="612"/>
      <c r="AM199" s="612"/>
      <c r="AN199" s="612"/>
      <c r="AO199" s="606">
        <f>Table1[[#This Row],[المجموع 1+2]]*$AO$2</f>
        <v>0</v>
      </c>
      <c r="AP199" s="648">
        <f>Table1[[#This Row],[راتب ديسمبر 2019]]*Table1[[#This Row],[نسبه التقييم الرئيسي 2018]]%</f>
        <v>0</v>
      </c>
      <c r="AQ199" s="627">
        <f>Table1[[#This Row],[مبلغ التقييم النسبي 2018]]+Table1[[#This Row],[راتب ديسمبر 2019]]</f>
        <v>4040</v>
      </c>
      <c r="AR199" s="611">
        <f>IF(Table1[[#This Row],[Column3]]&lt;0,0,Table1[[#This Row],[Column3]])</f>
        <v>6960</v>
      </c>
      <c r="AS199" s="599">
        <f>VLOOKUP(Table1[[#This Row],[درجه التوسيط]],Table10[],3,)</f>
        <v>11000</v>
      </c>
      <c r="AT199" s="608">
        <f>Table1[[#This Row],[الراتب 2018+النسبه]]+Table1[[#This Row],[فروقات الحد الادني]]</f>
        <v>11000</v>
      </c>
      <c r="AU199" s="629">
        <f>Table1[[#This Row],[الراتب 2018 + النسبه + الفرق]]-Table1[[#This Row],[راتب ديسمبر 2019]]</f>
        <v>6960</v>
      </c>
      <c r="AV199" s="628">
        <f>Table1[[#This Row],[الزياده]]/Table1[[#This Row],[راتب ديسمبر 2019]]%</f>
        <v>172.2772277227723</v>
      </c>
      <c r="AW199" s="659">
        <f>IF(Table1[[#This Row],[Column4]]&lt;0,0,Table1[[#This Row],[Column4]])</f>
        <v>0</v>
      </c>
      <c r="AX199" s="611">
        <f>Table1[[#This Row],[الجبر حتي]]-Table1[[#This Row],[رن]]</f>
        <v>0</v>
      </c>
      <c r="AY199" s="611">
        <f>Table1[[#This Row],[الزياده]]+Table1[[#This Row],[التعديل]]+Table1[[#This Row],[جبر الرقم]]</f>
        <v>6960</v>
      </c>
      <c r="AZ199" s="611">
        <f>Table1[[#This Row],[الراتب 2018 + النسبه + الفرق]]+Table1[[#This Row],[جبر الرقم]]+Table1[[#This Row],[التعديل]]</f>
        <v>11000</v>
      </c>
      <c r="BA199" s="631">
        <f>Table1[[#This Row],[الزياده النهائيه]]/Table1[[#This Row],[راتب ديسمبر 2019]]%</f>
        <v>172.2772277227723</v>
      </c>
      <c r="BB199" s="612">
        <f>VLOOKUP(Table1[[#This Row],[الرقم الوظيفي]],Table6[],8,)</f>
        <v>4040</v>
      </c>
      <c r="BC199" s="7"/>
      <c r="BD199" s="7">
        <v>7000</v>
      </c>
      <c r="BE199" s="7">
        <v>7000</v>
      </c>
      <c r="BF199" s="5">
        <f>Table1[[#This Row],[الحد الادني]]-Table1[[#This Row],[الراتب 2018+النسبه]]</f>
        <v>6960</v>
      </c>
      <c r="BG199" s="5">
        <f>Table1[[#This Row],[التعديل حتي]]-Table1[[#This Row],[kkk]]</f>
        <v>-7000</v>
      </c>
      <c r="BH199" s="5">
        <v>7000</v>
      </c>
      <c r="BI199" s="5"/>
    </row>
    <row r="200" spans="1:61" ht="21" customHeight="1">
      <c r="A200" s="602">
        <v>946</v>
      </c>
      <c r="B200" s="618" t="str">
        <f>VLOOKUP(Table1[[#This Row],[الرقم الوظيفي]],[1]Sheet2!$1:$1048576,2,)</f>
        <v>عادل عبد الوهاب نوار يسن</v>
      </c>
      <c r="C200" s="618" t="str">
        <f>VLOOKUP(Table1[[#This Row],[الرقم الوظيفي]],[1]Sheet2!$1:$1048576,7,)</f>
        <v>المصنع</v>
      </c>
      <c r="D200" s="618" t="str">
        <f>VLOOKUP(Table1[[#This Row],[الرقم الوظيفي]],[1]Sheet2!$1:$1048576,8,)</f>
        <v>الانتاج</v>
      </c>
      <c r="E200" s="599" t="str">
        <f>VLOOKUP(Table1[[#This Row],[الرقم الوظيفي]],[1]Sheet2!$1:$1048576,9,)</f>
        <v>المواسير</v>
      </c>
      <c r="F200" s="599" t="str">
        <f>VLOOKUP(Table1[[#This Row],[الرقم الوظيفي]],[1]Sheet2!$1:$1048576,12,)</f>
        <v>عامل</v>
      </c>
      <c r="G200" s="599">
        <f>VLOOKUP(Table1[[#This Row],[الرقم الوظيفي]],[1]Sheet2!$1:$1048576,72,)</f>
        <v>0</v>
      </c>
      <c r="H200" s="599">
        <f>VLOOKUP(Table1[[#This Row],[الرقم الوظيفي]],[1]Sheet2!$1:$1048576,71,)</f>
        <v>0</v>
      </c>
      <c r="I200" s="599" t="str">
        <f>VLOOKUP(Table1[[#This Row],[المؤهل الرئيسي]],Table4[],3,)</f>
        <v>H</v>
      </c>
      <c r="J200" s="599" t="s">
        <v>42</v>
      </c>
      <c r="K200" s="615">
        <f>VLOOKUP(Table1[[#This Row],[الرقم الوظيفي]],[1]Sheet2!$1:$1048576,13,)</f>
        <v>42926</v>
      </c>
      <c r="L200" s="615">
        <v>43830</v>
      </c>
      <c r="M200" s="599">
        <f>DATEDIF(Table1[[#This Row],[تاريخ التعيين]],Table1[[#This Row],[اخر العام]],"y")</f>
        <v>2</v>
      </c>
      <c r="N200" s="599">
        <f>DATEDIF(Table1[[#This Row],[تاريخ التعيين]],Table1[[#This Row],[اخر العام]],"ym")</f>
        <v>5</v>
      </c>
      <c r="O200" s="610">
        <f>Table1[[#This Row],[سنوات الخدمه]]*1+Table1[[#This Row],[الشهور اقل من سنه]]*0.08</f>
        <v>2.4</v>
      </c>
      <c r="P200" s="616">
        <v>3020</v>
      </c>
      <c r="Q200" s="617">
        <v>84.56</v>
      </c>
      <c r="R200" s="612"/>
      <c r="S200" s="599"/>
      <c r="T200" s="612"/>
      <c r="U200" s="612"/>
      <c r="V200" s="612"/>
      <c r="W200" s="612"/>
      <c r="X200" s="612"/>
      <c r="Y200" s="612"/>
      <c r="Z200" s="612"/>
      <c r="AA20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0" s="612"/>
      <c r="AC200" s="599"/>
      <c r="AD200" s="612"/>
      <c r="AE200" s="612"/>
      <c r="AF200" s="612"/>
      <c r="AG200" s="612"/>
      <c r="AH200" s="619">
        <f>SUM(Table1[[#This Row],[التقييد  باللوائح و تنفيذالتوجيه]:[اتباع اجراءات السلامه]])</f>
        <v>0</v>
      </c>
      <c r="AI200" s="619">
        <f>Table1[[#This Row],[المجموع]]+Table1[[#This Row],[المجموع2]]</f>
        <v>0</v>
      </c>
      <c r="AJ200" s="612"/>
      <c r="AK200" s="612"/>
      <c r="AL200" s="612"/>
      <c r="AM200" s="612"/>
      <c r="AN200" s="612"/>
      <c r="AO200" s="606">
        <f>Table1[[#This Row],[المجموع 1+2]]*$AO$2</f>
        <v>0</v>
      </c>
      <c r="AP200" s="648">
        <f>Table1[[#This Row],[راتب ديسمبر 2019]]*Table1[[#This Row],[نسبه التقييم الرئيسي 2018]]%</f>
        <v>0</v>
      </c>
      <c r="AQ200" s="627">
        <f>Table1[[#This Row],[مبلغ التقييم النسبي 2018]]+Table1[[#This Row],[راتب ديسمبر 2019]]</f>
        <v>3020</v>
      </c>
      <c r="AR200" s="611">
        <f>IF(Table1[[#This Row],[Column3]]&lt;0,0,Table1[[#This Row],[Column3]])</f>
        <v>1980</v>
      </c>
      <c r="AS200" s="599">
        <f>VLOOKUP(Table1[[#This Row],[درجه التوسيط]],Table10[],3,)</f>
        <v>5000</v>
      </c>
      <c r="AT200" s="608">
        <f>Table1[[#This Row],[الراتب 2018+النسبه]]+Table1[[#This Row],[فروقات الحد الادني]]</f>
        <v>5000</v>
      </c>
      <c r="AU200" s="629">
        <f>Table1[[#This Row],[الراتب 2018 + النسبه + الفرق]]-Table1[[#This Row],[راتب ديسمبر 2019]]</f>
        <v>1980</v>
      </c>
      <c r="AV200" s="628">
        <f>Table1[[#This Row],[الزياده]]/Table1[[#This Row],[راتب ديسمبر 2019]]%</f>
        <v>65.562913907284766</v>
      </c>
      <c r="AW200" s="659">
        <f>IF(Table1[[#This Row],[Column4]]&lt;0,0,Table1[[#This Row],[Column4]])</f>
        <v>0</v>
      </c>
      <c r="AX200" s="611">
        <f>Table1[[#This Row],[الجبر حتي]]-Table1[[#This Row],[رن]]</f>
        <v>2.8800000000001091</v>
      </c>
      <c r="AY200" s="611">
        <f>Table1[[#This Row],[الزياده]]+Table1[[#This Row],[التعديل]]+Table1[[#This Row],[جبر الرقم]]</f>
        <v>1982.88</v>
      </c>
      <c r="AZ200" s="611">
        <f>Table1[[#This Row],[الراتب 2018 + النسبه + الفرق]]+Table1[[#This Row],[جبر الرقم]]+Table1[[#This Row],[التعديل]]</f>
        <v>5002.88</v>
      </c>
      <c r="BA200" s="631">
        <f>Table1[[#This Row],[الزياده النهائيه]]/Table1[[#This Row],[راتب ديسمبر 2019]]%</f>
        <v>65.658278145695363</v>
      </c>
      <c r="BB200" s="612">
        <f>VLOOKUP(Table1[[#This Row],[الرقم الوظيفي]],Table6[],8,)</f>
        <v>3020</v>
      </c>
      <c r="BC200" s="7"/>
      <c r="BD200" s="7">
        <v>4400</v>
      </c>
      <c r="BE200" s="7">
        <v>4397.12</v>
      </c>
      <c r="BF200" s="5">
        <f>Table1[[#This Row],[الحد الادني]]-Table1[[#This Row],[الراتب 2018+النسبه]]</f>
        <v>1980</v>
      </c>
      <c r="BG200" s="5">
        <f>Table1[[#This Row],[التعديل حتي]]-Table1[[#This Row],[kkk]]</f>
        <v>-4397.12</v>
      </c>
      <c r="BH200" s="5">
        <v>4397.12</v>
      </c>
      <c r="BI200" s="5"/>
    </row>
    <row r="201" spans="1:61" ht="21" customHeight="1">
      <c r="A201" s="602">
        <v>947</v>
      </c>
      <c r="B201" s="618" t="str">
        <f>VLOOKUP(Table1[[#This Row],[الرقم الوظيفي]],[1]Sheet2!$1:$1048576,2,)</f>
        <v>اياد بشير بابكر إبراهيم</v>
      </c>
      <c r="C201" s="618" t="str">
        <f>VLOOKUP(Table1[[#This Row],[الرقم الوظيفي]],[1]Sheet2!$1:$1048576,7,)</f>
        <v>المصنع</v>
      </c>
      <c r="D201" s="618" t="str">
        <f>VLOOKUP(Table1[[#This Row],[الرقم الوظيفي]],[1]Sheet2!$1:$1048576,8,)</f>
        <v>الاليات</v>
      </c>
      <c r="E201" s="599">
        <f>VLOOKUP(Table1[[#This Row],[الرقم الوظيفي]],[1]Sheet2!$1:$1048576,9,)</f>
        <v>0</v>
      </c>
      <c r="F201" s="599" t="str">
        <f>VLOOKUP(Table1[[#This Row],[الرقم الوظيفي]],[1]Sheet2!$1:$1048576,12,)</f>
        <v>تقنى ميكانيكا اليات</v>
      </c>
      <c r="G201" s="599" t="str">
        <f>VLOOKUP(Table1[[#This Row],[الرقم الوظيفي]],[1]Sheet2!$1:$1048576,72,)</f>
        <v>دبلوم تقني</v>
      </c>
      <c r="H201" s="599" t="str">
        <f>VLOOKUP(Table1[[#This Row],[الرقم الوظيفي]],[1]Sheet2!$1:$1048576,71,)</f>
        <v>Automobile Engineering</v>
      </c>
      <c r="I201" s="599" t="str">
        <f>VLOOKUP(Table1[[#This Row],[المؤهل الرئيسي]],Table4[],3,)</f>
        <v>D</v>
      </c>
      <c r="J201" s="599" t="s">
        <v>923</v>
      </c>
      <c r="K201" s="615">
        <f>VLOOKUP(Table1[[#This Row],[الرقم الوظيفي]],[1]Sheet2!$1:$1048576,13,)</f>
        <v>42812</v>
      </c>
      <c r="L201" s="615">
        <v>43830</v>
      </c>
      <c r="M201" s="599">
        <f>DATEDIF(Table1[[#This Row],[تاريخ التعيين]],Table1[[#This Row],[اخر العام]],"y")</f>
        <v>2</v>
      </c>
      <c r="N201" s="599">
        <f>DATEDIF(Table1[[#This Row],[تاريخ التعيين]],Table1[[#This Row],[اخر العام]],"ym")</f>
        <v>9</v>
      </c>
      <c r="O201" s="610">
        <f>Table1[[#This Row],[سنوات الخدمه]]*1+Table1[[#This Row],[الشهور اقل من سنه]]*0.08</f>
        <v>2.7199999999999998</v>
      </c>
      <c r="P201" s="616">
        <v>4530</v>
      </c>
      <c r="Q201" s="617">
        <v>155.83199999999999</v>
      </c>
      <c r="R201" s="612"/>
      <c r="S201" s="599"/>
      <c r="T201" s="612"/>
      <c r="U201" s="612"/>
      <c r="V201" s="612"/>
      <c r="W201" s="612"/>
      <c r="X201" s="612"/>
      <c r="Y201" s="612"/>
      <c r="Z201" s="612"/>
      <c r="AA20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1" s="612"/>
      <c r="AC201" s="599"/>
      <c r="AD201" s="612"/>
      <c r="AE201" s="612"/>
      <c r="AF201" s="612"/>
      <c r="AG201" s="612"/>
      <c r="AH201" s="619">
        <f>SUM(Table1[[#This Row],[التقييد  باللوائح و تنفيذالتوجيه]:[اتباع اجراءات السلامه]])</f>
        <v>0</v>
      </c>
      <c r="AI201" s="619">
        <f>Table1[[#This Row],[المجموع]]+Table1[[#This Row],[المجموع2]]</f>
        <v>0</v>
      </c>
      <c r="AJ201" s="612"/>
      <c r="AK201" s="612"/>
      <c r="AL201" s="612"/>
      <c r="AM201" s="612"/>
      <c r="AN201" s="612"/>
      <c r="AO201" s="606">
        <f>Table1[[#This Row],[المجموع 1+2]]*$AO$2</f>
        <v>0</v>
      </c>
      <c r="AP201" s="648">
        <f>Table1[[#This Row],[راتب ديسمبر 2019]]*Table1[[#This Row],[نسبه التقييم الرئيسي 2018]]%</f>
        <v>0</v>
      </c>
      <c r="AQ201" s="627">
        <f>Table1[[#This Row],[مبلغ التقييم النسبي 2018]]+Table1[[#This Row],[راتب ديسمبر 2019]]</f>
        <v>4530</v>
      </c>
      <c r="AR201" s="611">
        <f>IF(Table1[[#This Row],[Column3]]&lt;0,0,Table1[[#This Row],[Column3]])</f>
        <v>5470</v>
      </c>
      <c r="AS201" s="599">
        <f>VLOOKUP(Table1[[#This Row],[درجه التوسيط]],Table10[],3,)</f>
        <v>10000</v>
      </c>
      <c r="AT201" s="608">
        <f>Table1[[#This Row],[الراتب 2018+النسبه]]+Table1[[#This Row],[فروقات الحد الادني]]</f>
        <v>10000</v>
      </c>
      <c r="AU201" s="629">
        <f>Table1[[#This Row],[الراتب 2018 + النسبه + الفرق]]-Table1[[#This Row],[راتب ديسمبر 2019]]</f>
        <v>5470</v>
      </c>
      <c r="AV201" s="628">
        <f>Table1[[#This Row],[الزياده]]/Table1[[#This Row],[راتب ديسمبر 2019]]%</f>
        <v>120.7505518763797</v>
      </c>
      <c r="AW201" s="659">
        <f>IF(Table1[[#This Row],[Column4]]&lt;0,0,Table1[[#This Row],[Column4]])</f>
        <v>0</v>
      </c>
      <c r="AX201" s="611">
        <f>Table1[[#This Row],[الجبر حتي]]-Table1[[#This Row],[رن]]</f>
        <v>8.1599999999998545</v>
      </c>
      <c r="AY201" s="611">
        <f>Table1[[#This Row],[الزياده]]+Table1[[#This Row],[التعديل]]+Table1[[#This Row],[جبر الرقم]]</f>
        <v>5478.16</v>
      </c>
      <c r="AZ201" s="611">
        <f>Table1[[#This Row],[الراتب 2018 + النسبه + الفرق]]+Table1[[#This Row],[جبر الرقم]]+Table1[[#This Row],[التعديل]]</f>
        <v>10008.16</v>
      </c>
      <c r="BA201" s="631">
        <f>Table1[[#This Row],[الزياده النهائيه]]/Table1[[#This Row],[راتب ديسمبر 2019]]%</f>
        <v>120.93068432671082</v>
      </c>
      <c r="BB201" s="612">
        <f>VLOOKUP(Table1[[#This Row],[الرقم الوظيفي]],Table6[],8,)</f>
        <v>4530</v>
      </c>
      <c r="BC201" s="7"/>
      <c r="BD201" s="7">
        <v>6930</v>
      </c>
      <c r="BE201" s="7">
        <v>6921.84</v>
      </c>
      <c r="BF201" s="5">
        <f>Table1[[#This Row],[الحد الادني]]-Table1[[#This Row],[الراتب 2018+النسبه]]</f>
        <v>5470</v>
      </c>
      <c r="BG201" s="5">
        <f>Table1[[#This Row],[التعديل حتي]]-Table1[[#This Row],[kkk]]</f>
        <v>-6921.84</v>
      </c>
      <c r="BH201" s="5">
        <v>6921.84</v>
      </c>
      <c r="BI201" s="5"/>
    </row>
    <row r="202" spans="1:61" ht="21" customHeight="1">
      <c r="A202" s="602">
        <v>948</v>
      </c>
      <c r="B202" s="618" t="str">
        <f>VLOOKUP(Table1[[#This Row],[الرقم الوظيفي]],[1]Sheet2!$1:$1048576,2,)</f>
        <v>فتح الرحمن عبدالله محمد على</v>
      </c>
      <c r="C202" s="618" t="str">
        <f>VLOOKUP(Table1[[#This Row],[الرقم الوظيفي]],[1]Sheet2!$1:$1048576,7,)</f>
        <v>المصنع</v>
      </c>
      <c r="D202" s="618" t="str">
        <f>VLOOKUP(Table1[[#This Row],[الرقم الوظيفي]],[1]Sheet2!$1:$1048576,8,)</f>
        <v>المستودعات</v>
      </c>
      <c r="E202" s="599">
        <f>VLOOKUP(Table1[[#This Row],[الرقم الوظيفي]],[1]Sheet2!$1:$1048576,9,)</f>
        <v>0</v>
      </c>
      <c r="F202" s="599" t="str">
        <f>VLOOKUP(Table1[[#This Row],[الرقم الوظيفي]],[1]Sheet2!$1:$1048576,12,)</f>
        <v>امين ميزان</v>
      </c>
      <c r="G202" s="599" t="str">
        <f>VLOOKUP(Table1[[#This Row],[الرقم الوظيفي]],[1]Sheet2!$1:$1048576,72,)</f>
        <v>شهاده دورة تدريب</v>
      </c>
      <c r="H202" s="599" t="str">
        <f>VLOOKUP(Table1[[#This Row],[الرقم الوظيفي]],[1]Sheet2!$1:$1048576,71,)</f>
        <v>استراتيجيات التخطيط الادارى</v>
      </c>
      <c r="I202" s="599" t="str">
        <f>VLOOKUP(Table1[[#This Row],[المؤهل الرئيسي]],Table4[],3,)</f>
        <v>F</v>
      </c>
      <c r="J202" s="599" t="s">
        <v>925</v>
      </c>
      <c r="K202" s="615">
        <f>VLOOKUP(Table1[[#This Row],[الرقم الوظيفي]],[1]Sheet2!$1:$1048576,13,)</f>
        <v>42812</v>
      </c>
      <c r="L202" s="615">
        <v>43830</v>
      </c>
      <c r="M202" s="599">
        <f>DATEDIF(Table1[[#This Row],[تاريخ التعيين]],Table1[[#This Row],[اخر العام]],"y")</f>
        <v>2</v>
      </c>
      <c r="N202" s="599">
        <f>DATEDIF(Table1[[#This Row],[تاريخ التعيين]],Table1[[#This Row],[اخر العام]],"ym")</f>
        <v>9</v>
      </c>
      <c r="O202" s="610">
        <f>Table1[[#This Row],[سنوات الخدمه]]*1+Table1[[#This Row],[الشهور اقل من سنه]]*0.08</f>
        <v>2.7199999999999998</v>
      </c>
      <c r="P202" s="616">
        <v>4030</v>
      </c>
      <c r="Q202" s="617">
        <v>138.63200000000001</v>
      </c>
      <c r="R202" s="612"/>
      <c r="S202" s="599"/>
      <c r="T202" s="612"/>
      <c r="U202" s="612"/>
      <c r="V202" s="612"/>
      <c r="W202" s="612"/>
      <c r="X202" s="612"/>
      <c r="Y202" s="612"/>
      <c r="Z202" s="612"/>
      <c r="AA20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2" s="612"/>
      <c r="AC202" s="599"/>
      <c r="AD202" s="612"/>
      <c r="AE202" s="612"/>
      <c r="AF202" s="612"/>
      <c r="AG202" s="612"/>
      <c r="AH202" s="619">
        <f>SUM(Table1[[#This Row],[التقييد  باللوائح و تنفيذالتوجيه]:[اتباع اجراءات السلامه]])</f>
        <v>0</v>
      </c>
      <c r="AI202" s="619">
        <f>Table1[[#This Row],[المجموع]]+Table1[[#This Row],[المجموع2]]</f>
        <v>0</v>
      </c>
      <c r="AJ202" s="612"/>
      <c r="AK202" s="612"/>
      <c r="AL202" s="612"/>
      <c r="AM202" s="612"/>
      <c r="AN202" s="612"/>
      <c r="AO202" s="606">
        <f>Table1[[#This Row],[المجموع 1+2]]*$AO$2</f>
        <v>0</v>
      </c>
      <c r="AP202" s="648">
        <f>Table1[[#This Row],[راتب ديسمبر 2019]]*Table1[[#This Row],[نسبه التقييم الرئيسي 2018]]%</f>
        <v>0</v>
      </c>
      <c r="AQ202" s="627">
        <f>Table1[[#This Row],[مبلغ التقييم النسبي 2018]]+Table1[[#This Row],[راتب ديسمبر 2019]]</f>
        <v>4030</v>
      </c>
      <c r="AR202" s="611">
        <f>IF(Table1[[#This Row],[Column3]]&lt;0,0,Table1[[#This Row],[Column3]])</f>
        <v>4970</v>
      </c>
      <c r="AS202" s="599">
        <f>VLOOKUP(Table1[[#This Row],[درجه التوسيط]],Table10[],3,)</f>
        <v>9000</v>
      </c>
      <c r="AT202" s="608">
        <f>Table1[[#This Row],[الراتب 2018+النسبه]]+Table1[[#This Row],[فروقات الحد الادني]]</f>
        <v>9000</v>
      </c>
      <c r="AU202" s="629">
        <f>Table1[[#This Row],[الراتب 2018 + النسبه + الفرق]]-Table1[[#This Row],[راتب ديسمبر 2019]]</f>
        <v>4970</v>
      </c>
      <c r="AV202" s="628">
        <f>Table1[[#This Row],[الزياده]]/Table1[[#This Row],[راتب ديسمبر 2019]]%</f>
        <v>123.32506203473946</v>
      </c>
      <c r="AW202" s="659">
        <f>IF(Table1[[#This Row],[Column4]]&lt;0,0,Table1[[#This Row],[Column4]])</f>
        <v>0</v>
      </c>
      <c r="AX202" s="611">
        <f>Table1[[#This Row],[الجبر حتي]]-Table1[[#This Row],[رن]]</f>
        <v>1.2600000000002183</v>
      </c>
      <c r="AY202" s="611">
        <f>Table1[[#This Row],[الزياده]]+Table1[[#This Row],[التعديل]]+Table1[[#This Row],[جبر الرقم]]</f>
        <v>4971.26</v>
      </c>
      <c r="AZ202" s="611">
        <f>Table1[[#This Row],[الراتب 2018 + النسبه + الفرق]]+Table1[[#This Row],[جبر الرقم]]+Table1[[#This Row],[التعديل]]</f>
        <v>9001.26</v>
      </c>
      <c r="BA202" s="631">
        <f>Table1[[#This Row],[الزياده النهائيه]]/Table1[[#This Row],[راتب ديسمبر 2019]]%</f>
        <v>123.35632754342433</v>
      </c>
      <c r="BB202" s="612">
        <f>VLOOKUP(Table1[[#This Row],[الرقم الوظيفي]],Table6[],8,)</f>
        <v>4030</v>
      </c>
      <c r="BC202" s="7"/>
      <c r="BD202" s="7">
        <v>6280</v>
      </c>
      <c r="BE202" s="7">
        <v>6278.74</v>
      </c>
      <c r="BF202" s="5">
        <f>Table1[[#This Row],[الحد الادني]]-Table1[[#This Row],[الراتب 2018+النسبه]]</f>
        <v>4970</v>
      </c>
      <c r="BG202" s="5">
        <f>Table1[[#This Row],[التعديل حتي]]-Table1[[#This Row],[kkk]]</f>
        <v>-6278.74</v>
      </c>
      <c r="BH202" s="5">
        <v>6278.74</v>
      </c>
      <c r="BI202" s="5"/>
    </row>
    <row r="203" spans="1:61" ht="21" customHeight="1">
      <c r="A203" s="602">
        <v>949</v>
      </c>
      <c r="B203" s="618" t="str">
        <f>VLOOKUP(Table1[[#This Row],[الرقم الوظيفي]],[1]Sheet2!$1:$1048576,2,)</f>
        <v>عبدالمطلب طه احمد الدالى</v>
      </c>
      <c r="C203" s="618" t="str">
        <f>VLOOKUP(Table1[[#This Row],[الرقم الوظيفي]],[1]Sheet2!$1:$1048576,7,)</f>
        <v>المصنع</v>
      </c>
      <c r="D203" s="618" t="str">
        <f>VLOOKUP(Table1[[#This Row],[الرقم الوظيفي]],[1]Sheet2!$1:$1048576,8,)</f>
        <v>الكهرباء</v>
      </c>
      <c r="E203" s="599">
        <f>VLOOKUP(Table1[[#This Row],[الرقم الوظيفي]],[1]Sheet2!$1:$1048576,9,)</f>
        <v>0</v>
      </c>
      <c r="F203" s="599" t="str">
        <f>VLOOKUP(Table1[[#This Row],[الرقم الوظيفي]],[1]Sheet2!$1:$1048576,12,)</f>
        <v>فنى لف موتورات</v>
      </c>
      <c r="G203" s="599">
        <f>VLOOKUP(Table1[[#This Row],[الرقم الوظيفي]],[1]Sheet2!$1:$1048576,72,)</f>
        <v>0</v>
      </c>
      <c r="H203" s="599">
        <f>VLOOKUP(Table1[[#This Row],[الرقم الوظيفي]],[1]Sheet2!$1:$1048576,71,)</f>
        <v>0</v>
      </c>
      <c r="I203" s="599" t="str">
        <f>VLOOKUP(Table1[[#This Row],[المؤهل الرئيسي]],Table4[],3,)</f>
        <v>H</v>
      </c>
      <c r="J203" s="599" t="s">
        <v>924</v>
      </c>
      <c r="K203" s="615">
        <f>VLOOKUP(Table1[[#This Row],[الرقم الوظيفي]],[1]Sheet2!$1:$1048576,13,)</f>
        <v>42812</v>
      </c>
      <c r="L203" s="615">
        <v>43830</v>
      </c>
      <c r="M203" s="599">
        <f>DATEDIF(Table1[[#This Row],[تاريخ التعيين]],Table1[[#This Row],[اخر العام]],"y")</f>
        <v>2</v>
      </c>
      <c r="N203" s="599">
        <f>DATEDIF(Table1[[#This Row],[تاريخ التعيين]],Table1[[#This Row],[اخر العام]],"ym")</f>
        <v>9</v>
      </c>
      <c r="O203" s="610">
        <f>Table1[[#This Row],[سنوات الخدمه]]*1+Table1[[#This Row],[الشهور اقل من سنه]]*0.08</f>
        <v>2.7199999999999998</v>
      </c>
      <c r="P203" s="616">
        <v>4540</v>
      </c>
      <c r="Q203" s="617">
        <v>156.17599999999999</v>
      </c>
      <c r="R203" s="612"/>
      <c r="S203" s="599"/>
      <c r="T203" s="612"/>
      <c r="U203" s="612"/>
      <c r="V203" s="612"/>
      <c r="W203" s="612"/>
      <c r="X203" s="612"/>
      <c r="Y203" s="612"/>
      <c r="Z203" s="612"/>
      <c r="AA20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3" s="612"/>
      <c r="AC203" s="599"/>
      <c r="AD203" s="612"/>
      <c r="AE203" s="612"/>
      <c r="AF203" s="612"/>
      <c r="AG203" s="612"/>
      <c r="AH203" s="619">
        <f>SUM(Table1[[#This Row],[التقييد  باللوائح و تنفيذالتوجيه]:[اتباع اجراءات السلامه]])</f>
        <v>0</v>
      </c>
      <c r="AI203" s="619">
        <f>Table1[[#This Row],[المجموع]]+Table1[[#This Row],[المجموع2]]</f>
        <v>0</v>
      </c>
      <c r="AJ203" s="612">
        <v>10</v>
      </c>
      <c r="AK203" s="612"/>
      <c r="AL203" s="612"/>
      <c r="AM203" s="612"/>
      <c r="AN203" s="612"/>
      <c r="AO203" s="606">
        <f>Table1[[#This Row],[المجموع 1+2]]*$AO$2</f>
        <v>0</v>
      </c>
      <c r="AP203" s="648">
        <f>Table1[[#This Row],[راتب ديسمبر 2019]]*Table1[[#This Row],[نسبه التقييم الرئيسي 2018]]%</f>
        <v>0</v>
      </c>
      <c r="AQ203" s="627">
        <f>Table1[[#This Row],[مبلغ التقييم النسبي 2018]]+Table1[[#This Row],[راتب ديسمبر 2019]]</f>
        <v>4540</v>
      </c>
      <c r="AR203" s="611">
        <f>IF(Table1[[#This Row],[Column3]]&lt;0,0,Table1[[#This Row],[Column3]])</f>
        <v>4460</v>
      </c>
      <c r="AS203" s="599">
        <f>VLOOKUP(Table1[[#This Row],[درجه التوسيط]],Table10[],3,)</f>
        <v>9000</v>
      </c>
      <c r="AT203" s="608">
        <f>Table1[[#This Row],[الراتب 2018+النسبه]]+Table1[[#This Row],[فروقات الحد الادني]]</f>
        <v>9000</v>
      </c>
      <c r="AU203" s="629">
        <f>Table1[[#This Row],[الراتب 2018 + النسبه + الفرق]]-Table1[[#This Row],[راتب ديسمبر 2019]]</f>
        <v>4460</v>
      </c>
      <c r="AV203" s="628">
        <f>Table1[[#This Row],[الزياده]]/Table1[[#This Row],[راتب ديسمبر 2019]]%</f>
        <v>98.23788546255507</v>
      </c>
      <c r="AW203" s="659">
        <f>IF(Table1[[#This Row],[Column4]]&lt;0,0,Table1[[#This Row],[Column4]])</f>
        <v>0</v>
      </c>
      <c r="AX203" s="611">
        <f>Table1[[#This Row],[الجبر حتي]]-Table1[[#This Row],[رن]]</f>
        <v>9.0799999999999272</v>
      </c>
      <c r="AY203" s="611">
        <f>Table1[[#This Row],[الزياده]]+Table1[[#This Row],[التعديل]]+Table1[[#This Row],[جبر الرقم]]</f>
        <v>4469.08</v>
      </c>
      <c r="AZ203" s="611">
        <f>Table1[[#This Row],[الراتب 2018 + النسبه + الفرق]]+Table1[[#This Row],[جبر الرقم]]+Table1[[#This Row],[التعديل]]</f>
        <v>9009.08</v>
      </c>
      <c r="BA203" s="631">
        <f>Table1[[#This Row],[الزياده النهائيه]]/Table1[[#This Row],[راتب ديسمبر 2019]]%</f>
        <v>98.437885462555073</v>
      </c>
      <c r="BB203" s="612">
        <f>VLOOKUP(Table1[[#This Row],[الرقم الوظيفي]],Table6[],8,)</f>
        <v>4540</v>
      </c>
      <c r="BC203" s="7"/>
      <c r="BD203" s="7">
        <v>6810</v>
      </c>
      <c r="BE203" s="7">
        <v>6800.92</v>
      </c>
      <c r="BF203" s="5">
        <f>Table1[[#This Row],[الحد الادني]]-Table1[[#This Row],[الراتب 2018+النسبه]]</f>
        <v>4460</v>
      </c>
      <c r="BG203" s="5">
        <f>Table1[[#This Row],[التعديل حتي]]-Table1[[#This Row],[kkk]]</f>
        <v>-6800.92</v>
      </c>
      <c r="BH203" s="5">
        <v>6800.92</v>
      </c>
      <c r="BI203" s="5"/>
    </row>
    <row r="204" spans="1:61" ht="21" customHeight="1">
      <c r="A204" s="602">
        <v>950</v>
      </c>
      <c r="B204" s="618" t="str">
        <f>VLOOKUP(Table1[[#This Row],[الرقم الوظيفي]],[1]Sheet2!$1:$1048576,2,)</f>
        <v>عزيزه ابكر يوسف شعيب</v>
      </c>
      <c r="C204" s="618" t="str">
        <f>VLOOKUP(Table1[[#This Row],[الرقم الوظيفي]],[1]Sheet2!$1:$1048576,7,)</f>
        <v>المصنع</v>
      </c>
      <c r="D204" s="618" t="str">
        <f>VLOOKUP(Table1[[#This Row],[الرقم الوظيفي]],[1]Sheet2!$1:$1048576,8,)</f>
        <v>الوحده العلاجيه</v>
      </c>
      <c r="E204" s="599">
        <f>VLOOKUP(Table1[[#This Row],[الرقم الوظيفي]],[1]Sheet2!$1:$1048576,9,)</f>
        <v>0</v>
      </c>
      <c r="F204" s="599" t="str">
        <f>VLOOKUP(Table1[[#This Row],[الرقم الوظيفي]],[1]Sheet2!$1:$1048576,12,)</f>
        <v>فنى معمل</v>
      </c>
      <c r="G204" s="599" t="str">
        <f>VLOOKUP(Table1[[#This Row],[الرقم الوظيفي]],[1]Sheet2!$1:$1048576,72,)</f>
        <v>دبلوم تقني</v>
      </c>
      <c r="H204" s="599" t="str">
        <f>VLOOKUP(Table1[[#This Row],[الرقم الوظيفي]],[1]Sheet2!$1:$1048576,71,)</f>
        <v>مختبرات طبيه</v>
      </c>
      <c r="I204" s="599" t="str">
        <f>VLOOKUP(Table1[[#This Row],[المؤهل الرئيسي]],Table4[],3,)</f>
        <v>D</v>
      </c>
      <c r="J204" s="599" t="s">
        <v>923</v>
      </c>
      <c r="K204" s="615">
        <f>VLOOKUP(Table1[[#This Row],[الرقم الوظيفي]],[1]Sheet2!$1:$1048576,13,)</f>
        <v>42815</v>
      </c>
      <c r="L204" s="615">
        <v>43830</v>
      </c>
      <c r="M204" s="599">
        <f>DATEDIF(Table1[[#This Row],[تاريخ التعيين]],Table1[[#This Row],[اخر العام]],"y")</f>
        <v>2</v>
      </c>
      <c r="N204" s="599">
        <f>DATEDIF(Table1[[#This Row],[تاريخ التعيين]],Table1[[#This Row],[اخر العام]],"ym")</f>
        <v>9</v>
      </c>
      <c r="O204" s="610">
        <f>Table1[[#This Row],[سنوات الخدمه]]*1+Table1[[#This Row],[الشهور اقل من سنه]]*0.08</f>
        <v>2.7199999999999998</v>
      </c>
      <c r="P204" s="616">
        <v>4540</v>
      </c>
      <c r="Q204" s="617">
        <v>156.17599999999999</v>
      </c>
      <c r="R204" s="612"/>
      <c r="S204" s="599"/>
      <c r="T204" s="612"/>
      <c r="U204" s="612"/>
      <c r="V204" s="612"/>
      <c r="W204" s="612"/>
      <c r="X204" s="612"/>
      <c r="Y204" s="612"/>
      <c r="Z204" s="612"/>
      <c r="AA20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4" s="612"/>
      <c r="AC204" s="599"/>
      <c r="AD204" s="612"/>
      <c r="AE204" s="612"/>
      <c r="AF204" s="612"/>
      <c r="AG204" s="612"/>
      <c r="AH204" s="619">
        <f>SUM(Table1[[#This Row],[التقييد  باللوائح و تنفيذالتوجيه]:[اتباع اجراءات السلامه]])</f>
        <v>0</v>
      </c>
      <c r="AI204" s="619">
        <f>Table1[[#This Row],[المجموع]]+Table1[[#This Row],[المجموع2]]</f>
        <v>0</v>
      </c>
      <c r="AJ204" s="612">
        <v>10</v>
      </c>
      <c r="AK204" s="612"/>
      <c r="AL204" s="612"/>
      <c r="AM204" s="612"/>
      <c r="AN204" s="612"/>
      <c r="AO204" s="606">
        <f>Table1[[#This Row],[المجموع 1+2]]*$AO$2</f>
        <v>0</v>
      </c>
      <c r="AP204" s="648">
        <f>Table1[[#This Row],[راتب ديسمبر 2019]]*Table1[[#This Row],[نسبه التقييم الرئيسي 2018]]%</f>
        <v>0</v>
      </c>
      <c r="AQ204" s="627">
        <f>Table1[[#This Row],[مبلغ التقييم النسبي 2018]]+Table1[[#This Row],[راتب ديسمبر 2019]]</f>
        <v>4540</v>
      </c>
      <c r="AR204" s="611">
        <f>IF(Table1[[#This Row],[Column3]]&lt;0,0,Table1[[#This Row],[Column3]])</f>
        <v>5460</v>
      </c>
      <c r="AS204" s="599">
        <f>VLOOKUP(Table1[[#This Row],[درجه التوسيط]],Table10[],3,)</f>
        <v>10000</v>
      </c>
      <c r="AT204" s="608">
        <f>Table1[[#This Row],[الراتب 2018+النسبه]]+Table1[[#This Row],[فروقات الحد الادني]]</f>
        <v>10000</v>
      </c>
      <c r="AU204" s="629">
        <f>Table1[[#This Row],[الراتب 2018 + النسبه + الفرق]]-Table1[[#This Row],[راتب ديسمبر 2019]]</f>
        <v>5460</v>
      </c>
      <c r="AV204" s="628">
        <f>Table1[[#This Row],[الزياده]]/Table1[[#This Row],[راتب ديسمبر 2019]]%</f>
        <v>120.26431718061674</v>
      </c>
      <c r="AW204" s="659">
        <f>IF(Table1[[#This Row],[Column4]]&lt;0,0,Table1[[#This Row],[Column4]])</f>
        <v>844.96</v>
      </c>
      <c r="AX204" s="611">
        <f>Table1[[#This Row],[الجبر حتي]]-Table1[[#This Row],[رن]]</f>
        <v>0</v>
      </c>
      <c r="AY204" s="611">
        <f>Table1[[#This Row],[الزياده]]+Table1[[#This Row],[التعديل]]+Table1[[#This Row],[جبر الرقم]]</f>
        <v>6304.96</v>
      </c>
      <c r="AZ204" s="611">
        <f>Table1[[#This Row],[الراتب 2018 + النسبه + الفرق]]+Table1[[#This Row],[جبر الرقم]]+Table1[[#This Row],[التعديل]]</f>
        <v>10844.96</v>
      </c>
      <c r="BA204" s="631">
        <f>Table1[[#This Row],[الزياده النهائيه]]/Table1[[#This Row],[راتب ديسمبر 2019]]%</f>
        <v>138.87577092511015</v>
      </c>
      <c r="BB204" s="612">
        <f>VLOOKUP(Table1[[#This Row],[الرقم الوظيفي]],Table6[],8,)</f>
        <v>4540</v>
      </c>
      <c r="BC204" s="7">
        <v>8000</v>
      </c>
      <c r="BD204" s="7">
        <v>8000</v>
      </c>
      <c r="BE204" s="7">
        <v>8000</v>
      </c>
      <c r="BF204" s="5">
        <f>Table1[[#This Row],[الحد الادني]]-Table1[[#This Row],[الراتب 2018+النسبه]]</f>
        <v>5460</v>
      </c>
      <c r="BG204" s="5">
        <f>Table1[[#This Row],[التعديل حتي]]-Table1[[#This Row],[kkk]]</f>
        <v>844.96</v>
      </c>
      <c r="BH204" s="5">
        <v>7155.04</v>
      </c>
      <c r="BI204" s="5"/>
    </row>
    <row r="205" spans="1:61" ht="21" customHeight="1">
      <c r="A205" s="602">
        <v>951</v>
      </c>
      <c r="B205" s="618" t="str">
        <f>VLOOKUP(Table1[[#This Row],[الرقم الوظيفي]],[1]Sheet2!$1:$1048576,2,)</f>
        <v>عابدين الامين موسى الامين</v>
      </c>
      <c r="C205" s="618" t="str">
        <f>VLOOKUP(Table1[[#This Row],[الرقم الوظيفي]],[1]Sheet2!$1:$1048576,7,)</f>
        <v>المصنع</v>
      </c>
      <c r="D205" s="618" t="str">
        <f>VLOOKUP(Table1[[#This Row],[الرقم الوظيفي]],[1]Sheet2!$1:$1048576,8,)</f>
        <v>الجوده</v>
      </c>
      <c r="E205" s="599">
        <f>VLOOKUP(Table1[[#This Row],[الرقم الوظيفي]],[1]Sheet2!$1:$1048576,9,)</f>
        <v>0</v>
      </c>
      <c r="F205" s="599" t="str">
        <f>VLOOKUP(Table1[[#This Row],[الرقم الوظيفي]],[1]Sheet2!$1:$1048576,12,)</f>
        <v>تقنى انتاج جوده</v>
      </c>
      <c r="G205" s="599" t="str">
        <f>VLOOKUP(Table1[[#This Row],[الرقم الوظيفي]],[1]Sheet2!$1:$1048576,72,)</f>
        <v>دبلوم تقني</v>
      </c>
      <c r="H205" s="599" t="str">
        <f>VLOOKUP(Table1[[#This Row],[الرقم الوظيفي]],[1]Sheet2!$1:$1048576,71,)</f>
        <v>Production Engineering</v>
      </c>
      <c r="I205" s="599" t="str">
        <f>VLOOKUP(Table1[[#This Row],[المؤهل الرئيسي]],Table4[],3,)</f>
        <v>D</v>
      </c>
      <c r="J205" s="599" t="s">
        <v>923</v>
      </c>
      <c r="K205" s="615">
        <f>VLOOKUP(Table1[[#This Row],[الرقم الوظيفي]],[1]Sheet2!$1:$1048576,13,)</f>
        <v>42815</v>
      </c>
      <c r="L205" s="615">
        <v>43830</v>
      </c>
      <c r="M205" s="599">
        <f>DATEDIF(Table1[[#This Row],[تاريخ التعيين]],Table1[[#This Row],[اخر العام]],"y")</f>
        <v>2</v>
      </c>
      <c r="N205" s="599">
        <f>DATEDIF(Table1[[#This Row],[تاريخ التعيين]],Table1[[#This Row],[اخر العام]],"ym")</f>
        <v>9</v>
      </c>
      <c r="O205" s="610">
        <f>Table1[[#This Row],[سنوات الخدمه]]*1+Table1[[#This Row],[الشهور اقل من سنه]]*0.08</f>
        <v>2.7199999999999998</v>
      </c>
      <c r="P205" s="616">
        <v>4530</v>
      </c>
      <c r="Q205" s="617">
        <v>155.83199999999999</v>
      </c>
      <c r="R205" s="612"/>
      <c r="S205" s="599"/>
      <c r="T205" s="612"/>
      <c r="U205" s="612"/>
      <c r="V205" s="612"/>
      <c r="W205" s="612"/>
      <c r="X205" s="612"/>
      <c r="Y205" s="612"/>
      <c r="Z205" s="612"/>
      <c r="AA20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5" s="612"/>
      <c r="AC205" s="599"/>
      <c r="AD205" s="612"/>
      <c r="AE205" s="612"/>
      <c r="AF205" s="612"/>
      <c r="AG205" s="612"/>
      <c r="AH205" s="619">
        <f>SUM(Table1[[#This Row],[التقييد  باللوائح و تنفيذالتوجيه]:[اتباع اجراءات السلامه]])</f>
        <v>0</v>
      </c>
      <c r="AI205" s="619">
        <f>Table1[[#This Row],[المجموع]]+Table1[[#This Row],[المجموع2]]</f>
        <v>0</v>
      </c>
      <c r="AJ205" s="612">
        <v>9</v>
      </c>
      <c r="AK205" s="612"/>
      <c r="AL205" s="612"/>
      <c r="AM205" s="612"/>
      <c r="AN205" s="612"/>
      <c r="AO205" s="606">
        <f>Table1[[#This Row],[المجموع 1+2]]*$AO$2</f>
        <v>0</v>
      </c>
      <c r="AP205" s="648">
        <f>Table1[[#This Row],[راتب ديسمبر 2019]]*Table1[[#This Row],[نسبه التقييم الرئيسي 2018]]%</f>
        <v>0</v>
      </c>
      <c r="AQ205" s="627">
        <f>Table1[[#This Row],[مبلغ التقييم النسبي 2018]]+Table1[[#This Row],[راتب ديسمبر 2019]]</f>
        <v>4530</v>
      </c>
      <c r="AR205" s="611">
        <f>IF(Table1[[#This Row],[Column3]]&lt;0,0,Table1[[#This Row],[Column3]])</f>
        <v>5470</v>
      </c>
      <c r="AS205" s="599">
        <f>VLOOKUP(Table1[[#This Row],[درجه التوسيط]],Table10[],3,)</f>
        <v>10000</v>
      </c>
      <c r="AT205" s="608">
        <f>Table1[[#This Row],[الراتب 2018+النسبه]]+Table1[[#This Row],[فروقات الحد الادني]]</f>
        <v>10000</v>
      </c>
      <c r="AU205" s="629">
        <f>Table1[[#This Row],[الراتب 2018 + النسبه + الفرق]]-Table1[[#This Row],[راتب ديسمبر 2019]]</f>
        <v>5470</v>
      </c>
      <c r="AV205" s="628">
        <f>Table1[[#This Row],[الزياده]]/Table1[[#This Row],[راتب ديسمبر 2019]]%</f>
        <v>120.7505518763797</v>
      </c>
      <c r="AW205" s="659">
        <f>IF(Table1[[#This Row],[Column4]]&lt;0,0,Table1[[#This Row],[Column4]])</f>
        <v>0</v>
      </c>
      <c r="AX205" s="611">
        <f>Table1[[#This Row],[الجبر حتي]]-Table1[[#This Row],[رن]]</f>
        <v>8.1599999999998545</v>
      </c>
      <c r="AY205" s="611">
        <f>Table1[[#This Row],[الزياده]]+Table1[[#This Row],[التعديل]]+Table1[[#This Row],[جبر الرقم]]</f>
        <v>5478.16</v>
      </c>
      <c r="AZ205" s="611">
        <f>Table1[[#This Row],[الراتب 2018 + النسبه + الفرق]]+Table1[[#This Row],[جبر الرقم]]+Table1[[#This Row],[التعديل]]</f>
        <v>10008.16</v>
      </c>
      <c r="BA205" s="631">
        <f>Table1[[#This Row],[الزياده النهائيه]]/Table1[[#This Row],[راتب ديسمبر 2019]]%</f>
        <v>120.93068432671082</v>
      </c>
      <c r="BB205" s="612">
        <f>VLOOKUP(Table1[[#This Row],[الرقم الوظيفي]],Table6[],8,)</f>
        <v>4530</v>
      </c>
      <c r="BC205" s="7"/>
      <c r="BD205" s="7">
        <v>6930</v>
      </c>
      <c r="BE205" s="7">
        <v>6921.84</v>
      </c>
      <c r="BF205" s="5">
        <f>Table1[[#This Row],[الحد الادني]]-Table1[[#This Row],[الراتب 2018+النسبه]]</f>
        <v>5470</v>
      </c>
      <c r="BG205" s="5">
        <f>Table1[[#This Row],[التعديل حتي]]-Table1[[#This Row],[kkk]]</f>
        <v>-6921.84</v>
      </c>
      <c r="BH205" s="5">
        <v>6921.84</v>
      </c>
      <c r="BI205" s="5"/>
    </row>
    <row r="206" spans="1:61" ht="21" customHeight="1">
      <c r="A206" s="602">
        <v>952</v>
      </c>
      <c r="B206" s="618" t="str">
        <f>VLOOKUP(Table1[[#This Row],[الرقم الوظيفي]],[1]Sheet2!$1:$1048576,2,)</f>
        <v>ادم محمد احمد ادم</v>
      </c>
      <c r="C206" s="618" t="str">
        <f>VLOOKUP(Table1[[#This Row],[الرقم الوظيفي]],[1]Sheet2!$1:$1048576,7,)</f>
        <v>المصنع</v>
      </c>
      <c r="D206" s="618" t="str">
        <f>VLOOKUP(Table1[[#This Row],[الرقم الوظيفي]],[1]Sheet2!$1:$1048576,8,)</f>
        <v>الانتاج</v>
      </c>
      <c r="E206" s="599">
        <f>VLOOKUP(Table1[[#This Row],[الرقم الوظيفي]],[1]Sheet2!$1:$1048576,9,)</f>
        <v>0</v>
      </c>
      <c r="F206" s="599" t="str">
        <f>VLOOKUP(Table1[[#This Row],[الرقم الوظيفي]],[1]Sheet2!$1:$1048576,12,)</f>
        <v>عامل</v>
      </c>
      <c r="G206" s="599">
        <f>VLOOKUP(Table1[[#This Row],[الرقم الوظيفي]],[1]Sheet2!$1:$1048576,72,)</f>
        <v>0</v>
      </c>
      <c r="H206" s="599">
        <f>VLOOKUP(Table1[[#This Row],[الرقم الوظيفي]],[1]Sheet2!$1:$1048576,71,)</f>
        <v>0</v>
      </c>
      <c r="I206" s="599" t="str">
        <f>VLOOKUP(Table1[[#This Row],[المؤهل الرئيسي]],Table4[],3,)</f>
        <v>H</v>
      </c>
      <c r="J206" s="599" t="s">
        <v>929</v>
      </c>
      <c r="K206" s="615">
        <f>VLOOKUP(Table1[[#This Row],[الرقم الوظيفي]],[1]Sheet2!$1:$1048576,13,)</f>
        <v>42826</v>
      </c>
      <c r="L206" s="615">
        <v>43830</v>
      </c>
      <c r="M206" s="599">
        <f>DATEDIF(Table1[[#This Row],[تاريخ التعيين]],Table1[[#This Row],[اخر العام]],"y")</f>
        <v>2</v>
      </c>
      <c r="N206" s="599">
        <f>DATEDIF(Table1[[#This Row],[تاريخ التعيين]],Table1[[#This Row],[اخر العام]],"ym")</f>
        <v>8</v>
      </c>
      <c r="O206" s="610">
        <f>Table1[[#This Row],[سنوات الخدمه]]*1+Table1[[#This Row],[الشهور اقل من سنه]]*0.08</f>
        <v>2.64</v>
      </c>
      <c r="P206" s="616">
        <v>3020</v>
      </c>
      <c r="Q206" s="617">
        <v>99.055999999999997</v>
      </c>
      <c r="R206" s="612"/>
      <c r="S206" s="599"/>
      <c r="T206" s="612"/>
      <c r="U206" s="612"/>
      <c r="V206" s="612"/>
      <c r="W206" s="612"/>
      <c r="X206" s="612"/>
      <c r="Y206" s="612"/>
      <c r="Z206" s="612"/>
      <c r="AA20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6" s="612"/>
      <c r="AC206" s="599"/>
      <c r="AD206" s="612"/>
      <c r="AE206" s="612"/>
      <c r="AF206" s="612"/>
      <c r="AG206" s="612"/>
      <c r="AH206" s="619">
        <f>SUM(Table1[[#This Row],[التقييد  باللوائح و تنفيذالتوجيه]:[اتباع اجراءات السلامه]])</f>
        <v>0</v>
      </c>
      <c r="AI206" s="619">
        <f>Table1[[#This Row],[المجموع]]+Table1[[#This Row],[المجموع2]]</f>
        <v>0</v>
      </c>
      <c r="AJ206" s="612"/>
      <c r="AK206" s="612"/>
      <c r="AL206" s="612"/>
      <c r="AM206" s="612"/>
      <c r="AN206" s="612"/>
      <c r="AO206" s="606">
        <f>Table1[[#This Row],[المجموع 1+2]]*$AO$2</f>
        <v>0</v>
      </c>
      <c r="AP206" s="648">
        <f>Table1[[#This Row],[راتب ديسمبر 2019]]*Table1[[#This Row],[نسبه التقييم الرئيسي 2018]]%</f>
        <v>0</v>
      </c>
      <c r="AQ206" s="627">
        <f>Table1[[#This Row],[مبلغ التقييم النسبي 2018]]+Table1[[#This Row],[راتب ديسمبر 2019]]</f>
        <v>3020</v>
      </c>
      <c r="AR206" s="611">
        <f>IF(Table1[[#This Row],[Column3]]&lt;0,0,Table1[[#This Row],[Column3]])</f>
        <v>2980</v>
      </c>
      <c r="AS206" s="599">
        <f>VLOOKUP(Table1[[#This Row],[درجه التوسيط]],Table10[],3,)</f>
        <v>6000</v>
      </c>
      <c r="AT206" s="608">
        <f>Table1[[#This Row],[الراتب 2018+النسبه]]+Table1[[#This Row],[فروقات الحد الادني]]</f>
        <v>6000</v>
      </c>
      <c r="AU206" s="629">
        <f>Table1[[#This Row],[الراتب 2018 + النسبه + الفرق]]-Table1[[#This Row],[راتب ديسمبر 2019]]</f>
        <v>2980</v>
      </c>
      <c r="AV206" s="628">
        <f>Table1[[#This Row],[الزياده]]/Table1[[#This Row],[راتب ديسمبر 2019]]%</f>
        <v>98.675496688741731</v>
      </c>
      <c r="AW206" s="659">
        <f>IF(Table1[[#This Row],[Column4]]&lt;0,0,Table1[[#This Row],[Column4]])</f>
        <v>0</v>
      </c>
      <c r="AX206" s="611">
        <f>Table1[[#This Row],[الجبر حتي]]-Table1[[#This Row],[رن]]</f>
        <v>7.9200000000000728</v>
      </c>
      <c r="AY206" s="611">
        <f>Table1[[#This Row],[الزياده]]+Table1[[#This Row],[التعديل]]+Table1[[#This Row],[جبر الرقم]]</f>
        <v>2987.92</v>
      </c>
      <c r="AZ206" s="611">
        <f>Table1[[#This Row],[الراتب 2018 + النسبه + الفرق]]+Table1[[#This Row],[جبر الرقم]]+Table1[[#This Row],[التعديل]]</f>
        <v>6007.92</v>
      </c>
      <c r="BA206" s="631">
        <f>Table1[[#This Row],[الزياده النهائيه]]/Table1[[#This Row],[راتب ديسمبر 2019]]%</f>
        <v>98.93774834437086</v>
      </c>
      <c r="BB206" s="612">
        <f>VLOOKUP(Table1[[#This Row],[الرقم الوظيفي]],Table6[],8,)</f>
        <v>3020</v>
      </c>
      <c r="BC206" s="7"/>
      <c r="BD206" s="7">
        <v>4550</v>
      </c>
      <c r="BE206" s="7">
        <v>4542.08</v>
      </c>
      <c r="BF206" s="5">
        <f>Table1[[#This Row],[الحد الادني]]-Table1[[#This Row],[الراتب 2018+النسبه]]</f>
        <v>2980</v>
      </c>
      <c r="BG206" s="5">
        <f>Table1[[#This Row],[التعديل حتي]]-Table1[[#This Row],[kkk]]</f>
        <v>-4542.08</v>
      </c>
      <c r="BH206" s="5">
        <v>4542.08</v>
      </c>
      <c r="BI206" s="5"/>
    </row>
    <row r="207" spans="1:61" s="32" customFormat="1" ht="21" customHeight="1">
      <c r="A207" s="602">
        <v>956</v>
      </c>
      <c r="B207" s="618" t="str">
        <f>VLOOKUP(Table1[[#This Row],[الرقم الوظيفي]],[1]Sheet2!$1:$1048576,2,)</f>
        <v xml:space="preserve">سوسن الشيخ سيد احمد </v>
      </c>
      <c r="C207" s="618" t="str">
        <f>VLOOKUP(Table1[[#This Row],[الرقم الوظيفي]],[1]Sheet2!$1:$1048576,7,)</f>
        <v>المصنع</v>
      </c>
      <c r="D207" s="618" t="str">
        <f>VLOOKUP(Table1[[#This Row],[الرقم الوظيفي]],[1]Sheet2!$1:$1048576,8,)</f>
        <v>الخدمات</v>
      </c>
      <c r="E207" s="614">
        <f>VLOOKUP(Table1[[#This Row],[الرقم الوظيفي]],[1]Sheet2!$1:$1048576,9,)</f>
        <v>0</v>
      </c>
      <c r="F207" s="614" t="str">
        <f>VLOOKUP(Table1[[#This Row],[الرقم الوظيفي]],[1]Sheet2!$1:$1048576,12,)</f>
        <v>عامل</v>
      </c>
      <c r="G207" s="614">
        <f>VLOOKUP(Table1[[#This Row],[الرقم الوظيفي]],[1]Sheet2!$1:$1048576,72,)</f>
        <v>0</v>
      </c>
      <c r="H207" s="614">
        <f>VLOOKUP(Table1[[#This Row],[الرقم الوظيفي]],[1]Sheet2!$1:$1048576,71,)</f>
        <v>0</v>
      </c>
      <c r="I207" s="614" t="str">
        <f>VLOOKUP(Table1[[#This Row],[المؤهل الرئيسي]],Table4[],3,)</f>
        <v>H</v>
      </c>
      <c r="J207" s="614" t="s">
        <v>929</v>
      </c>
      <c r="K207" s="615">
        <f>VLOOKUP(Table1[[#This Row],[الرقم الوظيفي]],[1]Sheet2!$1:$1048576,13,)</f>
        <v>42826</v>
      </c>
      <c r="L207" s="615">
        <v>43830</v>
      </c>
      <c r="M207" s="599">
        <f>DATEDIF(Table1[[#This Row],[تاريخ التعيين]],Table1[[#This Row],[اخر العام]],"y")</f>
        <v>2</v>
      </c>
      <c r="N207" s="599">
        <f>DATEDIF(Table1[[#This Row],[تاريخ التعيين]],Table1[[#This Row],[اخر العام]],"ym")</f>
        <v>8</v>
      </c>
      <c r="O207" s="610">
        <f>Table1[[#This Row],[سنوات الخدمه]]*1+Table1[[#This Row],[الشهور اقل من سنه]]*0.08</f>
        <v>2.64</v>
      </c>
      <c r="P207" s="616">
        <v>3020</v>
      </c>
      <c r="Q207" s="617">
        <v>99.055999999999997</v>
      </c>
      <c r="R207" s="613"/>
      <c r="S207" s="614"/>
      <c r="T207" s="613"/>
      <c r="U207" s="613"/>
      <c r="V207" s="613"/>
      <c r="W207" s="613"/>
      <c r="X207" s="613"/>
      <c r="Y207" s="613"/>
      <c r="Z207" s="613"/>
      <c r="AA20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7" s="613"/>
      <c r="AC207" s="614"/>
      <c r="AD207" s="613"/>
      <c r="AE207" s="613"/>
      <c r="AF207" s="613"/>
      <c r="AG207" s="613"/>
      <c r="AH207" s="619">
        <f>SUM(Table1[[#This Row],[التقييد  باللوائح و تنفيذالتوجيه]:[اتباع اجراءات السلامه]])</f>
        <v>0</v>
      </c>
      <c r="AI207" s="613">
        <f>Table1[[#This Row],[المجموع]]+Table1[[#This Row],[المجموع2]]</f>
        <v>0</v>
      </c>
      <c r="AJ207" s="613"/>
      <c r="AK207" s="613"/>
      <c r="AL207" s="613"/>
      <c r="AM207" s="613"/>
      <c r="AN207" s="613"/>
      <c r="AO207" s="606">
        <f>Table1[[#This Row],[المجموع 1+2]]*$AO$2</f>
        <v>0</v>
      </c>
      <c r="AP207" s="648">
        <f>Table1[[#This Row],[راتب ديسمبر 2019]]*Table1[[#This Row],[نسبه التقييم الرئيسي 2018]]%</f>
        <v>0</v>
      </c>
      <c r="AQ207" s="627">
        <f>Table1[[#This Row],[مبلغ التقييم النسبي 2018]]+Table1[[#This Row],[راتب ديسمبر 2019]]</f>
        <v>3020</v>
      </c>
      <c r="AR207" s="611">
        <f>IF(Table1[[#This Row],[Column3]]&lt;0,0,Table1[[#This Row],[Column3]])</f>
        <v>2980</v>
      </c>
      <c r="AS207" s="599">
        <f>VLOOKUP(Table1[[#This Row],[درجه التوسيط]],Table10[],3,)</f>
        <v>6000</v>
      </c>
      <c r="AT207" s="608">
        <f>Table1[[#This Row],[الراتب 2018+النسبه]]+Table1[[#This Row],[فروقات الحد الادني]]</f>
        <v>6000</v>
      </c>
      <c r="AU207" s="629">
        <f>Table1[[#This Row],[الراتب 2018 + النسبه + الفرق]]-Table1[[#This Row],[راتب ديسمبر 2019]]</f>
        <v>2980</v>
      </c>
      <c r="AV207" s="628">
        <f>Table1[[#This Row],[الزياده]]/Table1[[#This Row],[راتب ديسمبر 2019]]%</f>
        <v>98.675496688741731</v>
      </c>
      <c r="AW207" s="659">
        <f>IF(Table1[[#This Row],[Column4]]&lt;0,0,Table1[[#This Row],[Column4]])</f>
        <v>0</v>
      </c>
      <c r="AX207" s="611">
        <f>Table1[[#This Row],[الجبر حتي]]-Table1[[#This Row],[رن]]</f>
        <v>5.4399999999995998</v>
      </c>
      <c r="AY207" s="611">
        <f>Table1[[#This Row],[الزياده]]+Table1[[#This Row],[التعديل]]+Table1[[#This Row],[جبر الرقم]]</f>
        <v>2985.4399999999996</v>
      </c>
      <c r="AZ207" s="611">
        <f>Table1[[#This Row],[الراتب 2018 + النسبه + الفرق]]+Table1[[#This Row],[جبر الرقم]]+Table1[[#This Row],[التعديل]]</f>
        <v>6005.44</v>
      </c>
      <c r="BA207" s="631">
        <f>Table1[[#This Row],[الزياده النهائيه]]/Table1[[#This Row],[راتب ديسمبر 2019]]%</f>
        <v>98.855629139072832</v>
      </c>
      <c r="BB207" s="613">
        <f>VLOOKUP(Table1[[#This Row],[الرقم الوظيفي]],Table6[],8,)</f>
        <v>3020</v>
      </c>
      <c r="BC207" s="657"/>
      <c r="BD207" s="657">
        <v>4620</v>
      </c>
      <c r="BE207" s="657">
        <v>4614.5600000000004</v>
      </c>
      <c r="BF207" s="8">
        <f>Table1[[#This Row],[الحد الادني]]-Table1[[#This Row],[الراتب 2018+النسبه]]</f>
        <v>2980</v>
      </c>
      <c r="BG207" s="8">
        <f>Table1[[#This Row],[التعديل حتي]]-Table1[[#This Row],[kkk]]</f>
        <v>-4614.5600000000004</v>
      </c>
      <c r="BH207" s="8">
        <v>4614.5600000000004</v>
      </c>
      <c r="BI207" s="8"/>
    </row>
    <row r="208" spans="1:61" ht="21" customHeight="1">
      <c r="A208" s="602">
        <v>959</v>
      </c>
      <c r="B208" s="618" t="str">
        <f>VLOOKUP(Table1[[#This Row],[الرقم الوظيفي]],[1]Sheet2!$1:$1048576,2,)</f>
        <v>محمد جلال الدين فضل الله فرج الله</v>
      </c>
      <c r="C208" s="618" t="str">
        <f>VLOOKUP(Table1[[#This Row],[الرقم الوظيفي]],[1]Sheet2!$1:$1048576,7,)</f>
        <v>المصنع</v>
      </c>
      <c r="D208" s="618" t="str">
        <f>VLOOKUP(Table1[[#This Row],[الرقم الوظيفي]],[1]Sheet2!$1:$1048576,8,)</f>
        <v>الانتاج</v>
      </c>
      <c r="E208" s="599">
        <f>VLOOKUP(Table1[[#This Row],[الرقم الوظيفي]],[1]Sheet2!$1:$1048576,9,)</f>
        <v>0</v>
      </c>
      <c r="F208" s="599" t="str">
        <f>VLOOKUP(Table1[[#This Row],[الرقم الوظيفي]],[1]Sheet2!$1:$1048576,12,)</f>
        <v>عامل</v>
      </c>
      <c r="G208" s="599" t="str">
        <f>VLOOKUP(Table1[[#This Row],[الرقم الوظيفي]],[1]Sheet2!$1:$1048576,72,)</f>
        <v>دبلوم تقني</v>
      </c>
      <c r="H208" s="599" t="str">
        <f>VLOOKUP(Table1[[#This Row],[الرقم الوظيفي]],[1]Sheet2!$1:$1048576,71,)</f>
        <v>التامين</v>
      </c>
      <c r="I208" s="599" t="str">
        <f>VLOOKUP(Table1[[#This Row],[المؤهل الرئيسي]],Table4[],3,)</f>
        <v>D</v>
      </c>
      <c r="J208" s="599" t="s">
        <v>925</v>
      </c>
      <c r="K208" s="615">
        <f>VLOOKUP(Table1[[#This Row],[الرقم الوظيفي]],[1]Sheet2!$1:$1048576,13,)</f>
        <v>42842</v>
      </c>
      <c r="L208" s="615">
        <v>43830</v>
      </c>
      <c r="M208" s="599">
        <f>DATEDIF(Table1[[#This Row],[تاريخ التعيين]],Table1[[#This Row],[اخر العام]],"y")</f>
        <v>2</v>
      </c>
      <c r="N208" s="599">
        <f>DATEDIF(Table1[[#This Row],[تاريخ التعيين]],Table1[[#This Row],[اخر العام]],"ym")</f>
        <v>8</v>
      </c>
      <c r="O208" s="610">
        <f>Table1[[#This Row],[سنوات الخدمه]]*1+Table1[[#This Row],[الشهور اقل من سنه]]*0.08</f>
        <v>2.64</v>
      </c>
      <c r="P208" s="616">
        <v>3020</v>
      </c>
      <c r="Q208" s="617">
        <v>99.055999999999997</v>
      </c>
      <c r="R208" s="612"/>
      <c r="S208" s="599"/>
      <c r="T208" s="612"/>
      <c r="U208" s="612"/>
      <c r="V208" s="612"/>
      <c r="W208" s="612"/>
      <c r="X208" s="612"/>
      <c r="Y208" s="612"/>
      <c r="Z208" s="612"/>
      <c r="AA20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8" s="612"/>
      <c r="AC208" s="599"/>
      <c r="AD208" s="612"/>
      <c r="AE208" s="612"/>
      <c r="AF208" s="612"/>
      <c r="AG208" s="612"/>
      <c r="AH208" s="619">
        <f>SUM(Table1[[#This Row],[التقييد  باللوائح و تنفيذالتوجيه]:[اتباع اجراءات السلامه]])</f>
        <v>0</v>
      </c>
      <c r="AI208" s="619">
        <f>Table1[[#This Row],[المجموع]]+Table1[[#This Row],[المجموع2]]</f>
        <v>0</v>
      </c>
      <c r="AJ208" s="612"/>
      <c r="AK208" s="612"/>
      <c r="AL208" s="612"/>
      <c r="AM208" s="612"/>
      <c r="AN208" s="612"/>
      <c r="AO208" s="606">
        <f>Table1[[#This Row],[المجموع 1+2]]*$AO$2</f>
        <v>0</v>
      </c>
      <c r="AP208" s="648">
        <f>Table1[[#This Row],[راتب ديسمبر 2019]]*Table1[[#This Row],[نسبه التقييم الرئيسي 2018]]%</f>
        <v>0</v>
      </c>
      <c r="AQ208" s="627">
        <f>Table1[[#This Row],[مبلغ التقييم النسبي 2018]]+Table1[[#This Row],[راتب ديسمبر 2019]]</f>
        <v>3020</v>
      </c>
      <c r="AR208" s="611">
        <f>IF(Table1[[#This Row],[Column3]]&lt;0,0,Table1[[#This Row],[Column3]])</f>
        <v>5980</v>
      </c>
      <c r="AS208" s="599">
        <f>VLOOKUP(Table1[[#This Row],[درجه التوسيط]],Table10[],3,)</f>
        <v>9000</v>
      </c>
      <c r="AT208" s="608">
        <f>Table1[[#This Row],[الراتب 2018+النسبه]]+Table1[[#This Row],[فروقات الحد الادني]]</f>
        <v>9000</v>
      </c>
      <c r="AU208" s="629">
        <f>Table1[[#This Row],[الراتب 2018 + النسبه + الفرق]]-Table1[[#This Row],[راتب ديسمبر 2019]]</f>
        <v>5980</v>
      </c>
      <c r="AV208" s="628">
        <f>Table1[[#This Row],[الزياده]]/Table1[[#This Row],[راتب ديسمبر 2019]]%</f>
        <v>198.01324503311258</v>
      </c>
      <c r="AW208" s="659">
        <f>IF(Table1[[#This Row],[Column4]]&lt;0,0,Table1[[#This Row],[Column4]])</f>
        <v>0</v>
      </c>
      <c r="AX208" s="611">
        <f>Table1[[#This Row],[الجبر حتي]]-Table1[[#This Row],[رن]]</f>
        <v>0</v>
      </c>
      <c r="AY208" s="611">
        <f>Table1[[#This Row],[الزياده]]+Table1[[#This Row],[التعديل]]+Table1[[#This Row],[جبر الرقم]]</f>
        <v>5980</v>
      </c>
      <c r="AZ208" s="611">
        <f>Table1[[#This Row],[الراتب 2018 + النسبه + الفرق]]+Table1[[#This Row],[جبر الرقم]]+Table1[[#This Row],[التعديل]]</f>
        <v>9000</v>
      </c>
      <c r="BA208" s="631">
        <f>Table1[[#This Row],[الزياده النهائيه]]/Table1[[#This Row],[راتب ديسمبر 2019]]%</f>
        <v>198.01324503311258</v>
      </c>
      <c r="BB208" s="612">
        <f>VLOOKUP(Table1[[#This Row],[الرقم الوظيفي]],Table6[],8,)</f>
        <v>3020</v>
      </c>
      <c r="BC208" s="7"/>
      <c r="BD208" s="7">
        <v>6000</v>
      </c>
      <c r="BE208" s="7">
        <v>6000</v>
      </c>
      <c r="BF208" s="5">
        <f>Table1[[#This Row],[الحد الادني]]-Table1[[#This Row],[الراتب 2018+النسبه]]</f>
        <v>5980</v>
      </c>
      <c r="BG208" s="5">
        <f>Table1[[#This Row],[التعديل حتي]]-Table1[[#This Row],[kkk]]</f>
        <v>-6000</v>
      </c>
      <c r="BH208" s="5">
        <v>6000</v>
      </c>
      <c r="BI208" s="5"/>
    </row>
    <row r="209" spans="1:61" ht="21" customHeight="1">
      <c r="A209" s="602">
        <v>961</v>
      </c>
      <c r="B209" s="618" t="str">
        <f>VLOOKUP(Table1[[#This Row],[الرقم الوظيفي]],[1]Sheet2!$1:$1048576,2,)</f>
        <v>مصطفى حسين عثمان سربل</v>
      </c>
      <c r="C209" s="618" t="str">
        <f>VLOOKUP(Table1[[#This Row],[الرقم الوظيفي]],[1]Sheet2!$1:$1048576,7,)</f>
        <v>المصنع</v>
      </c>
      <c r="D209" s="618" t="str">
        <f>VLOOKUP(Table1[[#This Row],[الرقم الوظيفي]],[1]Sheet2!$1:$1048576,8,)</f>
        <v>الجوده</v>
      </c>
      <c r="E209" s="599">
        <f>VLOOKUP(Table1[[#This Row],[الرقم الوظيفي]],[1]Sheet2!$1:$1048576,9,)</f>
        <v>0</v>
      </c>
      <c r="F209" s="599" t="str">
        <f>VLOOKUP(Table1[[#This Row],[الرقم الوظيفي]],[1]Sheet2!$1:$1048576,12,)</f>
        <v>مراقب انتاج</v>
      </c>
      <c r="G209" s="599" t="str">
        <f>VLOOKUP(Table1[[#This Row],[الرقم الوظيفي]],[1]Sheet2!$1:$1048576,72,)</f>
        <v>دبلوم تقني</v>
      </c>
      <c r="H209" s="599" t="str">
        <f>VLOOKUP(Table1[[#This Row],[الرقم الوظيفي]],[1]Sheet2!$1:$1048576,71,)</f>
        <v xml:space="preserve">هندسة ميكانيكة </v>
      </c>
      <c r="I209" s="599" t="str">
        <f>VLOOKUP(Table1[[#This Row],[المؤهل الرئيسي]],Table4[],3,)</f>
        <v>D</v>
      </c>
      <c r="J209" s="599" t="s">
        <v>42</v>
      </c>
      <c r="K209" s="615">
        <f>VLOOKUP(Table1[[#This Row],[الرقم الوظيفي]],[1]Sheet2!$1:$1048576,13,)</f>
        <v>42856</v>
      </c>
      <c r="L209" s="615">
        <v>43830</v>
      </c>
      <c r="M209" s="599">
        <f>DATEDIF(Table1[[#This Row],[تاريخ التعيين]],Table1[[#This Row],[اخر العام]],"y")</f>
        <v>2</v>
      </c>
      <c r="N209" s="599">
        <f>DATEDIF(Table1[[#This Row],[تاريخ التعيين]],Table1[[#This Row],[اخر العام]],"ym")</f>
        <v>7</v>
      </c>
      <c r="O209" s="610">
        <f>Table1[[#This Row],[سنوات الخدمه]]*1+Table1[[#This Row],[الشهور اقل من سنه]]*0.08</f>
        <v>2.56</v>
      </c>
      <c r="P209" s="616">
        <v>3030</v>
      </c>
      <c r="Q209" s="617">
        <v>94.536000000000001</v>
      </c>
      <c r="R209" s="612"/>
      <c r="S209" s="599"/>
      <c r="T209" s="612"/>
      <c r="U209" s="612"/>
      <c r="V209" s="612"/>
      <c r="W209" s="612"/>
      <c r="X209" s="612"/>
      <c r="Y209" s="612"/>
      <c r="Z209" s="612"/>
      <c r="AA20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09" s="612"/>
      <c r="AC209" s="599"/>
      <c r="AD209" s="612"/>
      <c r="AE209" s="612"/>
      <c r="AF209" s="612"/>
      <c r="AG209" s="612"/>
      <c r="AH209" s="619">
        <f>SUM(Table1[[#This Row],[التقييد  باللوائح و تنفيذالتوجيه]:[اتباع اجراءات السلامه]])</f>
        <v>0</v>
      </c>
      <c r="AI209" s="619">
        <f>Table1[[#This Row],[المجموع]]+Table1[[#This Row],[المجموع2]]</f>
        <v>0</v>
      </c>
      <c r="AJ209" s="612">
        <v>8</v>
      </c>
      <c r="AK209" s="612"/>
      <c r="AL209" s="612"/>
      <c r="AM209" s="612"/>
      <c r="AN209" s="612"/>
      <c r="AO209" s="606">
        <f>Table1[[#This Row],[المجموع 1+2]]*$AO$2</f>
        <v>0</v>
      </c>
      <c r="AP209" s="648">
        <f>Table1[[#This Row],[راتب ديسمبر 2019]]*Table1[[#This Row],[نسبه التقييم الرئيسي 2018]]%</f>
        <v>0</v>
      </c>
      <c r="AQ209" s="627">
        <f>Table1[[#This Row],[مبلغ التقييم النسبي 2018]]+Table1[[#This Row],[راتب ديسمبر 2019]]</f>
        <v>3030</v>
      </c>
      <c r="AR209" s="611">
        <f>IF(Table1[[#This Row],[Column3]]&lt;0,0,Table1[[#This Row],[Column3]])</f>
        <v>1970</v>
      </c>
      <c r="AS209" s="599">
        <f>VLOOKUP(Table1[[#This Row],[درجه التوسيط]],Table10[],3,)</f>
        <v>5000</v>
      </c>
      <c r="AT209" s="608">
        <f>Table1[[#This Row],[الراتب 2018+النسبه]]+Table1[[#This Row],[فروقات الحد الادني]]</f>
        <v>5000</v>
      </c>
      <c r="AU209" s="629">
        <f>Table1[[#This Row],[الراتب 2018 + النسبه + الفرق]]-Table1[[#This Row],[راتب ديسمبر 2019]]</f>
        <v>1970</v>
      </c>
      <c r="AV209" s="628">
        <f>Table1[[#This Row],[الزياده]]/Table1[[#This Row],[راتب ديسمبر 2019]]%</f>
        <v>65.016501650165011</v>
      </c>
      <c r="AW209" s="659">
        <f>IF(Table1[[#This Row],[Column4]]&lt;0,0,Table1[[#This Row],[Column4]])</f>
        <v>0</v>
      </c>
      <c r="AX209" s="611">
        <f>Table1[[#This Row],[الجبر حتي]]-Table1[[#This Row],[رن]]</f>
        <v>4.6599999999998545</v>
      </c>
      <c r="AY209" s="611">
        <f>Table1[[#This Row],[الزياده]]+Table1[[#This Row],[التعديل]]+Table1[[#This Row],[جبر الرقم]]</f>
        <v>1974.6599999999999</v>
      </c>
      <c r="AZ209" s="611">
        <f>Table1[[#This Row],[الراتب 2018 + النسبه + الفرق]]+Table1[[#This Row],[جبر الرقم]]+Table1[[#This Row],[التعديل]]</f>
        <v>5004.66</v>
      </c>
      <c r="BA209" s="631">
        <f>Table1[[#This Row],[الزياده النهائيه]]/Table1[[#This Row],[راتب ديسمبر 2019]]%</f>
        <v>65.170297029702965</v>
      </c>
      <c r="BB209" s="612">
        <f>VLOOKUP(Table1[[#This Row],[الرقم الوظيفي]],Table6[],8,)</f>
        <v>3030</v>
      </c>
      <c r="BC209" s="7"/>
      <c r="BD209" s="7">
        <v>4180</v>
      </c>
      <c r="BE209" s="7">
        <v>4175.34</v>
      </c>
      <c r="BF209" s="5">
        <f>Table1[[#This Row],[الحد الادني]]-Table1[[#This Row],[الراتب 2018+النسبه]]</f>
        <v>1970</v>
      </c>
      <c r="BG209" s="5">
        <f>Table1[[#This Row],[التعديل حتي]]-Table1[[#This Row],[kkk]]</f>
        <v>-4175.34</v>
      </c>
      <c r="BH209" s="5">
        <v>4175.34</v>
      </c>
      <c r="BI209" s="5"/>
    </row>
    <row r="210" spans="1:61">
      <c r="A210" s="602">
        <v>962</v>
      </c>
      <c r="B210" s="618" t="str">
        <f>VLOOKUP(Table1[[#This Row],[الرقم الوظيفي]],[1]Sheet2!$1:$1048576,2,)</f>
        <v>التجانى سعد التجانى كورى</v>
      </c>
      <c r="C210" s="618" t="str">
        <f>VLOOKUP(Table1[[#This Row],[الرقم الوظيفي]],[1]Sheet2!$1:$1048576,7,)</f>
        <v>المصنع</v>
      </c>
      <c r="D210" s="618" t="str">
        <f>VLOOKUP(Table1[[#This Row],[الرقم الوظيفي]],[1]Sheet2!$1:$1048576,8,)</f>
        <v>الانتاج</v>
      </c>
      <c r="E210" s="599">
        <f>VLOOKUP(Table1[[#This Row],[الرقم الوظيفي]],[1]Sheet2!$1:$1048576,9,)</f>
        <v>0</v>
      </c>
      <c r="F210" s="599" t="str">
        <f>VLOOKUP(Table1[[#This Row],[الرقم الوظيفي]],[1]Sheet2!$1:$1048576,12,)</f>
        <v>عامل</v>
      </c>
      <c r="G210" s="599">
        <f>VLOOKUP(Table1[[#This Row],[الرقم الوظيفي]],[1]Sheet2!$1:$1048576,72,)</f>
        <v>0</v>
      </c>
      <c r="H210" s="599">
        <f>VLOOKUP(Table1[[#This Row],[الرقم الوظيفي]],[1]Sheet2!$1:$1048576,71,)</f>
        <v>0</v>
      </c>
      <c r="I210" s="599" t="str">
        <f>VLOOKUP(Table1[[#This Row],[المؤهل الرئيسي]],Table4[],3,)</f>
        <v>H</v>
      </c>
      <c r="J210" s="599" t="s">
        <v>929</v>
      </c>
      <c r="K210" s="615">
        <f>VLOOKUP(Table1[[#This Row],[الرقم الوظيفي]],[1]Sheet2!$1:$1048576,13,)</f>
        <v>42856</v>
      </c>
      <c r="L210" s="615">
        <v>43830</v>
      </c>
      <c r="M210" s="599">
        <f>DATEDIF(Table1[[#This Row],[تاريخ التعيين]],Table1[[#This Row],[اخر العام]],"y")</f>
        <v>2</v>
      </c>
      <c r="N210" s="599">
        <f>DATEDIF(Table1[[#This Row],[تاريخ التعيين]],Table1[[#This Row],[اخر العام]],"ym")</f>
        <v>7</v>
      </c>
      <c r="O210" s="610">
        <f>Table1[[#This Row],[سنوات الخدمه]]*1+Table1[[#This Row],[الشهور اقل من سنه]]*0.08</f>
        <v>2.56</v>
      </c>
      <c r="P210" s="616">
        <v>3020</v>
      </c>
      <c r="Q210" s="617">
        <v>94.224000000000004</v>
      </c>
      <c r="R210" s="612"/>
      <c r="S210" s="599"/>
      <c r="T210" s="612"/>
      <c r="U210" s="612"/>
      <c r="V210" s="612"/>
      <c r="W210" s="612"/>
      <c r="X210" s="612"/>
      <c r="Y210" s="612"/>
      <c r="Z210" s="612"/>
      <c r="AA21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0" s="612"/>
      <c r="AC210" s="599"/>
      <c r="AD210" s="612"/>
      <c r="AE210" s="612"/>
      <c r="AF210" s="612"/>
      <c r="AG210" s="612"/>
      <c r="AH210" s="619">
        <f>SUM(Table1[[#This Row],[التقييد  باللوائح و تنفيذالتوجيه]:[اتباع اجراءات السلامه]])</f>
        <v>0</v>
      </c>
      <c r="AI210" s="619">
        <f>Table1[[#This Row],[المجموع]]+Table1[[#This Row],[المجموع2]]</f>
        <v>0</v>
      </c>
      <c r="AJ210" s="612"/>
      <c r="AK210" s="612"/>
      <c r="AL210" s="612"/>
      <c r="AM210" s="612"/>
      <c r="AN210" s="612"/>
      <c r="AO210" s="606">
        <f>Table1[[#This Row],[المجموع 1+2]]*$AO$2</f>
        <v>0</v>
      </c>
      <c r="AP210" s="648">
        <f>Table1[[#This Row],[راتب ديسمبر 2019]]*Table1[[#This Row],[نسبه التقييم الرئيسي 2018]]%</f>
        <v>0</v>
      </c>
      <c r="AQ210" s="627">
        <f>Table1[[#This Row],[مبلغ التقييم النسبي 2018]]+Table1[[#This Row],[راتب ديسمبر 2019]]</f>
        <v>3020</v>
      </c>
      <c r="AR210" s="611">
        <f>IF(Table1[[#This Row],[Column3]]&lt;0,0,Table1[[#This Row],[Column3]])</f>
        <v>2980</v>
      </c>
      <c r="AS210" s="599">
        <f>VLOOKUP(Table1[[#This Row],[درجه التوسيط]],Table10[],3,)</f>
        <v>6000</v>
      </c>
      <c r="AT210" s="608">
        <f>Table1[[#This Row],[الراتب 2018+النسبه]]+Table1[[#This Row],[فروقات الحد الادني]]</f>
        <v>6000</v>
      </c>
      <c r="AU210" s="629">
        <f>Table1[[#This Row],[الراتب 2018 + النسبه + الفرق]]-Table1[[#This Row],[راتب ديسمبر 2019]]</f>
        <v>2980</v>
      </c>
      <c r="AV210" s="628">
        <f>Table1[[#This Row],[الزياده]]/Table1[[#This Row],[راتب ديسمبر 2019]]%</f>
        <v>98.675496688741731</v>
      </c>
      <c r="AW210" s="659">
        <f>IF(Table1[[#This Row],[Column4]]&lt;0,0,Table1[[#This Row],[Column4]])</f>
        <v>0</v>
      </c>
      <c r="AX210" s="611">
        <f>Table1[[#This Row],[الجبر حتي]]-Table1[[#This Row],[رن]]</f>
        <v>0</v>
      </c>
      <c r="AY210" s="611">
        <f>Table1[[#This Row],[الزياده]]+Table1[[#This Row],[التعديل]]+Table1[[#This Row],[جبر الرقم]]</f>
        <v>2980</v>
      </c>
      <c r="AZ210" s="611">
        <f>Table1[[#This Row],[الراتب 2018 + النسبه + الفرق]]+Table1[[#This Row],[جبر الرقم]]+Table1[[#This Row],[التعديل]]</f>
        <v>6000</v>
      </c>
      <c r="BA210" s="631">
        <f>Table1[[#This Row],[الزياده النهائيه]]/Table1[[#This Row],[راتب ديسمبر 2019]]%</f>
        <v>98.675496688741731</v>
      </c>
      <c r="BB210" s="612">
        <f>VLOOKUP(Table1[[#This Row],[الرقم الوظيفي]],Table6[],8,)</f>
        <v>3020</v>
      </c>
      <c r="BC210" s="7"/>
      <c r="BD210" s="7">
        <v>4500</v>
      </c>
      <c r="BE210" s="7">
        <v>4500</v>
      </c>
      <c r="BF210" s="5">
        <f>Table1[[#This Row],[الحد الادني]]-Table1[[#This Row],[الراتب 2018+النسبه]]</f>
        <v>2980</v>
      </c>
      <c r="BG210" s="5">
        <f>Table1[[#This Row],[التعديل حتي]]-Table1[[#This Row],[kkk]]</f>
        <v>-4500</v>
      </c>
      <c r="BH210" s="5">
        <v>4500</v>
      </c>
      <c r="BI210" s="5"/>
    </row>
    <row r="211" spans="1:61" ht="21" customHeight="1">
      <c r="A211" s="602">
        <v>963</v>
      </c>
      <c r="B211" s="618" t="str">
        <f>VLOOKUP(Table1[[#This Row],[الرقم الوظيفي]],[1]Sheet2!$1:$1048576,2,)</f>
        <v>بكرى إسماعيل رحال كوكو</v>
      </c>
      <c r="C211" s="618" t="str">
        <f>VLOOKUP(Table1[[#This Row],[الرقم الوظيفي]],[1]Sheet2!$1:$1048576,7,)</f>
        <v>المصنع</v>
      </c>
      <c r="D211" s="618" t="str">
        <f>VLOOKUP(Table1[[#This Row],[الرقم الوظيفي]],[1]Sheet2!$1:$1048576,8,)</f>
        <v>الانتاج</v>
      </c>
      <c r="E211" s="599">
        <f>VLOOKUP(Table1[[#This Row],[الرقم الوظيفي]],[1]Sheet2!$1:$1048576,9,)</f>
        <v>0</v>
      </c>
      <c r="F211" s="599" t="str">
        <f>VLOOKUP(Table1[[#This Row],[الرقم الوظيفي]],[1]Sheet2!$1:$1048576,12,)</f>
        <v>عامل</v>
      </c>
      <c r="G211" s="599">
        <f>VLOOKUP(Table1[[#This Row],[الرقم الوظيفي]],[1]Sheet2!$1:$1048576,72,)</f>
        <v>0</v>
      </c>
      <c r="H211" s="599">
        <f>VLOOKUP(Table1[[#This Row],[الرقم الوظيفي]],[1]Sheet2!$1:$1048576,71,)</f>
        <v>0</v>
      </c>
      <c r="I211" s="599" t="str">
        <f>VLOOKUP(Table1[[#This Row],[المؤهل الرئيسي]],Table4[],3,)</f>
        <v>H</v>
      </c>
      <c r="J211" s="599" t="s">
        <v>929</v>
      </c>
      <c r="K211" s="615">
        <f>VLOOKUP(Table1[[#This Row],[الرقم الوظيفي]],[1]Sheet2!$1:$1048576,13,)</f>
        <v>42856</v>
      </c>
      <c r="L211" s="615">
        <v>43830</v>
      </c>
      <c r="M211" s="599">
        <f>DATEDIF(Table1[[#This Row],[تاريخ التعيين]],Table1[[#This Row],[اخر العام]],"y")</f>
        <v>2</v>
      </c>
      <c r="N211" s="599">
        <f>DATEDIF(Table1[[#This Row],[تاريخ التعيين]],Table1[[#This Row],[اخر العام]],"ym")</f>
        <v>7</v>
      </c>
      <c r="O211" s="610">
        <f>Table1[[#This Row],[سنوات الخدمه]]*1+Table1[[#This Row],[الشهور اقل من سنه]]*0.08</f>
        <v>2.56</v>
      </c>
      <c r="P211" s="616">
        <v>3020</v>
      </c>
      <c r="Q211" s="617">
        <v>94.224000000000004</v>
      </c>
      <c r="R211" s="612"/>
      <c r="S211" s="599"/>
      <c r="T211" s="612"/>
      <c r="U211" s="612"/>
      <c r="V211" s="612"/>
      <c r="W211" s="612"/>
      <c r="X211" s="612"/>
      <c r="Y211" s="612"/>
      <c r="Z211" s="612"/>
      <c r="AA21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1" s="612"/>
      <c r="AC211" s="599"/>
      <c r="AD211" s="612"/>
      <c r="AE211" s="612"/>
      <c r="AF211" s="612"/>
      <c r="AG211" s="612"/>
      <c r="AH211" s="619">
        <f>SUM(Table1[[#This Row],[التقييد  باللوائح و تنفيذالتوجيه]:[اتباع اجراءات السلامه]])</f>
        <v>0</v>
      </c>
      <c r="AI211" s="619">
        <f>Table1[[#This Row],[المجموع]]+Table1[[#This Row],[المجموع2]]</f>
        <v>0</v>
      </c>
      <c r="AJ211" s="612"/>
      <c r="AK211" s="612"/>
      <c r="AL211" s="612"/>
      <c r="AM211" s="612"/>
      <c r="AN211" s="612"/>
      <c r="AO211" s="606">
        <f>Table1[[#This Row],[المجموع 1+2]]*$AO$2</f>
        <v>0</v>
      </c>
      <c r="AP211" s="648">
        <f>Table1[[#This Row],[راتب ديسمبر 2019]]*Table1[[#This Row],[نسبه التقييم الرئيسي 2018]]%</f>
        <v>0</v>
      </c>
      <c r="AQ211" s="627">
        <f>Table1[[#This Row],[مبلغ التقييم النسبي 2018]]+Table1[[#This Row],[راتب ديسمبر 2019]]</f>
        <v>3020</v>
      </c>
      <c r="AR211" s="611">
        <f>IF(Table1[[#This Row],[Column3]]&lt;0,0,Table1[[#This Row],[Column3]])</f>
        <v>2980</v>
      </c>
      <c r="AS211" s="599">
        <f>VLOOKUP(Table1[[#This Row],[درجه التوسيط]],Table10[],3,)</f>
        <v>6000</v>
      </c>
      <c r="AT211" s="608">
        <f>Table1[[#This Row],[الراتب 2018+النسبه]]+Table1[[#This Row],[فروقات الحد الادني]]</f>
        <v>6000</v>
      </c>
      <c r="AU211" s="629">
        <f>Table1[[#This Row],[الراتب 2018 + النسبه + الفرق]]-Table1[[#This Row],[راتب ديسمبر 2019]]</f>
        <v>2980</v>
      </c>
      <c r="AV211" s="628">
        <f>Table1[[#This Row],[الزياده]]/Table1[[#This Row],[راتب ديسمبر 2019]]%</f>
        <v>98.675496688741731</v>
      </c>
      <c r="AW211" s="659">
        <f>IF(Table1[[#This Row],[Column4]]&lt;0,0,Table1[[#This Row],[Column4]])</f>
        <v>0</v>
      </c>
      <c r="AX211" s="611">
        <f>Table1[[#This Row],[الجبر حتي]]-Table1[[#This Row],[رن]]</f>
        <v>7.319999999999709</v>
      </c>
      <c r="AY211" s="611">
        <f>Table1[[#This Row],[الزياده]]+Table1[[#This Row],[التعديل]]+Table1[[#This Row],[جبر الرقم]]</f>
        <v>2987.3199999999997</v>
      </c>
      <c r="AZ211" s="611">
        <f>Table1[[#This Row],[الراتب 2018 + النسبه + الفرق]]+Table1[[#This Row],[جبر الرقم]]+Table1[[#This Row],[التعديل]]</f>
        <v>6007.32</v>
      </c>
      <c r="BA211" s="631">
        <f>Table1[[#This Row],[الزياده النهائيه]]/Table1[[#This Row],[راتب ديسمبر 2019]]%</f>
        <v>98.917880794701986</v>
      </c>
      <c r="BB211" s="612">
        <f>VLOOKUP(Table1[[#This Row],[الرقم الوظيفي]],Table6[],8,)</f>
        <v>3020</v>
      </c>
      <c r="BC211" s="7"/>
      <c r="BD211" s="7">
        <v>4640</v>
      </c>
      <c r="BE211" s="7">
        <v>4632.68</v>
      </c>
      <c r="BF211" s="5">
        <f>Table1[[#This Row],[الحد الادني]]-Table1[[#This Row],[الراتب 2018+النسبه]]</f>
        <v>2980</v>
      </c>
      <c r="BG211" s="5">
        <f>Table1[[#This Row],[التعديل حتي]]-Table1[[#This Row],[kkk]]</f>
        <v>-4632.68</v>
      </c>
      <c r="BH211" s="5">
        <v>4632.68</v>
      </c>
      <c r="BI211" s="5"/>
    </row>
    <row r="212" spans="1:61" ht="21" customHeight="1">
      <c r="A212" s="602">
        <v>965</v>
      </c>
      <c r="B212" s="618" t="str">
        <f>VLOOKUP(Table1[[#This Row],[الرقم الوظيفي]],[1]Sheet2!$1:$1048576,2,)</f>
        <v>محمد المرتضى الجوده مرجب احمد</v>
      </c>
      <c r="C212" s="618" t="str">
        <f>VLOOKUP(Table1[[#This Row],[الرقم الوظيفي]],[1]Sheet2!$1:$1048576,7,)</f>
        <v>المصنع</v>
      </c>
      <c r="D212" s="618" t="str">
        <f>VLOOKUP(Table1[[#This Row],[الرقم الوظيفي]],[1]Sheet2!$1:$1048576,8,)</f>
        <v>الالكترونيات</v>
      </c>
      <c r="E212" s="599">
        <f>VLOOKUP(Table1[[#This Row],[الرقم الوظيفي]],[1]Sheet2!$1:$1048576,9,)</f>
        <v>0</v>
      </c>
      <c r="F212" s="599" t="str">
        <f>VLOOKUP(Table1[[#This Row],[الرقم الوظيفي]],[1]Sheet2!$1:$1048576,12,)</f>
        <v>مهندس الكترونيات</v>
      </c>
      <c r="G212" s="599" t="str">
        <f>VLOOKUP(Table1[[#This Row],[الرقم الوظيفي]],[1]Sheet2!$1:$1048576,72,)</f>
        <v>بكلاريوس الشرف</v>
      </c>
      <c r="H212" s="599" t="str">
        <f>VLOOKUP(Table1[[#This Row],[الرقم الوظيفي]],[1]Sheet2!$1:$1048576,71,)</f>
        <v>هندسة الكترونيات ( تحكم )</v>
      </c>
      <c r="I212" s="599" t="str">
        <f>VLOOKUP(Table1[[#This Row],[المؤهل الرئيسي]],Table4[],3,)</f>
        <v>C</v>
      </c>
      <c r="J212" s="599" t="s">
        <v>922</v>
      </c>
      <c r="K212" s="615">
        <f>VLOOKUP(Table1[[#This Row],[الرقم الوظيفي]],[1]Sheet2!$1:$1048576,13,)</f>
        <v>42856</v>
      </c>
      <c r="L212" s="615">
        <v>43830</v>
      </c>
      <c r="M212" s="599">
        <f>DATEDIF(Table1[[#This Row],[تاريخ التعيين]],Table1[[#This Row],[اخر العام]],"y")</f>
        <v>2</v>
      </c>
      <c r="N212" s="599">
        <f>DATEDIF(Table1[[#This Row],[تاريخ التعيين]],Table1[[#This Row],[اخر العام]],"ym")</f>
        <v>7</v>
      </c>
      <c r="O212" s="610">
        <f>Table1[[#This Row],[سنوات الخدمه]]*1+Table1[[#This Row],[الشهور اقل من سنه]]*0.08</f>
        <v>2.56</v>
      </c>
      <c r="P212" s="616">
        <v>5030</v>
      </c>
      <c r="Q212" s="617">
        <v>156.93600000000001</v>
      </c>
      <c r="R212" s="612"/>
      <c r="S212" s="599"/>
      <c r="T212" s="612"/>
      <c r="U212" s="612"/>
      <c r="V212" s="612"/>
      <c r="W212" s="612"/>
      <c r="X212" s="612"/>
      <c r="Y212" s="612"/>
      <c r="Z212" s="612"/>
      <c r="AA21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2" s="612"/>
      <c r="AC212" s="599"/>
      <c r="AD212" s="612"/>
      <c r="AE212" s="612"/>
      <c r="AF212" s="612"/>
      <c r="AG212" s="612"/>
      <c r="AH212" s="619">
        <f>SUM(Table1[[#This Row],[التقييد  باللوائح و تنفيذالتوجيه]:[اتباع اجراءات السلامه]])</f>
        <v>0</v>
      </c>
      <c r="AI212" s="619">
        <f>Table1[[#This Row],[المجموع]]+Table1[[#This Row],[المجموع2]]</f>
        <v>0</v>
      </c>
      <c r="AJ212" s="612"/>
      <c r="AK212" s="612"/>
      <c r="AL212" s="612"/>
      <c r="AM212" s="612"/>
      <c r="AN212" s="612"/>
      <c r="AO212" s="606">
        <f>Table1[[#This Row],[المجموع 1+2]]*$AO$2</f>
        <v>0</v>
      </c>
      <c r="AP212" s="648">
        <f>Table1[[#This Row],[راتب ديسمبر 2019]]*Table1[[#This Row],[نسبه التقييم الرئيسي 2018]]%</f>
        <v>0</v>
      </c>
      <c r="AQ212" s="627">
        <f>Table1[[#This Row],[مبلغ التقييم النسبي 2018]]+Table1[[#This Row],[راتب ديسمبر 2019]]</f>
        <v>5030</v>
      </c>
      <c r="AR212" s="611">
        <f>IF(Table1[[#This Row],[Column3]]&lt;0,0,Table1[[#This Row],[Column3]])</f>
        <v>5970</v>
      </c>
      <c r="AS212" s="599">
        <f>VLOOKUP(Table1[[#This Row],[درجه التوسيط]],Table10[],3,)</f>
        <v>11000</v>
      </c>
      <c r="AT212" s="608">
        <f>Table1[[#This Row],[الراتب 2018+النسبه]]+Table1[[#This Row],[فروقات الحد الادني]]</f>
        <v>11000</v>
      </c>
      <c r="AU212" s="629">
        <f>Table1[[#This Row],[الراتب 2018 + النسبه + الفرق]]-Table1[[#This Row],[راتب ديسمبر 2019]]</f>
        <v>5970</v>
      </c>
      <c r="AV212" s="628">
        <f>Table1[[#This Row],[الزياده]]/Table1[[#This Row],[راتب ديسمبر 2019]]%</f>
        <v>118.68787276341949</v>
      </c>
      <c r="AW212" s="659">
        <f>IF(Table1[[#This Row],[Column4]]&lt;0,0,Table1[[#This Row],[Column4]])</f>
        <v>283.97999999999956</v>
      </c>
      <c r="AX212" s="611">
        <f>Table1[[#This Row],[الجبر حتي]]-Table1[[#This Row],[رن]]</f>
        <v>0</v>
      </c>
      <c r="AY212" s="611">
        <f>Table1[[#This Row],[الزياده]]+Table1[[#This Row],[التعديل]]+Table1[[#This Row],[جبر الرقم]]</f>
        <v>6253.98</v>
      </c>
      <c r="AZ212" s="611">
        <f>Table1[[#This Row],[الراتب 2018 + النسبه + الفرق]]+Table1[[#This Row],[جبر الرقم]]+Table1[[#This Row],[التعديل]]</f>
        <v>11283.98</v>
      </c>
      <c r="BA212" s="631">
        <f>Table1[[#This Row],[الزياده النهائيه]]/Table1[[#This Row],[راتب ديسمبر 2019]]%</f>
        <v>124.33359840954274</v>
      </c>
      <c r="BB212" s="612">
        <f>VLOOKUP(Table1[[#This Row],[الرقم الوظيفي]],Table6[],8,)</f>
        <v>5030</v>
      </c>
      <c r="BC212" s="7">
        <v>8000</v>
      </c>
      <c r="BD212" s="7">
        <v>8000</v>
      </c>
      <c r="BE212" s="7">
        <v>8000</v>
      </c>
      <c r="BF212" s="5">
        <f>Table1[[#This Row],[الحد الادني]]-Table1[[#This Row],[الراتب 2018+النسبه]]</f>
        <v>5970</v>
      </c>
      <c r="BG212" s="5">
        <f>Table1[[#This Row],[التعديل حتي]]-Table1[[#This Row],[kkk]]</f>
        <v>283.97999999999956</v>
      </c>
      <c r="BH212" s="5">
        <v>7716.02</v>
      </c>
      <c r="BI212" s="5"/>
    </row>
    <row r="213" spans="1:61" ht="21" customHeight="1">
      <c r="A213" s="602">
        <v>966</v>
      </c>
      <c r="B213" s="618" t="str">
        <f>VLOOKUP(Table1[[#This Row],[الرقم الوظيفي]],[1]Sheet2!$1:$1048576,2,)</f>
        <v>حيدر هاشم ميرغنى احمد</v>
      </c>
      <c r="C213" s="618" t="str">
        <f>VLOOKUP(Table1[[#This Row],[الرقم الوظيفي]],[1]Sheet2!$1:$1048576,7,)</f>
        <v>المصنع</v>
      </c>
      <c r="D213" s="618" t="str">
        <f>VLOOKUP(Table1[[#This Row],[الرقم الوظيفي]],[1]Sheet2!$1:$1048576,8,)</f>
        <v>المستودعات</v>
      </c>
      <c r="E213" s="599">
        <f>VLOOKUP(Table1[[#This Row],[الرقم الوظيفي]],[1]Sheet2!$1:$1048576,9,)</f>
        <v>0</v>
      </c>
      <c r="F213" s="599" t="str">
        <f>VLOOKUP(Table1[[#This Row],[الرقم الوظيفي]],[1]Sheet2!$1:$1048576,12,)</f>
        <v>امين مستودع</v>
      </c>
      <c r="G213" s="599">
        <f>VLOOKUP(Table1[[#This Row],[الرقم الوظيفي]],[1]Sheet2!$1:$1048576,72,)</f>
        <v>0</v>
      </c>
      <c r="H213" s="599">
        <f>VLOOKUP(Table1[[#This Row],[الرقم الوظيفي]],[1]Sheet2!$1:$1048576,71,)</f>
        <v>0</v>
      </c>
      <c r="I213" s="599" t="str">
        <f>VLOOKUP(Table1[[#This Row],[المؤهل الرئيسي]],Table4[],3,)</f>
        <v>H</v>
      </c>
      <c r="J213" s="599" t="s">
        <v>924</v>
      </c>
      <c r="K213" s="615">
        <f>VLOOKUP(Table1[[#This Row],[الرقم الوظيفي]],[1]Sheet2!$1:$1048576,13,)</f>
        <v>42863</v>
      </c>
      <c r="L213" s="615">
        <v>43830</v>
      </c>
      <c r="M213" s="599">
        <f>DATEDIF(Table1[[#This Row],[تاريخ التعيين]],Table1[[#This Row],[اخر العام]],"y")</f>
        <v>2</v>
      </c>
      <c r="N213" s="599">
        <f>DATEDIF(Table1[[#This Row],[تاريخ التعيين]],Table1[[#This Row],[اخر العام]],"ym")</f>
        <v>7</v>
      </c>
      <c r="O213" s="610">
        <f>Table1[[#This Row],[سنوات الخدمه]]*1+Table1[[#This Row],[الشهور اقل من سنه]]*0.08</f>
        <v>2.56</v>
      </c>
      <c r="P213" s="616">
        <v>3530</v>
      </c>
      <c r="Q213" s="617">
        <v>110.136</v>
      </c>
      <c r="R213" s="612"/>
      <c r="S213" s="599"/>
      <c r="T213" s="612"/>
      <c r="U213" s="612"/>
      <c r="V213" s="612"/>
      <c r="W213" s="612"/>
      <c r="X213" s="612"/>
      <c r="Y213" s="612"/>
      <c r="Z213" s="612"/>
      <c r="AA21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3" s="612"/>
      <c r="AC213" s="599"/>
      <c r="AD213" s="612"/>
      <c r="AE213" s="612"/>
      <c r="AF213" s="612"/>
      <c r="AG213" s="612"/>
      <c r="AH213" s="619">
        <f>SUM(Table1[[#This Row],[التقييد  باللوائح و تنفيذالتوجيه]:[اتباع اجراءات السلامه]])</f>
        <v>0</v>
      </c>
      <c r="AI213" s="619">
        <f>Table1[[#This Row],[المجموع]]+Table1[[#This Row],[المجموع2]]</f>
        <v>0</v>
      </c>
      <c r="AJ213" s="612"/>
      <c r="AK213" s="612"/>
      <c r="AL213" s="612"/>
      <c r="AM213" s="612"/>
      <c r="AN213" s="612"/>
      <c r="AO213" s="606">
        <f>Table1[[#This Row],[المجموع 1+2]]*$AO$2</f>
        <v>0</v>
      </c>
      <c r="AP213" s="648">
        <f>Table1[[#This Row],[راتب ديسمبر 2019]]*Table1[[#This Row],[نسبه التقييم الرئيسي 2018]]%</f>
        <v>0</v>
      </c>
      <c r="AQ213" s="627">
        <f>Table1[[#This Row],[مبلغ التقييم النسبي 2018]]+Table1[[#This Row],[راتب ديسمبر 2019]]</f>
        <v>3530</v>
      </c>
      <c r="AR213" s="611">
        <f>IF(Table1[[#This Row],[Column3]]&lt;0,0,Table1[[#This Row],[Column3]])</f>
        <v>5470</v>
      </c>
      <c r="AS213" s="599">
        <f>VLOOKUP(Table1[[#This Row],[درجه التوسيط]],Table10[],3,)</f>
        <v>9000</v>
      </c>
      <c r="AT213" s="608">
        <f>Table1[[#This Row],[الراتب 2018+النسبه]]+Table1[[#This Row],[فروقات الحد الادني]]</f>
        <v>9000</v>
      </c>
      <c r="AU213" s="629">
        <f>Table1[[#This Row],[الراتب 2018 + النسبه + الفرق]]-Table1[[#This Row],[راتب ديسمبر 2019]]</f>
        <v>5470</v>
      </c>
      <c r="AV213" s="628">
        <f>Table1[[#This Row],[الزياده]]/Table1[[#This Row],[راتب ديسمبر 2019]]%</f>
        <v>154.957507082153</v>
      </c>
      <c r="AW213" s="659">
        <f>IF(Table1[[#This Row],[Column4]]&lt;0,0,Table1[[#This Row],[Column4]])</f>
        <v>0</v>
      </c>
      <c r="AX213" s="611">
        <f>Table1[[#This Row],[الجبر حتي]]-Table1[[#This Row],[رن]]</f>
        <v>0</v>
      </c>
      <c r="AY213" s="611">
        <f>Table1[[#This Row],[الزياده]]+Table1[[#This Row],[التعديل]]+Table1[[#This Row],[جبر الرقم]]</f>
        <v>5470</v>
      </c>
      <c r="AZ213" s="611">
        <f>Table1[[#This Row],[الراتب 2018 + النسبه + الفرق]]+Table1[[#This Row],[جبر الرقم]]+Table1[[#This Row],[التعديل]]</f>
        <v>9000</v>
      </c>
      <c r="BA213" s="631">
        <f>Table1[[#This Row],[الزياده النهائيه]]/Table1[[#This Row],[راتب ديسمبر 2019]]%</f>
        <v>154.957507082153</v>
      </c>
      <c r="BB213" s="612">
        <f>VLOOKUP(Table1[[#This Row],[الرقم الوظيفي]],Table6[],8,)</f>
        <v>3530</v>
      </c>
      <c r="BC213" s="7"/>
      <c r="BD213" s="7">
        <v>6000</v>
      </c>
      <c r="BE213" s="7">
        <v>6000</v>
      </c>
      <c r="BF213" s="5">
        <f>Table1[[#This Row],[الحد الادني]]-Table1[[#This Row],[الراتب 2018+النسبه]]</f>
        <v>5470</v>
      </c>
      <c r="BG213" s="5">
        <f>Table1[[#This Row],[التعديل حتي]]-Table1[[#This Row],[kkk]]</f>
        <v>-6000</v>
      </c>
      <c r="BH213" s="5">
        <v>6000</v>
      </c>
      <c r="BI213" s="5"/>
    </row>
    <row r="214" spans="1:61" ht="21" customHeight="1">
      <c r="A214" s="602">
        <v>968</v>
      </c>
      <c r="B214" s="618" t="str">
        <f>VLOOKUP(Table1[[#This Row],[الرقم الوظيفي]],[1]Sheet2!$1:$1048576,2,)</f>
        <v>النعيم حامد موسى محمد</v>
      </c>
      <c r="C214" s="618" t="str">
        <f>VLOOKUP(Table1[[#This Row],[الرقم الوظيفي]],[1]Sheet2!$1:$1048576,7,)</f>
        <v>المصنع</v>
      </c>
      <c r="D214" s="618" t="str">
        <f>VLOOKUP(Table1[[#This Row],[الرقم الوظيفي]],[1]Sheet2!$1:$1048576,8,)</f>
        <v>الانتاج</v>
      </c>
      <c r="E214" s="599">
        <f>VLOOKUP(Table1[[#This Row],[الرقم الوظيفي]],[1]Sheet2!$1:$1048576,9,)</f>
        <v>0</v>
      </c>
      <c r="F214" s="599" t="str">
        <f>VLOOKUP(Table1[[#This Row],[الرقم الوظيفي]],[1]Sheet2!$1:$1048576,12,)</f>
        <v>عامل</v>
      </c>
      <c r="G214" s="599">
        <f>VLOOKUP(Table1[[#This Row],[الرقم الوظيفي]],[1]Sheet2!$1:$1048576,72,)</f>
        <v>0</v>
      </c>
      <c r="H214" s="599">
        <f>VLOOKUP(Table1[[#This Row],[الرقم الوظيفي]],[1]Sheet2!$1:$1048576,71,)</f>
        <v>0</v>
      </c>
      <c r="I214" s="599" t="str">
        <f>VLOOKUP(Table1[[#This Row],[المؤهل الرئيسي]],Table4[],3,)</f>
        <v>H</v>
      </c>
      <c r="J214" s="599" t="s">
        <v>929</v>
      </c>
      <c r="K214" s="615">
        <f>VLOOKUP(Table1[[#This Row],[الرقم الوظيفي]],[1]Sheet2!$1:$1048576,13,)</f>
        <v>43143</v>
      </c>
      <c r="L214" s="615">
        <v>43830</v>
      </c>
      <c r="M214" s="599">
        <f>DATEDIF(Table1[[#This Row],[تاريخ التعيين]],Table1[[#This Row],[اخر العام]],"y")</f>
        <v>1</v>
      </c>
      <c r="N214" s="599">
        <f>DATEDIF(Table1[[#This Row],[تاريخ التعيين]],Table1[[#This Row],[اخر العام]],"ym")</f>
        <v>10</v>
      </c>
      <c r="O214" s="610">
        <f>Table1[[#This Row],[سنوات الخدمه]]*1+Table1[[#This Row],[الشهور اقل من سنه]]*0.08</f>
        <v>1.8</v>
      </c>
      <c r="P214" s="616">
        <v>3000</v>
      </c>
      <c r="Q214" s="617">
        <v>48</v>
      </c>
      <c r="R214" s="612"/>
      <c r="S214" s="599"/>
      <c r="T214" s="612"/>
      <c r="U214" s="612"/>
      <c r="V214" s="612"/>
      <c r="W214" s="612"/>
      <c r="X214" s="612"/>
      <c r="Y214" s="612"/>
      <c r="Z214" s="612"/>
      <c r="AA21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4" s="612"/>
      <c r="AC214" s="599"/>
      <c r="AD214" s="612"/>
      <c r="AE214" s="612"/>
      <c r="AF214" s="612"/>
      <c r="AG214" s="612"/>
      <c r="AH214" s="619">
        <f>SUM(Table1[[#This Row],[التقييد  باللوائح و تنفيذالتوجيه]:[اتباع اجراءات السلامه]])</f>
        <v>0</v>
      </c>
      <c r="AI214" s="619">
        <f>Table1[[#This Row],[المجموع]]+Table1[[#This Row],[المجموع2]]</f>
        <v>0</v>
      </c>
      <c r="AJ214" s="612"/>
      <c r="AK214" s="612"/>
      <c r="AL214" s="612"/>
      <c r="AM214" s="612"/>
      <c r="AN214" s="612"/>
      <c r="AO214" s="606">
        <f>Table1[[#This Row],[المجموع 1+2]]*$AO$2</f>
        <v>0</v>
      </c>
      <c r="AP214" s="648">
        <f>Table1[[#This Row],[راتب ديسمبر 2019]]*Table1[[#This Row],[نسبه التقييم الرئيسي 2018]]%</f>
        <v>0</v>
      </c>
      <c r="AQ214" s="627">
        <f>Table1[[#This Row],[مبلغ التقييم النسبي 2018]]+Table1[[#This Row],[راتب ديسمبر 2019]]</f>
        <v>3000</v>
      </c>
      <c r="AR214" s="611">
        <f>IF(Table1[[#This Row],[Column3]]&lt;0,0,Table1[[#This Row],[Column3]])</f>
        <v>3000</v>
      </c>
      <c r="AS214" s="599">
        <f>VLOOKUP(Table1[[#This Row],[درجه التوسيط]],Table10[],3,)</f>
        <v>6000</v>
      </c>
      <c r="AT214" s="608">
        <f>Table1[[#This Row],[الراتب 2018+النسبه]]+Table1[[#This Row],[فروقات الحد الادني]]</f>
        <v>6000</v>
      </c>
      <c r="AU214" s="629">
        <f>Table1[[#This Row],[الراتب 2018 + النسبه + الفرق]]-Table1[[#This Row],[راتب ديسمبر 2019]]</f>
        <v>3000</v>
      </c>
      <c r="AV214" s="628">
        <f>Table1[[#This Row],[الزياده]]/Table1[[#This Row],[راتب ديسمبر 2019]]%</f>
        <v>100</v>
      </c>
      <c r="AW214" s="659">
        <f>IF(Table1[[#This Row],[Column4]]&lt;0,0,Table1[[#This Row],[Column4]])</f>
        <v>0</v>
      </c>
      <c r="AX214" s="611">
        <f>Table1[[#This Row],[الجبر حتي]]-Table1[[#This Row],[رن]]</f>
        <v>0</v>
      </c>
      <c r="AY214" s="611">
        <f>Table1[[#This Row],[الزياده]]+Table1[[#This Row],[التعديل]]+Table1[[#This Row],[جبر الرقم]]</f>
        <v>3000</v>
      </c>
      <c r="AZ214" s="611">
        <f>Table1[[#This Row],[الراتب 2018 + النسبه + الفرق]]+Table1[[#This Row],[جبر الرقم]]+Table1[[#This Row],[التعديل]]</f>
        <v>6000</v>
      </c>
      <c r="BA214" s="631">
        <f>Table1[[#This Row],[الزياده النهائيه]]/Table1[[#This Row],[راتب ديسمبر 2019]]%</f>
        <v>100</v>
      </c>
      <c r="BB214" s="612">
        <f>VLOOKUP(Table1[[#This Row],[الرقم الوظيفي]],Table6[],8,)</f>
        <v>3000</v>
      </c>
      <c r="BC214" s="7"/>
      <c r="BD214" s="7">
        <v>4500</v>
      </c>
      <c r="BE214" s="7">
        <v>4500</v>
      </c>
      <c r="BF214" s="5">
        <f>Table1[[#This Row],[الحد الادني]]-Table1[[#This Row],[الراتب 2018+النسبه]]</f>
        <v>3000</v>
      </c>
      <c r="BG214" s="5">
        <f>Table1[[#This Row],[التعديل حتي]]-Table1[[#This Row],[kkk]]</f>
        <v>-4500</v>
      </c>
      <c r="BH214" s="5">
        <v>4500</v>
      </c>
      <c r="BI214" s="5"/>
    </row>
    <row r="215" spans="1:61" s="32" customFormat="1" ht="21" customHeight="1">
      <c r="A215" s="602">
        <v>970</v>
      </c>
      <c r="B215" s="618" t="str">
        <f>VLOOKUP(Table1[[#This Row],[الرقم الوظيفي]],[1]Sheet2!$1:$1048576,2,)</f>
        <v>إدريس إسماعيل إدريس حمدنا الله</v>
      </c>
      <c r="C215" s="618" t="str">
        <f>VLOOKUP(Table1[[#This Row],[الرقم الوظيفي]],[1]Sheet2!$1:$1048576,7,)</f>
        <v>المصنع</v>
      </c>
      <c r="D215" s="618" t="str">
        <f>VLOOKUP(Table1[[#This Row],[الرقم الوظيفي]],[1]Sheet2!$1:$1048576,8,)</f>
        <v>الانتاج</v>
      </c>
      <c r="E215" s="614" t="str">
        <f>VLOOKUP(Table1[[#This Row],[الرقم الوظيفي]],[1]Sheet2!$1:$1048576,9,)</f>
        <v>الزاويه</v>
      </c>
      <c r="F215" s="614" t="str">
        <f>VLOOKUP(Table1[[#This Row],[الرقم الوظيفي]],[1]Sheet2!$1:$1048576,12,)</f>
        <v>عامل</v>
      </c>
      <c r="G215" s="614">
        <f>VLOOKUP(Table1[[#This Row],[الرقم الوظيفي]],[1]Sheet2!$1:$1048576,72,)</f>
        <v>0</v>
      </c>
      <c r="H215" s="614">
        <f>VLOOKUP(Table1[[#This Row],[الرقم الوظيفي]],[1]Sheet2!$1:$1048576,71,)</f>
        <v>0</v>
      </c>
      <c r="I215" s="614" t="str">
        <f>VLOOKUP(Table1[[#This Row],[المؤهل الرئيسي]],Table4[],3,)</f>
        <v>H</v>
      </c>
      <c r="J215" s="614" t="s">
        <v>929</v>
      </c>
      <c r="K215" s="615">
        <f>VLOOKUP(Table1[[#This Row],[الرقم الوظيفي]],[1]Sheet2!$1:$1048576,13,)</f>
        <v>42872</v>
      </c>
      <c r="L215" s="615">
        <v>43830</v>
      </c>
      <c r="M215" s="599">
        <f>DATEDIF(Table1[[#This Row],[تاريخ التعيين]],Table1[[#This Row],[اخر العام]],"y")</f>
        <v>2</v>
      </c>
      <c r="N215" s="599">
        <f>DATEDIF(Table1[[#This Row],[تاريخ التعيين]],Table1[[#This Row],[اخر العام]],"ym")</f>
        <v>7</v>
      </c>
      <c r="O215" s="610">
        <f>Table1[[#This Row],[سنوات الخدمه]]*1+Table1[[#This Row],[الشهور اقل من سنه]]*0.08</f>
        <v>2.56</v>
      </c>
      <c r="P215" s="616">
        <v>3020</v>
      </c>
      <c r="Q215" s="617">
        <v>94.224000000000004</v>
      </c>
      <c r="R215" s="613"/>
      <c r="S215" s="614"/>
      <c r="T215" s="613"/>
      <c r="U215" s="613"/>
      <c r="V215" s="613"/>
      <c r="W215" s="613"/>
      <c r="X215" s="613"/>
      <c r="Y215" s="613"/>
      <c r="Z215" s="613"/>
      <c r="AA21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5" s="613"/>
      <c r="AC215" s="614"/>
      <c r="AD215" s="613"/>
      <c r="AE215" s="613"/>
      <c r="AF215" s="613"/>
      <c r="AG215" s="613"/>
      <c r="AH215" s="619">
        <f>SUM(Table1[[#This Row],[التقييد  باللوائح و تنفيذالتوجيه]:[اتباع اجراءات السلامه]])</f>
        <v>0</v>
      </c>
      <c r="AI215" s="613">
        <f>Table1[[#This Row],[المجموع]]+Table1[[#This Row],[المجموع2]]</f>
        <v>0</v>
      </c>
      <c r="AJ215" s="613"/>
      <c r="AK215" s="613"/>
      <c r="AL215" s="613"/>
      <c r="AM215" s="613"/>
      <c r="AN215" s="613"/>
      <c r="AO215" s="606">
        <f>Table1[[#This Row],[المجموع 1+2]]*$AO$2</f>
        <v>0</v>
      </c>
      <c r="AP215" s="648">
        <f>Table1[[#This Row],[راتب ديسمبر 2019]]*Table1[[#This Row],[نسبه التقييم الرئيسي 2018]]%</f>
        <v>0</v>
      </c>
      <c r="AQ215" s="627">
        <f>Table1[[#This Row],[مبلغ التقييم النسبي 2018]]+Table1[[#This Row],[راتب ديسمبر 2019]]</f>
        <v>3020</v>
      </c>
      <c r="AR215" s="611">
        <f>IF(Table1[[#This Row],[Column3]]&lt;0,0,Table1[[#This Row],[Column3]])</f>
        <v>2980</v>
      </c>
      <c r="AS215" s="599">
        <f>VLOOKUP(Table1[[#This Row],[درجه التوسيط]],Table10[],3,)</f>
        <v>6000</v>
      </c>
      <c r="AT215" s="608">
        <f>Table1[[#This Row],[الراتب 2018+النسبه]]+Table1[[#This Row],[فروقات الحد الادني]]</f>
        <v>6000</v>
      </c>
      <c r="AU215" s="629">
        <f>Table1[[#This Row],[الراتب 2018 + النسبه + الفرق]]-Table1[[#This Row],[راتب ديسمبر 2019]]</f>
        <v>2980</v>
      </c>
      <c r="AV215" s="628">
        <f>Table1[[#This Row],[الزياده]]/Table1[[#This Row],[راتب ديسمبر 2019]]%</f>
        <v>98.675496688741731</v>
      </c>
      <c r="AW215" s="659">
        <f>IF(Table1[[#This Row],[Column4]]&lt;0,0,Table1[[#This Row],[Column4]])</f>
        <v>0</v>
      </c>
      <c r="AX215" s="611">
        <f>Table1[[#This Row],[الجبر حتي]]-Table1[[#This Row],[رن]]</f>
        <v>3.5600000000004002</v>
      </c>
      <c r="AY215" s="611">
        <f>Table1[[#This Row],[الزياده]]+Table1[[#This Row],[التعديل]]+Table1[[#This Row],[جبر الرقم]]</f>
        <v>2983.5600000000004</v>
      </c>
      <c r="AZ215" s="611">
        <f>Table1[[#This Row],[الراتب 2018 + النسبه + الفرق]]+Table1[[#This Row],[جبر الرقم]]+Table1[[#This Row],[التعديل]]</f>
        <v>6003.56</v>
      </c>
      <c r="BA215" s="631">
        <f>Table1[[#This Row],[الزياده النهائيه]]/Table1[[#This Row],[راتب ديسمبر 2019]]%</f>
        <v>98.79337748344372</v>
      </c>
      <c r="BB215" s="613">
        <f>VLOOKUP(Table1[[#This Row],[الرقم الوظيفي]],Table6[],8,)</f>
        <v>3020</v>
      </c>
      <c r="BC215" s="657"/>
      <c r="BD215" s="657">
        <v>4600</v>
      </c>
      <c r="BE215" s="657">
        <v>4596.4399999999996</v>
      </c>
      <c r="BF215" s="8">
        <f>Table1[[#This Row],[الحد الادني]]-Table1[[#This Row],[الراتب 2018+النسبه]]</f>
        <v>2980</v>
      </c>
      <c r="BG215" s="8">
        <f>Table1[[#This Row],[التعديل حتي]]-Table1[[#This Row],[kkk]]</f>
        <v>-4596.4399999999996</v>
      </c>
      <c r="BH215" s="8">
        <v>4596.4399999999996</v>
      </c>
      <c r="BI215" s="8"/>
    </row>
    <row r="216" spans="1:61" ht="21" customHeight="1">
      <c r="A216" s="602">
        <v>971</v>
      </c>
      <c r="B216" s="618" t="str">
        <f>VLOOKUP(Table1[[#This Row],[الرقم الوظيفي]],[1]Sheet2!$1:$1048576,2,)</f>
        <v>صلاح ابو زيد بخيت خير السيد</v>
      </c>
      <c r="C216" s="618" t="str">
        <f>VLOOKUP(Table1[[#This Row],[الرقم الوظيفي]],[1]Sheet2!$1:$1048576,7,)</f>
        <v>المصنع</v>
      </c>
      <c r="D216" s="618" t="str">
        <f>VLOOKUP(Table1[[#This Row],[الرقم الوظيفي]],[1]Sheet2!$1:$1048576,8,)</f>
        <v>الخدمات</v>
      </c>
      <c r="E216" s="599">
        <f>VLOOKUP(Table1[[#This Row],[الرقم الوظيفي]],[1]Sheet2!$1:$1048576,9,)</f>
        <v>0</v>
      </c>
      <c r="F216" s="599" t="str">
        <f>VLOOKUP(Table1[[#This Row],[الرقم الوظيفي]],[1]Sheet2!$1:$1048576,12,)</f>
        <v>عامل</v>
      </c>
      <c r="G216" s="599">
        <f>VLOOKUP(Table1[[#This Row],[الرقم الوظيفي]],[1]Sheet2!$1:$1048576,72,)</f>
        <v>0</v>
      </c>
      <c r="H216" s="599">
        <f>VLOOKUP(Table1[[#This Row],[الرقم الوظيفي]],[1]Sheet2!$1:$1048576,71,)</f>
        <v>0</v>
      </c>
      <c r="I216" s="599" t="str">
        <f>VLOOKUP(Table1[[#This Row],[المؤهل الرئيسي]],Table4[],3,)</f>
        <v>H</v>
      </c>
      <c r="J216" s="599" t="s">
        <v>929</v>
      </c>
      <c r="K216" s="615">
        <f>VLOOKUP(Table1[[#This Row],[الرقم الوظيفي]],[1]Sheet2!$1:$1048576,13,)</f>
        <v>42875</v>
      </c>
      <c r="L216" s="615">
        <v>43830</v>
      </c>
      <c r="M216" s="599">
        <f>DATEDIF(Table1[[#This Row],[تاريخ التعيين]],Table1[[#This Row],[اخر العام]],"y")</f>
        <v>2</v>
      </c>
      <c r="N216" s="599">
        <f>DATEDIF(Table1[[#This Row],[تاريخ التعيين]],Table1[[#This Row],[اخر العام]],"ym")</f>
        <v>7</v>
      </c>
      <c r="O216" s="610">
        <f>Table1[[#This Row],[سنوات الخدمه]]*1+Table1[[#This Row],[الشهور اقل من سنه]]*0.08</f>
        <v>2.56</v>
      </c>
      <c r="P216" s="616">
        <v>3020</v>
      </c>
      <c r="Q216" s="617">
        <v>94.224000000000004</v>
      </c>
      <c r="R216" s="612"/>
      <c r="S216" s="599"/>
      <c r="T216" s="612"/>
      <c r="U216" s="612"/>
      <c r="V216" s="612"/>
      <c r="W216" s="612"/>
      <c r="X216" s="612"/>
      <c r="Y216" s="612"/>
      <c r="Z216" s="612"/>
      <c r="AA21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6" s="612"/>
      <c r="AC216" s="599"/>
      <c r="AD216" s="612"/>
      <c r="AE216" s="612"/>
      <c r="AF216" s="612"/>
      <c r="AG216" s="612"/>
      <c r="AH216" s="619">
        <f>SUM(Table1[[#This Row],[التقييد  باللوائح و تنفيذالتوجيه]:[اتباع اجراءات السلامه]])</f>
        <v>0</v>
      </c>
      <c r="AI216" s="619">
        <f>Table1[[#This Row],[المجموع]]+Table1[[#This Row],[المجموع2]]</f>
        <v>0</v>
      </c>
      <c r="AJ216" s="612"/>
      <c r="AK216" s="612"/>
      <c r="AL216" s="612"/>
      <c r="AM216" s="612"/>
      <c r="AN216" s="612"/>
      <c r="AO216" s="606">
        <f>Table1[[#This Row],[المجموع 1+2]]*$AO$2</f>
        <v>0</v>
      </c>
      <c r="AP216" s="648">
        <f>Table1[[#This Row],[راتب ديسمبر 2019]]*Table1[[#This Row],[نسبه التقييم الرئيسي 2018]]%</f>
        <v>0</v>
      </c>
      <c r="AQ216" s="627">
        <f>Table1[[#This Row],[مبلغ التقييم النسبي 2018]]+Table1[[#This Row],[راتب ديسمبر 2019]]</f>
        <v>3020</v>
      </c>
      <c r="AR216" s="611">
        <f>IF(Table1[[#This Row],[Column3]]&lt;0,0,Table1[[#This Row],[Column3]])</f>
        <v>2980</v>
      </c>
      <c r="AS216" s="599">
        <f>VLOOKUP(Table1[[#This Row],[درجه التوسيط]],Table10[],3,)</f>
        <v>6000</v>
      </c>
      <c r="AT216" s="608">
        <f>Table1[[#This Row],[الراتب 2018+النسبه]]+Table1[[#This Row],[فروقات الحد الادني]]</f>
        <v>6000</v>
      </c>
      <c r="AU216" s="629">
        <f>Table1[[#This Row],[الراتب 2018 + النسبه + الفرق]]-Table1[[#This Row],[راتب ديسمبر 2019]]</f>
        <v>2980</v>
      </c>
      <c r="AV216" s="628">
        <f>Table1[[#This Row],[الزياده]]/Table1[[#This Row],[راتب ديسمبر 2019]]%</f>
        <v>98.675496688741731</v>
      </c>
      <c r="AW216" s="659">
        <f>IF(Table1[[#This Row],[Column4]]&lt;0,0,Table1[[#This Row],[Column4]])</f>
        <v>0</v>
      </c>
      <c r="AX216" s="611">
        <f>Table1[[#This Row],[الجبر حتي]]-Table1[[#This Row],[رن]]</f>
        <v>1.0799999999999272</v>
      </c>
      <c r="AY216" s="611">
        <f>Table1[[#This Row],[الزياده]]+Table1[[#This Row],[التعديل]]+Table1[[#This Row],[جبر الرقم]]</f>
        <v>2981.08</v>
      </c>
      <c r="AZ216" s="611">
        <f>Table1[[#This Row],[الراتب 2018 + النسبه + الفرق]]+Table1[[#This Row],[جبر الرقم]]+Table1[[#This Row],[التعديل]]</f>
        <v>6001.08</v>
      </c>
      <c r="BA216" s="631">
        <f>Table1[[#This Row],[الزياده النهائيه]]/Table1[[#This Row],[راتب ديسمبر 2019]]%</f>
        <v>98.711258278145692</v>
      </c>
      <c r="BB216" s="612">
        <f>VLOOKUP(Table1[[#This Row],[الرقم الوظيفي]],Table6[],8,)</f>
        <v>3020</v>
      </c>
      <c r="BC216" s="7"/>
      <c r="BD216" s="7">
        <v>4670</v>
      </c>
      <c r="BE216" s="7">
        <v>4668.92</v>
      </c>
      <c r="BF216" s="5">
        <f>Table1[[#This Row],[الحد الادني]]-Table1[[#This Row],[الراتب 2018+النسبه]]</f>
        <v>2980</v>
      </c>
      <c r="BG216" s="5">
        <f>Table1[[#This Row],[التعديل حتي]]-Table1[[#This Row],[kkk]]</f>
        <v>-4668.92</v>
      </c>
      <c r="BH216" s="5">
        <v>4668.92</v>
      </c>
      <c r="BI216" s="5"/>
    </row>
    <row r="217" spans="1:61" ht="21" customHeight="1">
      <c r="A217" s="602">
        <v>972</v>
      </c>
      <c r="B217" s="618" t="str">
        <f>VLOOKUP(Table1[[#This Row],[الرقم الوظيفي]],[1]Sheet2!$1:$1048576,2,)</f>
        <v>محمد احمد مهدى حولى</v>
      </c>
      <c r="C217" s="618" t="str">
        <f>VLOOKUP(Table1[[#This Row],[الرقم الوظيفي]],[1]Sheet2!$1:$1048576,7,)</f>
        <v>المصنع</v>
      </c>
      <c r="D217" s="618" t="str">
        <f>VLOOKUP(Table1[[#This Row],[الرقم الوظيفي]],[1]Sheet2!$1:$1048576,8,)</f>
        <v>الانتاج</v>
      </c>
      <c r="E217" s="599">
        <f>VLOOKUP(Table1[[#This Row],[الرقم الوظيفي]],[1]Sheet2!$1:$1048576,9,)</f>
        <v>0</v>
      </c>
      <c r="F217" s="599" t="str">
        <f>VLOOKUP(Table1[[#This Row],[الرقم الوظيفي]],[1]Sheet2!$1:$1048576,12,)</f>
        <v>عامل</v>
      </c>
      <c r="G217" s="599">
        <f>VLOOKUP(Table1[[#This Row],[الرقم الوظيفي]],[1]Sheet2!$1:$1048576,72,)</f>
        <v>0</v>
      </c>
      <c r="H217" s="599">
        <f>VLOOKUP(Table1[[#This Row],[الرقم الوظيفي]],[1]Sheet2!$1:$1048576,71,)</f>
        <v>0</v>
      </c>
      <c r="I217" s="599" t="str">
        <f>VLOOKUP(Table1[[#This Row],[المؤهل الرئيسي]],Table4[],3,)</f>
        <v>H</v>
      </c>
      <c r="J217" s="599" t="s">
        <v>925</v>
      </c>
      <c r="K217" s="615">
        <f>VLOOKUP(Table1[[#This Row],[الرقم الوظيفي]],[1]Sheet2!$1:$1048576,13,)</f>
        <v>42887</v>
      </c>
      <c r="L217" s="615">
        <v>43830</v>
      </c>
      <c r="M217" s="599">
        <f>DATEDIF(Table1[[#This Row],[تاريخ التعيين]],Table1[[#This Row],[اخر العام]],"y")</f>
        <v>2</v>
      </c>
      <c r="N217" s="599">
        <f>DATEDIF(Table1[[#This Row],[تاريخ التعيين]],Table1[[#This Row],[اخر العام]],"ym")</f>
        <v>6</v>
      </c>
      <c r="O217" s="610">
        <f>Table1[[#This Row],[سنوات الخدمه]]*1+Table1[[#This Row],[الشهور اقل من سنه]]*0.08</f>
        <v>2.48</v>
      </c>
      <c r="P217" s="616">
        <v>3020</v>
      </c>
      <c r="Q217" s="617">
        <v>89.391999999999996</v>
      </c>
      <c r="R217" s="612"/>
      <c r="S217" s="599"/>
      <c r="T217" s="612"/>
      <c r="U217" s="612"/>
      <c r="V217" s="612"/>
      <c r="W217" s="612"/>
      <c r="X217" s="612"/>
      <c r="Y217" s="612"/>
      <c r="Z217" s="612"/>
      <c r="AA21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7" s="612"/>
      <c r="AC217" s="599"/>
      <c r="AD217" s="612"/>
      <c r="AE217" s="612"/>
      <c r="AF217" s="612"/>
      <c r="AG217" s="612"/>
      <c r="AH217" s="619">
        <f>SUM(Table1[[#This Row],[التقييد  باللوائح و تنفيذالتوجيه]:[اتباع اجراءات السلامه]])</f>
        <v>0</v>
      </c>
      <c r="AI217" s="619">
        <f>Table1[[#This Row],[المجموع]]+Table1[[#This Row],[المجموع2]]</f>
        <v>0</v>
      </c>
      <c r="AJ217" s="612"/>
      <c r="AK217" s="612"/>
      <c r="AL217" s="612"/>
      <c r="AM217" s="612"/>
      <c r="AN217" s="612"/>
      <c r="AO217" s="606">
        <f>Table1[[#This Row],[المجموع 1+2]]*$AO$2</f>
        <v>0</v>
      </c>
      <c r="AP217" s="648">
        <f>Table1[[#This Row],[راتب ديسمبر 2019]]*Table1[[#This Row],[نسبه التقييم الرئيسي 2018]]%</f>
        <v>0</v>
      </c>
      <c r="AQ217" s="627">
        <f>Table1[[#This Row],[مبلغ التقييم النسبي 2018]]+Table1[[#This Row],[راتب ديسمبر 2019]]</f>
        <v>3020</v>
      </c>
      <c r="AR217" s="611">
        <f>IF(Table1[[#This Row],[Column3]]&lt;0,0,Table1[[#This Row],[Column3]])</f>
        <v>5980</v>
      </c>
      <c r="AS217" s="599">
        <f>VLOOKUP(Table1[[#This Row],[درجه التوسيط]],Table10[],3,)</f>
        <v>9000</v>
      </c>
      <c r="AT217" s="608">
        <f>Table1[[#This Row],[الراتب 2018+النسبه]]+Table1[[#This Row],[فروقات الحد الادني]]</f>
        <v>9000</v>
      </c>
      <c r="AU217" s="629">
        <f>Table1[[#This Row],[الراتب 2018 + النسبه + الفرق]]-Table1[[#This Row],[راتب ديسمبر 2019]]</f>
        <v>5980</v>
      </c>
      <c r="AV217" s="628">
        <f>Table1[[#This Row],[الزياده]]/Table1[[#This Row],[راتب ديسمبر 2019]]%</f>
        <v>198.01324503311258</v>
      </c>
      <c r="AW217" s="659">
        <f>IF(Table1[[#This Row],[Column4]]&lt;0,0,Table1[[#This Row],[Column4]])</f>
        <v>0</v>
      </c>
      <c r="AX217" s="611">
        <f>Table1[[#This Row],[الجبر حتي]]-Table1[[#This Row],[رن]]</f>
        <v>0</v>
      </c>
      <c r="AY217" s="611">
        <f>Table1[[#This Row],[الزياده]]+Table1[[#This Row],[التعديل]]+Table1[[#This Row],[جبر الرقم]]</f>
        <v>5980</v>
      </c>
      <c r="AZ217" s="611">
        <f>Table1[[#This Row],[الراتب 2018 + النسبه + الفرق]]+Table1[[#This Row],[جبر الرقم]]+Table1[[#This Row],[التعديل]]</f>
        <v>9000</v>
      </c>
      <c r="BA217" s="631">
        <f>Table1[[#This Row],[الزياده النهائيه]]/Table1[[#This Row],[راتب ديسمبر 2019]]%</f>
        <v>198.01324503311258</v>
      </c>
      <c r="BB217" s="612">
        <f>VLOOKUP(Table1[[#This Row],[الرقم الوظيفي]],Table6[],8,)</f>
        <v>3020</v>
      </c>
      <c r="BC217" s="7"/>
      <c r="BD217" s="7">
        <v>6000</v>
      </c>
      <c r="BE217" s="7">
        <v>6000</v>
      </c>
      <c r="BF217" s="5">
        <f>Table1[[#This Row],[الحد الادني]]-Table1[[#This Row],[الراتب 2018+النسبه]]</f>
        <v>5980</v>
      </c>
      <c r="BG217" s="5">
        <f>Table1[[#This Row],[التعديل حتي]]-Table1[[#This Row],[kkk]]</f>
        <v>-6000</v>
      </c>
      <c r="BH217" s="5">
        <v>6000</v>
      </c>
      <c r="BI217" s="5"/>
    </row>
    <row r="218" spans="1:61" ht="21" customHeight="1">
      <c r="A218" s="602">
        <v>973</v>
      </c>
      <c r="B218" s="618" t="str">
        <f>VLOOKUP(Table1[[#This Row],[الرقم الوظيفي]],[1]Sheet2!$1:$1048576,2,)</f>
        <v>محمد عثمان محمد موسى</v>
      </c>
      <c r="C218" s="618" t="str">
        <f>VLOOKUP(Table1[[#This Row],[الرقم الوظيفي]],[1]Sheet2!$1:$1048576,7,)</f>
        <v>المصنع</v>
      </c>
      <c r="D218" s="618" t="str">
        <f>VLOOKUP(Table1[[#This Row],[الرقم الوظيفي]],[1]Sheet2!$1:$1048576,8,)</f>
        <v>الميكانيكا</v>
      </c>
      <c r="E218" s="599">
        <f>VLOOKUP(Table1[[#This Row],[الرقم الوظيفي]],[1]Sheet2!$1:$1048576,9,)</f>
        <v>0</v>
      </c>
      <c r="F218" s="599" t="str">
        <f>VLOOKUP(Table1[[#This Row],[الرقم الوظيفي]],[1]Sheet2!$1:$1048576,12,)</f>
        <v>فنى ميكانيكا</v>
      </c>
      <c r="G218" s="599" t="str">
        <f>VLOOKUP(Table1[[#This Row],[الرقم الوظيفي]],[1]Sheet2!$1:$1048576,72,)</f>
        <v>تدريب مهني</v>
      </c>
      <c r="H218" s="599" t="str">
        <f>VLOOKUP(Table1[[#This Row],[الرقم الوظيفي]],[1]Sheet2!$1:$1048576,71,)</f>
        <v>ميكانيكا سيارات</v>
      </c>
      <c r="I218" s="599" t="str">
        <f>VLOOKUP(Table1[[#This Row],[المؤهل الرئيسي]],Table4[],3,)</f>
        <v>F</v>
      </c>
      <c r="J218" s="599" t="s">
        <v>924</v>
      </c>
      <c r="K218" s="615">
        <f>VLOOKUP(Table1[[#This Row],[الرقم الوظيفي]],[1]Sheet2!$1:$1048576,13,)</f>
        <v>42887</v>
      </c>
      <c r="L218" s="615">
        <v>43830</v>
      </c>
      <c r="M218" s="599">
        <f>DATEDIF(Table1[[#This Row],[تاريخ التعيين]],Table1[[#This Row],[اخر العام]],"y")</f>
        <v>2</v>
      </c>
      <c r="N218" s="599">
        <f>DATEDIF(Table1[[#This Row],[تاريخ التعيين]],Table1[[#This Row],[اخر العام]],"ym")</f>
        <v>6</v>
      </c>
      <c r="O218" s="610">
        <f>Table1[[#This Row],[سنوات الخدمه]]*1+Table1[[#This Row],[الشهور اقل من سنه]]*0.08</f>
        <v>2.48</v>
      </c>
      <c r="P218" s="616">
        <v>4020</v>
      </c>
      <c r="Q218" s="617">
        <v>118.992</v>
      </c>
      <c r="R218" s="612"/>
      <c r="S218" s="599"/>
      <c r="T218" s="612"/>
      <c r="U218" s="612"/>
      <c r="V218" s="612"/>
      <c r="W218" s="612"/>
      <c r="X218" s="612"/>
      <c r="Y218" s="612"/>
      <c r="Z218" s="612"/>
      <c r="AA21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8" s="612"/>
      <c r="AC218" s="599"/>
      <c r="AD218" s="612"/>
      <c r="AE218" s="612"/>
      <c r="AF218" s="612"/>
      <c r="AG218" s="612"/>
      <c r="AH218" s="619">
        <f>SUM(Table1[[#This Row],[التقييد  باللوائح و تنفيذالتوجيه]:[اتباع اجراءات السلامه]])</f>
        <v>0</v>
      </c>
      <c r="AI218" s="619">
        <f>Table1[[#This Row],[المجموع]]+Table1[[#This Row],[المجموع2]]</f>
        <v>0</v>
      </c>
      <c r="AJ218" s="612">
        <v>10</v>
      </c>
      <c r="AK218" s="612"/>
      <c r="AL218" s="612"/>
      <c r="AM218" s="612"/>
      <c r="AN218" s="612"/>
      <c r="AO218" s="606">
        <f>Table1[[#This Row],[المجموع 1+2]]*$AO$2</f>
        <v>0</v>
      </c>
      <c r="AP218" s="648">
        <f>Table1[[#This Row],[راتب ديسمبر 2019]]*Table1[[#This Row],[نسبه التقييم الرئيسي 2018]]%</f>
        <v>0</v>
      </c>
      <c r="AQ218" s="627">
        <f>Table1[[#This Row],[مبلغ التقييم النسبي 2018]]+Table1[[#This Row],[راتب ديسمبر 2019]]</f>
        <v>4020</v>
      </c>
      <c r="AR218" s="611">
        <f>IF(Table1[[#This Row],[Column3]]&lt;0,0,Table1[[#This Row],[Column3]])</f>
        <v>4980</v>
      </c>
      <c r="AS218" s="599">
        <f>VLOOKUP(Table1[[#This Row],[درجه التوسيط]],Table10[],3,)</f>
        <v>9000</v>
      </c>
      <c r="AT218" s="608">
        <f>Table1[[#This Row],[الراتب 2018+النسبه]]+Table1[[#This Row],[فروقات الحد الادني]]</f>
        <v>9000</v>
      </c>
      <c r="AU218" s="629">
        <f>Table1[[#This Row],[الراتب 2018 + النسبه + الفرق]]-Table1[[#This Row],[راتب ديسمبر 2019]]</f>
        <v>4980</v>
      </c>
      <c r="AV218" s="628">
        <f>Table1[[#This Row],[الزياده]]/Table1[[#This Row],[راتب ديسمبر 2019]]%</f>
        <v>123.88059701492537</v>
      </c>
      <c r="AW218" s="659">
        <f>IF(Table1[[#This Row],[Column4]]&lt;0,0,Table1[[#This Row],[Column4]])</f>
        <v>0</v>
      </c>
      <c r="AX218" s="611">
        <f>Table1[[#This Row],[الجبر حتي]]-Table1[[#This Row],[رن]]</f>
        <v>5.0799999999999272</v>
      </c>
      <c r="AY218" s="611">
        <f>Table1[[#This Row],[الزياده]]+Table1[[#This Row],[التعديل]]+Table1[[#This Row],[جبر الرقم]]</f>
        <v>4985.08</v>
      </c>
      <c r="AZ218" s="611">
        <f>Table1[[#This Row],[الراتب 2018 + النسبه + الفرق]]+Table1[[#This Row],[جبر الرقم]]+Table1[[#This Row],[التعديل]]</f>
        <v>9005.08</v>
      </c>
      <c r="BA218" s="631">
        <f>Table1[[#This Row],[الزياده النهائيه]]/Table1[[#This Row],[راتب ديسمبر 2019]]%</f>
        <v>124.00696517412935</v>
      </c>
      <c r="BB218" s="612">
        <f>VLOOKUP(Table1[[#This Row],[الرقم الوظيفي]],Table6[],8,)</f>
        <v>4020</v>
      </c>
      <c r="BC218" s="7"/>
      <c r="BD218" s="7">
        <v>6220</v>
      </c>
      <c r="BE218" s="7">
        <v>6214.92</v>
      </c>
      <c r="BF218" s="5">
        <f>Table1[[#This Row],[الحد الادني]]-Table1[[#This Row],[الراتب 2018+النسبه]]</f>
        <v>4980</v>
      </c>
      <c r="BG218" s="5">
        <f>Table1[[#This Row],[التعديل حتي]]-Table1[[#This Row],[kkk]]</f>
        <v>-6214.92</v>
      </c>
      <c r="BH218" s="5">
        <v>6214.92</v>
      </c>
      <c r="BI218" s="5"/>
    </row>
    <row r="219" spans="1:61" ht="21" customHeight="1">
      <c r="A219" s="602">
        <v>976</v>
      </c>
      <c r="B219" s="618" t="str">
        <f>VLOOKUP(Table1[[#This Row],[الرقم الوظيفي]],[1]Sheet2!$1:$1048576,2,)</f>
        <v>يحى محمد على محمد شريف</v>
      </c>
      <c r="C219" s="618" t="str">
        <f>VLOOKUP(Table1[[#This Row],[الرقم الوظيفي]],[1]Sheet2!$1:$1048576,7,)</f>
        <v>المصنع</v>
      </c>
      <c r="D219" s="618" t="str">
        <f>VLOOKUP(Table1[[#This Row],[الرقم الوظيفي]],[1]Sheet2!$1:$1048576,8,)</f>
        <v>الانتاج</v>
      </c>
      <c r="E219" s="599">
        <f>VLOOKUP(Table1[[#This Row],[الرقم الوظيفي]],[1]Sheet2!$1:$1048576,9,)</f>
        <v>0</v>
      </c>
      <c r="F219" s="599" t="str">
        <f>VLOOKUP(Table1[[#This Row],[الرقم الوظيفي]],[1]Sheet2!$1:$1048576,12,)</f>
        <v>عامل</v>
      </c>
      <c r="G219" s="599">
        <f>VLOOKUP(Table1[[#This Row],[الرقم الوظيفي]],[1]Sheet2!$1:$1048576,72,)</f>
        <v>0</v>
      </c>
      <c r="H219" s="599">
        <f>VLOOKUP(Table1[[#This Row],[الرقم الوظيفي]],[1]Sheet2!$1:$1048576,71,)</f>
        <v>0</v>
      </c>
      <c r="I219" s="599" t="str">
        <f>VLOOKUP(Table1[[#This Row],[المؤهل الرئيسي]],Table4[],3,)</f>
        <v>H</v>
      </c>
      <c r="J219" s="599" t="s">
        <v>929</v>
      </c>
      <c r="K219" s="615">
        <f>VLOOKUP(Table1[[#This Row],[الرقم الوظيفي]],[1]Sheet2!$1:$1048576,13,)</f>
        <v>42920</v>
      </c>
      <c r="L219" s="615">
        <v>43830</v>
      </c>
      <c r="M219" s="599">
        <f>DATEDIF(Table1[[#This Row],[تاريخ التعيين]],Table1[[#This Row],[اخر العام]],"y")</f>
        <v>2</v>
      </c>
      <c r="N219" s="599">
        <f>DATEDIF(Table1[[#This Row],[تاريخ التعيين]],Table1[[#This Row],[اخر العام]],"ym")</f>
        <v>5</v>
      </c>
      <c r="O219" s="610">
        <f>Table1[[#This Row],[سنوات الخدمه]]*1+Table1[[#This Row],[الشهور اقل من سنه]]*0.08</f>
        <v>2.4</v>
      </c>
      <c r="P219" s="616">
        <v>3020</v>
      </c>
      <c r="Q219" s="617">
        <v>84.56</v>
      </c>
      <c r="R219" s="612"/>
      <c r="S219" s="599"/>
      <c r="T219" s="612"/>
      <c r="U219" s="612"/>
      <c r="V219" s="612"/>
      <c r="W219" s="612"/>
      <c r="X219" s="612"/>
      <c r="Y219" s="612"/>
      <c r="Z219" s="612"/>
      <c r="AA21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19" s="612"/>
      <c r="AC219" s="599"/>
      <c r="AD219" s="612"/>
      <c r="AE219" s="612"/>
      <c r="AF219" s="612"/>
      <c r="AG219" s="612"/>
      <c r="AH219" s="619">
        <f>SUM(Table1[[#This Row],[التقييد  باللوائح و تنفيذالتوجيه]:[اتباع اجراءات السلامه]])</f>
        <v>0</v>
      </c>
      <c r="AI219" s="619">
        <f>Table1[[#This Row],[المجموع]]+Table1[[#This Row],[المجموع2]]</f>
        <v>0</v>
      </c>
      <c r="AJ219" s="612"/>
      <c r="AK219" s="612"/>
      <c r="AL219" s="612"/>
      <c r="AM219" s="612"/>
      <c r="AN219" s="612"/>
      <c r="AO219" s="606">
        <f>Table1[[#This Row],[المجموع 1+2]]*$AO$2</f>
        <v>0</v>
      </c>
      <c r="AP219" s="648">
        <f>Table1[[#This Row],[راتب ديسمبر 2019]]*Table1[[#This Row],[نسبه التقييم الرئيسي 2018]]%</f>
        <v>0</v>
      </c>
      <c r="AQ219" s="627">
        <f>Table1[[#This Row],[مبلغ التقييم النسبي 2018]]+Table1[[#This Row],[راتب ديسمبر 2019]]</f>
        <v>3020</v>
      </c>
      <c r="AR219" s="611">
        <f>IF(Table1[[#This Row],[Column3]]&lt;0,0,Table1[[#This Row],[Column3]])</f>
        <v>2980</v>
      </c>
      <c r="AS219" s="599">
        <f>VLOOKUP(Table1[[#This Row],[درجه التوسيط]],Table10[],3,)</f>
        <v>6000</v>
      </c>
      <c r="AT219" s="608">
        <f>Table1[[#This Row],[الراتب 2018+النسبه]]+Table1[[#This Row],[فروقات الحد الادني]]</f>
        <v>6000</v>
      </c>
      <c r="AU219" s="629">
        <f>Table1[[#This Row],[الراتب 2018 + النسبه + الفرق]]-Table1[[#This Row],[راتب ديسمبر 2019]]</f>
        <v>2980</v>
      </c>
      <c r="AV219" s="628">
        <f>Table1[[#This Row],[الزياده]]/Table1[[#This Row],[راتب ديسمبر 2019]]%</f>
        <v>98.675496688741731</v>
      </c>
      <c r="AW219" s="659">
        <f>IF(Table1[[#This Row],[Column4]]&lt;0,0,Table1[[#This Row],[Column4]])</f>
        <v>0</v>
      </c>
      <c r="AX219" s="611">
        <f>Table1[[#This Row],[الجبر حتي]]-Table1[[#This Row],[رن]]</f>
        <v>2.9600000000000364</v>
      </c>
      <c r="AY219" s="611">
        <f>Table1[[#This Row],[الزياده]]+Table1[[#This Row],[التعديل]]+Table1[[#This Row],[جبر الرقم]]</f>
        <v>2982.96</v>
      </c>
      <c r="AZ219" s="611">
        <f>Table1[[#This Row],[الراتب 2018 + النسبه + الفرق]]+Table1[[#This Row],[جبر الرقم]]+Table1[[#This Row],[التعديل]]</f>
        <v>6002.96</v>
      </c>
      <c r="BA219" s="631">
        <f>Table1[[#This Row],[الزياده النهائيه]]/Table1[[#This Row],[راتب ديسمبر 2019]]%</f>
        <v>98.773509933774832</v>
      </c>
      <c r="BB219" s="612">
        <f>VLOOKUP(Table1[[#This Row],[الرقم الوظيفي]],Table6[],8,)</f>
        <v>3020</v>
      </c>
      <c r="BC219" s="7"/>
      <c r="BD219" s="7">
        <v>4690</v>
      </c>
      <c r="BE219" s="7">
        <v>4687.04</v>
      </c>
      <c r="BF219" s="5">
        <f>Table1[[#This Row],[الحد الادني]]-Table1[[#This Row],[الراتب 2018+النسبه]]</f>
        <v>2980</v>
      </c>
      <c r="BG219" s="5">
        <f>Table1[[#This Row],[التعديل حتي]]-Table1[[#This Row],[kkk]]</f>
        <v>-4687.04</v>
      </c>
      <c r="BH219" s="5">
        <v>4687.04</v>
      </c>
      <c r="BI219" s="5"/>
    </row>
    <row r="220" spans="1:61" ht="21" customHeight="1">
      <c r="A220" s="602">
        <v>978</v>
      </c>
      <c r="B220" s="618" t="str">
        <f>VLOOKUP(Table1[[#This Row],[الرقم الوظيفي]],[1]Sheet2!$1:$1048576,2,)</f>
        <v>مسلم بشير عبدالقادر إبراهيم</v>
      </c>
      <c r="C220" s="618" t="str">
        <f>VLOOKUP(Table1[[#This Row],[الرقم الوظيفي]],[1]Sheet2!$1:$1048576,7,)</f>
        <v>المصنع</v>
      </c>
      <c r="D220" s="618" t="str">
        <f>VLOOKUP(Table1[[#This Row],[الرقم الوظيفي]],[1]Sheet2!$1:$1048576,8,)</f>
        <v>الجوده</v>
      </c>
      <c r="E220" s="599">
        <f>VLOOKUP(Table1[[#This Row],[الرقم الوظيفي]],[1]Sheet2!$1:$1048576,9,)</f>
        <v>0</v>
      </c>
      <c r="F220" s="599" t="str">
        <f>VLOOKUP(Table1[[#This Row],[الرقم الوظيفي]],[1]Sheet2!$1:$1048576,12,)</f>
        <v>مراقب انتاج</v>
      </c>
      <c r="G220" s="599">
        <f>VLOOKUP(Table1[[#This Row],[الرقم الوظيفي]],[1]Sheet2!$1:$1048576,72,)</f>
        <v>0</v>
      </c>
      <c r="H220" s="599">
        <f>VLOOKUP(Table1[[#This Row],[الرقم الوظيفي]],[1]Sheet2!$1:$1048576,71,)</f>
        <v>0</v>
      </c>
      <c r="I220" s="599" t="str">
        <f>VLOOKUP(Table1[[#This Row],[المؤهل الرئيسي]],Table4[],3,)</f>
        <v>H</v>
      </c>
      <c r="J220" s="599" t="s">
        <v>924</v>
      </c>
      <c r="K220" s="615">
        <f>VLOOKUP(Table1[[#This Row],[الرقم الوظيفي]],[1]Sheet2!$1:$1048576,13,)</f>
        <v>42928</v>
      </c>
      <c r="L220" s="615">
        <v>43830</v>
      </c>
      <c r="M220" s="599">
        <f>DATEDIF(Table1[[#This Row],[تاريخ التعيين]],Table1[[#This Row],[اخر العام]],"y")</f>
        <v>2</v>
      </c>
      <c r="N220" s="599">
        <f>DATEDIF(Table1[[#This Row],[تاريخ التعيين]],Table1[[#This Row],[اخر العام]],"ym")</f>
        <v>5</v>
      </c>
      <c r="O220" s="610">
        <f>Table1[[#This Row],[سنوات الخدمه]]*1+Table1[[#This Row],[الشهور اقل من سنه]]*0.08</f>
        <v>2.4</v>
      </c>
      <c r="P220" s="616">
        <v>3020</v>
      </c>
      <c r="Q220" s="617">
        <v>84.56</v>
      </c>
      <c r="R220" s="612"/>
      <c r="S220" s="599"/>
      <c r="T220" s="612"/>
      <c r="U220" s="612"/>
      <c r="V220" s="612"/>
      <c r="W220" s="612"/>
      <c r="X220" s="612"/>
      <c r="Y220" s="612"/>
      <c r="Z220" s="612"/>
      <c r="AA22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0" s="612"/>
      <c r="AC220" s="599"/>
      <c r="AD220" s="612"/>
      <c r="AE220" s="612"/>
      <c r="AF220" s="612"/>
      <c r="AG220" s="612"/>
      <c r="AH220" s="619">
        <f>SUM(Table1[[#This Row],[التقييد  باللوائح و تنفيذالتوجيه]:[اتباع اجراءات السلامه]])</f>
        <v>0</v>
      </c>
      <c r="AI220" s="619">
        <f>Table1[[#This Row],[المجموع]]+Table1[[#This Row],[المجموع2]]</f>
        <v>0</v>
      </c>
      <c r="AJ220" s="612">
        <v>9</v>
      </c>
      <c r="AK220" s="612"/>
      <c r="AL220" s="612"/>
      <c r="AM220" s="612"/>
      <c r="AN220" s="612"/>
      <c r="AO220" s="606">
        <f>Table1[[#This Row],[المجموع 1+2]]*$AO$2</f>
        <v>0</v>
      </c>
      <c r="AP220" s="648">
        <f>Table1[[#This Row],[راتب ديسمبر 2019]]*Table1[[#This Row],[نسبه التقييم الرئيسي 2018]]%</f>
        <v>0</v>
      </c>
      <c r="AQ220" s="627">
        <f>Table1[[#This Row],[مبلغ التقييم النسبي 2018]]+Table1[[#This Row],[راتب ديسمبر 2019]]</f>
        <v>3020</v>
      </c>
      <c r="AR220" s="611">
        <f>IF(Table1[[#This Row],[Column3]]&lt;0,0,Table1[[#This Row],[Column3]])</f>
        <v>5980</v>
      </c>
      <c r="AS220" s="599">
        <f>VLOOKUP(Table1[[#This Row],[درجه التوسيط]],Table10[],3,)</f>
        <v>9000</v>
      </c>
      <c r="AT220" s="608">
        <f>Table1[[#This Row],[الراتب 2018+النسبه]]+Table1[[#This Row],[فروقات الحد الادني]]</f>
        <v>9000</v>
      </c>
      <c r="AU220" s="629">
        <f>Table1[[#This Row],[الراتب 2018 + النسبه + الفرق]]-Table1[[#This Row],[راتب ديسمبر 2019]]</f>
        <v>5980</v>
      </c>
      <c r="AV220" s="628">
        <f>Table1[[#This Row],[الزياده]]/Table1[[#This Row],[راتب ديسمبر 2019]]%</f>
        <v>198.01324503311258</v>
      </c>
      <c r="AW220" s="659">
        <f>IF(Table1[[#This Row],[Column4]]&lt;0,0,Table1[[#This Row],[Column4]])</f>
        <v>0</v>
      </c>
      <c r="AX220" s="611">
        <f>Table1[[#This Row],[الجبر حتي]]-Table1[[#This Row],[رن]]</f>
        <v>0</v>
      </c>
      <c r="AY220" s="611">
        <f>Table1[[#This Row],[الزياده]]+Table1[[#This Row],[التعديل]]+Table1[[#This Row],[جبر الرقم]]</f>
        <v>5980</v>
      </c>
      <c r="AZ220" s="611">
        <f>Table1[[#This Row],[الراتب 2018 + النسبه + الفرق]]+Table1[[#This Row],[جبر الرقم]]+Table1[[#This Row],[التعديل]]</f>
        <v>9000</v>
      </c>
      <c r="BA220" s="631">
        <f>Table1[[#This Row],[الزياده النهائيه]]/Table1[[#This Row],[راتب ديسمبر 2019]]%</f>
        <v>198.01324503311258</v>
      </c>
      <c r="BB220" s="612">
        <f>VLOOKUP(Table1[[#This Row],[الرقم الوظيفي]],Table6[],8,)</f>
        <v>3020</v>
      </c>
      <c r="BC220" s="7"/>
      <c r="BD220" s="7">
        <v>6000</v>
      </c>
      <c r="BE220" s="7">
        <v>6000</v>
      </c>
      <c r="BF220" s="5">
        <f>Table1[[#This Row],[الحد الادني]]-Table1[[#This Row],[الراتب 2018+النسبه]]</f>
        <v>5980</v>
      </c>
      <c r="BG220" s="5">
        <f>Table1[[#This Row],[التعديل حتي]]-Table1[[#This Row],[kkk]]</f>
        <v>-6000</v>
      </c>
      <c r="BH220" s="5">
        <v>6000</v>
      </c>
      <c r="BI220" s="5"/>
    </row>
    <row r="221" spans="1:61" ht="21" customHeight="1">
      <c r="A221" s="602">
        <v>979</v>
      </c>
      <c r="B221" s="618" t="str">
        <f>VLOOKUP(Table1[[#This Row],[الرقم الوظيفي]],[1]Sheet2!$1:$1048576,2,)</f>
        <v xml:space="preserve">محمد احمد الحاج عثمان </v>
      </c>
      <c r="C221" s="618" t="str">
        <f>VLOOKUP(Table1[[#This Row],[الرقم الوظيفي]],[1]Sheet2!$1:$1048576,7,)</f>
        <v>المصنع</v>
      </c>
      <c r="D221" s="618" t="str">
        <f>VLOOKUP(Table1[[#This Row],[الرقم الوظيفي]],[1]Sheet2!$1:$1048576,8,)</f>
        <v>المستودعات</v>
      </c>
      <c r="E221" s="599">
        <f>VLOOKUP(Table1[[#This Row],[الرقم الوظيفي]],[1]Sheet2!$1:$1048576,9,)</f>
        <v>0</v>
      </c>
      <c r="F221" s="599" t="str">
        <f>VLOOKUP(Table1[[#This Row],[الرقم الوظيفي]],[1]Sheet2!$1:$1048576,12,)</f>
        <v>امين مستودع</v>
      </c>
      <c r="G221" s="599" t="str">
        <f>VLOOKUP(Table1[[#This Row],[الرقم الوظيفي]],[1]Sheet2!$1:$1048576,72,)</f>
        <v>بكلاريوس</v>
      </c>
      <c r="H221" s="599" t="str">
        <f>VLOOKUP(Table1[[#This Row],[الرقم الوظيفي]],[1]Sheet2!$1:$1048576,71,)</f>
        <v>الإحصاء والاقتصاد القياسي</v>
      </c>
      <c r="I221" s="599" t="str">
        <f>VLOOKUP(Table1[[#This Row],[المؤهل الرئيسي]],Table4[],3,)</f>
        <v>C</v>
      </c>
      <c r="J221" s="599" t="s">
        <v>923</v>
      </c>
      <c r="K221" s="615">
        <f>VLOOKUP(Table1[[#This Row],[الرقم الوظيفي]],[1]Sheet2!$1:$1048576,13,)</f>
        <v>42929</v>
      </c>
      <c r="L221" s="615">
        <v>43830</v>
      </c>
      <c r="M221" s="599">
        <f>DATEDIF(Table1[[#This Row],[تاريخ التعيين]],Table1[[#This Row],[اخر العام]],"y")</f>
        <v>2</v>
      </c>
      <c r="N221" s="599">
        <f>DATEDIF(Table1[[#This Row],[تاريخ التعيين]],Table1[[#This Row],[اخر العام]],"ym")</f>
        <v>5</v>
      </c>
      <c r="O221" s="610">
        <f>Table1[[#This Row],[سنوات الخدمه]]*1+Table1[[#This Row],[الشهور اقل من سنه]]*0.08</f>
        <v>2.4</v>
      </c>
      <c r="P221" s="616">
        <v>3520</v>
      </c>
      <c r="Q221" s="617">
        <v>98.56</v>
      </c>
      <c r="R221" s="612"/>
      <c r="S221" s="599"/>
      <c r="T221" s="612"/>
      <c r="U221" s="612"/>
      <c r="V221" s="612"/>
      <c r="W221" s="612"/>
      <c r="X221" s="612"/>
      <c r="Y221" s="612"/>
      <c r="Z221" s="612"/>
      <c r="AA22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1" s="612"/>
      <c r="AC221" s="599"/>
      <c r="AD221" s="612"/>
      <c r="AE221" s="612"/>
      <c r="AF221" s="612"/>
      <c r="AG221" s="612"/>
      <c r="AH221" s="619">
        <f>SUM(Table1[[#This Row],[التقييد  باللوائح و تنفيذالتوجيه]:[اتباع اجراءات السلامه]])</f>
        <v>0</v>
      </c>
      <c r="AI221" s="619">
        <f>Table1[[#This Row],[المجموع]]+Table1[[#This Row],[المجموع2]]</f>
        <v>0</v>
      </c>
      <c r="AJ221" s="612"/>
      <c r="AK221" s="612"/>
      <c r="AL221" s="612"/>
      <c r="AM221" s="612"/>
      <c r="AN221" s="612"/>
      <c r="AO221" s="606">
        <f>Table1[[#This Row],[المجموع 1+2]]*$AO$2</f>
        <v>0</v>
      </c>
      <c r="AP221" s="648">
        <f>Table1[[#This Row],[راتب ديسمبر 2019]]*Table1[[#This Row],[نسبه التقييم الرئيسي 2018]]%</f>
        <v>0</v>
      </c>
      <c r="AQ221" s="627">
        <f>Table1[[#This Row],[مبلغ التقييم النسبي 2018]]+Table1[[#This Row],[راتب ديسمبر 2019]]</f>
        <v>3520</v>
      </c>
      <c r="AR221" s="611">
        <f>IF(Table1[[#This Row],[Column3]]&lt;0,0,Table1[[#This Row],[Column3]])</f>
        <v>6480</v>
      </c>
      <c r="AS221" s="599">
        <f>VLOOKUP(Table1[[#This Row],[درجه التوسيط]],Table10[],3,)</f>
        <v>10000</v>
      </c>
      <c r="AT221" s="608">
        <f>Table1[[#This Row],[الراتب 2018+النسبه]]+Table1[[#This Row],[فروقات الحد الادني]]</f>
        <v>10000</v>
      </c>
      <c r="AU221" s="629">
        <f>Table1[[#This Row],[الراتب 2018 + النسبه + الفرق]]-Table1[[#This Row],[راتب ديسمبر 2019]]</f>
        <v>6480</v>
      </c>
      <c r="AV221" s="628">
        <f>Table1[[#This Row],[الزياده]]/Table1[[#This Row],[راتب ديسمبر 2019]]%</f>
        <v>184.09090909090907</v>
      </c>
      <c r="AW221" s="659">
        <f>IF(Table1[[#This Row],[Column4]]&lt;0,0,Table1[[#This Row],[Column4]])</f>
        <v>0</v>
      </c>
      <c r="AX221" s="611">
        <f>Table1[[#This Row],[الجبر حتي]]-Table1[[#This Row],[رن]]</f>
        <v>0</v>
      </c>
      <c r="AY221" s="611">
        <f>Table1[[#This Row],[الزياده]]+Table1[[#This Row],[التعديل]]+Table1[[#This Row],[جبر الرقم]]</f>
        <v>6480</v>
      </c>
      <c r="AZ221" s="611">
        <f>Table1[[#This Row],[الراتب 2018 + النسبه + الفرق]]+Table1[[#This Row],[جبر الرقم]]+Table1[[#This Row],[التعديل]]</f>
        <v>10000</v>
      </c>
      <c r="BA221" s="631">
        <f>Table1[[#This Row],[الزياده النهائيه]]/Table1[[#This Row],[راتب ديسمبر 2019]]%</f>
        <v>184.09090909090907</v>
      </c>
      <c r="BB221" s="612">
        <f>VLOOKUP(Table1[[#This Row],[الرقم الوظيفي]],Table6[],8,)</f>
        <v>3520</v>
      </c>
      <c r="BC221" s="7"/>
      <c r="BD221" s="7">
        <v>6500</v>
      </c>
      <c r="BE221" s="7">
        <v>6500</v>
      </c>
      <c r="BF221" s="5">
        <f>Table1[[#This Row],[الحد الادني]]-Table1[[#This Row],[الراتب 2018+النسبه]]</f>
        <v>6480</v>
      </c>
      <c r="BG221" s="5">
        <f>Table1[[#This Row],[التعديل حتي]]-Table1[[#This Row],[kkk]]</f>
        <v>-6500</v>
      </c>
      <c r="BH221" s="5">
        <v>6500</v>
      </c>
      <c r="BI221" s="5"/>
    </row>
    <row r="222" spans="1:61" ht="21" customHeight="1">
      <c r="A222" s="602">
        <v>980</v>
      </c>
      <c r="B222" s="618" t="str">
        <f>VLOOKUP(Table1[[#This Row],[الرقم الوظيفي]],[1]Sheet2!$1:$1048576,2,)</f>
        <v>بلال عبد الرحمن كودى الازيرق</v>
      </c>
      <c r="C222" s="618" t="str">
        <f>VLOOKUP(Table1[[#This Row],[الرقم الوظيفي]],[1]Sheet2!$1:$1048576,7,)</f>
        <v>المصنع</v>
      </c>
      <c r="D222" s="618" t="str">
        <f>VLOOKUP(Table1[[#This Row],[الرقم الوظيفي]],[1]Sheet2!$1:$1048576,8,)</f>
        <v>الانتاج</v>
      </c>
      <c r="E222" s="599">
        <f>VLOOKUP(Table1[[#This Row],[الرقم الوظيفي]],[1]Sheet2!$1:$1048576,9,)</f>
        <v>0</v>
      </c>
      <c r="F222" s="599" t="str">
        <f>VLOOKUP(Table1[[#This Row],[الرقم الوظيفي]],[1]Sheet2!$1:$1048576,12,)</f>
        <v>عامل</v>
      </c>
      <c r="G222" s="599">
        <f>VLOOKUP(Table1[[#This Row],[الرقم الوظيفي]],[1]Sheet2!$1:$1048576,72,)</f>
        <v>0</v>
      </c>
      <c r="H222" s="599">
        <f>VLOOKUP(Table1[[#This Row],[الرقم الوظيفي]],[1]Sheet2!$1:$1048576,71,)</f>
        <v>0</v>
      </c>
      <c r="I222" s="599" t="str">
        <f>VLOOKUP(Table1[[#This Row],[المؤهل الرئيسي]],Table4[],3,)</f>
        <v>H</v>
      </c>
      <c r="J222" s="599" t="s">
        <v>929</v>
      </c>
      <c r="K222" s="615">
        <f>VLOOKUP(Table1[[#This Row],[الرقم الوظيفي]],[1]Sheet2!$1:$1048576,13,)</f>
        <v>42932</v>
      </c>
      <c r="L222" s="615">
        <v>43830</v>
      </c>
      <c r="M222" s="599">
        <f>DATEDIF(Table1[[#This Row],[تاريخ التعيين]],Table1[[#This Row],[اخر العام]],"y")</f>
        <v>2</v>
      </c>
      <c r="N222" s="599">
        <f>DATEDIF(Table1[[#This Row],[تاريخ التعيين]],Table1[[#This Row],[اخر العام]],"ym")</f>
        <v>5</v>
      </c>
      <c r="O222" s="610">
        <f>Table1[[#This Row],[سنوات الخدمه]]*1+Table1[[#This Row],[الشهور اقل من سنه]]*0.08</f>
        <v>2.4</v>
      </c>
      <c r="P222" s="616">
        <v>3020</v>
      </c>
      <c r="Q222" s="617">
        <v>84.56</v>
      </c>
      <c r="R222" s="612"/>
      <c r="S222" s="599"/>
      <c r="T222" s="612"/>
      <c r="U222" s="612"/>
      <c r="V222" s="612"/>
      <c r="W222" s="612"/>
      <c r="X222" s="612"/>
      <c r="Y222" s="612"/>
      <c r="Z222" s="612"/>
      <c r="AA22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2" s="612"/>
      <c r="AC222" s="599"/>
      <c r="AD222" s="612"/>
      <c r="AE222" s="612"/>
      <c r="AF222" s="612"/>
      <c r="AG222" s="612"/>
      <c r="AH222" s="619">
        <f>SUM(Table1[[#This Row],[التقييد  باللوائح و تنفيذالتوجيه]:[اتباع اجراءات السلامه]])</f>
        <v>0</v>
      </c>
      <c r="AI222" s="619">
        <f>Table1[[#This Row],[المجموع]]+Table1[[#This Row],[المجموع2]]</f>
        <v>0</v>
      </c>
      <c r="AJ222" s="612"/>
      <c r="AK222" s="612"/>
      <c r="AL222" s="612"/>
      <c r="AM222" s="612"/>
      <c r="AN222" s="612"/>
      <c r="AO222" s="606">
        <f>Table1[[#This Row],[المجموع 1+2]]*$AO$2</f>
        <v>0</v>
      </c>
      <c r="AP222" s="648">
        <f>Table1[[#This Row],[راتب ديسمبر 2019]]*Table1[[#This Row],[نسبه التقييم الرئيسي 2018]]%</f>
        <v>0</v>
      </c>
      <c r="AQ222" s="627">
        <f>Table1[[#This Row],[مبلغ التقييم النسبي 2018]]+Table1[[#This Row],[راتب ديسمبر 2019]]</f>
        <v>3020</v>
      </c>
      <c r="AR222" s="611">
        <f>IF(Table1[[#This Row],[Column3]]&lt;0,0,Table1[[#This Row],[Column3]])</f>
        <v>2980</v>
      </c>
      <c r="AS222" s="599">
        <f>VLOOKUP(Table1[[#This Row],[درجه التوسيط]],Table10[],3,)</f>
        <v>6000</v>
      </c>
      <c r="AT222" s="608">
        <f>Table1[[#This Row],[الراتب 2018+النسبه]]+Table1[[#This Row],[فروقات الحد الادني]]</f>
        <v>6000</v>
      </c>
      <c r="AU222" s="629">
        <f>Table1[[#This Row],[الراتب 2018 + النسبه + الفرق]]-Table1[[#This Row],[راتب ديسمبر 2019]]</f>
        <v>2980</v>
      </c>
      <c r="AV222" s="628">
        <f>Table1[[#This Row],[الزياده]]/Table1[[#This Row],[راتب ديسمبر 2019]]%</f>
        <v>98.675496688741731</v>
      </c>
      <c r="AW222" s="659">
        <f>IF(Table1[[#This Row],[Column4]]&lt;0,0,Table1[[#This Row],[Column4]])</f>
        <v>0</v>
      </c>
      <c r="AX222" s="611">
        <f>Table1[[#This Row],[الجبر حتي]]-Table1[[#This Row],[رن]]</f>
        <v>0.47999999999956344</v>
      </c>
      <c r="AY222" s="611">
        <f>Table1[[#This Row],[الزياده]]+Table1[[#This Row],[التعديل]]+Table1[[#This Row],[جبر الرقم]]</f>
        <v>2980.4799999999996</v>
      </c>
      <c r="AZ222" s="611">
        <f>Table1[[#This Row],[الراتب 2018 + النسبه + الفرق]]+Table1[[#This Row],[جبر الرقم]]+Table1[[#This Row],[التعديل]]</f>
        <v>6000.48</v>
      </c>
      <c r="BA222" s="631">
        <f>Table1[[#This Row],[الزياده النهائيه]]/Table1[[#This Row],[راتب ديسمبر 2019]]%</f>
        <v>98.691390728476804</v>
      </c>
      <c r="BB222" s="612">
        <f>VLOOKUP(Table1[[#This Row],[الرقم الوظيفي]],Table6[],8,)</f>
        <v>3020</v>
      </c>
      <c r="BC222" s="7"/>
      <c r="BD222" s="7">
        <v>4760</v>
      </c>
      <c r="BE222" s="7">
        <v>4759.5200000000004</v>
      </c>
      <c r="BF222" s="5">
        <f>Table1[[#This Row],[الحد الادني]]-Table1[[#This Row],[الراتب 2018+النسبه]]</f>
        <v>2980</v>
      </c>
      <c r="BG222" s="5">
        <f>Table1[[#This Row],[التعديل حتي]]-Table1[[#This Row],[kkk]]</f>
        <v>-4759.5200000000004</v>
      </c>
      <c r="BH222" s="5">
        <v>4759.5200000000004</v>
      </c>
      <c r="BI222" s="5"/>
    </row>
    <row r="223" spans="1:61">
      <c r="A223" s="602">
        <v>981</v>
      </c>
      <c r="B223" s="618" t="str">
        <f>VLOOKUP(Table1[[#This Row],[الرقم الوظيفي]],[1]Sheet2!$1:$1048576,2,)</f>
        <v>يوسف زكى الصديق محمد</v>
      </c>
      <c r="C223" s="618" t="str">
        <f>VLOOKUP(Table1[[#This Row],[الرقم الوظيفي]],[1]Sheet2!$1:$1048576,7,)</f>
        <v>المصنع</v>
      </c>
      <c r="D223" s="618" t="str">
        <f>VLOOKUP(Table1[[#This Row],[الرقم الوظيفي]],[1]Sheet2!$1:$1048576,8,)</f>
        <v>الالكترونيات</v>
      </c>
      <c r="E223" s="599">
        <f>VLOOKUP(Table1[[#This Row],[الرقم الوظيفي]],[1]Sheet2!$1:$1048576,9,)</f>
        <v>0</v>
      </c>
      <c r="F223" s="599" t="str">
        <f>VLOOKUP(Table1[[#This Row],[الرقم الوظيفي]],[1]Sheet2!$1:$1048576,12,)</f>
        <v>تقنى الكترونيات</v>
      </c>
      <c r="G223" s="599" t="str">
        <f>VLOOKUP(Table1[[#This Row],[الرقم الوظيفي]],[1]Sheet2!$1:$1048576,72,)</f>
        <v>دبلوم تقني</v>
      </c>
      <c r="H223" s="599" t="str">
        <f>VLOOKUP(Table1[[#This Row],[الرقم الوظيفي]],[1]Sheet2!$1:$1048576,71,)</f>
        <v>نظم التحكم الالكترونى</v>
      </c>
      <c r="I223" s="599" t="str">
        <f>VLOOKUP(Table1[[#This Row],[المؤهل الرئيسي]],Table4[],3,)</f>
        <v>D</v>
      </c>
      <c r="J223" s="599" t="s">
        <v>923</v>
      </c>
      <c r="K223" s="615">
        <f>VLOOKUP(Table1[[#This Row],[الرقم الوظيفي]],[1]Sheet2!$1:$1048576,13,)</f>
        <v>42921</v>
      </c>
      <c r="L223" s="615">
        <v>43830</v>
      </c>
      <c r="M223" s="599">
        <f>DATEDIF(Table1[[#This Row],[تاريخ التعيين]],Table1[[#This Row],[اخر العام]],"y")</f>
        <v>2</v>
      </c>
      <c r="N223" s="599">
        <f>DATEDIF(Table1[[#This Row],[تاريخ التعيين]],Table1[[#This Row],[اخر العام]],"ym")</f>
        <v>5</v>
      </c>
      <c r="O223" s="610">
        <f>Table1[[#This Row],[سنوات الخدمه]]*1+Table1[[#This Row],[الشهور اقل من سنه]]*0.08</f>
        <v>2.4</v>
      </c>
      <c r="P223" s="616">
        <v>4520</v>
      </c>
      <c r="Q223" s="617">
        <v>126.56</v>
      </c>
      <c r="R223" s="612"/>
      <c r="S223" s="599"/>
      <c r="T223" s="612"/>
      <c r="U223" s="612"/>
      <c r="V223" s="612"/>
      <c r="W223" s="612"/>
      <c r="X223" s="612"/>
      <c r="Y223" s="612"/>
      <c r="Z223" s="612"/>
      <c r="AA22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3" s="612"/>
      <c r="AC223" s="599"/>
      <c r="AD223" s="612"/>
      <c r="AE223" s="612"/>
      <c r="AF223" s="612"/>
      <c r="AG223" s="612"/>
      <c r="AH223" s="619">
        <f>SUM(Table1[[#This Row],[التقييد  باللوائح و تنفيذالتوجيه]:[اتباع اجراءات السلامه]])</f>
        <v>0</v>
      </c>
      <c r="AI223" s="619">
        <f>Table1[[#This Row],[المجموع]]+Table1[[#This Row],[المجموع2]]</f>
        <v>0</v>
      </c>
      <c r="AJ223" s="612"/>
      <c r="AK223" s="612"/>
      <c r="AL223" s="612"/>
      <c r="AM223" s="612"/>
      <c r="AN223" s="612"/>
      <c r="AO223" s="606">
        <f>Table1[[#This Row],[المجموع 1+2]]*$AO$2</f>
        <v>0</v>
      </c>
      <c r="AP223" s="648">
        <f>Table1[[#This Row],[راتب ديسمبر 2019]]*Table1[[#This Row],[نسبه التقييم الرئيسي 2018]]%</f>
        <v>0</v>
      </c>
      <c r="AQ223" s="627">
        <f>Table1[[#This Row],[مبلغ التقييم النسبي 2018]]+Table1[[#This Row],[راتب ديسمبر 2019]]</f>
        <v>4520</v>
      </c>
      <c r="AR223" s="611">
        <f>IF(Table1[[#This Row],[Column3]]&lt;0,0,Table1[[#This Row],[Column3]])</f>
        <v>5480</v>
      </c>
      <c r="AS223" s="599">
        <f>VLOOKUP(Table1[[#This Row],[درجه التوسيط]],Table10[],3,)</f>
        <v>10000</v>
      </c>
      <c r="AT223" s="608">
        <f>Table1[[#This Row],[الراتب 2018+النسبه]]+Table1[[#This Row],[فروقات الحد الادني]]</f>
        <v>10000</v>
      </c>
      <c r="AU223" s="629">
        <f>Table1[[#This Row],[الراتب 2018 + النسبه + الفرق]]-Table1[[#This Row],[راتب ديسمبر 2019]]</f>
        <v>5480</v>
      </c>
      <c r="AV223" s="628">
        <f>Table1[[#This Row],[الزياده]]/Table1[[#This Row],[راتب ديسمبر 2019]]%</f>
        <v>121.23893805309734</v>
      </c>
      <c r="AW223" s="659">
        <f>IF(Table1[[#This Row],[Column4]]&lt;0,0,Table1[[#This Row],[Column4]])</f>
        <v>0</v>
      </c>
      <c r="AX223" s="611">
        <f>Table1[[#This Row],[الجبر حتي]]-Table1[[#This Row],[رن]]</f>
        <v>0.56000000000040018</v>
      </c>
      <c r="AY223" s="611">
        <f>Table1[[#This Row],[الزياده]]+Table1[[#This Row],[التعديل]]+Table1[[#This Row],[جبر الرقم]]</f>
        <v>5480.56</v>
      </c>
      <c r="AZ223" s="611">
        <f>Table1[[#This Row],[الراتب 2018 + النسبه + الفرق]]+Table1[[#This Row],[جبر الرقم]]+Table1[[#This Row],[التعديل]]</f>
        <v>10000.560000000001</v>
      </c>
      <c r="BA223" s="631">
        <f>Table1[[#This Row],[الزياده النهائيه]]/Table1[[#This Row],[راتب ديسمبر 2019]]%</f>
        <v>121.25132743362832</v>
      </c>
      <c r="BB223" s="612">
        <f>VLOOKUP(Table1[[#This Row],[الرقم الوظيفي]],Table6[],8,)</f>
        <v>4520</v>
      </c>
      <c r="BC223" s="7"/>
      <c r="BD223" s="7">
        <v>6880</v>
      </c>
      <c r="BE223" s="7">
        <v>6879.44</v>
      </c>
      <c r="BF223" s="5">
        <f>Table1[[#This Row],[الحد الادني]]-Table1[[#This Row],[الراتب 2018+النسبه]]</f>
        <v>5480</v>
      </c>
      <c r="BG223" s="5">
        <f>Table1[[#This Row],[التعديل حتي]]-Table1[[#This Row],[kkk]]</f>
        <v>-6879.44</v>
      </c>
      <c r="BH223" s="5">
        <v>6879.44</v>
      </c>
      <c r="BI223" s="5"/>
    </row>
    <row r="224" spans="1:61" ht="21" customHeight="1">
      <c r="A224" s="602">
        <v>984</v>
      </c>
      <c r="B224" s="618" t="str">
        <f>VLOOKUP(Table1[[#This Row],[الرقم الوظيفي]],[1]Sheet2!$1:$1048576,2,)</f>
        <v>موسى صالح موسى زائد</v>
      </c>
      <c r="C224" s="618" t="str">
        <f>VLOOKUP(Table1[[#This Row],[الرقم الوظيفي]],[1]Sheet2!$1:$1048576,7,)</f>
        <v>المصنع</v>
      </c>
      <c r="D224" s="618" t="str">
        <f>VLOOKUP(Table1[[#This Row],[الرقم الوظيفي]],[1]Sheet2!$1:$1048576,8,)</f>
        <v>الانتاج</v>
      </c>
      <c r="E224" s="599" t="str">
        <f>VLOOKUP(Table1[[#This Row],[الرقم الوظيفي]],[1]Sheet2!$1:$1048576,9,)</f>
        <v>الاليات</v>
      </c>
      <c r="F224" s="599" t="str">
        <f>VLOOKUP(Table1[[#This Row],[الرقم الوظيفي]],[1]Sheet2!$1:$1048576,12,)</f>
        <v>سائق اليات</v>
      </c>
      <c r="G224" s="599">
        <f>VLOOKUP(Table1[[#This Row],[الرقم الوظيفي]],[1]Sheet2!$1:$1048576,72,)</f>
        <v>0</v>
      </c>
      <c r="H224" s="599">
        <f>VLOOKUP(Table1[[#This Row],[الرقم الوظيفي]],[1]Sheet2!$1:$1048576,71,)</f>
        <v>0</v>
      </c>
      <c r="I224" s="599" t="str">
        <f>VLOOKUP(Table1[[#This Row],[المؤهل الرئيسي]],Table4[],3,)</f>
        <v>H</v>
      </c>
      <c r="J224" s="599" t="s">
        <v>926</v>
      </c>
      <c r="K224" s="615">
        <f>VLOOKUP(Table1[[#This Row],[الرقم الوظيفي]],[1]Sheet2!$1:$1048576,13,)</f>
        <v>42954</v>
      </c>
      <c r="L224" s="615">
        <v>43830</v>
      </c>
      <c r="M224" s="599">
        <f>DATEDIF(Table1[[#This Row],[تاريخ التعيين]],Table1[[#This Row],[اخر العام]],"y")</f>
        <v>2</v>
      </c>
      <c r="N224" s="599">
        <f>DATEDIF(Table1[[#This Row],[تاريخ التعيين]],Table1[[#This Row],[اخر العام]],"ym")</f>
        <v>4</v>
      </c>
      <c r="O224" s="610">
        <f>Table1[[#This Row],[سنوات الخدمه]]*1+Table1[[#This Row],[الشهور اقل من سنه]]*0.08</f>
        <v>2.3199999999999998</v>
      </c>
      <c r="P224" s="616">
        <v>4020</v>
      </c>
      <c r="Q224" s="617">
        <v>106.128</v>
      </c>
      <c r="R224" s="612"/>
      <c r="S224" s="599"/>
      <c r="T224" s="612"/>
      <c r="U224" s="612"/>
      <c r="V224" s="612"/>
      <c r="W224" s="612"/>
      <c r="X224" s="612"/>
      <c r="Y224" s="612"/>
      <c r="Z224" s="612"/>
      <c r="AA22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4" s="612"/>
      <c r="AC224" s="599"/>
      <c r="AD224" s="612"/>
      <c r="AE224" s="612"/>
      <c r="AF224" s="612"/>
      <c r="AG224" s="612"/>
      <c r="AH224" s="619">
        <f>SUM(Table1[[#This Row],[التقييد  باللوائح و تنفيذالتوجيه]:[اتباع اجراءات السلامه]])</f>
        <v>0</v>
      </c>
      <c r="AI224" s="619">
        <f>Table1[[#This Row],[المجموع]]+Table1[[#This Row],[المجموع2]]</f>
        <v>0</v>
      </c>
      <c r="AJ224" s="612"/>
      <c r="AK224" s="612"/>
      <c r="AL224" s="612"/>
      <c r="AM224" s="612"/>
      <c r="AN224" s="612"/>
      <c r="AO224" s="606">
        <f>Table1[[#This Row],[المجموع 1+2]]*$AO$2</f>
        <v>0</v>
      </c>
      <c r="AP224" s="648">
        <f>Table1[[#This Row],[راتب ديسمبر 2019]]*Table1[[#This Row],[نسبه التقييم الرئيسي 2018]]%</f>
        <v>0</v>
      </c>
      <c r="AQ224" s="627">
        <f>Table1[[#This Row],[مبلغ التقييم النسبي 2018]]+Table1[[#This Row],[راتب ديسمبر 2019]]</f>
        <v>4020</v>
      </c>
      <c r="AR224" s="611">
        <f>IF(Table1[[#This Row],[Column3]]&lt;0,0,Table1[[#This Row],[Column3]])</f>
        <v>3980</v>
      </c>
      <c r="AS224" s="599">
        <f>VLOOKUP(Table1[[#This Row],[درجه التوسيط]],Table10[],3,)</f>
        <v>8000</v>
      </c>
      <c r="AT224" s="608">
        <f>Table1[[#This Row],[الراتب 2018+النسبه]]+Table1[[#This Row],[فروقات الحد الادني]]</f>
        <v>8000</v>
      </c>
      <c r="AU224" s="629">
        <f>Table1[[#This Row],[الراتب 2018 + النسبه + الفرق]]-Table1[[#This Row],[راتب ديسمبر 2019]]</f>
        <v>3980</v>
      </c>
      <c r="AV224" s="628">
        <f>Table1[[#This Row],[الزياده]]/Table1[[#This Row],[راتب ديسمبر 2019]]%</f>
        <v>99.004975124378106</v>
      </c>
      <c r="AW224" s="659">
        <f>IF(Table1[[#This Row],[Column4]]&lt;0,0,Table1[[#This Row],[Column4]])</f>
        <v>0</v>
      </c>
      <c r="AX224" s="611">
        <f>Table1[[#This Row],[الجبر حتي]]-Table1[[#This Row],[رن]]</f>
        <v>0.96000000000003638</v>
      </c>
      <c r="AY224" s="611">
        <f>Table1[[#This Row],[الزياده]]+Table1[[#This Row],[التعديل]]+Table1[[#This Row],[جبر الرقم]]</f>
        <v>3980.96</v>
      </c>
      <c r="AZ224" s="611">
        <f>Table1[[#This Row],[الراتب 2018 + النسبه + الفرق]]+Table1[[#This Row],[جبر الرقم]]+Table1[[#This Row],[التعديل]]</f>
        <v>8000.96</v>
      </c>
      <c r="BA224" s="631">
        <f>Table1[[#This Row],[الزياده النهائيه]]/Table1[[#This Row],[راتب ديسمبر 2019]]%</f>
        <v>99.028855721393029</v>
      </c>
      <c r="BB224" s="612">
        <f>VLOOKUP(Table1[[#This Row],[الرقم الوظيفي]],Table6[],8,)</f>
        <v>4020</v>
      </c>
      <c r="BC224" s="7"/>
      <c r="BD224" s="7">
        <v>6240</v>
      </c>
      <c r="BE224" s="7">
        <v>6239.04</v>
      </c>
      <c r="BF224" s="5">
        <f>Table1[[#This Row],[الحد الادني]]-Table1[[#This Row],[الراتب 2018+النسبه]]</f>
        <v>3980</v>
      </c>
      <c r="BG224" s="5">
        <f>Table1[[#This Row],[التعديل حتي]]-Table1[[#This Row],[kkk]]</f>
        <v>-6239.04</v>
      </c>
      <c r="BH224" s="5">
        <v>6239.04</v>
      </c>
      <c r="BI224" s="5"/>
    </row>
    <row r="225" spans="1:61" ht="21" customHeight="1">
      <c r="A225" s="602">
        <v>985</v>
      </c>
      <c r="B225" s="618" t="str">
        <f>VLOOKUP(Table1[[#This Row],[الرقم الوظيفي]],[1]Sheet2!$1:$1048576,2,)</f>
        <v>محمدالسيد عيسى محمد عيسى</v>
      </c>
      <c r="C225" s="618" t="str">
        <f>VLOOKUP(Table1[[#This Row],[الرقم الوظيفي]],[1]Sheet2!$1:$1048576,7,)</f>
        <v>المصنع</v>
      </c>
      <c r="D225" s="618" t="str">
        <f>VLOOKUP(Table1[[#This Row],[الرقم الوظيفي]],[1]Sheet2!$1:$1048576,8,)</f>
        <v>الانتاج</v>
      </c>
      <c r="E225" s="599">
        <f>VLOOKUP(Table1[[#This Row],[الرقم الوظيفي]],[1]Sheet2!$1:$1048576,9,)</f>
        <v>0</v>
      </c>
      <c r="F225" s="599" t="str">
        <f>VLOOKUP(Table1[[#This Row],[الرقم الوظيفي]],[1]Sheet2!$1:$1048576,12,)</f>
        <v>عامل</v>
      </c>
      <c r="G225" s="599" t="str">
        <f>VLOOKUP(Table1[[#This Row],[الرقم الوظيفي]],[1]Sheet2!$1:$1048576,72,)</f>
        <v>دبلوم تقني</v>
      </c>
      <c r="H225" s="599" t="str">
        <f>VLOOKUP(Table1[[#This Row],[الرقم الوظيفي]],[1]Sheet2!$1:$1048576,71,)</f>
        <v>هندسة مدنية ( تشييد )</v>
      </c>
      <c r="I225" s="599" t="str">
        <f>VLOOKUP(Table1[[#This Row],[المؤهل الرئيسي]],Table4[],3,)</f>
        <v>D</v>
      </c>
      <c r="J225" s="599" t="s">
        <v>929</v>
      </c>
      <c r="K225" s="615">
        <f>VLOOKUP(Table1[[#This Row],[الرقم الوظيفي]],[1]Sheet2!$1:$1048576,13,)</f>
        <v>42959</v>
      </c>
      <c r="L225" s="615">
        <v>43830</v>
      </c>
      <c r="M225" s="599">
        <f>DATEDIF(Table1[[#This Row],[تاريخ التعيين]],Table1[[#This Row],[اخر العام]],"y")</f>
        <v>2</v>
      </c>
      <c r="N225" s="599">
        <f>DATEDIF(Table1[[#This Row],[تاريخ التعيين]],Table1[[#This Row],[اخر العام]],"ym")</f>
        <v>4</v>
      </c>
      <c r="O225" s="610">
        <f>Table1[[#This Row],[سنوات الخدمه]]*1+Table1[[#This Row],[الشهور اقل من سنه]]*0.08</f>
        <v>2.3199999999999998</v>
      </c>
      <c r="P225" s="616">
        <v>3010</v>
      </c>
      <c r="Q225" s="617">
        <v>79.463999999999999</v>
      </c>
      <c r="R225" s="612"/>
      <c r="S225" s="599"/>
      <c r="T225" s="612"/>
      <c r="U225" s="612"/>
      <c r="V225" s="612"/>
      <c r="W225" s="612"/>
      <c r="X225" s="612"/>
      <c r="Y225" s="612"/>
      <c r="Z225" s="612"/>
      <c r="AA22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5" s="612"/>
      <c r="AC225" s="599"/>
      <c r="AD225" s="612"/>
      <c r="AE225" s="612"/>
      <c r="AF225" s="612"/>
      <c r="AG225" s="612"/>
      <c r="AH225" s="619">
        <f>SUM(Table1[[#This Row],[التقييد  باللوائح و تنفيذالتوجيه]:[اتباع اجراءات السلامه]])</f>
        <v>0</v>
      </c>
      <c r="AI225" s="619">
        <f>Table1[[#This Row],[المجموع]]+Table1[[#This Row],[المجموع2]]</f>
        <v>0</v>
      </c>
      <c r="AJ225" s="612"/>
      <c r="AK225" s="612"/>
      <c r="AL225" s="612"/>
      <c r="AM225" s="612"/>
      <c r="AN225" s="612"/>
      <c r="AO225" s="606">
        <f>Table1[[#This Row],[المجموع 1+2]]*$AO$2</f>
        <v>0</v>
      </c>
      <c r="AP225" s="648">
        <f>Table1[[#This Row],[راتب ديسمبر 2019]]*Table1[[#This Row],[نسبه التقييم الرئيسي 2018]]%</f>
        <v>0</v>
      </c>
      <c r="AQ225" s="627">
        <f>Table1[[#This Row],[مبلغ التقييم النسبي 2018]]+Table1[[#This Row],[راتب ديسمبر 2019]]</f>
        <v>3010</v>
      </c>
      <c r="AR225" s="611">
        <f>IF(Table1[[#This Row],[Column3]]&lt;0,0,Table1[[#This Row],[Column3]])</f>
        <v>2990</v>
      </c>
      <c r="AS225" s="599">
        <f>VLOOKUP(Table1[[#This Row],[درجه التوسيط]],Table10[],3,)</f>
        <v>6000</v>
      </c>
      <c r="AT225" s="608">
        <f>Table1[[#This Row],[الراتب 2018+النسبه]]+Table1[[#This Row],[فروقات الحد الادني]]</f>
        <v>6000</v>
      </c>
      <c r="AU225" s="629">
        <f>Table1[[#This Row],[الراتب 2018 + النسبه + الفرق]]-Table1[[#This Row],[راتب ديسمبر 2019]]</f>
        <v>2990</v>
      </c>
      <c r="AV225" s="628">
        <f>Table1[[#This Row],[الزياده]]/Table1[[#This Row],[راتب ديسمبر 2019]]%</f>
        <v>99.33554817275747</v>
      </c>
      <c r="AW225" s="659">
        <f>IF(Table1[[#This Row],[Column4]]&lt;0,0,Table1[[#This Row],[Column4]])</f>
        <v>0</v>
      </c>
      <c r="AX225" s="611">
        <f>Table1[[#This Row],[الجبر حتي]]-Table1[[#This Row],[رن]]</f>
        <v>0</v>
      </c>
      <c r="AY225" s="611">
        <f>Table1[[#This Row],[الزياده]]+Table1[[#This Row],[التعديل]]+Table1[[#This Row],[جبر الرقم]]</f>
        <v>2990</v>
      </c>
      <c r="AZ225" s="611">
        <f>Table1[[#This Row],[الراتب 2018 + النسبه + الفرق]]+Table1[[#This Row],[جبر الرقم]]+Table1[[#This Row],[التعديل]]</f>
        <v>6000</v>
      </c>
      <c r="BA225" s="631">
        <f>Table1[[#This Row],[الزياده النهائيه]]/Table1[[#This Row],[راتب ديسمبر 2019]]%</f>
        <v>99.33554817275747</v>
      </c>
      <c r="BB225" s="612">
        <f>VLOOKUP(Table1[[#This Row],[الرقم الوظيفي]],Table6[],8,)</f>
        <v>3010</v>
      </c>
      <c r="BC225" s="7"/>
      <c r="BD225" s="7">
        <v>4500</v>
      </c>
      <c r="BE225" s="7">
        <v>4500</v>
      </c>
      <c r="BF225" s="5">
        <f>Table1[[#This Row],[الحد الادني]]-Table1[[#This Row],[الراتب 2018+النسبه]]</f>
        <v>2990</v>
      </c>
      <c r="BG225" s="5">
        <f>Table1[[#This Row],[التعديل حتي]]-Table1[[#This Row],[kkk]]</f>
        <v>-4500</v>
      </c>
      <c r="BH225" s="5">
        <v>4500</v>
      </c>
      <c r="BI225" s="5"/>
    </row>
    <row r="226" spans="1:61" ht="21" customHeight="1">
      <c r="A226" s="602">
        <v>986</v>
      </c>
      <c r="B226" s="618" t="str">
        <f>VLOOKUP(Table1[[#This Row],[الرقم الوظيفي]],[1]Sheet2!$1:$1048576,2,)</f>
        <v>طارق سيد محمد احمد</v>
      </c>
      <c r="C226" s="618" t="str">
        <f>VLOOKUP(Table1[[#This Row],[الرقم الوظيفي]],[1]Sheet2!$1:$1048576,7,)</f>
        <v>المصنع</v>
      </c>
      <c r="D226" s="618" t="str">
        <f>VLOOKUP(Table1[[#This Row],[الرقم الوظيفي]],[1]Sheet2!$1:$1048576,8,)</f>
        <v>الخدمات</v>
      </c>
      <c r="E226" s="599">
        <f>VLOOKUP(Table1[[#This Row],[الرقم الوظيفي]],[1]Sheet2!$1:$1048576,9,)</f>
        <v>0</v>
      </c>
      <c r="F226" s="599" t="str">
        <f>VLOOKUP(Table1[[#This Row],[الرقم الوظيفي]],[1]Sheet2!$1:$1048576,12,)</f>
        <v>عامل</v>
      </c>
      <c r="G226" s="599">
        <f>VLOOKUP(Table1[[#This Row],[الرقم الوظيفي]],[1]Sheet2!$1:$1048576,72,)</f>
        <v>0</v>
      </c>
      <c r="H226" s="599">
        <f>VLOOKUP(Table1[[#This Row],[الرقم الوظيفي]],[1]Sheet2!$1:$1048576,71,)</f>
        <v>0</v>
      </c>
      <c r="I226" s="599" t="str">
        <f>VLOOKUP(Table1[[#This Row],[المؤهل الرئيسي]],Table4[],3,)</f>
        <v>H</v>
      </c>
      <c r="J226" s="599" t="s">
        <v>929</v>
      </c>
      <c r="K226" s="615">
        <f>VLOOKUP(Table1[[#This Row],[الرقم الوظيفي]],[1]Sheet2!$1:$1048576,13,)</f>
        <v>42959</v>
      </c>
      <c r="L226" s="615">
        <v>43830</v>
      </c>
      <c r="M226" s="599">
        <f>DATEDIF(Table1[[#This Row],[تاريخ التعيين]],Table1[[#This Row],[اخر العام]],"y")</f>
        <v>2</v>
      </c>
      <c r="N226" s="599">
        <f>DATEDIF(Table1[[#This Row],[تاريخ التعيين]],Table1[[#This Row],[اخر العام]],"ym")</f>
        <v>4</v>
      </c>
      <c r="O226" s="610">
        <f>Table1[[#This Row],[سنوات الخدمه]]*1+Table1[[#This Row],[الشهور اقل من سنه]]*0.08</f>
        <v>2.3199999999999998</v>
      </c>
      <c r="P226" s="616">
        <v>3010</v>
      </c>
      <c r="Q226" s="617">
        <v>79.463999999999999</v>
      </c>
      <c r="R226" s="612"/>
      <c r="S226" s="599"/>
      <c r="T226" s="612"/>
      <c r="U226" s="612"/>
      <c r="V226" s="612"/>
      <c r="W226" s="612"/>
      <c r="X226" s="612"/>
      <c r="Y226" s="612"/>
      <c r="Z226" s="612"/>
      <c r="AA22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6" s="612"/>
      <c r="AC226" s="599"/>
      <c r="AD226" s="612"/>
      <c r="AE226" s="612"/>
      <c r="AF226" s="612"/>
      <c r="AG226" s="612"/>
      <c r="AH226" s="619">
        <f>SUM(Table1[[#This Row],[التقييد  باللوائح و تنفيذالتوجيه]:[اتباع اجراءات السلامه]])</f>
        <v>0</v>
      </c>
      <c r="AI226" s="619">
        <f>Table1[[#This Row],[المجموع]]+Table1[[#This Row],[المجموع2]]</f>
        <v>0</v>
      </c>
      <c r="AJ226" s="612"/>
      <c r="AK226" s="612"/>
      <c r="AL226" s="612"/>
      <c r="AM226" s="612"/>
      <c r="AN226" s="612"/>
      <c r="AO226" s="606">
        <f>Table1[[#This Row],[المجموع 1+2]]*$AO$2</f>
        <v>0</v>
      </c>
      <c r="AP226" s="648">
        <f>Table1[[#This Row],[راتب ديسمبر 2019]]*Table1[[#This Row],[نسبه التقييم الرئيسي 2018]]%</f>
        <v>0</v>
      </c>
      <c r="AQ226" s="627">
        <f>Table1[[#This Row],[مبلغ التقييم النسبي 2018]]+Table1[[#This Row],[راتب ديسمبر 2019]]</f>
        <v>3010</v>
      </c>
      <c r="AR226" s="611">
        <f>IF(Table1[[#This Row],[Column3]]&lt;0,0,Table1[[#This Row],[Column3]])</f>
        <v>2990</v>
      </c>
      <c r="AS226" s="599">
        <f>VLOOKUP(Table1[[#This Row],[درجه التوسيط]],Table10[],3,)</f>
        <v>6000</v>
      </c>
      <c r="AT226" s="608">
        <f>Table1[[#This Row],[الراتب 2018+النسبه]]+Table1[[#This Row],[فروقات الحد الادني]]</f>
        <v>6000</v>
      </c>
      <c r="AU226" s="629">
        <f>Table1[[#This Row],[الراتب 2018 + النسبه + الفرق]]-Table1[[#This Row],[راتب ديسمبر 2019]]</f>
        <v>2990</v>
      </c>
      <c r="AV226" s="628">
        <f>Table1[[#This Row],[الزياده]]/Table1[[#This Row],[راتب ديسمبر 2019]]%</f>
        <v>99.33554817275747</v>
      </c>
      <c r="AW226" s="659">
        <f>IF(Table1[[#This Row],[Column4]]&lt;0,0,Table1[[#This Row],[Column4]])</f>
        <v>0</v>
      </c>
      <c r="AX226" s="611">
        <f>Table1[[#This Row],[الجبر حتي]]-Table1[[#This Row],[رن]]</f>
        <v>6.5399999999999636</v>
      </c>
      <c r="AY226" s="611">
        <f>Table1[[#This Row],[الزياده]]+Table1[[#This Row],[التعديل]]+Table1[[#This Row],[جبر الرقم]]</f>
        <v>2996.54</v>
      </c>
      <c r="AZ226" s="611">
        <f>Table1[[#This Row],[الراتب 2018 + النسبه + الفرق]]+Table1[[#This Row],[جبر الرقم]]+Table1[[#This Row],[التعديل]]</f>
        <v>6006.54</v>
      </c>
      <c r="BA226" s="631">
        <f>Table1[[#This Row],[الزياده النهائيه]]/Table1[[#This Row],[راتب ديسمبر 2019]]%</f>
        <v>99.55282392026578</v>
      </c>
      <c r="BB226" s="612">
        <f>VLOOKUP(Table1[[#This Row],[الرقم الوظيفي]],Table6[],8,)</f>
        <v>3010</v>
      </c>
      <c r="BC226" s="7"/>
      <c r="BD226" s="7">
        <v>4660</v>
      </c>
      <c r="BE226" s="7">
        <v>4653.46</v>
      </c>
      <c r="BF226" s="5">
        <f>Table1[[#This Row],[الحد الادني]]-Table1[[#This Row],[الراتب 2018+النسبه]]</f>
        <v>2990</v>
      </c>
      <c r="BG226" s="5">
        <f>Table1[[#This Row],[التعديل حتي]]-Table1[[#This Row],[kkk]]</f>
        <v>-4653.46</v>
      </c>
      <c r="BH226" s="5">
        <v>4653.46</v>
      </c>
      <c r="BI226" s="5"/>
    </row>
    <row r="227" spans="1:61" ht="21" customHeight="1">
      <c r="A227" s="602">
        <v>990</v>
      </c>
      <c r="B227" s="618" t="str">
        <f>VLOOKUP(Table1[[#This Row],[الرقم الوظيفي]],[1]Sheet2!$1:$1048576,2,)</f>
        <v>مجاهد حسن على عبدالرحمن</v>
      </c>
      <c r="C227" s="618" t="str">
        <f>VLOOKUP(Table1[[#This Row],[الرقم الوظيفي]],[1]Sheet2!$1:$1048576,7,)</f>
        <v>المصنع</v>
      </c>
      <c r="D227" s="618" t="str">
        <f>VLOOKUP(Table1[[#This Row],[الرقم الوظيفي]],[1]Sheet2!$1:$1048576,8,)</f>
        <v>الانتاج</v>
      </c>
      <c r="E227" s="599">
        <f>VLOOKUP(Table1[[#This Row],[الرقم الوظيفي]],[1]Sheet2!$1:$1048576,9,)</f>
        <v>0</v>
      </c>
      <c r="F227" s="599" t="str">
        <f>VLOOKUP(Table1[[#This Row],[الرقم الوظيفي]],[1]Sheet2!$1:$1048576,12,)</f>
        <v>عامل</v>
      </c>
      <c r="G227" s="599" t="str">
        <f>VLOOKUP(Table1[[#This Row],[الرقم الوظيفي]],[1]Sheet2!$1:$1048576,72,)</f>
        <v>شهاده ثانويه</v>
      </c>
      <c r="H227" s="599">
        <f>VLOOKUP(Table1[[#This Row],[الرقم الوظيفي]],[1]Sheet2!$1:$1048576,71,)</f>
        <v>0</v>
      </c>
      <c r="I227" s="599" t="str">
        <f>VLOOKUP(Table1[[#This Row],[المؤهل الرئيسي]],Table4[],3,)</f>
        <v>F</v>
      </c>
      <c r="J227" s="599" t="s">
        <v>929</v>
      </c>
      <c r="K227" s="615">
        <f>VLOOKUP(Table1[[#This Row],[الرقم الوظيفي]],[1]Sheet2!$1:$1048576,13,)</f>
        <v>43058</v>
      </c>
      <c r="L227" s="615">
        <v>43830</v>
      </c>
      <c r="M227" s="599">
        <f>DATEDIF(Table1[[#This Row],[تاريخ التعيين]],Table1[[#This Row],[اخر العام]],"y")</f>
        <v>2</v>
      </c>
      <c r="N227" s="599">
        <f>DATEDIF(Table1[[#This Row],[تاريخ التعيين]],Table1[[#This Row],[اخر العام]],"ym")</f>
        <v>1</v>
      </c>
      <c r="O227" s="610">
        <f>Table1[[#This Row],[سنوات الخدمه]]*1+Table1[[#This Row],[الشهور اقل من سنه]]*0.08</f>
        <v>2.08</v>
      </c>
      <c r="P227" s="616">
        <v>3000</v>
      </c>
      <c r="Q227" s="617">
        <v>64.8</v>
      </c>
      <c r="R227" s="612"/>
      <c r="S227" s="599"/>
      <c r="T227" s="612"/>
      <c r="U227" s="612"/>
      <c r="V227" s="612"/>
      <c r="W227" s="612"/>
      <c r="X227" s="612"/>
      <c r="Y227" s="612"/>
      <c r="Z227" s="612"/>
      <c r="AA22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7" s="612"/>
      <c r="AC227" s="599"/>
      <c r="AD227" s="612"/>
      <c r="AE227" s="612"/>
      <c r="AF227" s="612"/>
      <c r="AG227" s="612"/>
      <c r="AH227" s="619">
        <f>SUM(Table1[[#This Row],[التقييد  باللوائح و تنفيذالتوجيه]:[اتباع اجراءات السلامه]])</f>
        <v>0</v>
      </c>
      <c r="AI227" s="619">
        <f>Table1[[#This Row],[المجموع]]+Table1[[#This Row],[المجموع2]]</f>
        <v>0</v>
      </c>
      <c r="AJ227" s="612"/>
      <c r="AK227" s="612"/>
      <c r="AL227" s="612"/>
      <c r="AM227" s="612"/>
      <c r="AN227" s="612"/>
      <c r="AO227" s="606">
        <f>Table1[[#This Row],[المجموع 1+2]]*$AO$2</f>
        <v>0</v>
      </c>
      <c r="AP227" s="648">
        <f>Table1[[#This Row],[راتب ديسمبر 2019]]*Table1[[#This Row],[نسبه التقييم الرئيسي 2018]]%</f>
        <v>0</v>
      </c>
      <c r="AQ227" s="627">
        <f>Table1[[#This Row],[مبلغ التقييم النسبي 2018]]+Table1[[#This Row],[راتب ديسمبر 2019]]</f>
        <v>3000</v>
      </c>
      <c r="AR227" s="611">
        <f>IF(Table1[[#This Row],[Column3]]&lt;0,0,Table1[[#This Row],[Column3]])</f>
        <v>3000</v>
      </c>
      <c r="AS227" s="599">
        <f>VLOOKUP(Table1[[#This Row],[درجه التوسيط]],Table10[],3,)</f>
        <v>6000</v>
      </c>
      <c r="AT227" s="608">
        <f>Table1[[#This Row],[الراتب 2018+النسبه]]+Table1[[#This Row],[فروقات الحد الادني]]</f>
        <v>6000</v>
      </c>
      <c r="AU227" s="629">
        <f>Table1[[#This Row],[الراتب 2018 + النسبه + الفرق]]-Table1[[#This Row],[راتب ديسمبر 2019]]</f>
        <v>3000</v>
      </c>
      <c r="AV227" s="628">
        <f>Table1[[#This Row],[الزياده]]/Table1[[#This Row],[راتب ديسمبر 2019]]%</f>
        <v>100</v>
      </c>
      <c r="AW227" s="659">
        <f>IF(Table1[[#This Row],[Column4]]&lt;0,0,Table1[[#This Row],[Column4]])</f>
        <v>0</v>
      </c>
      <c r="AX227" s="611">
        <f>Table1[[#This Row],[الجبر حتي]]-Table1[[#This Row],[رن]]</f>
        <v>0</v>
      </c>
      <c r="AY227" s="611">
        <f>Table1[[#This Row],[الزياده]]+Table1[[#This Row],[التعديل]]+Table1[[#This Row],[جبر الرقم]]</f>
        <v>3000</v>
      </c>
      <c r="AZ227" s="611">
        <f>Table1[[#This Row],[الراتب 2018 + النسبه + الفرق]]+Table1[[#This Row],[جبر الرقم]]+Table1[[#This Row],[التعديل]]</f>
        <v>6000</v>
      </c>
      <c r="BA227" s="631">
        <f>Table1[[#This Row],[الزياده النهائيه]]/Table1[[#This Row],[راتب ديسمبر 2019]]%</f>
        <v>100</v>
      </c>
      <c r="BB227" s="612">
        <f>VLOOKUP(Table1[[#This Row],[الرقم الوظيفي]],Table6[],8,)</f>
        <v>3000</v>
      </c>
      <c r="BC227" s="7"/>
      <c r="BD227" s="7">
        <v>4620</v>
      </c>
      <c r="BE227" s="7">
        <v>4620</v>
      </c>
      <c r="BF227" s="5">
        <f>Table1[[#This Row],[الحد الادني]]-Table1[[#This Row],[الراتب 2018+النسبه]]</f>
        <v>3000</v>
      </c>
      <c r="BG227" s="5">
        <f>Table1[[#This Row],[التعديل حتي]]-Table1[[#This Row],[kkk]]</f>
        <v>-4620</v>
      </c>
      <c r="BH227" s="5">
        <v>4620</v>
      </c>
      <c r="BI227" s="5"/>
    </row>
    <row r="228" spans="1:61" ht="21" customHeight="1">
      <c r="A228" s="602">
        <v>991</v>
      </c>
      <c r="B228" s="618" t="str">
        <f>VLOOKUP(Table1[[#This Row],[الرقم الوظيفي]],[1]Sheet2!$1:$1048576,2,)</f>
        <v>احمد بشير ابكر عيسى</v>
      </c>
      <c r="C228" s="618" t="str">
        <f>VLOOKUP(Table1[[#This Row],[الرقم الوظيفي]],[1]Sheet2!$1:$1048576,7,)</f>
        <v>المصنع</v>
      </c>
      <c r="D228" s="618" t="str">
        <f>VLOOKUP(Table1[[#This Row],[الرقم الوظيفي]],[1]Sheet2!$1:$1048576,8,)</f>
        <v>الانتاج</v>
      </c>
      <c r="E228" s="599">
        <f>VLOOKUP(Table1[[#This Row],[الرقم الوظيفي]],[1]Sheet2!$1:$1048576,9,)</f>
        <v>0</v>
      </c>
      <c r="F228" s="599" t="str">
        <f>VLOOKUP(Table1[[#This Row],[الرقم الوظيفي]],[1]Sheet2!$1:$1048576,12,)</f>
        <v>عامل</v>
      </c>
      <c r="G228" s="599" t="str">
        <f>VLOOKUP(Table1[[#This Row],[الرقم الوظيفي]],[1]Sheet2!$1:$1048576,72,)</f>
        <v>شهاده ثانويه</v>
      </c>
      <c r="H228" s="599">
        <f>VLOOKUP(Table1[[#This Row],[الرقم الوظيفي]],[1]Sheet2!$1:$1048576,71,)</f>
        <v>0</v>
      </c>
      <c r="I228" s="599" t="str">
        <f>VLOOKUP(Table1[[#This Row],[المؤهل الرئيسي]],Table4[],3,)</f>
        <v>F</v>
      </c>
      <c r="J228" s="599" t="s">
        <v>929</v>
      </c>
      <c r="K228" s="615">
        <f>VLOOKUP(Table1[[#This Row],[الرقم الوظيفي]],[1]Sheet2!$1:$1048576,13,)</f>
        <v>43070</v>
      </c>
      <c r="L228" s="615">
        <v>43830</v>
      </c>
      <c r="M228" s="599">
        <f>DATEDIF(Table1[[#This Row],[تاريخ التعيين]],Table1[[#This Row],[اخر العام]],"y")</f>
        <v>2</v>
      </c>
      <c r="N228" s="599">
        <f>DATEDIF(Table1[[#This Row],[تاريخ التعيين]],Table1[[#This Row],[اخر العام]],"ym")</f>
        <v>0</v>
      </c>
      <c r="O228" s="610">
        <f>Table1[[#This Row],[سنوات الخدمه]]*1+Table1[[#This Row],[الشهور اقل من سنه]]*0.08</f>
        <v>2</v>
      </c>
      <c r="P228" s="616">
        <v>3000</v>
      </c>
      <c r="Q228" s="617">
        <v>60</v>
      </c>
      <c r="R228" s="612"/>
      <c r="S228" s="599"/>
      <c r="T228" s="612"/>
      <c r="U228" s="612"/>
      <c r="V228" s="612"/>
      <c r="W228" s="612"/>
      <c r="X228" s="612"/>
      <c r="Y228" s="612"/>
      <c r="Z228" s="612"/>
      <c r="AA22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8" s="612"/>
      <c r="AC228" s="599"/>
      <c r="AD228" s="612"/>
      <c r="AE228" s="612"/>
      <c r="AF228" s="612"/>
      <c r="AG228" s="612"/>
      <c r="AH228" s="619">
        <f>SUM(Table1[[#This Row],[التقييد  باللوائح و تنفيذالتوجيه]:[اتباع اجراءات السلامه]])</f>
        <v>0</v>
      </c>
      <c r="AI228" s="619">
        <f>Table1[[#This Row],[المجموع]]+Table1[[#This Row],[المجموع2]]</f>
        <v>0</v>
      </c>
      <c r="AJ228" s="612"/>
      <c r="AK228" s="612"/>
      <c r="AL228" s="612"/>
      <c r="AM228" s="612"/>
      <c r="AN228" s="612"/>
      <c r="AO228" s="606">
        <f>Table1[[#This Row],[المجموع 1+2]]*$AO$2</f>
        <v>0</v>
      </c>
      <c r="AP228" s="648">
        <f>Table1[[#This Row],[راتب ديسمبر 2019]]*Table1[[#This Row],[نسبه التقييم الرئيسي 2018]]%</f>
        <v>0</v>
      </c>
      <c r="AQ228" s="627">
        <f>Table1[[#This Row],[مبلغ التقييم النسبي 2018]]+Table1[[#This Row],[راتب ديسمبر 2019]]</f>
        <v>3000</v>
      </c>
      <c r="AR228" s="611">
        <f>IF(Table1[[#This Row],[Column3]]&lt;0,0,Table1[[#This Row],[Column3]])</f>
        <v>3000</v>
      </c>
      <c r="AS228" s="599">
        <f>VLOOKUP(Table1[[#This Row],[درجه التوسيط]],Table10[],3,)</f>
        <v>6000</v>
      </c>
      <c r="AT228" s="608">
        <f>Table1[[#This Row],[الراتب 2018+النسبه]]+Table1[[#This Row],[فروقات الحد الادني]]</f>
        <v>6000</v>
      </c>
      <c r="AU228" s="629">
        <f>Table1[[#This Row],[الراتب 2018 + النسبه + الفرق]]-Table1[[#This Row],[راتب ديسمبر 2019]]</f>
        <v>3000</v>
      </c>
      <c r="AV228" s="628">
        <f>Table1[[#This Row],[الزياده]]/Table1[[#This Row],[راتب ديسمبر 2019]]%</f>
        <v>100</v>
      </c>
      <c r="AW228" s="659">
        <f>IF(Table1[[#This Row],[Column4]]&lt;0,0,Table1[[#This Row],[Column4]])</f>
        <v>0</v>
      </c>
      <c r="AX228" s="611">
        <f>Table1[[#This Row],[الجبر حتي]]-Table1[[#This Row],[رن]]</f>
        <v>0</v>
      </c>
      <c r="AY228" s="611">
        <f>Table1[[#This Row],[الزياده]]+Table1[[#This Row],[التعديل]]+Table1[[#This Row],[جبر الرقم]]</f>
        <v>3000</v>
      </c>
      <c r="AZ228" s="611">
        <f>Table1[[#This Row],[الراتب 2018 + النسبه + الفرق]]+Table1[[#This Row],[جبر الرقم]]+Table1[[#This Row],[التعديل]]</f>
        <v>6000</v>
      </c>
      <c r="BA228" s="631">
        <f>Table1[[#This Row],[الزياده النهائيه]]/Table1[[#This Row],[راتب ديسمبر 2019]]%</f>
        <v>100</v>
      </c>
      <c r="BB228" s="612">
        <f>VLOOKUP(Table1[[#This Row],[الرقم الوظيفي]],Table6[],8,)</f>
        <v>3000</v>
      </c>
      <c r="BC228" s="7"/>
      <c r="BD228" s="7">
        <v>4530</v>
      </c>
      <c r="BE228" s="7">
        <v>4530</v>
      </c>
      <c r="BF228" s="5">
        <f>Table1[[#This Row],[الحد الادني]]-Table1[[#This Row],[الراتب 2018+النسبه]]</f>
        <v>3000</v>
      </c>
      <c r="BG228" s="5">
        <f>Table1[[#This Row],[التعديل حتي]]-Table1[[#This Row],[kkk]]</f>
        <v>-4530</v>
      </c>
      <c r="BH228" s="5">
        <v>4530</v>
      </c>
      <c r="BI228" s="5"/>
    </row>
    <row r="229" spans="1:61" s="32" customFormat="1" ht="21" customHeight="1">
      <c r="A229" s="602">
        <v>992</v>
      </c>
      <c r="B229" s="618" t="str">
        <f>VLOOKUP(Table1[[#This Row],[الرقم الوظيفي]],[1]Sheet2!$1:$1048576,2,)</f>
        <v>محمد ادم اسماعيل ادم</v>
      </c>
      <c r="C229" s="618" t="str">
        <f>VLOOKUP(Table1[[#This Row],[الرقم الوظيفي]],[1]Sheet2!$1:$1048576,7,)</f>
        <v>المصنع</v>
      </c>
      <c r="D229" s="618" t="str">
        <f>VLOOKUP(Table1[[#This Row],[الرقم الوظيفي]],[1]Sheet2!$1:$1048576,8,)</f>
        <v>الخدمات</v>
      </c>
      <c r="E229" s="614">
        <f>VLOOKUP(Table1[[#This Row],[الرقم الوظيفي]],[1]Sheet2!$1:$1048576,9,)</f>
        <v>0</v>
      </c>
      <c r="F229" s="614" t="str">
        <f>VLOOKUP(Table1[[#This Row],[الرقم الوظيفي]],[1]Sheet2!$1:$1048576,12,)</f>
        <v>سباك</v>
      </c>
      <c r="G229" s="614">
        <f>VLOOKUP(Table1[[#This Row],[الرقم الوظيفي]],[1]Sheet2!$1:$1048576,72,)</f>
        <v>0</v>
      </c>
      <c r="H229" s="614">
        <f>VLOOKUP(Table1[[#This Row],[الرقم الوظيفي]],[1]Sheet2!$1:$1048576,71,)</f>
        <v>0</v>
      </c>
      <c r="I229" s="614" t="str">
        <f>VLOOKUP(Table1[[#This Row],[المؤهل الرئيسي]],Table4[],3,)</f>
        <v>H</v>
      </c>
      <c r="J229" s="614" t="s">
        <v>925</v>
      </c>
      <c r="K229" s="615">
        <f>VLOOKUP(Table1[[#This Row],[الرقم الوظيفي]],[1]Sheet2!$1:$1048576,13,)</f>
        <v>43075</v>
      </c>
      <c r="L229" s="615">
        <v>43830</v>
      </c>
      <c r="M229" s="599">
        <f>DATEDIF(Table1[[#This Row],[تاريخ التعيين]],Table1[[#This Row],[اخر العام]],"y")</f>
        <v>2</v>
      </c>
      <c r="N229" s="599">
        <f>DATEDIF(Table1[[#This Row],[تاريخ التعيين]],Table1[[#This Row],[اخر العام]],"ym")</f>
        <v>0</v>
      </c>
      <c r="O229" s="610">
        <f>Table1[[#This Row],[سنوات الخدمه]]*1+Table1[[#This Row],[الشهور اقل من سنه]]*0.08</f>
        <v>2</v>
      </c>
      <c r="P229" s="616">
        <v>4000</v>
      </c>
      <c r="Q229" s="617">
        <v>80</v>
      </c>
      <c r="R229" s="613"/>
      <c r="S229" s="614"/>
      <c r="T229" s="613"/>
      <c r="U229" s="613"/>
      <c r="V229" s="613"/>
      <c r="W229" s="613"/>
      <c r="X229" s="613"/>
      <c r="Y229" s="613"/>
      <c r="Z229" s="613"/>
      <c r="AA22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29" s="613"/>
      <c r="AC229" s="614"/>
      <c r="AD229" s="613"/>
      <c r="AE229" s="613"/>
      <c r="AF229" s="613"/>
      <c r="AG229" s="613"/>
      <c r="AH229" s="619">
        <f>SUM(Table1[[#This Row],[التقييد  باللوائح و تنفيذالتوجيه]:[اتباع اجراءات السلامه]])</f>
        <v>0</v>
      </c>
      <c r="AI229" s="613">
        <f>Table1[[#This Row],[المجموع]]+Table1[[#This Row],[المجموع2]]</f>
        <v>0</v>
      </c>
      <c r="AJ229" s="613"/>
      <c r="AK229" s="613"/>
      <c r="AL229" s="613"/>
      <c r="AM229" s="613"/>
      <c r="AN229" s="613"/>
      <c r="AO229" s="606">
        <f>Table1[[#This Row],[المجموع 1+2]]*$AO$2</f>
        <v>0</v>
      </c>
      <c r="AP229" s="648">
        <f>Table1[[#This Row],[راتب ديسمبر 2019]]*Table1[[#This Row],[نسبه التقييم الرئيسي 2018]]%</f>
        <v>0</v>
      </c>
      <c r="AQ229" s="627">
        <f>Table1[[#This Row],[مبلغ التقييم النسبي 2018]]+Table1[[#This Row],[راتب ديسمبر 2019]]</f>
        <v>4000</v>
      </c>
      <c r="AR229" s="611">
        <f>IF(Table1[[#This Row],[Column3]]&lt;0,0,Table1[[#This Row],[Column3]])</f>
        <v>5000</v>
      </c>
      <c r="AS229" s="599">
        <f>VLOOKUP(Table1[[#This Row],[درجه التوسيط]],Table10[],3,)</f>
        <v>9000</v>
      </c>
      <c r="AT229" s="608">
        <f>Table1[[#This Row],[الراتب 2018+النسبه]]+Table1[[#This Row],[فروقات الحد الادني]]</f>
        <v>9000</v>
      </c>
      <c r="AU229" s="629">
        <f>Table1[[#This Row],[الراتب 2018 + النسبه + الفرق]]-Table1[[#This Row],[راتب ديسمبر 2019]]</f>
        <v>5000</v>
      </c>
      <c r="AV229" s="628">
        <f>Table1[[#This Row],[الزياده]]/Table1[[#This Row],[راتب ديسمبر 2019]]%</f>
        <v>125</v>
      </c>
      <c r="AW229" s="659">
        <f>IF(Table1[[#This Row],[Column4]]&lt;0,0,Table1[[#This Row],[Column4]])</f>
        <v>0</v>
      </c>
      <c r="AX229" s="611">
        <f>Table1[[#This Row],[الجبر حتي]]-Table1[[#This Row],[رن]]</f>
        <v>0</v>
      </c>
      <c r="AY229" s="611">
        <f>Table1[[#This Row],[الزياده]]+Table1[[#This Row],[التعديل]]+Table1[[#This Row],[جبر الرقم]]</f>
        <v>5000</v>
      </c>
      <c r="AZ229" s="611">
        <f>Table1[[#This Row],[الراتب 2018 + النسبه + الفرق]]+Table1[[#This Row],[جبر الرقم]]+Table1[[#This Row],[التعديل]]</f>
        <v>9000</v>
      </c>
      <c r="BA229" s="631">
        <f>Table1[[#This Row],[الزياده النهائيه]]/Table1[[#This Row],[راتب ديسمبر 2019]]%</f>
        <v>125</v>
      </c>
      <c r="BB229" s="613">
        <f>VLOOKUP(Table1[[#This Row],[الرقم الوظيفي]],Table6[],8,)</f>
        <v>4000</v>
      </c>
      <c r="BC229" s="657"/>
      <c r="BD229" s="657">
        <v>6160</v>
      </c>
      <c r="BE229" s="657">
        <v>6160</v>
      </c>
      <c r="BF229" s="8">
        <f>Table1[[#This Row],[الحد الادني]]-Table1[[#This Row],[الراتب 2018+النسبه]]</f>
        <v>5000</v>
      </c>
      <c r="BG229" s="8">
        <f>Table1[[#This Row],[التعديل حتي]]-Table1[[#This Row],[kkk]]</f>
        <v>-6160</v>
      </c>
      <c r="BH229" s="8">
        <v>6160</v>
      </c>
      <c r="BI229" s="8"/>
    </row>
    <row r="230" spans="1:61" ht="21" customHeight="1">
      <c r="A230" s="602">
        <v>993</v>
      </c>
      <c r="B230" s="618" t="str">
        <f>VLOOKUP(Table1[[#This Row],[الرقم الوظيفي]],[1]Sheet2!$1:$1048576,2,)</f>
        <v>الصادق اسحق عثمان حماد</v>
      </c>
      <c r="C230" s="618" t="str">
        <f>VLOOKUP(Table1[[#This Row],[الرقم الوظيفي]],[1]Sheet2!$1:$1048576,7,)</f>
        <v>المصنع</v>
      </c>
      <c r="D230" s="618" t="str">
        <f>VLOOKUP(Table1[[#This Row],[الرقم الوظيفي]],[1]Sheet2!$1:$1048576,8,)</f>
        <v>الانتاج</v>
      </c>
      <c r="E230" s="599">
        <f>VLOOKUP(Table1[[#This Row],[الرقم الوظيفي]],[1]Sheet2!$1:$1048576,9,)</f>
        <v>0</v>
      </c>
      <c r="F230" s="599" t="str">
        <f>VLOOKUP(Table1[[#This Row],[الرقم الوظيفي]],[1]Sheet2!$1:$1048576,12,)</f>
        <v>عامل</v>
      </c>
      <c r="G230" s="599">
        <f>VLOOKUP(Table1[[#This Row],[الرقم الوظيفي]],[1]Sheet2!$1:$1048576,72,)</f>
        <v>0</v>
      </c>
      <c r="H230" s="599">
        <f>VLOOKUP(Table1[[#This Row],[الرقم الوظيفي]],[1]Sheet2!$1:$1048576,71,)</f>
        <v>0</v>
      </c>
      <c r="I230" s="599" t="str">
        <f>VLOOKUP(Table1[[#This Row],[المؤهل الرئيسي]],Table4[],3,)</f>
        <v>H</v>
      </c>
      <c r="J230" s="599" t="s">
        <v>925</v>
      </c>
      <c r="K230" s="615">
        <f>VLOOKUP(Table1[[#This Row],[الرقم الوظيفي]],[1]Sheet2!$1:$1048576,13,)</f>
        <v>43104</v>
      </c>
      <c r="L230" s="615">
        <v>43830</v>
      </c>
      <c r="M230" s="599">
        <f>DATEDIF(Table1[[#This Row],[تاريخ التعيين]],Table1[[#This Row],[اخر العام]],"y")</f>
        <v>1</v>
      </c>
      <c r="N230" s="599">
        <f>DATEDIF(Table1[[#This Row],[تاريخ التعيين]],Table1[[#This Row],[اخر العام]],"ym")</f>
        <v>11</v>
      </c>
      <c r="O230" s="610">
        <f>Table1[[#This Row],[سنوات الخدمه]]*1+Table1[[#This Row],[الشهور اقل من سنه]]*0.08</f>
        <v>1.88</v>
      </c>
      <c r="P230" s="616">
        <v>3000</v>
      </c>
      <c r="Q230" s="617">
        <v>52.8</v>
      </c>
      <c r="R230" s="612"/>
      <c r="S230" s="599"/>
      <c r="T230" s="612"/>
      <c r="U230" s="612"/>
      <c r="V230" s="612"/>
      <c r="W230" s="612"/>
      <c r="X230" s="612"/>
      <c r="Y230" s="612"/>
      <c r="Z230" s="612"/>
      <c r="AA23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0" s="612"/>
      <c r="AC230" s="599"/>
      <c r="AD230" s="612"/>
      <c r="AE230" s="612"/>
      <c r="AF230" s="612"/>
      <c r="AG230" s="612"/>
      <c r="AH230" s="619">
        <f>SUM(Table1[[#This Row],[التقييد  باللوائح و تنفيذالتوجيه]:[اتباع اجراءات السلامه]])</f>
        <v>0</v>
      </c>
      <c r="AI230" s="619">
        <f>Table1[[#This Row],[المجموع]]+Table1[[#This Row],[المجموع2]]</f>
        <v>0</v>
      </c>
      <c r="AJ230" s="612"/>
      <c r="AK230" s="612"/>
      <c r="AL230" s="612"/>
      <c r="AM230" s="612"/>
      <c r="AN230" s="612"/>
      <c r="AO230" s="606">
        <f>Table1[[#This Row],[المجموع 1+2]]*$AO$2</f>
        <v>0</v>
      </c>
      <c r="AP230" s="648">
        <f>Table1[[#This Row],[راتب ديسمبر 2019]]*Table1[[#This Row],[نسبه التقييم الرئيسي 2018]]%</f>
        <v>0</v>
      </c>
      <c r="AQ230" s="627">
        <f>Table1[[#This Row],[مبلغ التقييم النسبي 2018]]+Table1[[#This Row],[راتب ديسمبر 2019]]</f>
        <v>3000</v>
      </c>
      <c r="AR230" s="611">
        <f>IF(Table1[[#This Row],[Column3]]&lt;0,0,Table1[[#This Row],[Column3]])</f>
        <v>6000</v>
      </c>
      <c r="AS230" s="599">
        <f>VLOOKUP(Table1[[#This Row],[درجه التوسيط]],Table10[],3,)</f>
        <v>9000</v>
      </c>
      <c r="AT230" s="608">
        <f>Table1[[#This Row],[الراتب 2018+النسبه]]+Table1[[#This Row],[فروقات الحد الادني]]</f>
        <v>9000</v>
      </c>
      <c r="AU230" s="629">
        <f>Table1[[#This Row],[الراتب 2018 + النسبه + الفرق]]-Table1[[#This Row],[راتب ديسمبر 2019]]</f>
        <v>6000</v>
      </c>
      <c r="AV230" s="628">
        <f>Table1[[#This Row],[الزياده]]/Table1[[#This Row],[راتب ديسمبر 2019]]%</f>
        <v>200</v>
      </c>
      <c r="AW230" s="659">
        <f>IF(Table1[[#This Row],[Column4]]&lt;0,0,Table1[[#This Row],[Column4]])</f>
        <v>0</v>
      </c>
      <c r="AX230" s="611">
        <f>Table1[[#This Row],[الجبر حتي]]-Table1[[#This Row],[رن]]</f>
        <v>0</v>
      </c>
      <c r="AY230" s="611">
        <f>Table1[[#This Row],[الزياده]]+Table1[[#This Row],[التعديل]]+Table1[[#This Row],[جبر الرقم]]</f>
        <v>6000</v>
      </c>
      <c r="AZ230" s="611">
        <f>Table1[[#This Row],[الراتب 2018 + النسبه + الفرق]]+Table1[[#This Row],[جبر الرقم]]+Table1[[#This Row],[التعديل]]</f>
        <v>9000</v>
      </c>
      <c r="BA230" s="631">
        <f>Table1[[#This Row],[الزياده النهائيه]]/Table1[[#This Row],[راتب ديسمبر 2019]]%</f>
        <v>200</v>
      </c>
      <c r="BB230" s="612">
        <f>VLOOKUP(Table1[[#This Row],[الرقم الوظيفي]],Table6[],8,)</f>
        <v>3000</v>
      </c>
      <c r="BC230" s="7"/>
      <c r="BD230" s="7">
        <v>6000</v>
      </c>
      <c r="BE230" s="7">
        <v>6000</v>
      </c>
      <c r="BF230" s="5">
        <f>Table1[[#This Row],[الحد الادني]]-Table1[[#This Row],[الراتب 2018+النسبه]]</f>
        <v>6000</v>
      </c>
      <c r="BG230" s="5">
        <f>Table1[[#This Row],[التعديل حتي]]-Table1[[#This Row],[kkk]]</f>
        <v>-6000</v>
      </c>
      <c r="BH230" s="5">
        <v>6000</v>
      </c>
      <c r="BI230" s="5"/>
    </row>
    <row r="231" spans="1:61" ht="21" customHeight="1">
      <c r="A231" s="602">
        <v>994</v>
      </c>
      <c r="B231" s="618" t="str">
        <f>VLOOKUP(Table1[[#This Row],[الرقم الوظيفي]],[1]Sheet2!$1:$1048576,2,)</f>
        <v>حاتم عبدون عبدالرحيم محمد</v>
      </c>
      <c r="C231" s="618" t="str">
        <f>VLOOKUP(Table1[[#This Row],[الرقم الوظيفي]],[1]Sheet2!$1:$1048576,7,)</f>
        <v>المصنع</v>
      </c>
      <c r="D231" s="618" t="str">
        <f>VLOOKUP(Table1[[#This Row],[الرقم الوظيفي]],[1]Sheet2!$1:$1048576,8,)</f>
        <v>المستودعات</v>
      </c>
      <c r="E231" s="599">
        <f>VLOOKUP(Table1[[#This Row],[الرقم الوظيفي]],[1]Sheet2!$1:$1048576,9,)</f>
        <v>0</v>
      </c>
      <c r="F231" s="599" t="str">
        <f>VLOOKUP(Table1[[#This Row],[الرقم الوظيفي]],[1]Sheet2!$1:$1048576,12,)</f>
        <v>عامل</v>
      </c>
      <c r="G231" s="599" t="str">
        <f>VLOOKUP(Table1[[#This Row],[الرقم الوظيفي]],[1]Sheet2!$1:$1048576,72,)</f>
        <v>دبلوم تقني</v>
      </c>
      <c r="H231" s="599" t="str">
        <f>VLOOKUP(Table1[[#This Row],[الرقم الوظيفي]],[1]Sheet2!$1:$1048576,71,)</f>
        <v>علوم الاتصال ( العلاقات العامه )</v>
      </c>
      <c r="I231" s="599" t="str">
        <f>VLOOKUP(Table1[[#This Row],[المؤهل الرئيسي]],Table4[],3,)</f>
        <v>D</v>
      </c>
      <c r="J231" s="599" t="s">
        <v>929</v>
      </c>
      <c r="K231" s="615">
        <f>VLOOKUP(Table1[[#This Row],[الرقم الوظيفي]],[1]Sheet2!$1:$1048576,13,)</f>
        <v>43108</v>
      </c>
      <c r="L231" s="615">
        <v>43830</v>
      </c>
      <c r="M231" s="599">
        <f>DATEDIF(Table1[[#This Row],[تاريخ التعيين]],Table1[[#This Row],[اخر العام]],"y")</f>
        <v>1</v>
      </c>
      <c r="N231" s="599">
        <f>DATEDIF(Table1[[#This Row],[تاريخ التعيين]],Table1[[#This Row],[اخر العام]],"ym")</f>
        <v>11</v>
      </c>
      <c r="O231" s="610">
        <f>Table1[[#This Row],[سنوات الخدمه]]*1+Table1[[#This Row],[الشهور اقل من سنه]]*0.08</f>
        <v>1.88</v>
      </c>
      <c r="P231" s="616">
        <v>3000</v>
      </c>
      <c r="Q231" s="617">
        <v>52.8</v>
      </c>
      <c r="R231" s="612"/>
      <c r="S231" s="599"/>
      <c r="T231" s="612"/>
      <c r="U231" s="612"/>
      <c r="V231" s="612"/>
      <c r="W231" s="612"/>
      <c r="X231" s="612"/>
      <c r="Y231" s="612"/>
      <c r="Z231" s="612"/>
      <c r="AA23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1" s="612"/>
      <c r="AC231" s="599"/>
      <c r="AD231" s="612"/>
      <c r="AE231" s="612"/>
      <c r="AF231" s="612"/>
      <c r="AG231" s="612"/>
      <c r="AH231" s="619">
        <f>SUM(Table1[[#This Row],[التقييد  باللوائح و تنفيذالتوجيه]:[اتباع اجراءات السلامه]])</f>
        <v>0</v>
      </c>
      <c r="AI231" s="619">
        <f>Table1[[#This Row],[المجموع]]+Table1[[#This Row],[المجموع2]]</f>
        <v>0</v>
      </c>
      <c r="AJ231" s="612"/>
      <c r="AK231" s="612"/>
      <c r="AL231" s="612"/>
      <c r="AM231" s="612"/>
      <c r="AN231" s="612"/>
      <c r="AO231" s="606">
        <f>Table1[[#This Row],[المجموع 1+2]]*$AO$2</f>
        <v>0</v>
      </c>
      <c r="AP231" s="648">
        <f>Table1[[#This Row],[راتب ديسمبر 2019]]*Table1[[#This Row],[نسبه التقييم الرئيسي 2018]]%</f>
        <v>0</v>
      </c>
      <c r="AQ231" s="627">
        <f>Table1[[#This Row],[مبلغ التقييم النسبي 2018]]+Table1[[#This Row],[راتب ديسمبر 2019]]</f>
        <v>3000</v>
      </c>
      <c r="AR231" s="611">
        <f>IF(Table1[[#This Row],[Column3]]&lt;0,0,Table1[[#This Row],[Column3]])</f>
        <v>3000</v>
      </c>
      <c r="AS231" s="599">
        <f>VLOOKUP(Table1[[#This Row],[درجه التوسيط]],Table10[],3,)</f>
        <v>6000</v>
      </c>
      <c r="AT231" s="608">
        <f>Table1[[#This Row],[الراتب 2018+النسبه]]+Table1[[#This Row],[فروقات الحد الادني]]</f>
        <v>6000</v>
      </c>
      <c r="AU231" s="629">
        <f>Table1[[#This Row],[الراتب 2018 + النسبه + الفرق]]-Table1[[#This Row],[راتب ديسمبر 2019]]</f>
        <v>3000</v>
      </c>
      <c r="AV231" s="628">
        <f>Table1[[#This Row],[الزياده]]/Table1[[#This Row],[راتب ديسمبر 2019]]%</f>
        <v>100</v>
      </c>
      <c r="AW231" s="659">
        <f>IF(Table1[[#This Row],[Column4]]&lt;0,0,Table1[[#This Row],[Column4]])</f>
        <v>0</v>
      </c>
      <c r="AX231" s="611">
        <f>Table1[[#This Row],[الجبر حتي]]-Table1[[#This Row],[رن]]</f>
        <v>6</v>
      </c>
      <c r="AY231" s="611">
        <f>Table1[[#This Row],[الزياده]]+Table1[[#This Row],[التعديل]]+Table1[[#This Row],[جبر الرقم]]</f>
        <v>3006</v>
      </c>
      <c r="AZ231" s="611">
        <f>Table1[[#This Row],[الراتب 2018 + النسبه + الفرق]]+Table1[[#This Row],[جبر الرقم]]+Table1[[#This Row],[التعديل]]</f>
        <v>6006</v>
      </c>
      <c r="BA231" s="631">
        <f>Table1[[#This Row],[الزياده النهائيه]]/Table1[[#This Row],[راتب ديسمبر 2019]]%</f>
        <v>100.2</v>
      </c>
      <c r="BB231" s="612">
        <f>VLOOKUP(Table1[[#This Row],[الرقم الوظيفي]],Table6[],8,)</f>
        <v>3000</v>
      </c>
      <c r="BC231" s="7"/>
      <c r="BD231" s="7">
        <v>4770</v>
      </c>
      <c r="BE231" s="7">
        <v>4764</v>
      </c>
      <c r="BF231" s="5">
        <f>Table1[[#This Row],[الحد الادني]]-Table1[[#This Row],[الراتب 2018+النسبه]]</f>
        <v>3000</v>
      </c>
      <c r="BG231" s="5">
        <f>Table1[[#This Row],[التعديل حتي]]-Table1[[#This Row],[kkk]]</f>
        <v>-4764</v>
      </c>
      <c r="BH231" s="5">
        <v>4764</v>
      </c>
      <c r="BI231" s="5"/>
    </row>
    <row r="232" spans="1:61">
      <c r="A232" s="602">
        <v>996</v>
      </c>
      <c r="B232" s="618" t="str">
        <f>VLOOKUP(Table1[[#This Row],[الرقم الوظيفي]],[1]Sheet2!$1:$1048576,2,)</f>
        <v>حمزه دحيش حمزه احمد</v>
      </c>
      <c r="C232" s="618" t="str">
        <f>VLOOKUP(Table1[[#This Row],[الرقم الوظيفي]],[1]Sheet2!$1:$1048576,7,)</f>
        <v>المصنع</v>
      </c>
      <c r="D232" s="618" t="str">
        <f>VLOOKUP(Table1[[#This Row],[الرقم الوظيفي]],[1]Sheet2!$1:$1048576,8,)</f>
        <v>الانتاج</v>
      </c>
      <c r="E232" s="599">
        <f>VLOOKUP(Table1[[#This Row],[الرقم الوظيفي]],[1]Sheet2!$1:$1048576,9,)</f>
        <v>0</v>
      </c>
      <c r="F232" s="599" t="str">
        <f>VLOOKUP(Table1[[#This Row],[الرقم الوظيفي]],[1]Sheet2!$1:$1048576,12,)</f>
        <v>عامل</v>
      </c>
      <c r="G232" s="599">
        <f>VLOOKUP(Table1[[#This Row],[الرقم الوظيفي]],[1]Sheet2!$1:$1048576,72,)</f>
        <v>0</v>
      </c>
      <c r="H232" s="599">
        <f>VLOOKUP(Table1[[#This Row],[الرقم الوظيفي]],[1]Sheet2!$1:$1048576,71,)</f>
        <v>0</v>
      </c>
      <c r="I232" s="599" t="str">
        <f>VLOOKUP(Table1[[#This Row],[المؤهل الرئيسي]],Table4[],3,)</f>
        <v>H</v>
      </c>
      <c r="J232" s="599" t="s">
        <v>929</v>
      </c>
      <c r="K232" s="615">
        <f>VLOOKUP(Table1[[#This Row],[الرقم الوظيفي]],[1]Sheet2!$1:$1048576,13,)</f>
        <v>43116</v>
      </c>
      <c r="L232" s="615">
        <v>43830</v>
      </c>
      <c r="M232" s="599">
        <f>DATEDIF(Table1[[#This Row],[تاريخ التعيين]],Table1[[#This Row],[اخر العام]],"y")</f>
        <v>1</v>
      </c>
      <c r="N232" s="599">
        <f>DATEDIF(Table1[[#This Row],[تاريخ التعيين]],Table1[[#This Row],[اخر العام]],"ym")</f>
        <v>11</v>
      </c>
      <c r="O232" s="610">
        <f>Table1[[#This Row],[سنوات الخدمه]]*1+Table1[[#This Row],[الشهور اقل من سنه]]*0.08</f>
        <v>1.88</v>
      </c>
      <c r="P232" s="616">
        <v>4000</v>
      </c>
      <c r="Q232" s="617">
        <v>70.400000000000006</v>
      </c>
      <c r="R232" s="612"/>
      <c r="S232" s="599"/>
      <c r="T232" s="612"/>
      <c r="U232" s="612"/>
      <c r="V232" s="612"/>
      <c r="W232" s="612"/>
      <c r="X232" s="612"/>
      <c r="Y232" s="612"/>
      <c r="Z232" s="612"/>
      <c r="AA23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2" s="612"/>
      <c r="AC232" s="599"/>
      <c r="AD232" s="612"/>
      <c r="AE232" s="612"/>
      <c r="AF232" s="612"/>
      <c r="AG232" s="612"/>
      <c r="AH232" s="619">
        <f>SUM(Table1[[#This Row],[التقييد  باللوائح و تنفيذالتوجيه]:[اتباع اجراءات السلامه]])</f>
        <v>0</v>
      </c>
      <c r="AI232" s="619">
        <f>Table1[[#This Row],[المجموع]]+Table1[[#This Row],[المجموع2]]</f>
        <v>0</v>
      </c>
      <c r="AJ232" s="612"/>
      <c r="AK232" s="612"/>
      <c r="AL232" s="612"/>
      <c r="AM232" s="612"/>
      <c r="AN232" s="612"/>
      <c r="AO232" s="606">
        <f>Table1[[#This Row],[المجموع 1+2]]*$AO$2</f>
        <v>0</v>
      </c>
      <c r="AP232" s="648">
        <f>Table1[[#This Row],[راتب ديسمبر 2019]]*Table1[[#This Row],[نسبه التقييم الرئيسي 2018]]%</f>
        <v>0</v>
      </c>
      <c r="AQ232" s="627">
        <f>Table1[[#This Row],[مبلغ التقييم النسبي 2018]]+Table1[[#This Row],[راتب ديسمبر 2019]]</f>
        <v>4000</v>
      </c>
      <c r="AR232" s="611">
        <f>IF(Table1[[#This Row],[Column3]]&lt;0,0,Table1[[#This Row],[Column3]])</f>
        <v>2000</v>
      </c>
      <c r="AS232" s="599">
        <f>VLOOKUP(Table1[[#This Row],[درجه التوسيط]],Table10[],3,)</f>
        <v>6000</v>
      </c>
      <c r="AT232" s="608">
        <f>Table1[[#This Row],[الراتب 2018+النسبه]]+Table1[[#This Row],[فروقات الحد الادني]]</f>
        <v>6000</v>
      </c>
      <c r="AU232" s="629">
        <f>Table1[[#This Row],[الراتب 2018 + النسبه + الفرق]]-Table1[[#This Row],[راتب ديسمبر 2019]]</f>
        <v>2000</v>
      </c>
      <c r="AV232" s="628">
        <f>Table1[[#This Row],[الزياده]]/Table1[[#This Row],[راتب ديسمبر 2019]]%</f>
        <v>50</v>
      </c>
      <c r="AW232" s="659">
        <f>IF(Table1[[#This Row],[Column4]]&lt;0,0,Table1[[#This Row],[Column4]])</f>
        <v>0</v>
      </c>
      <c r="AX232" s="611">
        <f>Table1[[#This Row],[الجبر حتي]]-Table1[[#This Row],[رن]]</f>
        <v>4</v>
      </c>
      <c r="AY232" s="611">
        <f>Table1[[#This Row],[الزياده]]+Table1[[#This Row],[التعديل]]+Table1[[#This Row],[جبر الرقم]]</f>
        <v>2004</v>
      </c>
      <c r="AZ232" s="611">
        <f>Table1[[#This Row],[الراتب 2018 + النسبه + الفرق]]+Table1[[#This Row],[جبر الرقم]]+Table1[[#This Row],[التعديل]]</f>
        <v>6004</v>
      </c>
      <c r="BA232" s="631">
        <f>Table1[[#This Row],[الزياده النهائيه]]/Table1[[#This Row],[راتب ديسمبر 2019]]%</f>
        <v>50.1</v>
      </c>
      <c r="BB232" s="612">
        <f>VLOOKUP(Table1[[#This Row],[الرقم الوظيفي]],Table6[],8,)</f>
        <v>4000</v>
      </c>
      <c r="BC232" s="7"/>
      <c r="BD232" s="7">
        <v>6260</v>
      </c>
      <c r="BE232" s="7">
        <v>6256</v>
      </c>
      <c r="BF232" s="5">
        <f>Table1[[#This Row],[الحد الادني]]-Table1[[#This Row],[الراتب 2018+النسبه]]</f>
        <v>2000</v>
      </c>
      <c r="BG232" s="5">
        <f>Table1[[#This Row],[التعديل حتي]]-Table1[[#This Row],[kkk]]</f>
        <v>-6256</v>
      </c>
      <c r="BH232" s="5">
        <v>6256</v>
      </c>
      <c r="BI232" s="5"/>
    </row>
    <row r="233" spans="1:61" ht="21" customHeight="1">
      <c r="A233" s="602">
        <v>997</v>
      </c>
      <c r="B233" s="618" t="str">
        <f>VLOOKUP(Table1[[#This Row],[الرقم الوظيفي]],[1]Sheet2!$1:$1048576,2,)</f>
        <v>محمد عيسى محمد قرين</v>
      </c>
      <c r="C233" s="618" t="str">
        <f>VLOOKUP(Table1[[#This Row],[الرقم الوظيفي]],[1]Sheet2!$1:$1048576,7,)</f>
        <v>المصنع</v>
      </c>
      <c r="D233" s="618" t="str">
        <f>VLOOKUP(Table1[[#This Row],[الرقم الوظيفي]],[1]Sheet2!$1:$1048576,8,)</f>
        <v>الانتاج</v>
      </c>
      <c r="E233" s="599">
        <f>VLOOKUP(Table1[[#This Row],[الرقم الوظيفي]],[1]Sheet2!$1:$1048576,9,)</f>
        <v>0</v>
      </c>
      <c r="F233" s="599" t="str">
        <f>VLOOKUP(Table1[[#This Row],[الرقم الوظيفي]],[1]Sheet2!$1:$1048576,12,)</f>
        <v>عامل</v>
      </c>
      <c r="G233" s="599" t="str">
        <f>VLOOKUP(Table1[[#This Row],[الرقم الوظيفي]],[1]Sheet2!$1:$1048576,72,)</f>
        <v>دبلوم وسيط</v>
      </c>
      <c r="H233" s="599" t="str">
        <f>VLOOKUP(Table1[[#This Row],[الرقم الوظيفي]],[1]Sheet2!$1:$1048576,71,)</f>
        <v>دراسات اسلامية</v>
      </c>
      <c r="I233" s="599" t="str">
        <f>VLOOKUP(Table1[[#This Row],[المؤهل الرئيسي]],Table4[],3,)</f>
        <v>E</v>
      </c>
      <c r="J233" s="599" t="s">
        <v>929</v>
      </c>
      <c r="K233" s="615">
        <f>VLOOKUP(Table1[[#This Row],[الرقم الوظيفي]],[1]Sheet2!$1:$1048576,13,)</f>
        <v>43116</v>
      </c>
      <c r="L233" s="615">
        <v>43830</v>
      </c>
      <c r="M233" s="599">
        <f>DATEDIF(Table1[[#This Row],[تاريخ التعيين]],Table1[[#This Row],[اخر العام]],"y")</f>
        <v>1</v>
      </c>
      <c r="N233" s="599">
        <f>DATEDIF(Table1[[#This Row],[تاريخ التعيين]],Table1[[#This Row],[اخر العام]],"ym")</f>
        <v>11</v>
      </c>
      <c r="O233" s="610">
        <f>Table1[[#This Row],[سنوات الخدمه]]*1+Table1[[#This Row],[الشهور اقل من سنه]]*0.08</f>
        <v>1.88</v>
      </c>
      <c r="P233" s="616">
        <v>4000</v>
      </c>
      <c r="Q233" s="617">
        <v>70.400000000000006</v>
      </c>
      <c r="R233" s="612"/>
      <c r="S233" s="599"/>
      <c r="T233" s="612"/>
      <c r="U233" s="612"/>
      <c r="V233" s="612"/>
      <c r="W233" s="612"/>
      <c r="X233" s="612"/>
      <c r="Y233" s="612"/>
      <c r="Z233" s="612"/>
      <c r="AA23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3" s="612"/>
      <c r="AC233" s="599"/>
      <c r="AD233" s="612"/>
      <c r="AE233" s="612"/>
      <c r="AF233" s="612"/>
      <c r="AG233" s="612"/>
      <c r="AH233" s="619">
        <f>SUM(Table1[[#This Row],[التقييد  باللوائح و تنفيذالتوجيه]:[اتباع اجراءات السلامه]])</f>
        <v>0</v>
      </c>
      <c r="AI233" s="619">
        <f>Table1[[#This Row],[المجموع]]+Table1[[#This Row],[المجموع2]]</f>
        <v>0</v>
      </c>
      <c r="AJ233" s="612"/>
      <c r="AK233" s="612"/>
      <c r="AL233" s="612"/>
      <c r="AM233" s="612"/>
      <c r="AN233" s="612"/>
      <c r="AO233" s="606">
        <f>Table1[[#This Row],[المجموع 1+2]]*$AO$2</f>
        <v>0</v>
      </c>
      <c r="AP233" s="648">
        <f>Table1[[#This Row],[راتب ديسمبر 2019]]*Table1[[#This Row],[نسبه التقييم الرئيسي 2018]]%</f>
        <v>0</v>
      </c>
      <c r="AQ233" s="627">
        <f>Table1[[#This Row],[مبلغ التقييم النسبي 2018]]+Table1[[#This Row],[راتب ديسمبر 2019]]</f>
        <v>4000</v>
      </c>
      <c r="AR233" s="611">
        <f>IF(Table1[[#This Row],[Column3]]&lt;0,0,Table1[[#This Row],[Column3]])</f>
        <v>2000</v>
      </c>
      <c r="AS233" s="599">
        <f>VLOOKUP(Table1[[#This Row],[درجه التوسيط]],Table10[],3,)</f>
        <v>6000</v>
      </c>
      <c r="AT233" s="608">
        <f>Table1[[#This Row],[الراتب 2018+النسبه]]+Table1[[#This Row],[فروقات الحد الادني]]</f>
        <v>6000</v>
      </c>
      <c r="AU233" s="629">
        <f>Table1[[#This Row],[الراتب 2018 + النسبه + الفرق]]-Table1[[#This Row],[راتب ديسمبر 2019]]</f>
        <v>2000</v>
      </c>
      <c r="AV233" s="628">
        <f>Table1[[#This Row],[الزياده]]/Table1[[#This Row],[راتب ديسمبر 2019]]%</f>
        <v>50</v>
      </c>
      <c r="AW233" s="659">
        <f>IF(Table1[[#This Row],[Column4]]&lt;0,0,Table1[[#This Row],[Column4]])</f>
        <v>0</v>
      </c>
      <c r="AX233" s="611">
        <f>Table1[[#This Row],[الجبر حتي]]-Table1[[#This Row],[رن]]</f>
        <v>8</v>
      </c>
      <c r="AY233" s="611">
        <f>Table1[[#This Row],[الزياده]]+Table1[[#This Row],[التعديل]]+Table1[[#This Row],[جبر الرقم]]</f>
        <v>2008</v>
      </c>
      <c r="AZ233" s="611">
        <f>Table1[[#This Row],[الراتب 2018 + النسبه + الفرق]]+Table1[[#This Row],[جبر الرقم]]+Table1[[#This Row],[التعديل]]</f>
        <v>6008</v>
      </c>
      <c r="BA233" s="631">
        <f>Table1[[#This Row],[الزياده النهائيه]]/Table1[[#This Row],[راتب ديسمبر 2019]]%</f>
        <v>50.2</v>
      </c>
      <c r="BB233" s="612">
        <f>VLOOKUP(Table1[[#This Row],[الرقم الوظيفي]],Table6[],8,)</f>
        <v>4000</v>
      </c>
      <c r="BC233" s="7"/>
      <c r="BD233" s="7">
        <v>6120</v>
      </c>
      <c r="BE233" s="7">
        <v>6112</v>
      </c>
      <c r="BF233" s="5">
        <f>Table1[[#This Row],[الحد الادني]]-Table1[[#This Row],[الراتب 2018+النسبه]]</f>
        <v>2000</v>
      </c>
      <c r="BG233" s="5">
        <f>Table1[[#This Row],[التعديل حتي]]-Table1[[#This Row],[kkk]]</f>
        <v>-6112</v>
      </c>
      <c r="BH233" s="5">
        <v>6112</v>
      </c>
      <c r="BI233" s="5"/>
    </row>
    <row r="234" spans="1:61" ht="21" customHeight="1">
      <c r="A234" s="602">
        <v>999</v>
      </c>
      <c r="B234" s="618" t="str">
        <f>VLOOKUP(Table1[[#This Row],[الرقم الوظيفي]],[1]Sheet2!$1:$1048576,2,)</f>
        <v>المعتصم الياس حسين فضل</v>
      </c>
      <c r="C234" s="618" t="str">
        <f>VLOOKUP(Table1[[#This Row],[الرقم الوظيفي]],[1]Sheet2!$1:$1048576,7,)</f>
        <v>المصنع</v>
      </c>
      <c r="D234" s="618" t="str">
        <f>VLOOKUP(Table1[[#This Row],[الرقم الوظيفي]],[1]Sheet2!$1:$1048576,8,)</f>
        <v>الانتاج</v>
      </c>
      <c r="E234" s="599">
        <f>VLOOKUP(Table1[[#This Row],[الرقم الوظيفي]],[1]Sheet2!$1:$1048576,9,)</f>
        <v>0</v>
      </c>
      <c r="F234" s="599" t="str">
        <f>VLOOKUP(Table1[[#This Row],[الرقم الوظيفي]],[1]Sheet2!$1:$1048576,12,)</f>
        <v>عامل</v>
      </c>
      <c r="G234" s="599">
        <f>VLOOKUP(Table1[[#This Row],[الرقم الوظيفي]],[1]Sheet2!$1:$1048576,72,)</f>
        <v>0</v>
      </c>
      <c r="H234" s="599">
        <f>VLOOKUP(Table1[[#This Row],[الرقم الوظيفي]],[1]Sheet2!$1:$1048576,71,)</f>
        <v>0</v>
      </c>
      <c r="I234" s="599" t="str">
        <f>VLOOKUP(Table1[[#This Row],[المؤهل الرئيسي]],Table4[],3,)</f>
        <v>H</v>
      </c>
      <c r="J234" s="599" t="s">
        <v>929</v>
      </c>
      <c r="K234" s="615">
        <f>VLOOKUP(Table1[[#This Row],[الرقم الوظيفي]],[1]Sheet2!$1:$1048576,13,)</f>
        <v>43134</v>
      </c>
      <c r="L234" s="615">
        <v>43830</v>
      </c>
      <c r="M234" s="599">
        <f>DATEDIF(Table1[[#This Row],[تاريخ التعيين]],Table1[[#This Row],[اخر العام]],"y")</f>
        <v>1</v>
      </c>
      <c r="N234" s="599">
        <f>DATEDIF(Table1[[#This Row],[تاريخ التعيين]],Table1[[#This Row],[اخر العام]],"ym")</f>
        <v>10</v>
      </c>
      <c r="O234" s="610">
        <f>Table1[[#This Row],[سنوات الخدمه]]*1+Table1[[#This Row],[الشهور اقل من سنه]]*0.08</f>
        <v>1.8</v>
      </c>
      <c r="P234" s="616">
        <v>3000</v>
      </c>
      <c r="Q234" s="617">
        <v>48</v>
      </c>
      <c r="R234" s="612"/>
      <c r="S234" s="599"/>
      <c r="T234" s="612"/>
      <c r="U234" s="612"/>
      <c r="V234" s="612"/>
      <c r="W234" s="612"/>
      <c r="X234" s="612"/>
      <c r="Y234" s="612"/>
      <c r="Z234" s="612"/>
      <c r="AA23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4" s="612"/>
      <c r="AC234" s="599"/>
      <c r="AD234" s="612"/>
      <c r="AE234" s="612"/>
      <c r="AF234" s="612"/>
      <c r="AG234" s="612"/>
      <c r="AH234" s="619">
        <f>SUM(Table1[[#This Row],[التقييد  باللوائح و تنفيذالتوجيه]:[اتباع اجراءات السلامه]])</f>
        <v>0</v>
      </c>
      <c r="AI234" s="619">
        <f>Table1[[#This Row],[المجموع]]+Table1[[#This Row],[المجموع2]]</f>
        <v>0</v>
      </c>
      <c r="AJ234" s="612"/>
      <c r="AK234" s="612"/>
      <c r="AL234" s="612"/>
      <c r="AM234" s="612"/>
      <c r="AN234" s="612"/>
      <c r="AO234" s="606">
        <f>Table1[[#This Row],[المجموع 1+2]]*$AO$2</f>
        <v>0</v>
      </c>
      <c r="AP234" s="648">
        <f>Table1[[#This Row],[راتب ديسمبر 2019]]*Table1[[#This Row],[نسبه التقييم الرئيسي 2018]]%</f>
        <v>0</v>
      </c>
      <c r="AQ234" s="627">
        <f>Table1[[#This Row],[مبلغ التقييم النسبي 2018]]+Table1[[#This Row],[راتب ديسمبر 2019]]</f>
        <v>3000</v>
      </c>
      <c r="AR234" s="611">
        <f>IF(Table1[[#This Row],[Column3]]&lt;0,0,Table1[[#This Row],[Column3]])</f>
        <v>3000</v>
      </c>
      <c r="AS234" s="599">
        <f>VLOOKUP(Table1[[#This Row],[درجه التوسيط]],Table10[],3,)</f>
        <v>6000</v>
      </c>
      <c r="AT234" s="608">
        <f>Table1[[#This Row],[الراتب 2018+النسبه]]+Table1[[#This Row],[فروقات الحد الادني]]</f>
        <v>6000</v>
      </c>
      <c r="AU234" s="629">
        <f>Table1[[#This Row],[الراتب 2018 + النسبه + الفرق]]-Table1[[#This Row],[راتب ديسمبر 2019]]</f>
        <v>3000</v>
      </c>
      <c r="AV234" s="628">
        <f>Table1[[#This Row],[الزياده]]/Table1[[#This Row],[راتب ديسمبر 2019]]%</f>
        <v>100</v>
      </c>
      <c r="AW234" s="659">
        <f>IF(Table1[[#This Row],[Column4]]&lt;0,0,Table1[[#This Row],[Column4]])</f>
        <v>0</v>
      </c>
      <c r="AX234" s="611">
        <f>Table1[[#This Row],[الجبر حتي]]-Table1[[#This Row],[رن]]</f>
        <v>2</v>
      </c>
      <c r="AY234" s="611">
        <f>Table1[[#This Row],[الزياده]]+Table1[[#This Row],[التعديل]]+Table1[[#This Row],[جبر الرقم]]</f>
        <v>3002</v>
      </c>
      <c r="AZ234" s="611">
        <f>Table1[[#This Row],[الراتب 2018 + النسبه + الفرق]]+Table1[[#This Row],[جبر الرقم]]+Table1[[#This Row],[التعديل]]</f>
        <v>6002</v>
      </c>
      <c r="BA234" s="631">
        <f>Table1[[#This Row],[الزياده النهائيه]]/Table1[[#This Row],[راتب ديسمبر 2019]]%</f>
        <v>100.06666666666666</v>
      </c>
      <c r="BB234" s="612">
        <f>VLOOKUP(Table1[[#This Row],[الرقم الوظيفي]],Table6[],8,)</f>
        <v>3000</v>
      </c>
      <c r="BC234" s="7"/>
      <c r="BD234" s="7">
        <v>4640</v>
      </c>
      <c r="BE234" s="7">
        <v>4638</v>
      </c>
      <c r="BF234" s="5">
        <f>Table1[[#This Row],[الحد الادني]]-Table1[[#This Row],[الراتب 2018+النسبه]]</f>
        <v>3000</v>
      </c>
      <c r="BG234" s="5">
        <f>Table1[[#This Row],[التعديل حتي]]-Table1[[#This Row],[kkk]]</f>
        <v>-4638</v>
      </c>
      <c r="BH234" s="5">
        <v>4638</v>
      </c>
      <c r="BI234" s="5"/>
    </row>
    <row r="235" spans="1:61" ht="21" customHeight="1">
      <c r="A235" s="602">
        <v>1001</v>
      </c>
      <c r="B235" s="618" t="str">
        <f>VLOOKUP(Table1[[#This Row],[الرقم الوظيفي]],[1]Sheet2!$1:$1048576,2,)</f>
        <v>معتز عمر مصطفى حماد</v>
      </c>
      <c r="C235" s="618" t="str">
        <f>VLOOKUP(Table1[[#This Row],[الرقم الوظيفي]],[1]Sheet2!$1:$1048576,7,)</f>
        <v>الرئاسه</v>
      </c>
      <c r="D235" s="618" t="str">
        <f>VLOOKUP(Table1[[#This Row],[الرقم الوظيفي]],[1]Sheet2!$1:$1048576,8,)</f>
        <v>الكمبيوتر</v>
      </c>
      <c r="E235" s="599">
        <f>VLOOKUP(Table1[[#This Row],[الرقم الوظيفي]],[1]Sheet2!$1:$1048576,9,)</f>
        <v>0</v>
      </c>
      <c r="F235" s="599" t="str">
        <f>VLOOKUP(Table1[[#This Row],[الرقم الوظيفي]],[1]Sheet2!$1:$1048576,12,)</f>
        <v>مدير قسم الكمبيوتر</v>
      </c>
      <c r="G235" s="599">
        <f>VLOOKUP(Table1[[#This Row],[الرقم الوظيفي]],[1]Sheet2!$1:$1048576,72,)</f>
        <v>0</v>
      </c>
      <c r="H235" s="599">
        <f>VLOOKUP(Table1[[#This Row],[الرقم الوظيفي]],[1]Sheet2!$1:$1048576,71,)</f>
        <v>0</v>
      </c>
      <c r="I235" s="599" t="str">
        <f>VLOOKUP(Table1[[#This Row],[المؤهل الرئيسي]],Table4[],3,)</f>
        <v>H</v>
      </c>
      <c r="J235" s="599" t="s">
        <v>59</v>
      </c>
      <c r="K235" s="615">
        <f>VLOOKUP(Table1[[#This Row],[الرقم الوظيفي]],[1]Sheet2!$1:$1048576,13,)</f>
        <v>39083</v>
      </c>
      <c r="L235" s="615">
        <v>43830</v>
      </c>
      <c r="M235" s="599">
        <f>DATEDIF(Table1[[#This Row],[تاريخ التعيين]],Table1[[#This Row],[اخر العام]],"y")</f>
        <v>12</v>
      </c>
      <c r="N235" s="599">
        <f>DATEDIF(Table1[[#This Row],[تاريخ التعيين]],Table1[[#This Row],[اخر العام]],"ym")</f>
        <v>11</v>
      </c>
      <c r="O235" s="610">
        <f>Table1[[#This Row],[سنوات الخدمه]]*1+Table1[[#This Row],[الشهور اقل من سنه]]*0.08</f>
        <v>12.88</v>
      </c>
      <c r="P235" s="616">
        <v>35000</v>
      </c>
      <c r="Q235" s="617">
        <v>8316</v>
      </c>
      <c r="R235" s="612"/>
      <c r="S235" s="599"/>
      <c r="T235" s="612"/>
      <c r="U235" s="612"/>
      <c r="V235" s="612"/>
      <c r="W235" s="612"/>
      <c r="X235" s="612"/>
      <c r="Y235" s="612"/>
      <c r="Z235" s="612"/>
      <c r="AA23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5" s="612"/>
      <c r="AC235" s="599"/>
      <c r="AD235" s="612"/>
      <c r="AE235" s="612"/>
      <c r="AF235" s="612"/>
      <c r="AG235" s="612"/>
      <c r="AH235" s="619">
        <f>SUM(Table1[[#This Row],[التقييد  باللوائح و تنفيذالتوجيه]:[اتباع اجراءات السلامه]])</f>
        <v>0</v>
      </c>
      <c r="AI235" s="619">
        <f>Table1[[#This Row],[المجموع]]+Table1[[#This Row],[المجموع2]]</f>
        <v>0</v>
      </c>
      <c r="AJ235" s="612">
        <v>10</v>
      </c>
      <c r="AK235" s="612"/>
      <c r="AL235" s="612"/>
      <c r="AM235" s="612">
        <v>9</v>
      </c>
      <c r="AN235" s="612"/>
      <c r="AO235" s="606">
        <f>Table1[[#This Row],[المجموع 1+2]]*$AO$2</f>
        <v>0</v>
      </c>
      <c r="AP235" s="648">
        <f>Table1[[#This Row],[راتب ديسمبر 2019]]*Table1[[#This Row],[نسبه التقييم الرئيسي 2018]]%</f>
        <v>0</v>
      </c>
      <c r="AQ235" s="627">
        <f>Table1[[#This Row],[مبلغ التقييم النسبي 2018]]+Table1[[#This Row],[راتب ديسمبر 2019]]</f>
        <v>35000</v>
      </c>
      <c r="AR235" s="611">
        <f>IF(Table1[[#This Row],[Column3]]&lt;0,0,Table1[[#This Row],[Column3]])</f>
        <v>15000</v>
      </c>
      <c r="AS235" s="599">
        <f>VLOOKUP(Table1[[#This Row],[درجه التوسيط]],Table10[],3,)</f>
        <v>50000</v>
      </c>
      <c r="AT235" s="608">
        <f>Table1[[#This Row],[الراتب 2018+النسبه]]+Table1[[#This Row],[فروقات الحد الادني]]</f>
        <v>50000</v>
      </c>
      <c r="AU235" s="629">
        <f>Table1[[#This Row],[الراتب 2018 + النسبه + الفرق]]-Table1[[#This Row],[راتب ديسمبر 2019]]</f>
        <v>15000</v>
      </c>
      <c r="AV235" s="628">
        <f>Table1[[#This Row],[الزياده]]/Table1[[#This Row],[راتب ديسمبر 2019]]%</f>
        <v>42.857142857142854</v>
      </c>
      <c r="AW235" s="659">
        <f>IF(Table1[[#This Row],[Column4]]&lt;0,0,Table1[[#This Row],[Column4]])</f>
        <v>0</v>
      </c>
      <c r="AX235" s="611">
        <f>Table1[[#This Row],[الجبر حتي]]-Table1[[#This Row],[رن]]</f>
        <v>0</v>
      </c>
      <c r="AY235" s="611">
        <f>Table1[[#This Row],[الزياده]]+Table1[[#This Row],[التعديل]]+Table1[[#This Row],[جبر الرقم]]</f>
        <v>15000</v>
      </c>
      <c r="AZ235" s="611">
        <f>Table1[[#This Row],[الراتب 2018 + النسبه + الفرق]]+Table1[[#This Row],[جبر الرقم]]+Table1[[#This Row],[التعديل]]</f>
        <v>50000</v>
      </c>
      <c r="BA235" s="631">
        <f>Table1[[#This Row],[الزياده النهائيه]]/Table1[[#This Row],[راتب ديسمبر 2019]]%</f>
        <v>42.857142857142854</v>
      </c>
      <c r="BB235" s="612">
        <f>VLOOKUP(Table1[[#This Row],[الرقم الوظيفي]],Table6[],8,)</f>
        <v>35000</v>
      </c>
      <c r="BC235" s="7"/>
      <c r="BD235" s="7">
        <v>54950</v>
      </c>
      <c r="BE235" s="7">
        <v>54950</v>
      </c>
      <c r="BF235" s="5">
        <f>Table1[[#This Row],[الحد الادني]]-Table1[[#This Row],[الراتب 2018+النسبه]]</f>
        <v>15000</v>
      </c>
      <c r="BG235" s="5">
        <f>Table1[[#This Row],[التعديل حتي]]-Table1[[#This Row],[kkk]]</f>
        <v>-54950</v>
      </c>
      <c r="BH235" s="5">
        <v>54950</v>
      </c>
      <c r="BI235" s="5"/>
    </row>
    <row r="236" spans="1:61" ht="21" customHeight="1">
      <c r="A236" s="602">
        <v>1005</v>
      </c>
      <c r="B236" s="618" t="str">
        <f>VLOOKUP(Table1[[#This Row],[الرقم الوظيفي]],[1]Sheet2!$1:$1048576,2,)</f>
        <v>سيف الدين محمد حسين احمد</v>
      </c>
      <c r="C236" s="618" t="str">
        <f>VLOOKUP(Table1[[#This Row],[الرقم الوظيفي]],[1]Sheet2!$1:$1048576,7,)</f>
        <v>الرئاسه</v>
      </c>
      <c r="D236" s="618" t="str">
        <f>VLOOKUP(Table1[[#This Row],[الرقم الوظيفي]],[1]Sheet2!$1:$1048576,8,)</f>
        <v>الموارد البشريه</v>
      </c>
      <c r="E236" s="599" t="str">
        <f>VLOOKUP(Table1[[#This Row],[الرقم الوظيفي]],[1]Sheet2!$1:$1048576,9,)</f>
        <v>موظف</v>
      </c>
      <c r="F236" s="599" t="str">
        <f>VLOOKUP(Table1[[#This Row],[الرقم الوظيفي]],[1]Sheet2!$1:$1048576,12,)</f>
        <v>موظف موارد بشريه</v>
      </c>
      <c r="G236" s="599" t="str">
        <f>VLOOKUP(Table1[[#This Row],[الرقم الوظيفي]],[1]Sheet2!$1:$1048576,72,)</f>
        <v>شهاده ثانويه</v>
      </c>
      <c r="H236" s="599">
        <f>VLOOKUP(Table1[[#This Row],[الرقم الوظيفي]],[1]Sheet2!$1:$1048576,71,)</f>
        <v>0</v>
      </c>
      <c r="I236" s="599" t="str">
        <f>VLOOKUP(Table1[[#This Row],[المؤهل الرئيسي]],Table4[],3,)</f>
        <v>F</v>
      </c>
      <c r="J236" s="599" t="s">
        <v>923</v>
      </c>
      <c r="K236" s="615">
        <f>VLOOKUP(Table1[[#This Row],[الرقم الوظيفي]],[1]Sheet2!$1:$1048576,13,)</f>
        <v>39052</v>
      </c>
      <c r="L236" s="615">
        <v>43830</v>
      </c>
      <c r="M236" s="599">
        <f>DATEDIF(Table1[[#This Row],[تاريخ التعيين]],Table1[[#This Row],[اخر العام]],"y")</f>
        <v>13</v>
      </c>
      <c r="N236" s="599">
        <f>DATEDIF(Table1[[#This Row],[تاريخ التعيين]],Table1[[#This Row],[اخر العام]],"ym")</f>
        <v>0</v>
      </c>
      <c r="O236" s="610">
        <f>Table1[[#This Row],[سنوات الخدمه]]*1+Table1[[#This Row],[الشهور اقل من سنه]]*0.08</f>
        <v>13</v>
      </c>
      <c r="P236" s="616">
        <v>5030</v>
      </c>
      <c r="Q236" s="617">
        <v>1207.2</v>
      </c>
      <c r="R236" s="612"/>
      <c r="S236" s="599"/>
      <c r="T236" s="612"/>
      <c r="U236" s="612"/>
      <c r="V236" s="612"/>
      <c r="W236" s="612"/>
      <c r="X236" s="612"/>
      <c r="Y236" s="612"/>
      <c r="Z236" s="612"/>
      <c r="AA23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6" s="612"/>
      <c r="AC236" s="599"/>
      <c r="AD236" s="612"/>
      <c r="AE236" s="612"/>
      <c r="AF236" s="612"/>
      <c r="AG236" s="612"/>
      <c r="AH236" s="619">
        <f>SUM(Table1[[#This Row],[التقييد  باللوائح و تنفيذالتوجيه]:[اتباع اجراءات السلامه]])</f>
        <v>0</v>
      </c>
      <c r="AI236" s="619">
        <f>Table1[[#This Row],[المجموع]]+Table1[[#This Row],[المجموع2]]</f>
        <v>0</v>
      </c>
      <c r="AJ236" s="612"/>
      <c r="AK236" s="612"/>
      <c r="AL236" s="612"/>
      <c r="AM236" s="612"/>
      <c r="AN236" s="612"/>
      <c r="AO236" s="606">
        <f>Table1[[#This Row],[المجموع 1+2]]*$AO$2</f>
        <v>0</v>
      </c>
      <c r="AP236" s="648">
        <f>Table1[[#This Row],[راتب ديسمبر 2019]]*Table1[[#This Row],[نسبه التقييم الرئيسي 2018]]%</f>
        <v>0</v>
      </c>
      <c r="AQ236" s="627">
        <f>Table1[[#This Row],[مبلغ التقييم النسبي 2018]]+Table1[[#This Row],[راتب ديسمبر 2019]]</f>
        <v>5030</v>
      </c>
      <c r="AR236" s="611">
        <f>IF(Table1[[#This Row],[Column3]]&lt;0,0,Table1[[#This Row],[Column3]])</f>
        <v>4970</v>
      </c>
      <c r="AS236" s="599">
        <f>VLOOKUP(Table1[[#This Row],[درجه التوسيط]],Table10[],3,)</f>
        <v>10000</v>
      </c>
      <c r="AT236" s="608">
        <f>Table1[[#This Row],[الراتب 2018+النسبه]]+Table1[[#This Row],[فروقات الحد الادني]]</f>
        <v>10000</v>
      </c>
      <c r="AU236" s="629">
        <f>Table1[[#This Row],[الراتب 2018 + النسبه + الفرق]]-Table1[[#This Row],[راتب ديسمبر 2019]]</f>
        <v>4970</v>
      </c>
      <c r="AV236" s="628">
        <f>Table1[[#This Row],[الزياده]]/Table1[[#This Row],[راتب ديسمبر 2019]]%</f>
        <v>98.807157057654081</v>
      </c>
      <c r="AW236" s="659">
        <f>IF(Table1[[#This Row],[Column4]]&lt;0,0,Table1[[#This Row],[Column4]])</f>
        <v>374.52000000000044</v>
      </c>
      <c r="AX236" s="611">
        <f>Table1[[#This Row],[الجبر حتي]]-Table1[[#This Row],[رن]]</f>
        <v>0</v>
      </c>
      <c r="AY236" s="611">
        <f>Table1[[#This Row],[الزياده]]+Table1[[#This Row],[التعديل]]+Table1[[#This Row],[جبر الرقم]]</f>
        <v>5344.52</v>
      </c>
      <c r="AZ236" s="611">
        <f>Table1[[#This Row],[الراتب 2018 + النسبه + الفرق]]+Table1[[#This Row],[جبر الرقم]]+Table1[[#This Row],[التعديل]]</f>
        <v>10374.52</v>
      </c>
      <c r="BA236" s="631">
        <f>Table1[[#This Row],[الزياده النهائيه]]/Table1[[#This Row],[راتب ديسمبر 2019]]%</f>
        <v>106.25288270377735</v>
      </c>
      <c r="BB236" s="612">
        <f>VLOOKUP(Table1[[#This Row],[الرقم الوظيفي]],Table6[],8,)</f>
        <v>5030</v>
      </c>
      <c r="BC236" s="7">
        <v>8000</v>
      </c>
      <c r="BD236" s="7">
        <v>8000</v>
      </c>
      <c r="BE236" s="7">
        <v>8000</v>
      </c>
      <c r="BF236" s="5">
        <f>Table1[[#This Row],[الحد الادني]]-Table1[[#This Row],[الراتب 2018+النسبه]]</f>
        <v>4970</v>
      </c>
      <c r="BG236" s="5">
        <f>Table1[[#This Row],[التعديل حتي]]-Table1[[#This Row],[kkk]]</f>
        <v>374.52000000000044</v>
      </c>
      <c r="BH236" s="5">
        <v>7625.48</v>
      </c>
      <c r="BI236" s="5"/>
    </row>
    <row r="237" spans="1:61" ht="21" customHeight="1">
      <c r="A237" s="602">
        <v>1016</v>
      </c>
      <c r="B237" s="618" t="str">
        <f>VLOOKUP(Table1[[#This Row],[الرقم الوظيفي]],[1]Sheet2!$1:$1048576,2,)</f>
        <v>احمد عبدالعزيز مصطفى احمد</v>
      </c>
      <c r="C237" s="618" t="str">
        <f>VLOOKUP(Table1[[#This Row],[الرقم الوظيفي]],[1]Sheet2!$1:$1048576,7,)</f>
        <v>الرئاسه</v>
      </c>
      <c r="D237" s="618" t="str">
        <f>VLOOKUP(Table1[[#This Row],[الرقم الوظيفي]],[1]Sheet2!$1:$1048576,8,)</f>
        <v>العلاقات العامه</v>
      </c>
      <c r="E237" s="599">
        <f>VLOOKUP(Table1[[#This Row],[الرقم الوظيفي]],[1]Sheet2!$1:$1048576,9,)</f>
        <v>0</v>
      </c>
      <c r="F237" s="599">
        <f>VLOOKUP(Table1[[#This Row],[الرقم الوظيفي]],[1]Sheet2!$1:$1048576,12,)</f>
        <v>0</v>
      </c>
      <c r="G237" s="599">
        <f>VLOOKUP(Table1[[#This Row],[الرقم الوظيفي]],[1]Sheet2!$1:$1048576,72,)</f>
        <v>0</v>
      </c>
      <c r="H237" s="599">
        <f>VLOOKUP(Table1[[#This Row],[الرقم الوظيفي]],[1]Sheet2!$1:$1048576,71,)</f>
        <v>0</v>
      </c>
      <c r="I237" s="599" t="str">
        <f>VLOOKUP(Table1[[#This Row],[المؤهل الرئيسي]],Table4[],3,)</f>
        <v>H</v>
      </c>
      <c r="J237" s="599" t="s">
        <v>929</v>
      </c>
      <c r="K237" s="615">
        <f>VLOOKUP(Table1[[#This Row],[الرقم الوظيفي]],[1]Sheet2!$1:$1048576,13,)</f>
        <v>41883</v>
      </c>
      <c r="L237" s="615">
        <v>43830</v>
      </c>
      <c r="M237" s="599">
        <f>DATEDIF(Table1[[#This Row],[تاريخ التعيين]],Table1[[#This Row],[اخر العام]],"y")</f>
        <v>5</v>
      </c>
      <c r="N237" s="599">
        <f>DATEDIF(Table1[[#This Row],[تاريخ التعيين]],Table1[[#This Row],[اخر العام]],"ym")</f>
        <v>3</v>
      </c>
      <c r="O237" s="610">
        <f>Table1[[#This Row],[سنوات الخدمه]]*1+Table1[[#This Row],[الشهور اقل من سنه]]*0.08</f>
        <v>5.24</v>
      </c>
      <c r="P237" s="616">
        <v>3640</v>
      </c>
      <c r="Q237" s="617">
        <v>308.67200000000003</v>
      </c>
      <c r="R237" s="612"/>
      <c r="S237" s="599"/>
      <c r="T237" s="612"/>
      <c r="U237" s="612"/>
      <c r="V237" s="612"/>
      <c r="W237" s="612"/>
      <c r="X237" s="612"/>
      <c r="Y237" s="612"/>
      <c r="Z237" s="612"/>
      <c r="AA23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7" s="612"/>
      <c r="AC237" s="599"/>
      <c r="AD237" s="612"/>
      <c r="AE237" s="612"/>
      <c r="AF237" s="612"/>
      <c r="AG237" s="612"/>
      <c r="AH237" s="619">
        <f>SUM(Table1[[#This Row],[التقييد  باللوائح و تنفيذالتوجيه]:[اتباع اجراءات السلامه]])</f>
        <v>0</v>
      </c>
      <c r="AI237" s="619">
        <f>Table1[[#This Row],[المجموع]]+Table1[[#This Row],[المجموع2]]</f>
        <v>0</v>
      </c>
      <c r="AJ237" s="612">
        <v>8</v>
      </c>
      <c r="AK237" s="612"/>
      <c r="AL237" s="612"/>
      <c r="AM237" s="612">
        <v>6</v>
      </c>
      <c r="AN237" s="612"/>
      <c r="AO237" s="606">
        <f>Table1[[#This Row],[المجموع 1+2]]*$AO$2</f>
        <v>0</v>
      </c>
      <c r="AP237" s="648">
        <f>Table1[[#This Row],[راتب ديسمبر 2019]]*Table1[[#This Row],[نسبه التقييم الرئيسي 2018]]%</f>
        <v>0</v>
      </c>
      <c r="AQ237" s="627">
        <f>Table1[[#This Row],[مبلغ التقييم النسبي 2018]]+Table1[[#This Row],[راتب ديسمبر 2019]]</f>
        <v>3640</v>
      </c>
      <c r="AR237" s="611">
        <f>IF(Table1[[#This Row],[Column3]]&lt;0,0,Table1[[#This Row],[Column3]])</f>
        <v>2360</v>
      </c>
      <c r="AS237" s="599">
        <f>VLOOKUP(Table1[[#This Row],[درجه التوسيط]],Table10[],3,)</f>
        <v>6000</v>
      </c>
      <c r="AT237" s="608">
        <f>Table1[[#This Row],[الراتب 2018+النسبه]]+Table1[[#This Row],[فروقات الحد الادني]]</f>
        <v>6000</v>
      </c>
      <c r="AU237" s="629">
        <f>Table1[[#This Row],[الراتب 2018 + النسبه + الفرق]]-Table1[[#This Row],[راتب ديسمبر 2019]]</f>
        <v>2360</v>
      </c>
      <c r="AV237" s="628">
        <f>Table1[[#This Row],[الزياده]]/Table1[[#This Row],[راتب ديسمبر 2019]]%</f>
        <v>64.835164835164832</v>
      </c>
      <c r="AW237" s="659">
        <f>IF(Table1[[#This Row],[Column4]]&lt;0,0,Table1[[#This Row],[Column4]])</f>
        <v>787.52000000000044</v>
      </c>
      <c r="AX237" s="611">
        <f>Table1[[#This Row],[الجبر حتي]]-Table1[[#This Row],[رن]]</f>
        <v>0</v>
      </c>
      <c r="AY237" s="611">
        <f>Table1[[#This Row],[الزياده]]+Table1[[#This Row],[التعديل]]+Table1[[#This Row],[جبر الرقم]]</f>
        <v>3147.5200000000004</v>
      </c>
      <c r="AZ237" s="611">
        <f>Table1[[#This Row],[الراتب 2018 + النسبه + الفرق]]+Table1[[#This Row],[جبر الرقم]]+Table1[[#This Row],[التعديل]]</f>
        <v>6787.52</v>
      </c>
      <c r="BA237" s="631">
        <f>Table1[[#This Row],[الزياده النهائيه]]/Table1[[#This Row],[راتب ديسمبر 2019]]%</f>
        <v>86.47032967032969</v>
      </c>
      <c r="BB237" s="612">
        <f>VLOOKUP(Table1[[#This Row],[الرقم الوظيفي]],Table6[],8,)</f>
        <v>3640</v>
      </c>
      <c r="BC237" s="7">
        <v>6000</v>
      </c>
      <c r="BD237" s="7">
        <v>5220</v>
      </c>
      <c r="BE237" s="7">
        <v>5220</v>
      </c>
      <c r="BF237" s="5">
        <f>Table1[[#This Row],[الحد الادني]]-Table1[[#This Row],[الراتب 2018+النسبه]]</f>
        <v>2360</v>
      </c>
      <c r="BG237" s="5">
        <f>Table1[[#This Row],[التعديل حتي]]-Table1[[#This Row],[kkk]]</f>
        <v>787.52000000000044</v>
      </c>
      <c r="BH237" s="5">
        <v>5212.4799999999996</v>
      </c>
      <c r="BI237" s="5"/>
    </row>
    <row r="238" spans="1:61" ht="21" customHeight="1">
      <c r="A238" s="602">
        <v>1020</v>
      </c>
      <c r="B238" s="618" t="str">
        <f>VLOOKUP(Table1[[#This Row],[الرقم الوظيفي]],[1]Sheet2!$1:$1048576,2,)</f>
        <v>كمبال حسن كمبال احمد</v>
      </c>
      <c r="C238" s="618" t="str">
        <f>VLOOKUP(Table1[[#This Row],[الرقم الوظيفي]],[1]Sheet2!$1:$1048576,7,)</f>
        <v>الرئاسه</v>
      </c>
      <c r="D238" s="618" t="str">
        <f>VLOOKUP(Table1[[#This Row],[الرقم الوظيفي]],[1]Sheet2!$1:$1048576,8,)</f>
        <v>الاداره</v>
      </c>
      <c r="E238" s="599">
        <f>VLOOKUP(Table1[[#This Row],[الرقم الوظيفي]],[1]Sheet2!$1:$1048576,9,)</f>
        <v>0</v>
      </c>
      <c r="F238" s="599" t="str">
        <f>VLOOKUP(Table1[[#This Row],[الرقم الوظيفي]],[1]Sheet2!$1:$1048576,12,)</f>
        <v>سكرتير تنفيذي</v>
      </c>
      <c r="G238" s="599" t="str">
        <f>VLOOKUP(Table1[[#This Row],[الرقم الوظيفي]],[1]Sheet2!$1:$1048576,72,)</f>
        <v>بكلاريوس</v>
      </c>
      <c r="H238" s="599" t="str">
        <f>VLOOKUP(Table1[[#This Row],[الرقم الوظيفي]],[1]Sheet2!$1:$1048576,71,)</f>
        <v>محاسبة</v>
      </c>
      <c r="I238" s="599" t="str">
        <f>VLOOKUP(Table1[[#This Row],[المؤهل الرئيسي]],Table4[],3,)</f>
        <v>C</v>
      </c>
      <c r="J238" s="599" t="s">
        <v>922</v>
      </c>
      <c r="K238" s="615">
        <f>VLOOKUP(Table1[[#This Row],[الرقم الوظيفي]],[1]Sheet2!$1:$1048576,13,)</f>
        <v>42826</v>
      </c>
      <c r="L238" s="615">
        <v>43830</v>
      </c>
      <c r="M238" s="599">
        <f>DATEDIF(Table1[[#This Row],[تاريخ التعيين]],Table1[[#This Row],[اخر العام]],"y")</f>
        <v>2</v>
      </c>
      <c r="N238" s="599">
        <f>DATEDIF(Table1[[#This Row],[تاريخ التعيين]],Table1[[#This Row],[اخر العام]],"ym")</f>
        <v>8</v>
      </c>
      <c r="O238" s="610">
        <f>Table1[[#This Row],[سنوات الخدمه]]*1+Table1[[#This Row],[الشهور اقل من سنه]]*0.08</f>
        <v>2.64</v>
      </c>
      <c r="P238" s="616">
        <v>9050</v>
      </c>
      <c r="Q238" s="617">
        <v>296.83999999999997</v>
      </c>
      <c r="R238" s="612"/>
      <c r="S238" s="599"/>
      <c r="T238" s="612"/>
      <c r="U238" s="612"/>
      <c r="V238" s="612"/>
      <c r="W238" s="612"/>
      <c r="X238" s="612"/>
      <c r="Y238" s="612"/>
      <c r="Z238" s="612"/>
      <c r="AA23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8" s="612"/>
      <c r="AC238" s="599"/>
      <c r="AD238" s="612"/>
      <c r="AE238" s="612"/>
      <c r="AF238" s="612"/>
      <c r="AG238" s="612"/>
      <c r="AH238" s="619">
        <f>SUM(Table1[[#This Row],[التقييد  باللوائح و تنفيذالتوجيه]:[اتباع اجراءات السلامه]])</f>
        <v>0</v>
      </c>
      <c r="AI238" s="619">
        <f>Table1[[#This Row],[المجموع]]+Table1[[#This Row],[المجموع2]]</f>
        <v>0</v>
      </c>
      <c r="AJ238" s="612">
        <v>9</v>
      </c>
      <c r="AK238" s="612"/>
      <c r="AL238" s="612"/>
      <c r="AM238" s="612">
        <v>4</v>
      </c>
      <c r="AN238" s="612"/>
      <c r="AO238" s="606">
        <f>Table1[[#This Row],[المجموع 1+2]]*$AO$2</f>
        <v>0</v>
      </c>
      <c r="AP238" s="648">
        <f>Table1[[#This Row],[راتب ديسمبر 2019]]*Table1[[#This Row],[نسبه التقييم الرئيسي 2018]]%</f>
        <v>0</v>
      </c>
      <c r="AQ238" s="627">
        <f>Table1[[#This Row],[مبلغ التقييم النسبي 2018]]+Table1[[#This Row],[راتب ديسمبر 2019]]</f>
        <v>9050</v>
      </c>
      <c r="AR238" s="611">
        <f>IF(Table1[[#This Row],[Column3]]&lt;0,0,Table1[[#This Row],[Column3]])</f>
        <v>1950</v>
      </c>
      <c r="AS238" s="599">
        <f>VLOOKUP(Table1[[#This Row],[درجه التوسيط]],Table10[],3,)</f>
        <v>11000</v>
      </c>
      <c r="AT238" s="608">
        <f>Table1[[#This Row],[الراتب 2018+النسبه]]+Table1[[#This Row],[فروقات الحد الادني]]</f>
        <v>11000</v>
      </c>
      <c r="AU238" s="629">
        <f>Table1[[#This Row],[الراتب 2018 + النسبه + الفرق]]-Table1[[#This Row],[راتب ديسمبر 2019]]</f>
        <v>1950</v>
      </c>
      <c r="AV238" s="628">
        <f>Table1[[#This Row],[الزياده]]/Table1[[#This Row],[راتب ديسمبر 2019]]%</f>
        <v>21.546961325966851</v>
      </c>
      <c r="AW238" s="659">
        <f>IF(Table1[[#This Row],[Column4]]&lt;0,0,Table1[[#This Row],[Column4]])</f>
        <v>0</v>
      </c>
      <c r="AX238" s="611">
        <f>Table1[[#This Row],[الجبر حتي]]-Table1[[#This Row],[رن]]</f>
        <v>3.1000000000003638</v>
      </c>
      <c r="AY238" s="611">
        <f>Table1[[#This Row],[الزياده]]+Table1[[#This Row],[التعديل]]+Table1[[#This Row],[جبر الرقم]]</f>
        <v>1953.1000000000004</v>
      </c>
      <c r="AZ238" s="611">
        <f>Table1[[#This Row],[الراتب 2018 + النسبه + الفرق]]+Table1[[#This Row],[جبر الرقم]]+Table1[[#This Row],[التعديل]]</f>
        <v>11003.1</v>
      </c>
      <c r="BA238" s="631">
        <f>Table1[[#This Row],[الزياده النهائيه]]/Table1[[#This Row],[راتب ديسمبر 2019]]%</f>
        <v>21.581215469613262</v>
      </c>
      <c r="BB238" s="612">
        <f>VLOOKUP(Table1[[#This Row],[الرقم الوظيفي]],Table6[],8,)</f>
        <v>9050</v>
      </c>
      <c r="BC238" s="7"/>
      <c r="BD238" s="7">
        <v>13560</v>
      </c>
      <c r="BE238" s="7">
        <v>13556.9</v>
      </c>
      <c r="BF238" s="5">
        <f>Table1[[#This Row],[الحد الادني]]-Table1[[#This Row],[الراتب 2018+النسبه]]</f>
        <v>1950</v>
      </c>
      <c r="BG238" s="5">
        <f>Table1[[#This Row],[التعديل حتي]]-Table1[[#This Row],[kkk]]</f>
        <v>-13556.9</v>
      </c>
      <c r="BH238" s="5">
        <v>13556.9</v>
      </c>
      <c r="BI238" s="5"/>
    </row>
    <row r="239" spans="1:61" ht="21" customHeight="1">
      <c r="A239" s="602">
        <v>1023</v>
      </c>
      <c r="B239" s="618" t="str">
        <f>VLOOKUP(Table1[[#This Row],[الرقم الوظيفي]],[1]Sheet2!$1:$1048576,2,)</f>
        <v>صفوان صلاح عبده احمد</v>
      </c>
      <c r="C239" s="618" t="str">
        <f>VLOOKUP(Table1[[#This Row],[الرقم الوظيفي]],[1]Sheet2!$1:$1048576,7,)</f>
        <v>المصنع</v>
      </c>
      <c r="D239" s="618" t="str">
        <f>VLOOKUP(Table1[[#This Row],[الرقم الوظيفي]],[1]Sheet2!$1:$1048576,8,)</f>
        <v>المستودعات</v>
      </c>
      <c r="E239" s="599">
        <f>VLOOKUP(Table1[[#This Row],[الرقم الوظيفي]],[1]Sheet2!$1:$1048576,9,)</f>
        <v>0</v>
      </c>
      <c r="F239" s="599" t="str">
        <f>VLOOKUP(Table1[[#This Row],[الرقم الوظيفي]],[1]Sheet2!$1:$1048576,12,)</f>
        <v>عامل</v>
      </c>
      <c r="G239" s="599" t="str">
        <f>VLOOKUP(Table1[[#This Row],[الرقم الوظيفي]],[1]Sheet2!$1:$1048576,72,)</f>
        <v>دبلوم (معاهد)</v>
      </c>
      <c r="H239" s="599" t="str">
        <f>VLOOKUP(Table1[[#This Row],[الرقم الوظيفي]],[1]Sheet2!$1:$1048576,71,)</f>
        <v>حاسوب</v>
      </c>
      <c r="I239" s="599" t="str">
        <f>VLOOKUP(Table1[[#This Row],[المؤهل الرئيسي]],Table4[],3,)</f>
        <v>E</v>
      </c>
      <c r="J239" s="599" t="s">
        <v>929</v>
      </c>
      <c r="K239" s="615">
        <f>VLOOKUP(Table1[[#This Row],[الرقم الوظيفي]],[1]Sheet2!$1:$1048576,13,)</f>
        <v>43136</v>
      </c>
      <c r="L239" s="615">
        <v>43830</v>
      </c>
      <c r="M239" s="599">
        <f>DATEDIF(Table1[[#This Row],[تاريخ التعيين]],Table1[[#This Row],[اخر العام]],"y")</f>
        <v>1</v>
      </c>
      <c r="N239" s="599">
        <f>DATEDIF(Table1[[#This Row],[تاريخ التعيين]],Table1[[#This Row],[اخر العام]],"ym")</f>
        <v>10</v>
      </c>
      <c r="O239" s="610">
        <f>Table1[[#This Row],[سنوات الخدمه]]*1+Table1[[#This Row],[الشهور اقل من سنه]]*0.08</f>
        <v>1.8</v>
      </c>
      <c r="P239" s="616">
        <v>3000</v>
      </c>
      <c r="Q239" s="617">
        <v>48</v>
      </c>
      <c r="R239" s="612"/>
      <c r="S239" s="599"/>
      <c r="T239" s="612"/>
      <c r="U239" s="612"/>
      <c r="V239" s="612"/>
      <c r="W239" s="612"/>
      <c r="X239" s="612"/>
      <c r="Y239" s="612"/>
      <c r="Z239" s="612"/>
      <c r="AA23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39" s="612"/>
      <c r="AC239" s="599"/>
      <c r="AD239" s="612"/>
      <c r="AE239" s="612"/>
      <c r="AF239" s="612"/>
      <c r="AG239" s="612"/>
      <c r="AH239" s="619">
        <f>SUM(Table1[[#This Row],[التقييد  باللوائح و تنفيذالتوجيه]:[اتباع اجراءات السلامه]])</f>
        <v>0</v>
      </c>
      <c r="AI239" s="619">
        <f>Table1[[#This Row],[المجموع]]+Table1[[#This Row],[المجموع2]]</f>
        <v>0</v>
      </c>
      <c r="AJ239" s="612"/>
      <c r="AK239" s="612"/>
      <c r="AL239" s="612"/>
      <c r="AM239" s="612"/>
      <c r="AN239" s="612"/>
      <c r="AO239" s="606">
        <f>Table1[[#This Row],[المجموع 1+2]]*$AO$2</f>
        <v>0</v>
      </c>
      <c r="AP239" s="648">
        <f>Table1[[#This Row],[راتب ديسمبر 2019]]*Table1[[#This Row],[نسبه التقييم الرئيسي 2018]]%</f>
        <v>0</v>
      </c>
      <c r="AQ239" s="627">
        <f>Table1[[#This Row],[مبلغ التقييم النسبي 2018]]+Table1[[#This Row],[راتب ديسمبر 2019]]</f>
        <v>3000</v>
      </c>
      <c r="AR239" s="611">
        <f>IF(Table1[[#This Row],[Column3]]&lt;0,0,Table1[[#This Row],[Column3]])</f>
        <v>3000</v>
      </c>
      <c r="AS239" s="599">
        <f>VLOOKUP(Table1[[#This Row],[درجه التوسيط]],Table10[],3,)</f>
        <v>6000</v>
      </c>
      <c r="AT239" s="608">
        <f>Table1[[#This Row],[الراتب 2018+النسبه]]+Table1[[#This Row],[فروقات الحد الادني]]</f>
        <v>6000</v>
      </c>
      <c r="AU239" s="629">
        <f>Table1[[#This Row],[الراتب 2018 + النسبه + الفرق]]-Table1[[#This Row],[راتب ديسمبر 2019]]</f>
        <v>3000</v>
      </c>
      <c r="AV239" s="628">
        <f>Table1[[#This Row],[الزياده]]/Table1[[#This Row],[راتب ديسمبر 2019]]%</f>
        <v>100</v>
      </c>
      <c r="AW239" s="659">
        <f>IF(Table1[[#This Row],[Column4]]&lt;0,0,Table1[[#This Row],[Column4]])</f>
        <v>0</v>
      </c>
      <c r="AX239" s="611">
        <f>Table1[[#This Row],[الجبر حتي]]-Table1[[#This Row],[رن]]</f>
        <v>8</v>
      </c>
      <c r="AY239" s="611">
        <f>Table1[[#This Row],[الزياده]]+Table1[[#This Row],[التعديل]]+Table1[[#This Row],[جبر الرقم]]</f>
        <v>3008</v>
      </c>
      <c r="AZ239" s="611">
        <f>Table1[[#This Row],[الراتب 2018 + النسبه + الفرق]]+Table1[[#This Row],[جبر الرقم]]+Table1[[#This Row],[التعديل]]</f>
        <v>6008</v>
      </c>
      <c r="BA239" s="631">
        <f>Table1[[#This Row],[الزياده النهائيه]]/Table1[[#This Row],[راتب ديسمبر 2019]]%</f>
        <v>100.26666666666667</v>
      </c>
      <c r="BB239" s="612">
        <f>VLOOKUP(Table1[[#This Row],[الرقم الوظيفي]],Table6[],8,)</f>
        <v>3000</v>
      </c>
      <c r="BC239" s="7"/>
      <c r="BD239" s="7">
        <v>4610</v>
      </c>
      <c r="BE239" s="7">
        <v>4602</v>
      </c>
      <c r="BF239" s="5">
        <f>Table1[[#This Row],[الحد الادني]]-Table1[[#This Row],[الراتب 2018+النسبه]]</f>
        <v>3000</v>
      </c>
      <c r="BG239" s="5">
        <f>Table1[[#This Row],[التعديل حتي]]-Table1[[#This Row],[kkk]]</f>
        <v>-4602</v>
      </c>
      <c r="BH239" s="5">
        <v>4602</v>
      </c>
      <c r="BI239" s="5"/>
    </row>
    <row r="240" spans="1:61" s="32" customFormat="1" ht="21" customHeight="1">
      <c r="A240" s="602">
        <v>1024</v>
      </c>
      <c r="B240" s="618" t="str">
        <f>VLOOKUP(Table1[[#This Row],[الرقم الوظيفي]],[1]Sheet2!$1:$1048576,2,)</f>
        <v>محمد عبده محمد احمد</v>
      </c>
      <c r="C240" s="618" t="str">
        <f>VLOOKUP(Table1[[#This Row],[الرقم الوظيفي]],[1]Sheet2!$1:$1048576,7,)</f>
        <v>المصنع</v>
      </c>
      <c r="D240" s="618" t="str">
        <f>VLOOKUP(Table1[[#This Row],[الرقم الوظيفي]],[1]Sheet2!$1:$1048576,8,)</f>
        <v>الانتاج</v>
      </c>
      <c r="E240" s="614">
        <f>VLOOKUP(Table1[[#This Row],[الرقم الوظيفي]],[1]Sheet2!$1:$1048576,9,)</f>
        <v>0</v>
      </c>
      <c r="F240" s="614" t="str">
        <f>VLOOKUP(Table1[[#This Row],[الرقم الوظيفي]],[1]Sheet2!$1:$1048576,12,)</f>
        <v>عامل</v>
      </c>
      <c r="G240" s="614" t="str">
        <f>VLOOKUP(Table1[[#This Row],[الرقم الوظيفي]],[1]Sheet2!$1:$1048576,72,)</f>
        <v>تدريب مهني</v>
      </c>
      <c r="H240" s="614" t="str">
        <f>VLOOKUP(Table1[[#This Row],[الرقم الوظيفي]],[1]Sheet2!$1:$1048576,71,)</f>
        <v>برادة الصيانة</v>
      </c>
      <c r="I240" s="614" t="str">
        <f>VLOOKUP(Table1[[#This Row],[المؤهل الرئيسي]],Table4[],3,)</f>
        <v>F</v>
      </c>
      <c r="J240" s="614" t="s">
        <v>929</v>
      </c>
      <c r="K240" s="615">
        <f>VLOOKUP(Table1[[#This Row],[الرقم الوظيفي]],[1]Sheet2!$1:$1048576,13,)</f>
        <v>43138</v>
      </c>
      <c r="L240" s="615">
        <v>43830</v>
      </c>
      <c r="M240" s="599">
        <f>DATEDIF(Table1[[#This Row],[تاريخ التعيين]],Table1[[#This Row],[اخر العام]],"y")</f>
        <v>1</v>
      </c>
      <c r="N240" s="599">
        <f>DATEDIF(Table1[[#This Row],[تاريخ التعيين]],Table1[[#This Row],[اخر العام]],"ym")</f>
        <v>10</v>
      </c>
      <c r="O240" s="610">
        <f>Table1[[#This Row],[سنوات الخدمه]]*1+Table1[[#This Row],[الشهور اقل من سنه]]*0.08</f>
        <v>1.8</v>
      </c>
      <c r="P240" s="616">
        <v>3000</v>
      </c>
      <c r="Q240" s="617">
        <v>48</v>
      </c>
      <c r="R240" s="613"/>
      <c r="S240" s="614"/>
      <c r="T240" s="613"/>
      <c r="U240" s="613"/>
      <c r="V240" s="613"/>
      <c r="W240" s="613"/>
      <c r="X240" s="613"/>
      <c r="Y240" s="613"/>
      <c r="Z240" s="613"/>
      <c r="AA24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0" s="613"/>
      <c r="AC240" s="614"/>
      <c r="AD240" s="613"/>
      <c r="AE240" s="613"/>
      <c r="AF240" s="613"/>
      <c r="AG240" s="613"/>
      <c r="AH240" s="619">
        <f>SUM(Table1[[#This Row],[التقييد  باللوائح و تنفيذالتوجيه]:[اتباع اجراءات السلامه]])</f>
        <v>0</v>
      </c>
      <c r="AI240" s="613">
        <f>Table1[[#This Row],[المجموع]]+Table1[[#This Row],[المجموع2]]</f>
        <v>0</v>
      </c>
      <c r="AJ240" s="613"/>
      <c r="AK240" s="613"/>
      <c r="AL240" s="613"/>
      <c r="AM240" s="613"/>
      <c r="AN240" s="613"/>
      <c r="AO240" s="606">
        <f>Table1[[#This Row],[المجموع 1+2]]*$AO$2</f>
        <v>0</v>
      </c>
      <c r="AP240" s="648">
        <f>Table1[[#This Row],[راتب ديسمبر 2019]]*Table1[[#This Row],[نسبه التقييم الرئيسي 2018]]%</f>
        <v>0</v>
      </c>
      <c r="AQ240" s="627">
        <f>Table1[[#This Row],[مبلغ التقييم النسبي 2018]]+Table1[[#This Row],[راتب ديسمبر 2019]]</f>
        <v>3000</v>
      </c>
      <c r="AR240" s="611">
        <f>IF(Table1[[#This Row],[Column3]]&lt;0,0,Table1[[#This Row],[Column3]])</f>
        <v>3000</v>
      </c>
      <c r="AS240" s="599">
        <f>VLOOKUP(Table1[[#This Row],[درجه التوسيط]],Table10[],3,)</f>
        <v>6000</v>
      </c>
      <c r="AT240" s="608">
        <f>Table1[[#This Row],[الراتب 2018+النسبه]]+Table1[[#This Row],[فروقات الحد الادني]]</f>
        <v>6000</v>
      </c>
      <c r="AU240" s="629">
        <f>Table1[[#This Row],[الراتب 2018 + النسبه + الفرق]]-Table1[[#This Row],[راتب ديسمبر 2019]]</f>
        <v>3000</v>
      </c>
      <c r="AV240" s="628">
        <f>Table1[[#This Row],[الزياده]]/Table1[[#This Row],[راتب ديسمبر 2019]]%</f>
        <v>100</v>
      </c>
      <c r="AW240" s="659">
        <f>IF(Table1[[#This Row],[Column4]]&lt;0,0,Table1[[#This Row],[Column4]])</f>
        <v>326</v>
      </c>
      <c r="AX240" s="611">
        <f>Table1[[#This Row],[الجبر حتي]]-Table1[[#This Row],[رن]]</f>
        <v>0</v>
      </c>
      <c r="AY240" s="611">
        <f>Table1[[#This Row],[الزياده]]+Table1[[#This Row],[التعديل]]+Table1[[#This Row],[جبر الرقم]]</f>
        <v>3326</v>
      </c>
      <c r="AZ240" s="611">
        <f>Table1[[#This Row],[الراتب 2018 + النسبه + الفرق]]+Table1[[#This Row],[جبر الرقم]]+Table1[[#This Row],[التعديل]]</f>
        <v>6326</v>
      </c>
      <c r="BA240" s="631">
        <f>Table1[[#This Row],[الزياده النهائيه]]/Table1[[#This Row],[راتب ديسمبر 2019]]%</f>
        <v>110.86666666666666</v>
      </c>
      <c r="BB240" s="613">
        <f>VLOOKUP(Table1[[#This Row],[الرقم الوظيفي]],Table6[],8,)</f>
        <v>3000</v>
      </c>
      <c r="BC240" s="657">
        <v>5000</v>
      </c>
      <c r="BD240" s="657">
        <v>5000</v>
      </c>
      <c r="BE240" s="657">
        <v>5000</v>
      </c>
      <c r="BF240" s="8">
        <f>Table1[[#This Row],[الحد الادني]]-Table1[[#This Row],[الراتب 2018+النسبه]]</f>
        <v>3000</v>
      </c>
      <c r="BG240" s="8">
        <f>Table1[[#This Row],[التعديل حتي]]-Table1[[#This Row],[kkk]]</f>
        <v>326</v>
      </c>
      <c r="BH240" s="8">
        <v>4674</v>
      </c>
      <c r="BI240" s="8"/>
    </row>
    <row r="241" spans="1:61" ht="21" customHeight="1">
      <c r="A241" s="604">
        <v>1025</v>
      </c>
      <c r="B241" s="618" t="str">
        <f>VLOOKUP(Table1[[#This Row],[الرقم الوظيفي]],[1]Sheet2!$1:$1048576,2,)</f>
        <v>احمد عبدالمنعم محمد فضل المولى</v>
      </c>
      <c r="C241" s="618" t="str">
        <f>VLOOKUP(Table1[[#This Row],[الرقم الوظيفي]],[1]Sheet2!$1:$1048576,7,)</f>
        <v>المصنع</v>
      </c>
      <c r="D241" s="618" t="str">
        <f>VLOOKUP(Table1[[#This Row],[الرقم الوظيفي]],[1]Sheet2!$1:$1048576,8,)</f>
        <v>المستودعات</v>
      </c>
      <c r="E241" s="599">
        <f>VLOOKUP(Table1[[#This Row],[الرقم الوظيفي]],[1]Sheet2!$1:$1048576,9,)</f>
        <v>0</v>
      </c>
      <c r="F241" s="599" t="str">
        <f>VLOOKUP(Table1[[#This Row],[الرقم الوظيفي]],[1]Sheet2!$1:$1048576,12,)</f>
        <v>امين مستودع</v>
      </c>
      <c r="G241" s="599" t="str">
        <f>VLOOKUP(Table1[[#This Row],[الرقم الوظيفي]],[1]Sheet2!$1:$1048576,72,)</f>
        <v>ماجستير</v>
      </c>
      <c r="H241" s="599" t="str">
        <f>VLOOKUP(Table1[[#This Row],[الرقم الوظيفي]],[1]Sheet2!$1:$1048576,71,)</f>
        <v>إدارة الاعمال</v>
      </c>
      <c r="I241" s="599" t="str">
        <f>VLOOKUP(Table1[[#This Row],[المؤهل الرئيسي]],Table4[],3,)</f>
        <v>B</v>
      </c>
      <c r="J241" s="599" t="s">
        <v>922</v>
      </c>
      <c r="K241" s="615">
        <f>VLOOKUP(Table1[[#This Row],[الرقم الوظيفي]],[1]Sheet2!$1:$1048576,13,)</f>
        <v>43142</v>
      </c>
      <c r="L241" s="615">
        <v>43830</v>
      </c>
      <c r="M241" s="599">
        <f>DATEDIF(Table1[[#This Row],[تاريخ التعيين]],Table1[[#This Row],[اخر العام]],"y")</f>
        <v>1</v>
      </c>
      <c r="N241" s="599">
        <f>DATEDIF(Table1[[#This Row],[تاريخ التعيين]],Table1[[#This Row],[اخر العام]],"ym")</f>
        <v>10</v>
      </c>
      <c r="O241" s="610">
        <f>Table1[[#This Row],[سنوات الخدمه]]*1+Table1[[#This Row],[الشهور اقل من سنه]]*0.08</f>
        <v>1.8</v>
      </c>
      <c r="P241" s="616">
        <v>4250</v>
      </c>
      <c r="Q241" s="617">
        <v>68</v>
      </c>
      <c r="R241" s="612"/>
      <c r="S241" s="599"/>
      <c r="T241" s="612"/>
      <c r="U241" s="612"/>
      <c r="V241" s="612"/>
      <c r="W241" s="612"/>
      <c r="X241" s="612"/>
      <c r="Y241" s="612"/>
      <c r="Z241" s="612"/>
      <c r="AA24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1" s="612"/>
      <c r="AC241" s="599"/>
      <c r="AD241" s="612"/>
      <c r="AE241" s="612"/>
      <c r="AF241" s="612"/>
      <c r="AG241" s="612"/>
      <c r="AH241" s="619">
        <f>SUM(Table1[[#This Row],[التقييد  باللوائح و تنفيذالتوجيه]:[اتباع اجراءات السلامه]])</f>
        <v>0</v>
      </c>
      <c r="AI241" s="619">
        <f>Table1[[#This Row],[المجموع]]+Table1[[#This Row],[المجموع2]]</f>
        <v>0</v>
      </c>
      <c r="AJ241" s="612"/>
      <c r="AK241" s="612"/>
      <c r="AL241" s="612"/>
      <c r="AM241" s="612"/>
      <c r="AN241" s="612"/>
      <c r="AO241" s="606">
        <f>Table1[[#This Row],[المجموع 1+2]]*$AO$2</f>
        <v>0</v>
      </c>
      <c r="AP241" s="648">
        <f>Table1[[#This Row],[راتب ديسمبر 2019]]*Table1[[#This Row],[نسبه التقييم الرئيسي 2018]]%</f>
        <v>0</v>
      </c>
      <c r="AQ241" s="627">
        <f>Table1[[#This Row],[مبلغ التقييم النسبي 2018]]+Table1[[#This Row],[راتب ديسمبر 2019]]</f>
        <v>4250</v>
      </c>
      <c r="AR241" s="611">
        <f>IF(Table1[[#This Row],[Column3]]&lt;0,0,Table1[[#This Row],[Column3]])</f>
        <v>6750</v>
      </c>
      <c r="AS241" s="599">
        <f>VLOOKUP(Table1[[#This Row],[درجه التوسيط]],Table10[],3,)</f>
        <v>11000</v>
      </c>
      <c r="AT241" s="608">
        <f>Table1[[#This Row],[الراتب 2018+النسبه]]+Table1[[#This Row],[فروقات الحد الادني]]</f>
        <v>11000</v>
      </c>
      <c r="AU241" s="629">
        <f>Table1[[#This Row],[الراتب 2018 + النسبه + الفرق]]-Table1[[#This Row],[راتب ديسمبر 2019]]</f>
        <v>6750</v>
      </c>
      <c r="AV241" s="628">
        <f>Table1[[#This Row],[الزياده]]/Table1[[#This Row],[راتب ديسمبر 2019]]%</f>
        <v>158.8235294117647</v>
      </c>
      <c r="AW241" s="659">
        <f>IF(Table1[[#This Row],[Column4]]&lt;0,0,Table1[[#This Row],[Column4]])</f>
        <v>0</v>
      </c>
      <c r="AX241" s="611">
        <f>Table1[[#This Row],[الجبر حتي]]-Table1[[#This Row],[رن]]</f>
        <v>0</v>
      </c>
      <c r="AY241" s="611">
        <f>Table1[[#This Row],[الزياده]]+Table1[[#This Row],[التعديل]]+Table1[[#This Row],[جبر الرقم]]</f>
        <v>6750</v>
      </c>
      <c r="AZ241" s="611">
        <f>Table1[[#This Row],[الراتب 2018 + النسبه + الفرق]]+Table1[[#This Row],[جبر الرقم]]+Table1[[#This Row],[التعديل]]</f>
        <v>11000</v>
      </c>
      <c r="BA241" s="631">
        <f>Table1[[#This Row],[الزياده النهائيه]]/Table1[[#This Row],[راتب ديسمبر 2019]]%</f>
        <v>158.8235294117647</v>
      </c>
      <c r="BB241" s="612">
        <f>VLOOKUP(Table1[[#This Row],[الرقم الوظيفي]],Table6[],8,)</f>
        <v>4250</v>
      </c>
      <c r="BC241" s="7">
        <v>7000</v>
      </c>
      <c r="BD241" s="7">
        <v>7000</v>
      </c>
      <c r="BE241" s="7">
        <v>7000</v>
      </c>
      <c r="BF241" s="5">
        <f>Table1[[#This Row],[الحد الادني]]-Table1[[#This Row],[الراتب 2018+النسبه]]</f>
        <v>6750</v>
      </c>
      <c r="BG241" s="5">
        <f>Table1[[#This Row],[التعديل حتي]]-Table1[[#This Row],[kkk]]</f>
        <v>0</v>
      </c>
      <c r="BH241" s="5">
        <v>7000</v>
      </c>
      <c r="BI241" s="5"/>
    </row>
    <row r="242" spans="1:61" ht="21" customHeight="1">
      <c r="A242" s="602">
        <v>1026</v>
      </c>
      <c r="B242" s="618" t="str">
        <f>VLOOKUP(Table1[[#This Row],[الرقم الوظيفي]],[1]Sheet2!$1:$1048576,2,)</f>
        <v>منير كمال محمد احمد مصطفى</v>
      </c>
      <c r="C242" s="618" t="str">
        <f>VLOOKUP(Table1[[#This Row],[الرقم الوظيفي]],[1]Sheet2!$1:$1048576,7,)</f>
        <v>المصنع</v>
      </c>
      <c r="D242" s="618" t="str">
        <f>VLOOKUP(Table1[[#This Row],[الرقم الوظيفي]],[1]Sheet2!$1:$1048576,8,)</f>
        <v>المستودعات</v>
      </c>
      <c r="E242" s="599">
        <f>VLOOKUP(Table1[[#This Row],[الرقم الوظيفي]],[1]Sheet2!$1:$1048576,9,)</f>
        <v>0</v>
      </c>
      <c r="F242" s="599" t="str">
        <f>VLOOKUP(Table1[[#This Row],[الرقم الوظيفي]],[1]Sheet2!$1:$1048576,12,)</f>
        <v>امين مستودع</v>
      </c>
      <c r="G242" s="599" t="str">
        <f>VLOOKUP(Table1[[#This Row],[الرقم الوظيفي]],[1]Sheet2!$1:$1048576,72,)</f>
        <v>بكلاريوس</v>
      </c>
      <c r="H242" s="599" t="str">
        <f>VLOOKUP(Table1[[#This Row],[الرقم الوظيفي]],[1]Sheet2!$1:$1048576,71,)</f>
        <v>إدارة الاعمال</v>
      </c>
      <c r="I242" s="599" t="str">
        <f>VLOOKUP(Table1[[#This Row],[المؤهل الرئيسي]],Table4[],3,)</f>
        <v>C</v>
      </c>
      <c r="J242" s="599" t="s">
        <v>923</v>
      </c>
      <c r="K242" s="615">
        <f>VLOOKUP(Table1[[#This Row],[الرقم الوظيفي]],[1]Sheet2!$1:$1048576,13,)</f>
        <v>43142</v>
      </c>
      <c r="L242" s="615">
        <v>43830</v>
      </c>
      <c r="M242" s="599">
        <f>DATEDIF(Table1[[#This Row],[تاريخ التعيين]],Table1[[#This Row],[اخر العام]],"y")</f>
        <v>1</v>
      </c>
      <c r="N242" s="599">
        <f>DATEDIF(Table1[[#This Row],[تاريخ التعيين]],Table1[[#This Row],[اخر العام]],"ym")</f>
        <v>10</v>
      </c>
      <c r="O242" s="610">
        <f>Table1[[#This Row],[سنوات الخدمه]]*1+Table1[[#This Row],[الشهور اقل من سنه]]*0.08</f>
        <v>1.8</v>
      </c>
      <c r="P242" s="616">
        <v>3750</v>
      </c>
      <c r="Q242" s="617">
        <v>60</v>
      </c>
      <c r="R242" s="612"/>
      <c r="S242" s="599"/>
      <c r="T242" s="612"/>
      <c r="U242" s="612"/>
      <c r="V242" s="612"/>
      <c r="W242" s="612"/>
      <c r="X242" s="612"/>
      <c r="Y242" s="612"/>
      <c r="Z242" s="612"/>
      <c r="AA24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2" s="612"/>
      <c r="AC242" s="599"/>
      <c r="AD242" s="612"/>
      <c r="AE242" s="612"/>
      <c r="AF242" s="612"/>
      <c r="AG242" s="612"/>
      <c r="AH242" s="619">
        <f>SUM(Table1[[#This Row],[التقييد  باللوائح و تنفيذالتوجيه]:[اتباع اجراءات السلامه]])</f>
        <v>0</v>
      </c>
      <c r="AI242" s="619">
        <f>Table1[[#This Row],[المجموع]]+Table1[[#This Row],[المجموع2]]</f>
        <v>0</v>
      </c>
      <c r="AJ242" s="612"/>
      <c r="AK242" s="612"/>
      <c r="AL242" s="612"/>
      <c r="AM242" s="612"/>
      <c r="AN242" s="612"/>
      <c r="AO242" s="606">
        <f>Table1[[#This Row],[المجموع 1+2]]*$AO$2</f>
        <v>0</v>
      </c>
      <c r="AP242" s="648">
        <f>Table1[[#This Row],[راتب ديسمبر 2019]]*Table1[[#This Row],[نسبه التقييم الرئيسي 2018]]%</f>
        <v>0</v>
      </c>
      <c r="AQ242" s="627">
        <f>Table1[[#This Row],[مبلغ التقييم النسبي 2018]]+Table1[[#This Row],[راتب ديسمبر 2019]]</f>
        <v>3750</v>
      </c>
      <c r="AR242" s="611">
        <f>IF(Table1[[#This Row],[Column3]]&lt;0,0,Table1[[#This Row],[Column3]])</f>
        <v>6250</v>
      </c>
      <c r="AS242" s="599">
        <f>VLOOKUP(Table1[[#This Row],[درجه التوسيط]],Table10[],3,)</f>
        <v>10000</v>
      </c>
      <c r="AT242" s="608">
        <f>Table1[[#This Row],[الراتب 2018+النسبه]]+Table1[[#This Row],[فروقات الحد الادني]]</f>
        <v>10000</v>
      </c>
      <c r="AU242" s="629">
        <f>Table1[[#This Row],[الراتب 2018 + النسبه + الفرق]]-Table1[[#This Row],[راتب ديسمبر 2019]]</f>
        <v>6250</v>
      </c>
      <c r="AV242" s="628">
        <f>Table1[[#This Row],[الزياده]]/Table1[[#This Row],[راتب ديسمبر 2019]]%</f>
        <v>166.66666666666666</v>
      </c>
      <c r="AW242" s="659">
        <f>IF(Table1[[#This Row],[Column4]]&lt;0,0,Table1[[#This Row],[Column4]])</f>
        <v>0</v>
      </c>
      <c r="AX242" s="611">
        <f>Table1[[#This Row],[الجبر حتي]]-Table1[[#This Row],[رن]]</f>
        <v>0</v>
      </c>
      <c r="AY242" s="611">
        <f>Table1[[#This Row],[الزياده]]+Table1[[#This Row],[التعديل]]+Table1[[#This Row],[جبر الرقم]]</f>
        <v>6250</v>
      </c>
      <c r="AZ242" s="611">
        <f>Table1[[#This Row],[الراتب 2018 + النسبه + الفرق]]+Table1[[#This Row],[جبر الرقم]]+Table1[[#This Row],[التعديل]]</f>
        <v>10000</v>
      </c>
      <c r="BA242" s="631">
        <f>Table1[[#This Row],[الزياده النهائيه]]/Table1[[#This Row],[راتب ديسمبر 2019]]%</f>
        <v>166.66666666666666</v>
      </c>
      <c r="BB242" s="612">
        <f>VLOOKUP(Table1[[#This Row],[الرقم الوظيفي]],Table6[],8,)</f>
        <v>3750</v>
      </c>
      <c r="BC242" s="7"/>
      <c r="BD242" s="7">
        <v>6500</v>
      </c>
      <c r="BE242" s="7">
        <v>6500</v>
      </c>
      <c r="BF242" s="5">
        <f>Table1[[#This Row],[الحد الادني]]-Table1[[#This Row],[الراتب 2018+النسبه]]</f>
        <v>6250</v>
      </c>
      <c r="BG242" s="5">
        <f>Table1[[#This Row],[التعديل حتي]]-Table1[[#This Row],[kkk]]</f>
        <v>-6500</v>
      </c>
      <c r="BH242" s="5">
        <v>6500</v>
      </c>
      <c r="BI242" s="5"/>
    </row>
    <row r="243" spans="1:61" ht="21" customHeight="1">
      <c r="A243" s="602">
        <v>1029</v>
      </c>
      <c r="B243" s="618" t="str">
        <f>VLOOKUP(Table1[[#This Row],[الرقم الوظيفي]],[1]Sheet2!$1:$1048576,2,)</f>
        <v>محمد موسى هجرو صالح</v>
      </c>
      <c r="C243" s="618" t="str">
        <f>VLOOKUP(Table1[[#This Row],[الرقم الوظيفي]],[1]Sheet2!$1:$1048576,7,)</f>
        <v>المصنع</v>
      </c>
      <c r="D243" s="618" t="str">
        <f>VLOOKUP(Table1[[#This Row],[الرقم الوظيفي]],[1]Sheet2!$1:$1048576,8,)</f>
        <v>الانتاج</v>
      </c>
      <c r="E243" s="599">
        <f>VLOOKUP(Table1[[#This Row],[الرقم الوظيفي]],[1]Sheet2!$1:$1048576,9,)</f>
        <v>0</v>
      </c>
      <c r="F243" s="599" t="str">
        <f>VLOOKUP(Table1[[#This Row],[الرقم الوظيفي]],[1]Sheet2!$1:$1048576,12,)</f>
        <v>عامل</v>
      </c>
      <c r="G243" s="599" t="str">
        <f>VLOOKUP(Table1[[#This Row],[الرقم الوظيفي]],[1]Sheet2!$1:$1048576,72,)</f>
        <v>دبلوم تقني</v>
      </c>
      <c r="H243" s="599" t="str">
        <f>VLOOKUP(Table1[[#This Row],[الرقم الوظيفي]],[1]Sheet2!$1:$1048576,71,)</f>
        <v>هندسة مدنية</v>
      </c>
      <c r="I243" s="599" t="str">
        <f>VLOOKUP(Table1[[#This Row],[المؤهل الرئيسي]],Table4[],3,)</f>
        <v>D</v>
      </c>
      <c r="J243" s="599" t="s">
        <v>929</v>
      </c>
      <c r="K243" s="615">
        <f>VLOOKUP(Table1[[#This Row],[الرقم الوظيفي]],[1]Sheet2!$1:$1048576,13,)</f>
        <v>43143</v>
      </c>
      <c r="L243" s="615">
        <v>43830</v>
      </c>
      <c r="M243" s="599">
        <f>DATEDIF(Table1[[#This Row],[تاريخ التعيين]],Table1[[#This Row],[اخر العام]],"y")</f>
        <v>1</v>
      </c>
      <c r="N243" s="599">
        <f>DATEDIF(Table1[[#This Row],[تاريخ التعيين]],Table1[[#This Row],[اخر العام]],"ym")</f>
        <v>10</v>
      </c>
      <c r="O243" s="610">
        <f>Table1[[#This Row],[سنوات الخدمه]]*1+Table1[[#This Row],[الشهور اقل من سنه]]*0.08</f>
        <v>1.8</v>
      </c>
      <c r="P243" s="616">
        <v>3000</v>
      </c>
      <c r="Q243" s="617">
        <v>48</v>
      </c>
      <c r="R243" s="612"/>
      <c r="S243" s="599"/>
      <c r="T243" s="612"/>
      <c r="U243" s="612"/>
      <c r="V243" s="612"/>
      <c r="W243" s="612"/>
      <c r="X243" s="612"/>
      <c r="Y243" s="612"/>
      <c r="Z243" s="612"/>
      <c r="AA24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3" s="612"/>
      <c r="AC243" s="599"/>
      <c r="AD243" s="612"/>
      <c r="AE243" s="612"/>
      <c r="AF243" s="612"/>
      <c r="AG243" s="612"/>
      <c r="AH243" s="619">
        <f>SUM(Table1[[#This Row],[التقييد  باللوائح و تنفيذالتوجيه]:[اتباع اجراءات السلامه]])</f>
        <v>0</v>
      </c>
      <c r="AI243" s="619">
        <f>Table1[[#This Row],[المجموع]]+Table1[[#This Row],[المجموع2]]</f>
        <v>0</v>
      </c>
      <c r="AJ243" s="612"/>
      <c r="AK243" s="612"/>
      <c r="AL243" s="612"/>
      <c r="AM243" s="612"/>
      <c r="AN243" s="612"/>
      <c r="AO243" s="606">
        <f>Table1[[#This Row],[المجموع 1+2]]*$AO$2</f>
        <v>0</v>
      </c>
      <c r="AP243" s="648">
        <f>Table1[[#This Row],[راتب ديسمبر 2019]]*Table1[[#This Row],[نسبه التقييم الرئيسي 2018]]%</f>
        <v>0</v>
      </c>
      <c r="AQ243" s="627">
        <f>Table1[[#This Row],[مبلغ التقييم النسبي 2018]]+Table1[[#This Row],[راتب ديسمبر 2019]]</f>
        <v>3000</v>
      </c>
      <c r="AR243" s="611">
        <f>IF(Table1[[#This Row],[Column3]]&lt;0,0,Table1[[#This Row],[Column3]])</f>
        <v>3000</v>
      </c>
      <c r="AS243" s="599">
        <f>VLOOKUP(Table1[[#This Row],[درجه التوسيط]],Table10[],3,)</f>
        <v>6000</v>
      </c>
      <c r="AT243" s="608">
        <f>Table1[[#This Row],[الراتب 2018+النسبه]]+Table1[[#This Row],[فروقات الحد الادني]]</f>
        <v>6000</v>
      </c>
      <c r="AU243" s="629">
        <f>Table1[[#This Row],[الراتب 2018 + النسبه + الفرق]]-Table1[[#This Row],[راتب ديسمبر 2019]]</f>
        <v>3000</v>
      </c>
      <c r="AV243" s="628">
        <f>Table1[[#This Row],[الزياده]]/Table1[[#This Row],[راتب ديسمبر 2019]]%</f>
        <v>100</v>
      </c>
      <c r="AW243" s="659">
        <f>IF(Table1[[#This Row],[Column4]]&lt;0,0,Table1[[#This Row],[Column4]])</f>
        <v>500</v>
      </c>
      <c r="AX243" s="611">
        <f>Table1[[#This Row],[الجبر حتي]]-Table1[[#This Row],[رن]]</f>
        <v>0</v>
      </c>
      <c r="AY243" s="611">
        <f>Table1[[#This Row],[الزياده]]+Table1[[#This Row],[التعديل]]+Table1[[#This Row],[جبر الرقم]]</f>
        <v>3500</v>
      </c>
      <c r="AZ243" s="611">
        <f>Table1[[#This Row],[الراتب 2018 + النسبه + الفرق]]+Table1[[#This Row],[جبر الرقم]]+Table1[[#This Row],[التعديل]]</f>
        <v>6500</v>
      </c>
      <c r="BA243" s="631">
        <f>Table1[[#This Row],[الزياده النهائيه]]/Table1[[#This Row],[راتب ديسمبر 2019]]%</f>
        <v>116.66666666666667</v>
      </c>
      <c r="BB243" s="612">
        <f>VLOOKUP(Table1[[#This Row],[الرقم الوظيفي]],Table6[],8,)</f>
        <v>3000</v>
      </c>
      <c r="BC243" s="7">
        <v>5000</v>
      </c>
      <c r="BD243" s="7">
        <v>5000</v>
      </c>
      <c r="BE243" s="7">
        <v>5000</v>
      </c>
      <c r="BF243" s="5">
        <f>Table1[[#This Row],[الحد الادني]]-Table1[[#This Row],[الراتب 2018+النسبه]]</f>
        <v>3000</v>
      </c>
      <c r="BG243" s="5">
        <f>Table1[[#This Row],[التعديل حتي]]-Table1[[#This Row],[kkk]]</f>
        <v>500</v>
      </c>
      <c r="BH243" s="5">
        <v>4500</v>
      </c>
      <c r="BI243" s="5"/>
    </row>
    <row r="244" spans="1:61" ht="21" customHeight="1">
      <c r="A244" s="602">
        <v>1031</v>
      </c>
      <c r="B244" s="618" t="str">
        <f>VLOOKUP(Table1[[#This Row],[الرقم الوظيفي]],[1]Sheet2!$1:$1048576,2,)</f>
        <v>محمد عبدالحى يسن ادم</v>
      </c>
      <c r="C244" s="599" t="str">
        <f>VLOOKUP(Table1[[#This Row],[الرقم الوظيفي]],[1]Sheet2!$1:$1048576,7,)</f>
        <v>المصنع</v>
      </c>
      <c r="D244" s="599" t="str">
        <f>VLOOKUP(Table1[[#This Row],[الرقم الوظيفي]],[1]Sheet2!$1:$1048576,8,)</f>
        <v>المستودعات</v>
      </c>
      <c r="E244" s="599">
        <f>VLOOKUP(Table1[[#This Row],[الرقم الوظيفي]],[1]Sheet2!$1:$1048576,9,)</f>
        <v>0</v>
      </c>
      <c r="F244" s="599" t="str">
        <f>VLOOKUP(Table1[[#This Row],[الرقم الوظيفي]],[1]Sheet2!$1:$1048576,12,)</f>
        <v>عامل</v>
      </c>
      <c r="G244" s="599" t="str">
        <f>VLOOKUP(Table1[[#This Row],[الرقم الوظيفي]],[1]Sheet2!$1:$1048576,72,)</f>
        <v>دبلوم تقني</v>
      </c>
      <c r="H244" s="599" t="str">
        <f>VLOOKUP(Table1[[#This Row],[الرقم الوظيفي]],[1]Sheet2!$1:$1048576,71,)</f>
        <v>نظم المعلومات الإدارية</v>
      </c>
      <c r="I244" s="599" t="str">
        <f>VLOOKUP(Table1[[#This Row],[المؤهل الرئيسي]],Table4[],3,)</f>
        <v>D</v>
      </c>
      <c r="J244" s="599" t="s">
        <v>925</v>
      </c>
      <c r="K244" s="615">
        <f>VLOOKUP(Table1[[#This Row],[الرقم الوظيفي]],[1]Sheet2!$1:$1048576,13,)</f>
        <v>43144</v>
      </c>
      <c r="L244" s="615">
        <v>43830</v>
      </c>
      <c r="M244" s="599">
        <f>DATEDIF(Table1[[#This Row],[تاريخ التعيين]],Table1[[#This Row],[اخر العام]],"y")</f>
        <v>1</v>
      </c>
      <c r="N244" s="599">
        <f>DATEDIF(Table1[[#This Row],[تاريخ التعيين]],Table1[[#This Row],[اخر العام]],"ym")</f>
        <v>10</v>
      </c>
      <c r="O244" s="610">
        <f>Table1[[#This Row],[سنوات الخدمه]]*1+Table1[[#This Row],[الشهور اقل من سنه]]*0.08</f>
        <v>1.8</v>
      </c>
      <c r="P244" s="616">
        <v>3000</v>
      </c>
      <c r="Q244" s="617">
        <v>48</v>
      </c>
      <c r="R244" s="612"/>
      <c r="S244" s="599"/>
      <c r="T244" s="612"/>
      <c r="U244" s="612"/>
      <c r="V244" s="612"/>
      <c r="W244" s="612"/>
      <c r="X244" s="612"/>
      <c r="Y244" s="612"/>
      <c r="Z244" s="612"/>
      <c r="AA24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4" s="612"/>
      <c r="AC244" s="599"/>
      <c r="AD244" s="612"/>
      <c r="AE244" s="612"/>
      <c r="AF244" s="612"/>
      <c r="AG244" s="612"/>
      <c r="AH244" s="619">
        <f>SUM(Table1[[#This Row],[التقييد  باللوائح و تنفيذالتوجيه]:[اتباع اجراءات السلامه]])</f>
        <v>0</v>
      </c>
      <c r="AI244" s="619">
        <f>Table1[[#This Row],[المجموع]]+Table1[[#This Row],[المجموع2]]</f>
        <v>0</v>
      </c>
      <c r="AJ244" s="612">
        <v>10</v>
      </c>
      <c r="AK244" s="612"/>
      <c r="AL244" s="612"/>
      <c r="AM244" s="612"/>
      <c r="AN244" s="612"/>
      <c r="AO244" s="606">
        <f>Table1[[#This Row],[المجموع 1+2]]*$AO$2</f>
        <v>0</v>
      </c>
      <c r="AP244" s="648">
        <f>Table1[[#This Row],[راتب ديسمبر 2019]]*Table1[[#This Row],[نسبه التقييم الرئيسي 2018]]%</f>
        <v>0</v>
      </c>
      <c r="AQ244" s="627">
        <f>Table1[[#This Row],[مبلغ التقييم النسبي 2018]]+Table1[[#This Row],[راتب ديسمبر 2019]]</f>
        <v>3000</v>
      </c>
      <c r="AR244" s="10">
        <f>IF(Table1[[#This Row],[Column3]]&lt;0,0,Table1[[#This Row],[Column3]])</f>
        <v>6000</v>
      </c>
      <c r="AS244" s="599">
        <f>VLOOKUP(Table1[[#This Row],[درجه التوسيط]],Table10[],3,)</f>
        <v>9000</v>
      </c>
      <c r="AT244" s="608">
        <f>Table1[[#This Row],[الراتب 2018+النسبه]]+Table1[[#This Row],[فروقات الحد الادني]]</f>
        <v>9000</v>
      </c>
      <c r="AU244" s="629">
        <f>Table1[[#This Row],[الراتب 2018 + النسبه + الفرق]]-Table1[[#This Row],[راتب ديسمبر 2019]]</f>
        <v>6000</v>
      </c>
      <c r="AV244" s="628">
        <f>Table1[[#This Row],[الزياده]]/Table1[[#This Row],[راتب ديسمبر 2019]]%</f>
        <v>200</v>
      </c>
      <c r="AW244" s="659">
        <f>IF(Table1[[#This Row],[Column4]]&lt;0,0,Table1[[#This Row],[Column4]])</f>
        <v>0</v>
      </c>
      <c r="AX244" s="611">
        <f>Table1[[#This Row],[الجبر حتي]]-Table1[[#This Row],[رن]]</f>
        <v>0</v>
      </c>
      <c r="AY244" s="611">
        <f>Table1[[#This Row],[الزياده]]+Table1[[#This Row],[التعديل]]+Table1[[#This Row],[جبر الرقم]]</f>
        <v>6000</v>
      </c>
      <c r="AZ244" s="611">
        <f>Table1[[#This Row],[الراتب 2018 + النسبه + الفرق]]+Table1[[#This Row],[جبر الرقم]]+Table1[[#This Row],[التعديل]]</f>
        <v>9000</v>
      </c>
      <c r="BA244" s="631">
        <f>Table1[[#This Row],[الزياده النهائيه]]/Table1[[#This Row],[راتب ديسمبر 2019]]%</f>
        <v>200</v>
      </c>
      <c r="BB244" s="612">
        <f>VLOOKUP(Table1[[#This Row],[الرقم الوظيفي]],Table6[],8,)</f>
        <v>3000</v>
      </c>
      <c r="BC244" s="7"/>
      <c r="BD244" s="7">
        <v>6000</v>
      </c>
      <c r="BE244" s="7">
        <v>6000</v>
      </c>
      <c r="BF244" s="5">
        <f>Table1[[#This Row],[الحد الادني]]-Table1[[#This Row],[الراتب 2018+النسبه]]</f>
        <v>6000</v>
      </c>
      <c r="BG244" s="5">
        <f>Table1[[#This Row],[التعديل حتي]]-Table1[[#This Row],[kkk]]</f>
        <v>-6000</v>
      </c>
      <c r="BH244" s="5">
        <v>6000</v>
      </c>
      <c r="BI244" s="5"/>
    </row>
    <row r="245" spans="1:61" ht="21" customHeight="1">
      <c r="A245" s="602">
        <v>1032</v>
      </c>
      <c r="B245" s="618" t="str">
        <f>VLOOKUP(Table1[[#This Row],[الرقم الوظيفي]],[1]Sheet2!$1:$1048576,2,)</f>
        <v>طه عبدالمنعم طه مصطفى</v>
      </c>
      <c r="C245" s="599" t="str">
        <f>VLOOKUP(Table1[[#This Row],[الرقم الوظيفي]],[1]Sheet2!$1:$1048576,7,)</f>
        <v>المصنع</v>
      </c>
      <c r="D245" s="599" t="str">
        <f>VLOOKUP(Table1[[#This Row],[الرقم الوظيفي]],[1]Sheet2!$1:$1048576,8,)</f>
        <v>الانتاج</v>
      </c>
      <c r="E245" s="599">
        <f>VLOOKUP(Table1[[#This Row],[الرقم الوظيفي]],[1]Sheet2!$1:$1048576,9,)</f>
        <v>0</v>
      </c>
      <c r="F245" s="599" t="str">
        <f>VLOOKUP(Table1[[#This Row],[الرقم الوظيفي]],[1]Sheet2!$1:$1048576,12,)</f>
        <v>عامل</v>
      </c>
      <c r="G245" s="599" t="str">
        <f>VLOOKUP(Table1[[#This Row],[الرقم الوظيفي]],[1]Sheet2!$1:$1048576,72,)</f>
        <v>بكلاريوس</v>
      </c>
      <c r="H245" s="599" t="str">
        <f>VLOOKUP(Table1[[#This Row],[الرقم الوظيفي]],[1]Sheet2!$1:$1048576,71,)</f>
        <v>تامين ومصارف</v>
      </c>
      <c r="I245" s="599" t="str">
        <f>VLOOKUP(Table1[[#This Row],[المؤهل الرئيسي]],Table4[],3,)</f>
        <v>C</v>
      </c>
      <c r="J245" s="599" t="s">
        <v>929</v>
      </c>
      <c r="K245" s="615">
        <f>VLOOKUP(Table1[[#This Row],[الرقم الوظيفي]],[1]Sheet2!$1:$1048576,13,)</f>
        <v>43144</v>
      </c>
      <c r="L245" s="615">
        <v>43830</v>
      </c>
      <c r="M245" s="599">
        <f>DATEDIF(Table1[[#This Row],[تاريخ التعيين]],Table1[[#This Row],[اخر العام]],"y")</f>
        <v>1</v>
      </c>
      <c r="N245" s="599">
        <f>DATEDIF(Table1[[#This Row],[تاريخ التعيين]],Table1[[#This Row],[اخر العام]],"ym")</f>
        <v>10</v>
      </c>
      <c r="O245" s="610">
        <f>Table1[[#This Row],[سنوات الخدمه]]*1+Table1[[#This Row],[الشهور اقل من سنه]]*0.08</f>
        <v>1.8</v>
      </c>
      <c r="P245" s="616">
        <v>3000</v>
      </c>
      <c r="Q245" s="617">
        <v>48</v>
      </c>
      <c r="R245" s="612"/>
      <c r="S245" s="599"/>
      <c r="T245" s="612"/>
      <c r="U245" s="612"/>
      <c r="V245" s="612"/>
      <c r="W245" s="612"/>
      <c r="X245" s="612"/>
      <c r="Y245" s="612"/>
      <c r="Z245" s="612"/>
      <c r="AA24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5" s="612"/>
      <c r="AC245" s="599"/>
      <c r="AD245" s="612"/>
      <c r="AE245" s="612"/>
      <c r="AF245" s="612"/>
      <c r="AG245" s="612"/>
      <c r="AH245" s="619">
        <f>SUM(Table1[[#This Row],[التقييد  باللوائح و تنفيذالتوجيه]:[اتباع اجراءات السلامه]])</f>
        <v>0</v>
      </c>
      <c r="AI245" s="619">
        <f>Table1[[#This Row],[المجموع]]+Table1[[#This Row],[المجموع2]]</f>
        <v>0</v>
      </c>
      <c r="AJ245" s="612"/>
      <c r="AK245" s="612"/>
      <c r="AL245" s="612"/>
      <c r="AM245" s="612"/>
      <c r="AN245" s="612"/>
      <c r="AO245" s="606">
        <f>Table1[[#This Row],[المجموع 1+2]]*$AO$2</f>
        <v>0</v>
      </c>
      <c r="AP245" s="648">
        <f>Table1[[#This Row],[راتب ديسمبر 2019]]*Table1[[#This Row],[نسبه التقييم الرئيسي 2018]]%</f>
        <v>0</v>
      </c>
      <c r="AQ245" s="627">
        <f>Table1[[#This Row],[مبلغ التقييم النسبي 2018]]+Table1[[#This Row],[راتب ديسمبر 2019]]</f>
        <v>3000</v>
      </c>
      <c r="AR245" s="10">
        <f>IF(Table1[[#This Row],[Column3]]&lt;0,0,Table1[[#This Row],[Column3]])</f>
        <v>3000</v>
      </c>
      <c r="AS245" s="599">
        <f>VLOOKUP(Table1[[#This Row],[درجه التوسيط]],Table10[],3,)</f>
        <v>6000</v>
      </c>
      <c r="AT245" s="608">
        <f>Table1[[#This Row],[الراتب 2018+النسبه]]+Table1[[#This Row],[فروقات الحد الادني]]</f>
        <v>6000</v>
      </c>
      <c r="AU245" s="629">
        <f>Table1[[#This Row],[الراتب 2018 + النسبه + الفرق]]-Table1[[#This Row],[راتب ديسمبر 2019]]</f>
        <v>3000</v>
      </c>
      <c r="AV245" s="628">
        <f>Table1[[#This Row],[الزياده]]/Table1[[#This Row],[راتب ديسمبر 2019]]%</f>
        <v>100</v>
      </c>
      <c r="AW245" s="659">
        <f>IF(Table1[[#This Row],[Column4]]&lt;0,0,Table1[[#This Row],[Column4]])</f>
        <v>0</v>
      </c>
      <c r="AX245" s="611">
        <f>Table1[[#This Row],[الجبر حتي]]-Table1[[#This Row],[رن]]</f>
        <v>4</v>
      </c>
      <c r="AY245" s="611">
        <f>Table1[[#This Row],[الزياده]]+Table1[[#This Row],[التعديل]]+Table1[[#This Row],[جبر الرقم]]</f>
        <v>3004</v>
      </c>
      <c r="AZ245" s="611">
        <f>Table1[[#This Row],[الراتب 2018 + النسبه + الفرق]]+Table1[[#This Row],[جبر الرقم]]+Table1[[#This Row],[التعديل]]</f>
        <v>6004</v>
      </c>
      <c r="BA245" s="631">
        <f>Table1[[#This Row],[الزياده النهائيه]]/Table1[[#This Row],[راتب ديسمبر 2019]]%</f>
        <v>100.13333333333334</v>
      </c>
      <c r="BB245" s="612">
        <f>VLOOKUP(Table1[[#This Row],[الرقم الوظيفي]],Table6[],8,)</f>
        <v>3000</v>
      </c>
      <c r="BC245" s="7"/>
      <c r="BD245" s="7">
        <v>4570</v>
      </c>
      <c r="BE245" s="7">
        <v>4566</v>
      </c>
      <c r="BF245" s="5">
        <f>Table1[[#This Row],[الحد الادني]]-Table1[[#This Row],[الراتب 2018+النسبه]]</f>
        <v>3000</v>
      </c>
      <c r="BG245" s="5">
        <f>Table1[[#This Row],[التعديل حتي]]-Table1[[#This Row],[kkk]]</f>
        <v>-4566</v>
      </c>
      <c r="BH245" s="5">
        <v>4566</v>
      </c>
      <c r="BI245" s="5"/>
    </row>
    <row r="246" spans="1:61" ht="21" customHeight="1">
      <c r="A246" s="602">
        <v>1035</v>
      </c>
      <c r="B246" s="618" t="str">
        <f>VLOOKUP(Table1[[#This Row],[الرقم الوظيفي]],[1]Sheet2!$1:$1048576,2,)</f>
        <v>محمد حسين مصطفى مناوى</v>
      </c>
      <c r="C246" s="599" t="str">
        <f>VLOOKUP(Table1[[#This Row],[الرقم الوظيفي]],[1]Sheet2!$1:$1048576,7,)</f>
        <v>المصنع</v>
      </c>
      <c r="D246" s="599" t="str">
        <f>VLOOKUP(Table1[[#This Row],[الرقم الوظيفي]],[1]Sheet2!$1:$1048576,8,)</f>
        <v>الانتاج</v>
      </c>
      <c r="E246" s="599">
        <f>VLOOKUP(Table1[[#This Row],[الرقم الوظيفي]],[1]Sheet2!$1:$1048576,9,)</f>
        <v>0</v>
      </c>
      <c r="F246" s="599" t="str">
        <f>VLOOKUP(Table1[[#This Row],[الرقم الوظيفي]],[1]Sheet2!$1:$1048576,12,)</f>
        <v>عامل</v>
      </c>
      <c r="G246" s="599">
        <f>VLOOKUP(Table1[[#This Row],[الرقم الوظيفي]],[1]Sheet2!$1:$1048576,72,)</f>
        <v>0</v>
      </c>
      <c r="H246" s="599">
        <f>VLOOKUP(Table1[[#This Row],[الرقم الوظيفي]],[1]Sheet2!$1:$1048576,71,)</f>
        <v>0</v>
      </c>
      <c r="I246" s="599" t="str">
        <f>VLOOKUP(Table1[[#This Row],[المؤهل الرئيسي]],Table4[],3,)</f>
        <v>H</v>
      </c>
      <c r="J246" s="599" t="s">
        <v>42</v>
      </c>
      <c r="K246" s="615">
        <f>VLOOKUP(Table1[[#This Row],[الرقم الوظيفي]],[1]Sheet2!$1:$1048576,13,)</f>
        <v>43144</v>
      </c>
      <c r="L246" s="615">
        <v>43830</v>
      </c>
      <c r="M246" s="599">
        <f>DATEDIF(Table1[[#This Row],[تاريخ التعيين]],Table1[[#This Row],[اخر العام]],"y")</f>
        <v>1</v>
      </c>
      <c r="N246" s="599">
        <f>DATEDIF(Table1[[#This Row],[تاريخ التعيين]],Table1[[#This Row],[اخر العام]],"ym")</f>
        <v>10</v>
      </c>
      <c r="O246" s="610">
        <f>Table1[[#This Row],[سنوات الخدمه]]*1+Table1[[#This Row],[الشهور اقل من سنه]]*0.08</f>
        <v>1.8</v>
      </c>
      <c r="P246" s="616">
        <v>3000</v>
      </c>
      <c r="Q246" s="617">
        <v>48</v>
      </c>
      <c r="R246" s="612"/>
      <c r="S246" s="599"/>
      <c r="T246" s="612"/>
      <c r="U246" s="612"/>
      <c r="V246" s="612"/>
      <c r="W246" s="612"/>
      <c r="X246" s="612"/>
      <c r="Y246" s="612"/>
      <c r="Z246" s="612"/>
      <c r="AA24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6" s="612"/>
      <c r="AC246" s="599"/>
      <c r="AD246" s="612"/>
      <c r="AE246" s="612"/>
      <c r="AF246" s="612"/>
      <c r="AG246" s="612"/>
      <c r="AH246" s="619">
        <f>SUM(Table1[[#This Row],[التقييد  باللوائح و تنفيذالتوجيه]:[اتباع اجراءات السلامه]])</f>
        <v>0</v>
      </c>
      <c r="AI246" s="619">
        <f>Table1[[#This Row],[المجموع]]+Table1[[#This Row],[المجموع2]]</f>
        <v>0</v>
      </c>
      <c r="AJ246" s="612"/>
      <c r="AK246" s="612"/>
      <c r="AL246" s="612"/>
      <c r="AM246" s="612"/>
      <c r="AN246" s="612"/>
      <c r="AO246" s="606">
        <f>Table1[[#This Row],[المجموع 1+2]]*$AO$2</f>
        <v>0</v>
      </c>
      <c r="AP246" s="648">
        <f>Table1[[#This Row],[راتب ديسمبر 2019]]*Table1[[#This Row],[نسبه التقييم الرئيسي 2018]]%</f>
        <v>0</v>
      </c>
      <c r="AQ246" s="627">
        <f>Table1[[#This Row],[مبلغ التقييم النسبي 2018]]+Table1[[#This Row],[راتب ديسمبر 2019]]</f>
        <v>3000</v>
      </c>
      <c r="AR246" s="10">
        <f>IF(Table1[[#This Row],[Column3]]&lt;0,0,Table1[[#This Row],[Column3]])</f>
        <v>2000</v>
      </c>
      <c r="AS246" s="599">
        <f>VLOOKUP(Table1[[#This Row],[درجه التوسيط]],Table10[],3,)</f>
        <v>5000</v>
      </c>
      <c r="AT246" s="608">
        <f>Table1[[#This Row],[الراتب 2018+النسبه]]+Table1[[#This Row],[فروقات الحد الادني]]</f>
        <v>5000</v>
      </c>
      <c r="AU246" s="629">
        <f>Table1[[#This Row],[الراتب 2018 + النسبه + الفرق]]-Table1[[#This Row],[راتب ديسمبر 2019]]</f>
        <v>2000</v>
      </c>
      <c r="AV246" s="628">
        <f>Table1[[#This Row],[الزياده]]/Table1[[#This Row],[راتب ديسمبر 2019]]%</f>
        <v>66.666666666666671</v>
      </c>
      <c r="AW246" s="659">
        <f>IF(Table1[[#This Row],[Column4]]&lt;0,0,Table1[[#This Row],[Column4]])</f>
        <v>0</v>
      </c>
      <c r="AX246" s="611">
        <f>Table1[[#This Row],[الجبر حتي]]-Table1[[#This Row],[رن]]</f>
        <v>0</v>
      </c>
      <c r="AY246" s="611">
        <f>Table1[[#This Row],[الزياده]]+Table1[[#This Row],[التعديل]]+Table1[[#This Row],[جبر الرقم]]</f>
        <v>2000</v>
      </c>
      <c r="AZ246" s="611">
        <f>Table1[[#This Row],[الراتب 2018 + النسبه + الفرق]]+Table1[[#This Row],[جبر الرقم]]+Table1[[#This Row],[التعديل]]</f>
        <v>5000</v>
      </c>
      <c r="BA246" s="631">
        <f>Table1[[#This Row],[الزياده النهائيه]]/Table1[[#This Row],[راتب ديسمبر 2019]]%</f>
        <v>66.666666666666671</v>
      </c>
      <c r="BB246" s="612">
        <f>VLOOKUP(Table1[[#This Row],[الرقم الوظيفي]],Table6[],8,)</f>
        <v>3000</v>
      </c>
      <c r="BC246" s="7"/>
      <c r="BD246" s="7">
        <v>4440</v>
      </c>
      <c r="BE246" s="7">
        <v>4440</v>
      </c>
      <c r="BF246" s="5">
        <f>Table1[[#This Row],[الحد الادني]]-Table1[[#This Row],[الراتب 2018+النسبه]]</f>
        <v>2000</v>
      </c>
      <c r="BG246" s="5">
        <f>Table1[[#This Row],[التعديل حتي]]-Table1[[#This Row],[kkk]]</f>
        <v>-4440</v>
      </c>
      <c r="BH246" s="5">
        <v>4440</v>
      </c>
      <c r="BI246" s="5"/>
    </row>
    <row r="247" spans="1:61" ht="21" customHeight="1">
      <c r="A247" s="602">
        <v>1036</v>
      </c>
      <c r="B247" s="618" t="str">
        <f>VLOOKUP(Table1[[#This Row],[الرقم الوظيفي]],[1]Sheet2!$1:$1048576,2,)</f>
        <v>مهند محمد سيد احمد بابكر</v>
      </c>
      <c r="C247" s="599" t="str">
        <f>VLOOKUP(Table1[[#This Row],[الرقم الوظيفي]],[1]Sheet2!$1:$1048576,7,)</f>
        <v>المصنع</v>
      </c>
      <c r="D247" s="599" t="str">
        <f>VLOOKUP(Table1[[#This Row],[الرقم الوظيفي]],[1]Sheet2!$1:$1048576,8,)</f>
        <v>الانتاج</v>
      </c>
      <c r="E247" s="599">
        <f>VLOOKUP(Table1[[#This Row],[الرقم الوظيفي]],[1]Sheet2!$1:$1048576,9,)</f>
        <v>0</v>
      </c>
      <c r="F247" s="599" t="str">
        <f>VLOOKUP(Table1[[#This Row],[الرقم الوظيفي]],[1]Sheet2!$1:$1048576,12,)</f>
        <v>عامل</v>
      </c>
      <c r="G247" s="599">
        <f>VLOOKUP(Table1[[#This Row],[الرقم الوظيفي]],[1]Sheet2!$1:$1048576,72,)</f>
        <v>0</v>
      </c>
      <c r="H247" s="599">
        <f>VLOOKUP(Table1[[#This Row],[الرقم الوظيفي]],[1]Sheet2!$1:$1048576,71,)</f>
        <v>0</v>
      </c>
      <c r="I247" s="599" t="str">
        <f>VLOOKUP(Table1[[#This Row],[المؤهل الرئيسي]],Table4[],3,)</f>
        <v>H</v>
      </c>
      <c r="J247" s="599" t="s">
        <v>929</v>
      </c>
      <c r="K247" s="615">
        <f>VLOOKUP(Table1[[#This Row],[الرقم الوظيفي]],[1]Sheet2!$1:$1048576,13,)</f>
        <v>43144</v>
      </c>
      <c r="L247" s="615">
        <v>43830</v>
      </c>
      <c r="M247" s="599">
        <f>DATEDIF(Table1[[#This Row],[تاريخ التعيين]],Table1[[#This Row],[اخر العام]],"y")</f>
        <v>1</v>
      </c>
      <c r="N247" s="599">
        <f>DATEDIF(Table1[[#This Row],[تاريخ التعيين]],Table1[[#This Row],[اخر العام]],"ym")</f>
        <v>10</v>
      </c>
      <c r="O247" s="610">
        <f>Table1[[#This Row],[سنوات الخدمه]]*1+Table1[[#This Row],[الشهور اقل من سنه]]*0.08</f>
        <v>1.8</v>
      </c>
      <c r="P247" s="616">
        <v>3000</v>
      </c>
      <c r="Q247" s="617">
        <v>48</v>
      </c>
      <c r="R247" s="612"/>
      <c r="S247" s="599"/>
      <c r="T247" s="612"/>
      <c r="U247" s="612"/>
      <c r="V247" s="612"/>
      <c r="W247" s="612"/>
      <c r="X247" s="612"/>
      <c r="Y247" s="612"/>
      <c r="Z247" s="612"/>
      <c r="AA24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7" s="612"/>
      <c r="AC247" s="599"/>
      <c r="AD247" s="612"/>
      <c r="AE247" s="612"/>
      <c r="AF247" s="612"/>
      <c r="AG247" s="612"/>
      <c r="AH247" s="619">
        <f>SUM(Table1[[#This Row],[التقييد  باللوائح و تنفيذالتوجيه]:[اتباع اجراءات السلامه]])</f>
        <v>0</v>
      </c>
      <c r="AI247" s="619">
        <f>Table1[[#This Row],[المجموع]]+Table1[[#This Row],[المجموع2]]</f>
        <v>0</v>
      </c>
      <c r="AJ247" s="612"/>
      <c r="AK247" s="612"/>
      <c r="AL247" s="612"/>
      <c r="AM247" s="612"/>
      <c r="AN247" s="612"/>
      <c r="AO247" s="606">
        <f>Table1[[#This Row],[المجموع 1+2]]*$AO$2</f>
        <v>0</v>
      </c>
      <c r="AP247" s="648">
        <f>Table1[[#This Row],[راتب ديسمبر 2019]]*Table1[[#This Row],[نسبه التقييم الرئيسي 2018]]%</f>
        <v>0</v>
      </c>
      <c r="AQ247" s="627">
        <f>Table1[[#This Row],[مبلغ التقييم النسبي 2018]]+Table1[[#This Row],[راتب ديسمبر 2019]]</f>
        <v>3000</v>
      </c>
      <c r="AR247" s="10">
        <f>IF(Table1[[#This Row],[Column3]]&lt;0,0,Table1[[#This Row],[Column3]])</f>
        <v>3000</v>
      </c>
      <c r="AS247" s="599">
        <f>VLOOKUP(Table1[[#This Row],[درجه التوسيط]],Table10[],3,)</f>
        <v>6000</v>
      </c>
      <c r="AT247" s="608">
        <f>Table1[[#This Row],[الراتب 2018+النسبه]]+Table1[[#This Row],[فروقات الحد الادني]]</f>
        <v>6000</v>
      </c>
      <c r="AU247" s="629">
        <f>Table1[[#This Row],[الراتب 2018 + النسبه + الفرق]]-Table1[[#This Row],[راتب ديسمبر 2019]]</f>
        <v>3000</v>
      </c>
      <c r="AV247" s="628">
        <f>Table1[[#This Row],[الزياده]]/Table1[[#This Row],[راتب ديسمبر 2019]]%</f>
        <v>100</v>
      </c>
      <c r="AW247" s="659">
        <f>IF(Table1[[#This Row],[Column4]]&lt;0,0,Table1[[#This Row],[Column4]])</f>
        <v>0</v>
      </c>
      <c r="AX247" s="611">
        <f>Table1[[#This Row],[الجبر حتي]]-Table1[[#This Row],[رن]]</f>
        <v>0</v>
      </c>
      <c r="AY247" s="611">
        <f>Table1[[#This Row],[الزياده]]+Table1[[#This Row],[التعديل]]+Table1[[#This Row],[جبر الرقم]]</f>
        <v>3000</v>
      </c>
      <c r="AZ247" s="611">
        <f>Table1[[#This Row],[الراتب 2018 + النسبه + الفرق]]+Table1[[#This Row],[جبر الرقم]]+Table1[[#This Row],[التعديل]]</f>
        <v>6000</v>
      </c>
      <c r="BA247" s="631">
        <f>Table1[[#This Row],[الزياده النهائيه]]/Table1[[#This Row],[راتب ديسمبر 2019]]%</f>
        <v>100</v>
      </c>
      <c r="BB247" s="612">
        <f>VLOOKUP(Table1[[#This Row],[الرقم الوظيفي]],Table6[],8,)</f>
        <v>3000</v>
      </c>
      <c r="BC247" s="7"/>
      <c r="BD247" s="7">
        <v>4530</v>
      </c>
      <c r="BE247" s="7">
        <v>4530</v>
      </c>
      <c r="BF247" s="5">
        <f>Table1[[#This Row],[الحد الادني]]-Table1[[#This Row],[الراتب 2018+النسبه]]</f>
        <v>3000</v>
      </c>
      <c r="BG247" s="5">
        <f>Table1[[#This Row],[التعديل حتي]]-Table1[[#This Row],[kkk]]</f>
        <v>-4530</v>
      </c>
      <c r="BH247" s="5">
        <v>4530</v>
      </c>
      <c r="BI247" s="5"/>
    </row>
    <row r="248" spans="1:61" ht="21" customHeight="1">
      <c r="A248" s="602">
        <v>1037</v>
      </c>
      <c r="B248" s="618" t="str">
        <f>VLOOKUP(Table1[[#This Row],[الرقم الوظيفي]],[1]Sheet2!$1:$1048576,2,)</f>
        <v>الدين اسحق الطاهر حسن</v>
      </c>
      <c r="C248" s="599" t="str">
        <f>VLOOKUP(Table1[[#This Row],[الرقم الوظيفي]],[1]Sheet2!$1:$1048576,7,)</f>
        <v>المصنع</v>
      </c>
      <c r="D248" s="599" t="str">
        <f>VLOOKUP(Table1[[#This Row],[الرقم الوظيفي]],[1]Sheet2!$1:$1048576,8,)</f>
        <v>الانتاج</v>
      </c>
      <c r="E248" s="599">
        <f>VLOOKUP(Table1[[#This Row],[الرقم الوظيفي]],[1]Sheet2!$1:$1048576,9,)</f>
        <v>0</v>
      </c>
      <c r="F248" s="599" t="str">
        <f>VLOOKUP(Table1[[#This Row],[الرقم الوظيفي]],[1]Sheet2!$1:$1048576,12,)</f>
        <v>عامل</v>
      </c>
      <c r="G248" s="599">
        <f>VLOOKUP(Table1[[#This Row],[الرقم الوظيفي]],[1]Sheet2!$1:$1048576,72,)</f>
        <v>0</v>
      </c>
      <c r="H248" s="599">
        <f>VLOOKUP(Table1[[#This Row],[الرقم الوظيفي]],[1]Sheet2!$1:$1048576,71,)</f>
        <v>0</v>
      </c>
      <c r="I248" s="599" t="str">
        <f>VLOOKUP(Table1[[#This Row],[المؤهل الرئيسي]],Table4[],3,)</f>
        <v>H</v>
      </c>
      <c r="J248" s="599" t="s">
        <v>929</v>
      </c>
      <c r="K248" s="615">
        <f>VLOOKUP(Table1[[#This Row],[الرقم الوظيفي]],[1]Sheet2!$1:$1048576,13,)</f>
        <v>43144</v>
      </c>
      <c r="L248" s="615">
        <v>43830</v>
      </c>
      <c r="M248" s="599">
        <f>DATEDIF(Table1[[#This Row],[تاريخ التعيين]],Table1[[#This Row],[اخر العام]],"y")</f>
        <v>1</v>
      </c>
      <c r="N248" s="599">
        <f>DATEDIF(Table1[[#This Row],[تاريخ التعيين]],Table1[[#This Row],[اخر العام]],"ym")</f>
        <v>10</v>
      </c>
      <c r="O248" s="610">
        <f>Table1[[#This Row],[سنوات الخدمه]]*1+Table1[[#This Row],[الشهور اقل من سنه]]*0.08</f>
        <v>1.8</v>
      </c>
      <c r="P248" s="616">
        <v>3000</v>
      </c>
      <c r="Q248" s="617">
        <v>48</v>
      </c>
      <c r="R248" s="612"/>
      <c r="S248" s="599"/>
      <c r="T248" s="612"/>
      <c r="U248" s="612"/>
      <c r="V248" s="612"/>
      <c r="W248" s="612"/>
      <c r="X248" s="612"/>
      <c r="Y248" s="612"/>
      <c r="Z248" s="612"/>
      <c r="AA24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8" s="612"/>
      <c r="AC248" s="599"/>
      <c r="AD248" s="612"/>
      <c r="AE248" s="612"/>
      <c r="AF248" s="612"/>
      <c r="AG248" s="612"/>
      <c r="AH248" s="619">
        <f>SUM(Table1[[#This Row],[التقييد  باللوائح و تنفيذالتوجيه]:[اتباع اجراءات السلامه]])</f>
        <v>0</v>
      </c>
      <c r="AI248" s="619">
        <f>Table1[[#This Row],[المجموع]]+Table1[[#This Row],[المجموع2]]</f>
        <v>0</v>
      </c>
      <c r="AJ248" s="612"/>
      <c r="AK248" s="612"/>
      <c r="AL248" s="612"/>
      <c r="AM248" s="612"/>
      <c r="AN248" s="612"/>
      <c r="AO248" s="606">
        <f>Table1[[#This Row],[المجموع 1+2]]*$AO$2</f>
        <v>0</v>
      </c>
      <c r="AP248" s="648">
        <f>Table1[[#This Row],[راتب ديسمبر 2019]]*Table1[[#This Row],[نسبه التقييم الرئيسي 2018]]%</f>
        <v>0</v>
      </c>
      <c r="AQ248" s="627">
        <f>Table1[[#This Row],[مبلغ التقييم النسبي 2018]]+Table1[[#This Row],[راتب ديسمبر 2019]]</f>
        <v>3000</v>
      </c>
      <c r="AR248" s="10">
        <f>IF(Table1[[#This Row],[Column3]]&lt;0,0,Table1[[#This Row],[Column3]])</f>
        <v>3000</v>
      </c>
      <c r="AS248" s="599">
        <f>VLOOKUP(Table1[[#This Row],[درجه التوسيط]],Table10[],3,)</f>
        <v>6000</v>
      </c>
      <c r="AT248" s="608">
        <f>Table1[[#This Row],[الراتب 2018+النسبه]]+Table1[[#This Row],[فروقات الحد الادني]]</f>
        <v>6000</v>
      </c>
      <c r="AU248" s="629">
        <f>Table1[[#This Row],[الراتب 2018 + النسبه + الفرق]]-Table1[[#This Row],[راتب ديسمبر 2019]]</f>
        <v>3000</v>
      </c>
      <c r="AV248" s="628">
        <f>Table1[[#This Row],[الزياده]]/Table1[[#This Row],[راتب ديسمبر 2019]]%</f>
        <v>100</v>
      </c>
      <c r="AW248" s="659">
        <f>IF(Table1[[#This Row],[Column4]]&lt;0,0,Table1[[#This Row],[Column4]])</f>
        <v>0</v>
      </c>
      <c r="AX248" s="611">
        <f>Table1[[#This Row],[الجبر حتي]]-Table1[[#This Row],[رن]]</f>
        <v>0</v>
      </c>
      <c r="AY248" s="611">
        <f>Table1[[#This Row],[الزياده]]+Table1[[#This Row],[التعديل]]+Table1[[#This Row],[جبر الرقم]]</f>
        <v>3000</v>
      </c>
      <c r="AZ248" s="611">
        <f>Table1[[#This Row],[الراتب 2018 + النسبه + الفرق]]+Table1[[#This Row],[جبر الرقم]]+Table1[[#This Row],[التعديل]]</f>
        <v>6000</v>
      </c>
      <c r="BA248" s="631">
        <f>Table1[[#This Row],[الزياده النهائيه]]/Table1[[#This Row],[راتب ديسمبر 2019]]%</f>
        <v>100</v>
      </c>
      <c r="BB248" s="612">
        <f>VLOOKUP(Table1[[#This Row],[الرقم الوظيفي]],Table6[],8,)</f>
        <v>3000</v>
      </c>
      <c r="BC248" s="7"/>
      <c r="BD248" s="7">
        <v>4500</v>
      </c>
      <c r="BE248" s="7">
        <v>4500</v>
      </c>
      <c r="BF248" s="5">
        <f>Table1[[#This Row],[الحد الادني]]-Table1[[#This Row],[الراتب 2018+النسبه]]</f>
        <v>3000</v>
      </c>
      <c r="BG248" s="5">
        <f>Table1[[#This Row],[التعديل حتي]]-Table1[[#This Row],[kkk]]</f>
        <v>-4500</v>
      </c>
      <c r="BH248" s="5">
        <v>4500</v>
      </c>
      <c r="BI248" s="5"/>
    </row>
    <row r="249" spans="1:61" ht="21" customHeight="1">
      <c r="A249" s="602">
        <v>1038</v>
      </c>
      <c r="B249" s="618" t="str">
        <f>VLOOKUP(Table1[[#This Row],[الرقم الوظيفي]],[1]Sheet2!$1:$1048576,2,)</f>
        <v>محمد مدنى مكى حمد</v>
      </c>
      <c r="C249" s="599" t="str">
        <f>VLOOKUP(Table1[[#This Row],[الرقم الوظيفي]],[1]Sheet2!$1:$1048576,7,)</f>
        <v>المصنع</v>
      </c>
      <c r="D249" s="599" t="str">
        <f>VLOOKUP(Table1[[#This Row],[الرقم الوظيفي]],[1]Sheet2!$1:$1048576,8,)</f>
        <v>الانتاج</v>
      </c>
      <c r="E249" s="599">
        <f>VLOOKUP(Table1[[#This Row],[الرقم الوظيفي]],[1]Sheet2!$1:$1048576,9,)</f>
        <v>0</v>
      </c>
      <c r="F249" s="599" t="str">
        <f>VLOOKUP(Table1[[#This Row],[الرقم الوظيفي]],[1]Sheet2!$1:$1048576,12,)</f>
        <v>عامل</v>
      </c>
      <c r="G249" s="599" t="str">
        <f>VLOOKUP(Table1[[#This Row],[الرقم الوظيفي]],[1]Sheet2!$1:$1048576,72,)</f>
        <v>بكلاريوس الشرف</v>
      </c>
      <c r="H249" s="599" t="str">
        <f>VLOOKUP(Table1[[#This Row],[الرقم الوظيفي]],[1]Sheet2!$1:$1048576,71,)</f>
        <v>الميكنة الزراعية</v>
      </c>
      <c r="I249" s="599" t="str">
        <f>VLOOKUP(Table1[[#This Row],[المؤهل الرئيسي]],Table4[],3,)</f>
        <v>C</v>
      </c>
      <c r="J249" s="599" t="s">
        <v>929</v>
      </c>
      <c r="K249" s="615">
        <f>VLOOKUP(Table1[[#This Row],[الرقم الوظيفي]],[1]Sheet2!$1:$1048576,13,)</f>
        <v>43146</v>
      </c>
      <c r="L249" s="615">
        <v>43830</v>
      </c>
      <c r="M249" s="599">
        <f>DATEDIF(Table1[[#This Row],[تاريخ التعيين]],Table1[[#This Row],[اخر العام]],"y")</f>
        <v>1</v>
      </c>
      <c r="N249" s="599">
        <f>DATEDIF(Table1[[#This Row],[تاريخ التعيين]],Table1[[#This Row],[اخر العام]],"ym")</f>
        <v>10</v>
      </c>
      <c r="O249" s="610">
        <f>Table1[[#This Row],[سنوات الخدمه]]*1+Table1[[#This Row],[الشهور اقل من سنه]]*0.08</f>
        <v>1.8</v>
      </c>
      <c r="P249" s="616">
        <v>3000</v>
      </c>
      <c r="Q249" s="617">
        <v>48</v>
      </c>
      <c r="R249" s="612"/>
      <c r="S249" s="599"/>
      <c r="T249" s="612"/>
      <c r="U249" s="612"/>
      <c r="V249" s="612"/>
      <c r="W249" s="612"/>
      <c r="X249" s="612"/>
      <c r="Y249" s="612"/>
      <c r="Z249" s="612"/>
      <c r="AA24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49" s="612"/>
      <c r="AC249" s="599"/>
      <c r="AD249" s="612"/>
      <c r="AE249" s="612"/>
      <c r="AF249" s="612"/>
      <c r="AG249" s="612"/>
      <c r="AH249" s="619">
        <f>SUM(Table1[[#This Row],[التقييد  باللوائح و تنفيذالتوجيه]:[اتباع اجراءات السلامه]])</f>
        <v>0</v>
      </c>
      <c r="AI249" s="619">
        <f>Table1[[#This Row],[المجموع]]+Table1[[#This Row],[المجموع2]]</f>
        <v>0</v>
      </c>
      <c r="AJ249" s="612"/>
      <c r="AK249" s="612"/>
      <c r="AL249" s="612"/>
      <c r="AM249" s="612"/>
      <c r="AN249" s="612"/>
      <c r="AO249" s="606">
        <f>Table1[[#This Row],[المجموع 1+2]]*$AO$2</f>
        <v>0</v>
      </c>
      <c r="AP249" s="648">
        <f>Table1[[#This Row],[راتب ديسمبر 2019]]*Table1[[#This Row],[نسبه التقييم الرئيسي 2018]]%</f>
        <v>0</v>
      </c>
      <c r="AQ249" s="627">
        <f>Table1[[#This Row],[مبلغ التقييم النسبي 2018]]+Table1[[#This Row],[راتب ديسمبر 2019]]</f>
        <v>3000</v>
      </c>
      <c r="AR249" s="10">
        <f>IF(Table1[[#This Row],[Column3]]&lt;0,0,Table1[[#This Row],[Column3]])</f>
        <v>3000</v>
      </c>
      <c r="AS249" s="599">
        <f>VLOOKUP(Table1[[#This Row],[درجه التوسيط]],Table10[],3,)</f>
        <v>6000</v>
      </c>
      <c r="AT249" s="608">
        <f>Table1[[#This Row],[الراتب 2018+النسبه]]+Table1[[#This Row],[فروقات الحد الادني]]</f>
        <v>6000</v>
      </c>
      <c r="AU249" s="629">
        <f>Table1[[#This Row],[الراتب 2018 + النسبه + الفرق]]-Table1[[#This Row],[راتب ديسمبر 2019]]</f>
        <v>3000</v>
      </c>
      <c r="AV249" s="628">
        <f>Table1[[#This Row],[الزياده]]/Table1[[#This Row],[راتب ديسمبر 2019]]%</f>
        <v>100</v>
      </c>
      <c r="AW249" s="659">
        <f>IF(Table1[[#This Row],[Column4]]&lt;0,0,Table1[[#This Row],[Column4]])</f>
        <v>0</v>
      </c>
      <c r="AX249" s="611">
        <f>Table1[[#This Row],[الجبر حتي]]-Table1[[#This Row],[رن]]</f>
        <v>8</v>
      </c>
      <c r="AY249" s="611">
        <f>Table1[[#This Row],[الزياده]]+Table1[[#This Row],[التعديل]]+Table1[[#This Row],[جبر الرقم]]</f>
        <v>3008</v>
      </c>
      <c r="AZ249" s="611">
        <f>Table1[[#This Row],[الراتب 2018 + النسبه + الفرق]]+Table1[[#This Row],[جبر الرقم]]+Table1[[#This Row],[التعديل]]</f>
        <v>6008</v>
      </c>
      <c r="BA249" s="631">
        <f>Table1[[#This Row],[الزياده النهائيه]]/Table1[[#This Row],[راتب ديسمبر 2019]]%</f>
        <v>100.26666666666667</v>
      </c>
      <c r="BB249" s="612">
        <f>VLOOKUP(Table1[[#This Row],[الرقم الوظيفي]],Table6[],8,)</f>
        <v>3000</v>
      </c>
      <c r="BC249" s="7"/>
      <c r="BD249" s="7">
        <v>4520</v>
      </c>
      <c r="BE249" s="7">
        <v>4512</v>
      </c>
      <c r="BF249" s="5">
        <f>Table1[[#This Row],[الحد الادني]]-Table1[[#This Row],[الراتب 2018+النسبه]]</f>
        <v>3000</v>
      </c>
      <c r="BG249" s="5">
        <f>Table1[[#This Row],[التعديل حتي]]-Table1[[#This Row],[kkk]]</f>
        <v>-4512</v>
      </c>
      <c r="BH249" s="5">
        <v>4512</v>
      </c>
      <c r="BI249" s="5"/>
    </row>
    <row r="250" spans="1:61" ht="21" customHeight="1">
      <c r="A250" s="602">
        <v>1039</v>
      </c>
      <c r="B250" s="618" t="str">
        <f>VLOOKUP(Table1[[#This Row],[الرقم الوظيفي]],[1]Sheet2!$1:$1048576,2,)</f>
        <v>نورالدين عبدالفتاح خيرالله نقد</v>
      </c>
      <c r="C250" s="599" t="str">
        <f>VLOOKUP(Table1[[#This Row],[الرقم الوظيفي]],[1]Sheet2!$1:$1048576,7,)</f>
        <v>المصنع</v>
      </c>
      <c r="D250" s="599" t="str">
        <f>VLOOKUP(Table1[[#This Row],[الرقم الوظيفي]],[1]Sheet2!$1:$1048576,8,)</f>
        <v>الجوده</v>
      </c>
      <c r="E250" s="599">
        <f>VLOOKUP(Table1[[#This Row],[الرقم الوظيفي]],[1]Sheet2!$1:$1048576,9,)</f>
        <v>0</v>
      </c>
      <c r="F250" s="599" t="str">
        <f>VLOOKUP(Table1[[#This Row],[الرقم الوظيفي]],[1]Sheet2!$1:$1048576,12,)</f>
        <v>عامل</v>
      </c>
      <c r="G250" s="599" t="str">
        <f>VLOOKUP(Table1[[#This Row],[الرقم الوظيفي]],[1]Sheet2!$1:$1048576,72,)</f>
        <v>تدريب مهني</v>
      </c>
      <c r="H250" s="599" t="str">
        <f>VLOOKUP(Table1[[#This Row],[الرقم الوظيفي]],[1]Sheet2!$1:$1048576,71,)</f>
        <v>نجاره</v>
      </c>
      <c r="I250" s="599" t="str">
        <f>VLOOKUP(Table1[[#This Row],[المؤهل الرئيسي]],Table4[],3,)</f>
        <v>F</v>
      </c>
      <c r="J250" s="599" t="s">
        <v>924</v>
      </c>
      <c r="K250" s="615">
        <f>VLOOKUP(Table1[[#This Row],[الرقم الوظيفي]],[1]Sheet2!$1:$1048576,13,)</f>
        <v>43150</v>
      </c>
      <c r="L250" s="615">
        <v>43830</v>
      </c>
      <c r="M250" s="599">
        <f>DATEDIF(Table1[[#This Row],[تاريخ التعيين]],Table1[[#This Row],[اخر العام]],"y")</f>
        <v>1</v>
      </c>
      <c r="N250" s="599">
        <f>DATEDIF(Table1[[#This Row],[تاريخ التعيين]],Table1[[#This Row],[اخر العام]],"ym")</f>
        <v>10</v>
      </c>
      <c r="O250" s="610">
        <f>Table1[[#This Row],[سنوات الخدمه]]*1+Table1[[#This Row],[الشهور اقل من سنه]]*0.08</f>
        <v>1.8</v>
      </c>
      <c r="P250" s="616">
        <v>4000</v>
      </c>
      <c r="Q250" s="617">
        <v>64</v>
      </c>
      <c r="R250" s="612"/>
      <c r="S250" s="599"/>
      <c r="T250" s="612"/>
      <c r="U250" s="612"/>
      <c r="V250" s="612"/>
      <c r="W250" s="612"/>
      <c r="X250" s="612"/>
      <c r="Y250" s="612"/>
      <c r="Z250" s="612"/>
      <c r="AA25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0" s="612"/>
      <c r="AC250" s="599"/>
      <c r="AD250" s="612"/>
      <c r="AE250" s="612"/>
      <c r="AF250" s="612"/>
      <c r="AG250" s="612"/>
      <c r="AH250" s="619">
        <f>SUM(Table1[[#This Row],[التقييد  باللوائح و تنفيذالتوجيه]:[اتباع اجراءات السلامه]])</f>
        <v>0</v>
      </c>
      <c r="AI250" s="619">
        <f>Table1[[#This Row],[المجموع]]+Table1[[#This Row],[المجموع2]]</f>
        <v>0</v>
      </c>
      <c r="AJ250" s="612">
        <v>9</v>
      </c>
      <c r="AK250" s="612"/>
      <c r="AL250" s="612"/>
      <c r="AM250" s="612"/>
      <c r="AN250" s="612"/>
      <c r="AO250" s="606">
        <f>Table1[[#This Row],[المجموع 1+2]]*$AO$2</f>
        <v>0</v>
      </c>
      <c r="AP250" s="648">
        <f>Table1[[#This Row],[راتب ديسمبر 2019]]*Table1[[#This Row],[نسبه التقييم الرئيسي 2018]]%</f>
        <v>0</v>
      </c>
      <c r="AQ250" s="627">
        <f>Table1[[#This Row],[مبلغ التقييم النسبي 2018]]+Table1[[#This Row],[راتب ديسمبر 2019]]</f>
        <v>4000</v>
      </c>
      <c r="AR250" s="10">
        <f>IF(Table1[[#This Row],[Column3]]&lt;0,0,Table1[[#This Row],[Column3]])</f>
        <v>5000</v>
      </c>
      <c r="AS250" s="599">
        <f>VLOOKUP(Table1[[#This Row],[درجه التوسيط]],Table10[],3,)</f>
        <v>9000</v>
      </c>
      <c r="AT250" s="608">
        <f>Table1[[#This Row],[الراتب 2018+النسبه]]+Table1[[#This Row],[فروقات الحد الادني]]</f>
        <v>9000</v>
      </c>
      <c r="AU250" s="629">
        <f>Table1[[#This Row],[الراتب 2018 + النسبه + الفرق]]-Table1[[#This Row],[راتب ديسمبر 2019]]</f>
        <v>5000</v>
      </c>
      <c r="AV250" s="628">
        <f>Table1[[#This Row],[الزياده]]/Table1[[#This Row],[راتب ديسمبر 2019]]%</f>
        <v>125</v>
      </c>
      <c r="AW250" s="659">
        <f>IF(Table1[[#This Row],[Column4]]&lt;0,0,Table1[[#This Row],[Column4]])</f>
        <v>0</v>
      </c>
      <c r="AX250" s="611">
        <f>Table1[[#This Row],[الجبر حتي]]-Table1[[#This Row],[رن]]</f>
        <v>6</v>
      </c>
      <c r="AY250" s="611">
        <f>Table1[[#This Row],[الزياده]]+Table1[[#This Row],[التعديل]]+Table1[[#This Row],[جبر الرقم]]</f>
        <v>5006</v>
      </c>
      <c r="AZ250" s="611">
        <f>Table1[[#This Row],[الراتب 2018 + النسبه + الفرق]]+Table1[[#This Row],[جبر الرقم]]+Table1[[#This Row],[التعديل]]</f>
        <v>9006</v>
      </c>
      <c r="BA250" s="631">
        <f>Table1[[#This Row],[الزياده النهائيه]]/Table1[[#This Row],[راتب ديسمبر 2019]]%</f>
        <v>125.15</v>
      </c>
      <c r="BB250" s="612">
        <f>VLOOKUP(Table1[[#This Row],[الرقم الوظيفي]],Table6[],8,)</f>
        <v>4000</v>
      </c>
      <c r="BC250" s="7"/>
      <c r="BD250" s="7">
        <v>6310</v>
      </c>
      <c r="BE250" s="7">
        <v>6304</v>
      </c>
      <c r="BF250" s="5">
        <f>Table1[[#This Row],[الحد الادني]]-Table1[[#This Row],[الراتب 2018+النسبه]]</f>
        <v>5000</v>
      </c>
      <c r="BG250" s="5">
        <f>Table1[[#This Row],[التعديل حتي]]-Table1[[#This Row],[kkk]]</f>
        <v>-6304</v>
      </c>
      <c r="BH250" s="5">
        <v>6304</v>
      </c>
      <c r="BI250" s="5"/>
    </row>
    <row r="251" spans="1:61" s="32" customFormat="1" ht="21" customHeight="1">
      <c r="A251" s="602">
        <v>1042</v>
      </c>
      <c r="B251" s="618" t="str">
        <f>VLOOKUP(Table1[[#This Row],[الرقم الوظيفي]],[1]Sheet2!$1:$1048576,2,)</f>
        <v>محمد احمد محمد الحسن</v>
      </c>
      <c r="C251" s="614" t="str">
        <f>VLOOKUP(Table1[[#This Row],[الرقم الوظيفي]],[1]Sheet2!$1:$1048576,7,)</f>
        <v>المصنع</v>
      </c>
      <c r="D251" s="614" t="str">
        <f>VLOOKUP(Table1[[#This Row],[الرقم الوظيفي]],[1]Sheet2!$1:$1048576,8,)</f>
        <v>الانتاج</v>
      </c>
      <c r="E251" s="614">
        <f>VLOOKUP(Table1[[#This Row],[الرقم الوظيفي]],[1]Sheet2!$1:$1048576,9,)</f>
        <v>0</v>
      </c>
      <c r="F251" s="614" t="str">
        <f>VLOOKUP(Table1[[#This Row],[الرقم الوظيفي]],[1]Sheet2!$1:$1048576,12,)</f>
        <v>عامل</v>
      </c>
      <c r="G251" s="614" t="str">
        <f>VLOOKUP(Table1[[#This Row],[الرقم الوظيفي]],[1]Sheet2!$1:$1048576,72,)</f>
        <v>دبلوم وسيط</v>
      </c>
      <c r="H251" s="614" t="str">
        <f>VLOOKUP(Table1[[#This Row],[الرقم الوظيفي]],[1]Sheet2!$1:$1048576,71,)</f>
        <v>التسويق وإدارة المبيعات</v>
      </c>
      <c r="I251" s="614" t="str">
        <f>VLOOKUP(Table1[[#This Row],[المؤهل الرئيسي]],Table4[],3,)</f>
        <v>E</v>
      </c>
      <c r="J251" s="614" t="s">
        <v>929</v>
      </c>
      <c r="K251" s="615">
        <f>VLOOKUP(Table1[[#This Row],[الرقم الوظيفي]],[1]Sheet2!$1:$1048576,13,)</f>
        <v>43150</v>
      </c>
      <c r="L251" s="615">
        <v>43830</v>
      </c>
      <c r="M251" s="599">
        <f>DATEDIF(Table1[[#This Row],[تاريخ التعيين]],Table1[[#This Row],[اخر العام]],"y")</f>
        <v>1</v>
      </c>
      <c r="N251" s="599">
        <f>DATEDIF(Table1[[#This Row],[تاريخ التعيين]],Table1[[#This Row],[اخر العام]],"ym")</f>
        <v>10</v>
      </c>
      <c r="O251" s="610">
        <f>Table1[[#This Row],[سنوات الخدمه]]*1+Table1[[#This Row],[الشهور اقل من سنه]]*0.08</f>
        <v>1.8</v>
      </c>
      <c r="P251" s="616">
        <v>3000</v>
      </c>
      <c r="Q251" s="617">
        <v>48</v>
      </c>
      <c r="R251" s="613"/>
      <c r="S251" s="614"/>
      <c r="T251" s="613"/>
      <c r="U251" s="613"/>
      <c r="V251" s="613"/>
      <c r="W251" s="613"/>
      <c r="X251" s="613"/>
      <c r="Y251" s="613"/>
      <c r="Z251" s="613"/>
      <c r="AA25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1" s="613"/>
      <c r="AC251" s="614"/>
      <c r="AD251" s="613"/>
      <c r="AE251" s="613"/>
      <c r="AF251" s="613"/>
      <c r="AG251" s="613"/>
      <c r="AH251" s="619">
        <f>SUM(Table1[[#This Row],[التقييد  باللوائح و تنفيذالتوجيه]:[اتباع اجراءات السلامه]])</f>
        <v>0</v>
      </c>
      <c r="AI251" s="613">
        <f>Table1[[#This Row],[المجموع]]+Table1[[#This Row],[المجموع2]]</f>
        <v>0</v>
      </c>
      <c r="AJ251" s="613"/>
      <c r="AK251" s="613"/>
      <c r="AL251" s="613"/>
      <c r="AM251" s="613"/>
      <c r="AN251" s="613"/>
      <c r="AO251" s="606">
        <f>Table1[[#This Row],[المجموع 1+2]]*$AO$2</f>
        <v>0</v>
      </c>
      <c r="AP251" s="648">
        <f>Table1[[#This Row],[راتب ديسمبر 2019]]*Table1[[#This Row],[نسبه التقييم الرئيسي 2018]]%</f>
        <v>0</v>
      </c>
      <c r="AQ251" s="627">
        <f>Table1[[#This Row],[مبلغ التقييم النسبي 2018]]+Table1[[#This Row],[راتب ديسمبر 2019]]</f>
        <v>3000</v>
      </c>
      <c r="AR251" s="10">
        <f>IF(Table1[[#This Row],[Column3]]&lt;0,0,Table1[[#This Row],[Column3]])</f>
        <v>3000</v>
      </c>
      <c r="AS251" s="599">
        <f>VLOOKUP(Table1[[#This Row],[درجه التوسيط]],Table10[],3,)</f>
        <v>6000</v>
      </c>
      <c r="AT251" s="608">
        <f>Table1[[#This Row],[الراتب 2018+النسبه]]+Table1[[#This Row],[فروقات الحد الادني]]</f>
        <v>6000</v>
      </c>
      <c r="AU251" s="629">
        <f>Table1[[#This Row],[الراتب 2018 + النسبه + الفرق]]-Table1[[#This Row],[راتب ديسمبر 2019]]</f>
        <v>3000</v>
      </c>
      <c r="AV251" s="628">
        <f>Table1[[#This Row],[الزياده]]/Table1[[#This Row],[راتب ديسمبر 2019]]%</f>
        <v>100</v>
      </c>
      <c r="AW251" s="659">
        <f>IF(Table1[[#This Row],[Column4]]&lt;0,0,Table1[[#This Row],[Column4]])</f>
        <v>0</v>
      </c>
      <c r="AX251" s="611">
        <f>Table1[[#This Row],[الجبر حتي]]-Table1[[#This Row],[رن]]</f>
        <v>0</v>
      </c>
      <c r="AY251" s="611">
        <f>Table1[[#This Row],[الزياده]]+Table1[[#This Row],[التعديل]]+Table1[[#This Row],[جبر الرقم]]</f>
        <v>3000</v>
      </c>
      <c r="AZ251" s="611">
        <f>Table1[[#This Row],[الراتب 2018 + النسبه + الفرق]]+Table1[[#This Row],[جبر الرقم]]+Table1[[#This Row],[التعديل]]</f>
        <v>6000</v>
      </c>
      <c r="BA251" s="631">
        <f>Table1[[#This Row],[الزياده النهائيه]]/Table1[[#This Row],[راتب ديسمبر 2019]]%</f>
        <v>100</v>
      </c>
      <c r="BB251" s="613">
        <f>VLOOKUP(Table1[[#This Row],[الرقم الوظيفي]],Table6[],8,)</f>
        <v>3000</v>
      </c>
      <c r="BC251" s="657"/>
      <c r="BD251" s="657">
        <v>4620</v>
      </c>
      <c r="BE251" s="657">
        <v>4620</v>
      </c>
      <c r="BF251" s="8">
        <f>Table1[[#This Row],[الحد الادني]]-Table1[[#This Row],[الراتب 2018+النسبه]]</f>
        <v>3000</v>
      </c>
      <c r="BG251" s="8">
        <f>Table1[[#This Row],[التعديل حتي]]-Table1[[#This Row],[kkk]]</f>
        <v>-4620</v>
      </c>
      <c r="BH251" s="8">
        <v>4620</v>
      </c>
      <c r="BI251" s="8"/>
    </row>
    <row r="252" spans="1:61" ht="21" customHeight="1">
      <c r="A252" s="602">
        <v>1043</v>
      </c>
      <c r="B252" s="618" t="str">
        <f>VLOOKUP(Table1[[#This Row],[الرقم الوظيفي]],[1]Sheet2!$1:$1048576,2,)</f>
        <v>وليد حافظ خير مضوى</v>
      </c>
      <c r="C252" s="599" t="str">
        <f>VLOOKUP(Table1[[#This Row],[الرقم الوظيفي]],[1]Sheet2!$1:$1048576,7,)</f>
        <v>المصنع</v>
      </c>
      <c r="D252" s="599" t="str">
        <f>VLOOKUP(Table1[[#This Row],[الرقم الوظيفي]],[1]Sheet2!$1:$1048576,8,)</f>
        <v>الانتاج</v>
      </c>
      <c r="E252" s="599">
        <f>VLOOKUP(Table1[[#This Row],[الرقم الوظيفي]],[1]Sheet2!$1:$1048576,9,)</f>
        <v>0</v>
      </c>
      <c r="F252" s="599" t="str">
        <f>VLOOKUP(Table1[[#This Row],[الرقم الوظيفي]],[1]Sheet2!$1:$1048576,12,)</f>
        <v>عامل</v>
      </c>
      <c r="G252" s="599" t="str">
        <f>VLOOKUP(Table1[[#This Row],[الرقم الوظيفي]],[1]Sheet2!$1:$1048576,72,)</f>
        <v>شهاده ثانويه</v>
      </c>
      <c r="H252" s="599">
        <f>VLOOKUP(Table1[[#This Row],[الرقم الوظيفي]],[1]Sheet2!$1:$1048576,71,)</f>
        <v>0</v>
      </c>
      <c r="I252" s="599" t="str">
        <f>VLOOKUP(Table1[[#This Row],[المؤهل الرئيسي]],Table4[],3,)</f>
        <v>F</v>
      </c>
      <c r="J252" s="599" t="s">
        <v>929</v>
      </c>
      <c r="K252" s="615">
        <f>VLOOKUP(Table1[[#This Row],[الرقم الوظيفي]],[1]Sheet2!$1:$1048576,13,)</f>
        <v>43150</v>
      </c>
      <c r="L252" s="615">
        <v>43830</v>
      </c>
      <c r="M252" s="599">
        <f>DATEDIF(Table1[[#This Row],[تاريخ التعيين]],Table1[[#This Row],[اخر العام]],"y")</f>
        <v>1</v>
      </c>
      <c r="N252" s="599">
        <f>DATEDIF(Table1[[#This Row],[تاريخ التعيين]],Table1[[#This Row],[اخر العام]],"ym")</f>
        <v>10</v>
      </c>
      <c r="O252" s="610">
        <f>Table1[[#This Row],[سنوات الخدمه]]*1+Table1[[#This Row],[الشهور اقل من سنه]]*0.08</f>
        <v>1.8</v>
      </c>
      <c r="P252" s="616">
        <v>3000</v>
      </c>
      <c r="Q252" s="617">
        <v>48</v>
      </c>
      <c r="R252" s="612"/>
      <c r="S252" s="599"/>
      <c r="T252" s="612"/>
      <c r="U252" s="612"/>
      <c r="V252" s="612"/>
      <c r="W252" s="612"/>
      <c r="X252" s="612"/>
      <c r="Y252" s="612"/>
      <c r="Z252" s="612"/>
      <c r="AA25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2" s="612"/>
      <c r="AC252" s="599"/>
      <c r="AD252" s="612"/>
      <c r="AE252" s="612"/>
      <c r="AF252" s="612"/>
      <c r="AG252" s="612"/>
      <c r="AH252" s="619">
        <f>SUM(Table1[[#This Row],[التقييد  باللوائح و تنفيذالتوجيه]:[اتباع اجراءات السلامه]])</f>
        <v>0</v>
      </c>
      <c r="AI252" s="619">
        <f>Table1[[#This Row],[المجموع]]+Table1[[#This Row],[المجموع2]]</f>
        <v>0</v>
      </c>
      <c r="AJ252" s="612"/>
      <c r="AK252" s="612"/>
      <c r="AL252" s="612"/>
      <c r="AM252" s="612"/>
      <c r="AN252" s="612"/>
      <c r="AO252" s="606">
        <f>Table1[[#This Row],[المجموع 1+2]]*$AO$2</f>
        <v>0</v>
      </c>
      <c r="AP252" s="648">
        <f>Table1[[#This Row],[راتب ديسمبر 2019]]*Table1[[#This Row],[نسبه التقييم الرئيسي 2018]]%</f>
        <v>0</v>
      </c>
      <c r="AQ252" s="627">
        <f>Table1[[#This Row],[مبلغ التقييم النسبي 2018]]+Table1[[#This Row],[راتب ديسمبر 2019]]</f>
        <v>3000</v>
      </c>
      <c r="AR252" s="10">
        <f>IF(Table1[[#This Row],[Column3]]&lt;0,0,Table1[[#This Row],[Column3]])</f>
        <v>3000</v>
      </c>
      <c r="AS252" s="599">
        <f>VLOOKUP(Table1[[#This Row],[درجه التوسيط]],Table10[],3,)</f>
        <v>6000</v>
      </c>
      <c r="AT252" s="608">
        <f>Table1[[#This Row],[الراتب 2018+النسبه]]+Table1[[#This Row],[فروقات الحد الادني]]</f>
        <v>6000</v>
      </c>
      <c r="AU252" s="629">
        <f>Table1[[#This Row],[الراتب 2018 + النسبه + الفرق]]-Table1[[#This Row],[راتب ديسمبر 2019]]</f>
        <v>3000</v>
      </c>
      <c r="AV252" s="628">
        <f>Table1[[#This Row],[الزياده]]/Table1[[#This Row],[راتب ديسمبر 2019]]%</f>
        <v>100</v>
      </c>
      <c r="AW252" s="659">
        <f>IF(Table1[[#This Row],[Column4]]&lt;0,0,Table1[[#This Row],[Column4]])</f>
        <v>0</v>
      </c>
      <c r="AX252" s="611">
        <f>Table1[[#This Row],[الجبر حتي]]-Table1[[#This Row],[رن]]</f>
        <v>2</v>
      </c>
      <c r="AY252" s="611">
        <f>Table1[[#This Row],[الزياده]]+Table1[[#This Row],[التعديل]]+Table1[[#This Row],[جبر الرقم]]</f>
        <v>3002</v>
      </c>
      <c r="AZ252" s="611">
        <f>Table1[[#This Row],[الراتب 2018 + النسبه + الفرق]]+Table1[[#This Row],[جبر الرقم]]+Table1[[#This Row],[التعديل]]</f>
        <v>6002</v>
      </c>
      <c r="BA252" s="631">
        <f>Table1[[#This Row],[الزياده النهائيه]]/Table1[[#This Row],[راتب ديسمبر 2019]]%</f>
        <v>100.06666666666666</v>
      </c>
      <c r="BB252" s="612">
        <f>VLOOKUP(Table1[[#This Row],[الرقم الوظيفي]],Table6[],8,)</f>
        <v>3000</v>
      </c>
      <c r="BC252" s="7"/>
      <c r="BD252" s="7">
        <v>4550</v>
      </c>
      <c r="BE252" s="7">
        <v>4548</v>
      </c>
      <c r="BF252" s="5">
        <f>Table1[[#This Row],[الحد الادني]]-Table1[[#This Row],[الراتب 2018+النسبه]]</f>
        <v>3000</v>
      </c>
      <c r="BG252" s="5">
        <f>Table1[[#This Row],[التعديل حتي]]-Table1[[#This Row],[kkk]]</f>
        <v>-4548</v>
      </c>
      <c r="BH252" s="5">
        <v>4548</v>
      </c>
      <c r="BI252" s="5"/>
    </row>
    <row r="253" spans="1:61" ht="21" customHeight="1">
      <c r="A253" s="602">
        <v>1044</v>
      </c>
      <c r="B253" s="618" t="str">
        <f>VLOOKUP(Table1[[#This Row],[الرقم الوظيفي]],[1]Sheet2!$1:$1048576,2,)</f>
        <v>خالد الفكى إسماعيل نصر</v>
      </c>
      <c r="C253" s="599" t="str">
        <f>VLOOKUP(Table1[[#This Row],[الرقم الوظيفي]],[1]Sheet2!$1:$1048576,7,)</f>
        <v>المصنع</v>
      </c>
      <c r="D253" s="599" t="str">
        <f>VLOOKUP(Table1[[#This Row],[الرقم الوظيفي]],[1]Sheet2!$1:$1048576,8,)</f>
        <v>الانتاج</v>
      </c>
      <c r="E253" s="599">
        <f>VLOOKUP(Table1[[#This Row],[الرقم الوظيفي]],[1]Sheet2!$1:$1048576,9,)</f>
        <v>0</v>
      </c>
      <c r="F253" s="599" t="str">
        <f>VLOOKUP(Table1[[#This Row],[الرقم الوظيفي]],[1]Sheet2!$1:$1048576,12,)</f>
        <v>عامل</v>
      </c>
      <c r="G253" s="599" t="str">
        <f>VLOOKUP(Table1[[#This Row],[الرقم الوظيفي]],[1]Sheet2!$1:$1048576,72,)</f>
        <v>بكلاريوس الشرف</v>
      </c>
      <c r="H253" s="599" t="str">
        <f>VLOOKUP(Table1[[#This Row],[الرقم الوظيفي]],[1]Sheet2!$1:$1048576,71,)</f>
        <v>محاسبة</v>
      </c>
      <c r="I253" s="599" t="str">
        <f>VLOOKUP(Table1[[#This Row],[المؤهل الرئيسي]],Table4[],3,)</f>
        <v>C</v>
      </c>
      <c r="J253" s="599" t="s">
        <v>929</v>
      </c>
      <c r="K253" s="615">
        <f>VLOOKUP(Table1[[#This Row],[الرقم الوظيفي]],[1]Sheet2!$1:$1048576,13,)</f>
        <v>43150</v>
      </c>
      <c r="L253" s="615">
        <v>43830</v>
      </c>
      <c r="M253" s="599">
        <f>DATEDIF(Table1[[#This Row],[تاريخ التعيين]],Table1[[#This Row],[اخر العام]],"y")</f>
        <v>1</v>
      </c>
      <c r="N253" s="599">
        <f>DATEDIF(Table1[[#This Row],[تاريخ التعيين]],Table1[[#This Row],[اخر العام]],"ym")</f>
        <v>10</v>
      </c>
      <c r="O253" s="610">
        <f>Table1[[#This Row],[سنوات الخدمه]]*1+Table1[[#This Row],[الشهور اقل من سنه]]*0.08</f>
        <v>1.8</v>
      </c>
      <c r="P253" s="616">
        <v>3000</v>
      </c>
      <c r="Q253" s="617">
        <v>48</v>
      </c>
      <c r="R253" s="612"/>
      <c r="S253" s="599"/>
      <c r="T253" s="612"/>
      <c r="U253" s="612"/>
      <c r="V253" s="612"/>
      <c r="W253" s="612"/>
      <c r="X253" s="612"/>
      <c r="Y253" s="612"/>
      <c r="Z253" s="612"/>
      <c r="AA25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3" s="612"/>
      <c r="AC253" s="599"/>
      <c r="AD253" s="612"/>
      <c r="AE253" s="612"/>
      <c r="AF253" s="612"/>
      <c r="AG253" s="612"/>
      <c r="AH253" s="619">
        <f>SUM(Table1[[#This Row],[التقييد  باللوائح و تنفيذالتوجيه]:[اتباع اجراءات السلامه]])</f>
        <v>0</v>
      </c>
      <c r="AI253" s="619">
        <f>Table1[[#This Row],[المجموع]]+Table1[[#This Row],[المجموع2]]</f>
        <v>0</v>
      </c>
      <c r="AJ253" s="612"/>
      <c r="AK253" s="612"/>
      <c r="AL253" s="612"/>
      <c r="AM253" s="612"/>
      <c r="AN253" s="612"/>
      <c r="AO253" s="606">
        <f>Table1[[#This Row],[المجموع 1+2]]*$AO$2</f>
        <v>0</v>
      </c>
      <c r="AP253" s="648">
        <f>Table1[[#This Row],[راتب ديسمبر 2019]]*Table1[[#This Row],[نسبه التقييم الرئيسي 2018]]%</f>
        <v>0</v>
      </c>
      <c r="AQ253" s="627">
        <f>Table1[[#This Row],[مبلغ التقييم النسبي 2018]]+Table1[[#This Row],[راتب ديسمبر 2019]]</f>
        <v>3000</v>
      </c>
      <c r="AR253" s="10">
        <f>IF(Table1[[#This Row],[Column3]]&lt;0,0,Table1[[#This Row],[Column3]])</f>
        <v>3000</v>
      </c>
      <c r="AS253" s="599">
        <f>VLOOKUP(Table1[[#This Row],[درجه التوسيط]],Table10[],3,)</f>
        <v>6000</v>
      </c>
      <c r="AT253" s="608">
        <f>Table1[[#This Row],[الراتب 2018+النسبه]]+Table1[[#This Row],[فروقات الحد الادني]]</f>
        <v>6000</v>
      </c>
      <c r="AU253" s="629">
        <f>Table1[[#This Row],[الراتب 2018 + النسبه + الفرق]]-Table1[[#This Row],[راتب ديسمبر 2019]]</f>
        <v>3000</v>
      </c>
      <c r="AV253" s="628">
        <f>Table1[[#This Row],[الزياده]]/Table1[[#This Row],[راتب ديسمبر 2019]]%</f>
        <v>100</v>
      </c>
      <c r="AW253" s="659">
        <f>IF(Table1[[#This Row],[Column4]]&lt;0,0,Table1[[#This Row],[Column4]])</f>
        <v>0</v>
      </c>
      <c r="AX253" s="611">
        <f>Table1[[#This Row],[الجبر حتي]]-Table1[[#This Row],[رن]]</f>
        <v>4</v>
      </c>
      <c r="AY253" s="611">
        <f>Table1[[#This Row],[الزياده]]+Table1[[#This Row],[التعديل]]+Table1[[#This Row],[جبر الرقم]]</f>
        <v>3004</v>
      </c>
      <c r="AZ253" s="611">
        <f>Table1[[#This Row],[الراتب 2018 + النسبه + الفرق]]+Table1[[#This Row],[جبر الرقم]]+Table1[[#This Row],[التعديل]]</f>
        <v>6004</v>
      </c>
      <c r="BA253" s="631">
        <f>Table1[[#This Row],[الزياده النهائيه]]/Table1[[#This Row],[راتب ديسمبر 2019]]%</f>
        <v>100.13333333333334</v>
      </c>
      <c r="BB253" s="612">
        <f>VLOOKUP(Table1[[#This Row],[الرقم الوظيفي]],Table6[],8,)</f>
        <v>3000</v>
      </c>
      <c r="BC253" s="7"/>
      <c r="BD253" s="7">
        <v>4570</v>
      </c>
      <c r="BE253" s="7">
        <v>4566</v>
      </c>
      <c r="BF253" s="5">
        <f>Table1[[#This Row],[الحد الادني]]-Table1[[#This Row],[الراتب 2018+النسبه]]</f>
        <v>3000</v>
      </c>
      <c r="BG253" s="5">
        <f>Table1[[#This Row],[التعديل حتي]]-Table1[[#This Row],[kkk]]</f>
        <v>-4566</v>
      </c>
      <c r="BH253" s="5">
        <v>4566</v>
      </c>
      <c r="BI253" s="5"/>
    </row>
    <row r="254" spans="1:61" ht="21" customHeight="1">
      <c r="A254" s="602">
        <v>1045</v>
      </c>
      <c r="B254" s="618" t="str">
        <f>VLOOKUP(Table1[[#This Row],[الرقم الوظيفي]],[1]Sheet2!$1:$1048576,2,)</f>
        <v>صلاح الدين الطاهر محمد النور</v>
      </c>
      <c r="C254" s="599" t="str">
        <f>VLOOKUP(Table1[[#This Row],[الرقم الوظيفي]],[1]Sheet2!$1:$1048576,7,)</f>
        <v>المصنع</v>
      </c>
      <c r="D254" s="599" t="str">
        <f>VLOOKUP(Table1[[#This Row],[الرقم الوظيفي]],[1]Sheet2!$1:$1048576,8,)</f>
        <v>الانتاج</v>
      </c>
      <c r="E254" s="599">
        <f>VLOOKUP(Table1[[#This Row],[الرقم الوظيفي]],[1]Sheet2!$1:$1048576,9,)</f>
        <v>0</v>
      </c>
      <c r="F254" s="599" t="str">
        <f>VLOOKUP(Table1[[#This Row],[الرقم الوظيفي]],[1]Sheet2!$1:$1048576,12,)</f>
        <v>عامل</v>
      </c>
      <c r="G254" s="599">
        <f>VLOOKUP(Table1[[#This Row],[الرقم الوظيفي]],[1]Sheet2!$1:$1048576,72,)</f>
        <v>0</v>
      </c>
      <c r="H254" s="599">
        <f>VLOOKUP(Table1[[#This Row],[الرقم الوظيفي]],[1]Sheet2!$1:$1048576,71,)</f>
        <v>0</v>
      </c>
      <c r="I254" s="599" t="str">
        <f>VLOOKUP(Table1[[#This Row],[المؤهل الرئيسي]],Table4[],3,)</f>
        <v>H</v>
      </c>
      <c r="J254" s="599" t="s">
        <v>929</v>
      </c>
      <c r="K254" s="615">
        <f>VLOOKUP(Table1[[#This Row],[الرقم الوظيفي]],[1]Sheet2!$1:$1048576,13,)</f>
        <v>43150</v>
      </c>
      <c r="L254" s="615">
        <v>43830</v>
      </c>
      <c r="M254" s="599">
        <f>DATEDIF(Table1[[#This Row],[تاريخ التعيين]],Table1[[#This Row],[اخر العام]],"y")</f>
        <v>1</v>
      </c>
      <c r="N254" s="599">
        <f>DATEDIF(Table1[[#This Row],[تاريخ التعيين]],Table1[[#This Row],[اخر العام]],"ym")</f>
        <v>10</v>
      </c>
      <c r="O254" s="610">
        <f>Table1[[#This Row],[سنوات الخدمه]]*1+Table1[[#This Row],[الشهور اقل من سنه]]*0.08</f>
        <v>1.8</v>
      </c>
      <c r="P254" s="616">
        <v>3000</v>
      </c>
      <c r="Q254" s="617">
        <v>48</v>
      </c>
      <c r="R254" s="612"/>
      <c r="S254" s="599"/>
      <c r="T254" s="612"/>
      <c r="U254" s="612"/>
      <c r="V254" s="612"/>
      <c r="W254" s="612"/>
      <c r="X254" s="612"/>
      <c r="Y254" s="612"/>
      <c r="Z254" s="612"/>
      <c r="AA25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4" s="612"/>
      <c r="AC254" s="599"/>
      <c r="AD254" s="612"/>
      <c r="AE254" s="612"/>
      <c r="AF254" s="612"/>
      <c r="AG254" s="612"/>
      <c r="AH254" s="619">
        <f>SUM(Table1[[#This Row],[التقييد  باللوائح و تنفيذالتوجيه]:[اتباع اجراءات السلامه]])</f>
        <v>0</v>
      </c>
      <c r="AI254" s="619">
        <f>Table1[[#This Row],[المجموع]]+Table1[[#This Row],[المجموع2]]</f>
        <v>0</v>
      </c>
      <c r="AJ254" s="612"/>
      <c r="AK254" s="612"/>
      <c r="AL254" s="612"/>
      <c r="AM254" s="612"/>
      <c r="AN254" s="612"/>
      <c r="AO254" s="606">
        <f>Table1[[#This Row],[المجموع 1+2]]*$AO$2</f>
        <v>0</v>
      </c>
      <c r="AP254" s="648">
        <f>Table1[[#This Row],[راتب ديسمبر 2019]]*Table1[[#This Row],[نسبه التقييم الرئيسي 2018]]%</f>
        <v>0</v>
      </c>
      <c r="AQ254" s="627">
        <f>Table1[[#This Row],[مبلغ التقييم النسبي 2018]]+Table1[[#This Row],[راتب ديسمبر 2019]]</f>
        <v>3000</v>
      </c>
      <c r="AR254" s="10">
        <f>IF(Table1[[#This Row],[Column3]]&lt;0,0,Table1[[#This Row],[Column3]])</f>
        <v>3000</v>
      </c>
      <c r="AS254" s="599">
        <f>VLOOKUP(Table1[[#This Row],[درجه التوسيط]],Table10[],3,)</f>
        <v>6000</v>
      </c>
      <c r="AT254" s="608">
        <f>Table1[[#This Row],[الراتب 2018+النسبه]]+Table1[[#This Row],[فروقات الحد الادني]]</f>
        <v>6000</v>
      </c>
      <c r="AU254" s="629">
        <f>Table1[[#This Row],[الراتب 2018 + النسبه + الفرق]]-Table1[[#This Row],[راتب ديسمبر 2019]]</f>
        <v>3000</v>
      </c>
      <c r="AV254" s="628">
        <f>Table1[[#This Row],[الزياده]]/Table1[[#This Row],[راتب ديسمبر 2019]]%</f>
        <v>100</v>
      </c>
      <c r="AW254" s="659">
        <f>IF(Table1[[#This Row],[Column4]]&lt;0,0,Table1[[#This Row],[Column4]])</f>
        <v>0</v>
      </c>
      <c r="AX254" s="611">
        <f>Table1[[#This Row],[الجبر حتي]]-Table1[[#This Row],[رن]]</f>
        <v>0</v>
      </c>
      <c r="AY254" s="611">
        <f>Table1[[#This Row],[الزياده]]+Table1[[#This Row],[التعديل]]+Table1[[#This Row],[جبر الرقم]]</f>
        <v>3000</v>
      </c>
      <c r="AZ254" s="611">
        <f>Table1[[#This Row],[الراتب 2018 + النسبه + الفرق]]+Table1[[#This Row],[جبر الرقم]]+Table1[[#This Row],[التعديل]]</f>
        <v>6000</v>
      </c>
      <c r="BA254" s="631">
        <f>Table1[[#This Row],[الزياده النهائيه]]/Table1[[#This Row],[راتب ديسمبر 2019]]%</f>
        <v>100</v>
      </c>
      <c r="BB254" s="612">
        <f>VLOOKUP(Table1[[#This Row],[الرقم الوظيفي]],Table6[],8,)</f>
        <v>3000</v>
      </c>
      <c r="BC254" s="7"/>
      <c r="BD254" s="7">
        <v>4620</v>
      </c>
      <c r="BE254" s="7">
        <v>4620</v>
      </c>
      <c r="BF254" s="5">
        <f>Table1[[#This Row],[الحد الادني]]-Table1[[#This Row],[الراتب 2018+النسبه]]</f>
        <v>3000</v>
      </c>
      <c r="BG254" s="5">
        <f>Table1[[#This Row],[التعديل حتي]]-Table1[[#This Row],[kkk]]</f>
        <v>-4620</v>
      </c>
      <c r="BH254" s="5">
        <v>4620</v>
      </c>
      <c r="BI254" s="5"/>
    </row>
    <row r="255" spans="1:61" ht="21" customHeight="1">
      <c r="A255" s="602">
        <v>1047</v>
      </c>
      <c r="B255" s="618" t="str">
        <f>VLOOKUP(Table1[[#This Row],[الرقم الوظيفي]],[1]Sheet2!$1:$1048576,2,)</f>
        <v>عصام الدين إسماعيل زين العابدين عباس</v>
      </c>
      <c r="C255" s="599" t="str">
        <f>VLOOKUP(Table1[[#This Row],[الرقم الوظيفي]],[1]Sheet2!$1:$1048576,7,)</f>
        <v>المصنع</v>
      </c>
      <c r="D255" s="599" t="str">
        <f>VLOOKUP(Table1[[#This Row],[الرقم الوظيفي]],[1]Sheet2!$1:$1048576,8,)</f>
        <v>الكهرباء</v>
      </c>
      <c r="E255" s="599">
        <f>VLOOKUP(Table1[[#This Row],[الرقم الوظيفي]],[1]Sheet2!$1:$1048576,9,)</f>
        <v>0</v>
      </c>
      <c r="F255" s="599" t="str">
        <f>VLOOKUP(Table1[[#This Row],[الرقم الوظيفي]],[1]Sheet2!$1:$1048576,12,)</f>
        <v>فنى تبريد وتكييف</v>
      </c>
      <c r="G255" s="599" t="str">
        <f>VLOOKUP(Table1[[#This Row],[الرقم الوظيفي]],[1]Sheet2!$1:$1048576,72,)</f>
        <v>تدريب مهني</v>
      </c>
      <c r="H255" s="599" t="str">
        <f>VLOOKUP(Table1[[#This Row],[الرقم الوظيفي]],[1]Sheet2!$1:$1048576,71,)</f>
        <v>تبريد وتكييف</v>
      </c>
      <c r="I255" s="599" t="str">
        <f>VLOOKUP(Table1[[#This Row],[المؤهل الرئيسي]],Table4[],3,)</f>
        <v>F</v>
      </c>
      <c r="J255" s="599" t="s">
        <v>42</v>
      </c>
      <c r="K255" s="615">
        <f>VLOOKUP(Table1[[#This Row],[الرقم الوظيفي]],[1]Sheet2!$1:$1048576,13,)</f>
        <v>43152</v>
      </c>
      <c r="L255" s="615">
        <v>43830</v>
      </c>
      <c r="M255" s="599">
        <f>DATEDIF(Table1[[#This Row],[تاريخ التعيين]],Table1[[#This Row],[اخر العام]],"y")</f>
        <v>1</v>
      </c>
      <c r="N255" s="599">
        <f>DATEDIF(Table1[[#This Row],[تاريخ التعيين]],Table1[[#This Row],[اخر العام]],"ym")</f>
        <v>10</v>
      </c>
      <c r="O255" s="610">
        <f>Table1[[#This Row],[سنوات الخدمه]]*1+Table1[[#This Row],[الشهور اقل من سنه]]*0.08</f>
        <v>1.8</v>
      </c>
      <c r="P255" s="616">
        <v>4000</v>
      </c>
      <c r="Q255" s="617">
        <v>64</v>
      </c>
      <c r="R255" s="612"/>
      <c r="S255" s="599"/>
      <c r="T255" s="612"/>
      <c r="U255" s="612"/>
      <c r="V255" s="612"/>
      <c r="W255" s="612"/>
      <c r="X255" s="612"/>
      <c r="Y255" s="612"/>
      <c r="Z255" s="612"/>
      <c r="AA25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5" s="612"/>
      <c r="AC255" s="599"/>
      <c r="AD255" s="612"/>
      <c r="AE255" s="612"/>
      <c r="AF255" s="612"/>
      <c r="AG255" s="612"/>
      <c r="AH255" s="619">
        <f>SUM(Table1[[#This Row],[التقييد  باللوائح و تنفيذالتوجيه]:[اتباع اجراءات السلامه]])</f>
        <v>0</v>
      </c>
      <c r="AI255" s="619">
        <f>Table1[[#This Row],[المجموع]]+Table1[[#This Row],[المجموع2]]</f>
        <v>0</v>
      </c>
      <c r="AJ255" s="612">
        <v>10</v>
      </c>
      <c r="AK255" s="612"/>
      <c r="AL255" s="612"/>
      <c r="AM255" s="612"/>
      <c r="AN255" s="612"/>
      <c r="AO255" s="606">
        <f>Table1[[#This Row],[المجموع 1+2]]*$AO$2</f>
        <v>0</v>
      </c>
      <c r="AP255" s="648">
        <f>Table1[[#This Row],[راتب ديسمبر 2019]]*Table1[[#This Row],[نسبه التقييم الرئيسي 2018]]%</f>
        <v>0</v>
      </c>
      <c r="AQ255" s="627">
        <f>Table1[[#This Row],[مبلغ التقييم النسبي 2018]]+Table1[[#This Row],[راتب ديسمبر 2019]]</f>
        <v>4000</v>
      </c>
      <c r="AR255" s="10">
        <f>IF(Table1[[#This Row],[Column3]]&lt;0,0,Table1[[#This Row],[Column3]])</f>
        <v>1000</v>
      </c>
      <c r="AS255" s="599">
        <f>VLOOKUP(Table1[[#This Row],[درجه التوسيط]],Table10[],3,)</f>
        <v>5000</v>
      </c>
      <c r="AT255" s="608">
        <f>Table1[[#This Row],[الراتب 2018+النسبه]]+Table1[[#This Row],[فروقات الحد الادني]]</f>
        <v>5000</v>
      </c>
      <c r="AU255" s="629">
        <f>Table1[[#This Row],[الراتب 2018 + النسبه + الفرق]]-Table1[[#This Row],[راتب ديسمبر 2019]]</f>
        <v>1000</v>
      </c>
      <c r="AV255" s="628">
        <f>Table1[[#This Row],[الزياده]]/Table1[[#This Row],[راتب ديسمبر 2019]]%</f>
        <v>25</v>
      </c>
      <c r="AW255" s="659">
        <f>IF(Table1[[#This Row],[Column4]]&lt;0,0,Table1[[#This Row],[Column4]])</f>
        <v>0</v>
      </c>
      <c r="AX255" s="611">
        <f>Table1[[#This Row],[الجبر حتي]]-Table1[[#This Row],[رن]]</f>
        <v>6</v>
      </c>
      <c r="AY255" s="611">
        <f>Table1[[#This Row],[الزياده]]+Table1[[#This Row],[التعديل]]+Table1[[#This Row],[جبر الرقم]]</f>
        <v>1006</v>
      </c>
      <c r="AZ255" s="611">
        <f>Table1[[#This Row],[الراتب 2018 + النسبه + الفرق]]+Table1[[#This Row],[جبر الرقم]]+Table1[[#This Row],[التعديل]]</f>
        <v>5006</v>
      </c>
      <c r="BA255" s="631">
        <f>Table1[[#This Row],[الزياده النهائيه]]/Table1[[#This Row],[راتب ديسمبر 2019]]%</f>
        <v>25.15</v>
      </c>
      <c r="BB255" s="612">
        <f>VLOOKUP(Table1[[#This Row],[الرقم الوظيفي]],Table6[],8,)</f>
        <v>4000</v>
      </c>
      <c r="BC255" s="7"/>
      <c r="BD255" s="7">
        <v>5350</v>
      </c>
      <c r="BE255" s="7">
        <v>5344</v>
      </c>
      <c r="BF255" s="5">
        <f>Table1[[#This Row],[الحد الادني]]-Table1[[#This Row],[الراتب 2018+النسبه]]</f>
        <v>1000</v>
      </c>
      <c r="BG255" s="5">
        <f>Table1[[#This Row],[التعديل حتي]]-Table1[[#This Row],[kkk]]</f>
        <v>-5344</v>
      </c>
      <c r="BH255" s="5">
        <v>5344</v>
      </c>
      <c r="BI255" s="5"/>
    </row>
    <row r="256" spans="1:61" ht="21" customHeight="1">
      <c r="A256" s="602">
        <v>1048</v>
      </c>
      <c r="B256" s="618" t="str">
        <f>VLOOKUP(Table1[[#This Row],[الرقم الوظيفي]],[1]Sheet2!$1:$1048576,2,)</f>
        <v>مياده الرشيد عبدالعزيز احمد</v>
      </c>
      <c r="C256" s="599" t="str">
        <f>VLOOKUP(Table1[[#This Row],[الرقم الوظيفي]],[1]Sheet2!$1:$1048576,7,)</f>
        <v>الرئاسه</v>
      </c>
      <c r="D256" s="599">
        <f>VLOOKUP(Table1[[#This Row],[الرقم الوظيفي]],[1]Sheet2!$1:$1048576,8,)</f>
        <v>0</v>
      </c>
      <c r="E256" s="599">
        <f>VLOOKUP(Table1[[#This Row],[الرقم الوظيفي]],[1]Sheet2!$1:$1048576,9,)</f>
        <v>0</v>
      </c>
      <c r="F256" s="599" t="str">
        <f>VLOOKUP(Table1[[#This Row],[الرقم الوظيفي]],[1]Sheet2!$1:$1048576,12,)</f>
        <v>موظف قسم تجارى</v>
      </c>
      <c r="G256" s="599" t="str">
        <f>VLOOKUP(Table1[[#This Row],[الرقم الوظيفي]],[1]Sheet2!$1:$1048576,72,)</f>
        <v>ماجستير</v>
      </c>
      <c r="H256" s="599" t="str">
        <f>VLOOKUP(Table1[[#This Row],[الرقم الوظيفي]],[1]Sheet2!$1:$1048576,71,)</f>
        <v>إدارة الاعمال</v>
      </c>
      <c r="I256" s="599" t="str">
        <f>VLOOKUP(Table1[[#This Row],[المؤهل الرئيسي]],Table4[],3,)</f>
        <v>B</v>
      </c>
      <c r="J256" s="599" t="s">
        <v>922</v>
      </c>
      <c r="K256" s="615">
        <f>VLOOKUP(Table1[[#This Row],[الرقم الوظيفي]],[1]Sheet2!$1:$1048576,13,)</f>
        <v>43160</v>
      </c>
      <c r="L256" s="615">
        <v>43830</v>
      </c>
      <c r="M256" s="599">
        <f>DATEDIF(Table1[[#This Row],[تاريخ التعيين]],Table1[[#This Row],[اخر العام]],"y")</f>
        <v>1</v>
      </c>
      <c r="N256" s="599">
        <f>DATEDIF(Table1[[#This Row],[تاريخ التعيين]],Table1[[#This Row],[اخر العام]],"ym")</f>
        <v>9</v>
      </c>
      <c r="O256" s="610">
        <f>Table1[[#This Row],[سنوات الخدمه]]*1+Table1[[#This Row],[الشهور اقل من سنه]]*0.08</f>
        <v>1.72</v>
      </c>
      <c r="P256" s="616">
        <v>5000</v>
      </c>
      <c r="Q256" s="617">
        <v>72</v>
      </c>
      <c r="R256" s="612"/>
      <c r="S256" s="599"/>
      <c r="T256" s="612"/>
      <c r="U256" s="612"/>
      <c r="V256" s="612"/>
      <c r="W256" s="612"/>
      <c r="X256" s="612"/>
      <c r="Y256" s="612"/>
      <c r="Z256" s="612"/>
      <c r="AA25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6" s="612"/>
      <c r="AC256" s="599"/>
      <c r="AD256" s="612"/>
      <c r="AE256" s="612"/>
      <c r="AF256" s="612"/>
      <c r="AG256" s="612"/>
      <c r="AH256" s="619">
        <f>SUM(Table1[[#This Row],[التقييد  باللوائح و تنفيذالتوجيه]:[اتباع اجراءات السلامه]])</f>
        <v>0</v>
      </c>
      <c r="AI256" s="619">
        <f>Table1[[#This Row],[المجموع]]+Table1[[#This Row],[المجموع2]]</f>
        <v>0</v>
      </c>
      <c r="AJ256" s="612">
        <v>9</v>
      </c>
      <c r="AK256" s="612"/>
      <c r="AL256" s="612"/>
      <c r="AM256" s="612">
        <v>6</v>
      </c>
      <c r="AN256" s="612"/>
      <c r="AO256" s="606">
        <f>Table1[[#This Row],[المجموع 1+2]]*$AO$2</f>
        <v>0</v>
      </c>
      <c r="AP256" s="648">
        <f>Table1[[#This Row],[راتب ديسمبر 2019]]*Table1[[#This Row],[نسبه التقييم الرئيسي 2018]]%</f>
        <v>0</v>
      </c>
      <c r="AQ256" s="627">
        <f>Table1[[#This Row],[مبلغ التقييم النسبي 2018]]+Table1[[#This Row],[راتب ديسمبر 2019]]</f>
        <v>5000</v>
      </c>
      <c r="AR256" s="10">
        <f>IF(Table1[[#This Row],[Column3]]&lt;0,0,Table1[[#This Row],[Column3]])</f>
        <v>6000</v>
      </c>
      <c r="AS256" s="599">
        <f>VLOOKUP(Table1[[#This Row],[درجه التوسيط]],Table10[],3,)</f>
        <v>11000</v>
      </c>
      <c r="AT256" s="608">
        <f>Table1[[#This Row],[الراتب 2018+النسبه]]+Table1[[#This Row],[فروقات الحد الادني]]</f>
        <v>11000</v>
      </c>
      <c r="AU256" s="629">
        <f>Table1[[#This Row],[الراتب 2018 + النسبه + الفرق]]-Table1[[#This Row],[راتب ديسمبر 2019]]</f>
        <v>6000</v>
      </c>
      <c r="AV256" s="628">
        <f>Table1[[#This Row],[الزياده]]/Table1[[#This Row],[راتب ديسمبر 2019]]%</f>
        <v>120</v>
      </c>
      <c r="AW256" s="659">
        <f>IF(Table1[[#This Row],[Column4]]&lt;0,0,Table1[[#This Row],[Column4]])</f>
        <v>0</v>
      </c>
      <c r="AX256" s="611">
        <f>Table1[[#This Row],[الجبر حتي]]-Table1[[#This Row],[رن]]</f>
        <v>0</v>
      </c>
      <c r="AY256" s="611">
        <f>Table1[[#This Row],[الزياده]]+Table1[[#This Row],[التعديل]]+Table1[[#This Row],[جبر الرقم]]</f>
        <v>6000</v>
      </c>
      <c r="AZ256" s="611">
        <f>Table1[[#This Row],[الراتب 2018 + النسبه + الفرق]]+Table1[[#This Row],[جبر الرقم]]+Table1[[#This Row],[التعديل]]</f>
        <v>11000</v>
      </c>
      <c r="BA256" s="631">
        <f>Table1[[#This Row],[الزياده النهائيه]]/Table1[[#This Row],[راتب ديسمبر 2019]]%</f>
        <v>120</v>
      </c>
      <c r="BB256" s="612">
        <f>VLOOKUP(Table1[[#This Row],[الرقم الوظيفي]],Table6[],8,)</f>
        <v>5000</v>
      </c>
      <c r="BC256" s="7"/>
      <c r="BD256" s="7">
        <v>7790</v>
      </c>
      <c r="BE256" s="7">
        <v>7790</v>
      </c>
      <c r="BF256" s="5">
        <f>Table1[[#This Row],[الحد الادني]]-Table1[[#This Row],[الراتب 2018+النسبه]]</f>
        <v>6000</v>
      </c>
      <c r="BG256" s="5">
        <f>Table1[[#This Row],[التعديل حتي]]-Table1[[#This Row],[kkk]]</f>
        <v>-7790</v>
      </c>
      <c r="BH256" s="5">
        <v>7790</v>
      </c>
      <c r="BI256" s="5"/>
    </row>
    <row r="257" spans="1:61" ht="21" customHeight="1">
      <c r="A257" s="602">
        <v>1049</v>
      </c>
      <c r="B257" s="618" t="str">
        <f>VLOOKUP(Table1[[#This Row],[الرقم الوظيفي]],[1]Sheet2!$1:$1048576,2,)</f>
        <v>محمد احمد ادم محمد</v>
      </c>
      <c r="C257" s="599" t="str">
        <f>VLOOKUP(Table1[[#This Row],[الرقم الوظيفي]],[1]Sheet2!$1:$1048576,7,)</f>
        <v>المصنع</v>
      </c>
      <c r="D257" s="599" t="str">
        <f>VLOOKUP(Table1[[#This Row],[الرقم الوظيفي]],[1]Sheet2!$1:$1048576,8,)</f>
        <v>الامن و الحركه</v>
      </c>
      <c r="E257" s="599">
        <f>VLOOKUP(Table1[[#This Row],[الرقم الوظيفي]],[1]Sheet2!$1:$1048576,9,)</f>
        <v>0</v>
      </c>
      <c r="F257" s="599" t="str">
        <f>VLOOKUP(Table1[[#This Row],[الرقم الوظيفي]],[1]Sheet2!$1:$1048576,12,)</f>
        <v>سائق</v>
      </c>
      <c r="G257" s="599" t="str">
        <f>VLOOKUP(Table1[[#This Row],[الرقم الوظيفي]],[1]Sheet2!$1:$1048576,72,)</f>
        <v>شهاده دورة تدريب</v>
      </c>
      <c r="H257" s="599" t="str">
        <f>VLOOKUP(Table1[[#This Row],[الرقم الوظيفي]],[1]Sheet2!$1:$1048576,71,)</f>
        <v xml:space="preserve">صيانة العربات </v>
      </c>
      <c r="I257" s="599" t="str">
        <f>VLOOKUP(Table1[[#This Row],[المؤهل الرئيسي]],Table4[],3,)</f>
        <v>F</v>
      </c>
      <c r="J257" s="599" t="s">
        <v>924</v>
      </c>
      <c r="K257" s="615">
        <f>VLOOKUP(Table1[[#This Row],[الرقم الوظيفي]],[1]Sheet2!$1:$1048576,13,)</f>
        <v>43160</v>
      </c>
      <c r="L257" s="615">
        <v>43830</v>
      </c>
      <c r="M257" s="599">
        <f>DATEDIF(Table1[[#This Row],[تاريخ التعيين]],Table1[[#This Row],[اخر العام]],"y")</f>
        <v>1</v>
      </c>
      <c r="N257" s="599">
        <f>DATEDIF(Table1[[#This Row],[تاريخ التعيين]],Table1[[#This Row],[اخر العام]],"ym")</f>
        <v>9</v>
      </c>
      <c r="O257" s="610">
        <f>Table1[[#This Row],[سنوات الخدمه]]*1+Table1[[#This Row],[الشهور اقل من سنه]]*0.08</f>
        <v>1.72</v>
      </c>
      <c r="P257" s="616">
        <v>4000</v>
      </c>
      <c r="Q257" s="617">
        <v>57.6</v>
      </c>
      <c r="R257" s="612"/>
      <c r="S257" s="599"/>
      <c r="T257" s="612"/>
      <c r="U257" s="612"/>
      <c r="V257" s="612"/>
      <c r="W257" s="612"/>
      <c r="X257" s="612"/>
      <c r="Y257" s="612"/>
      <c r="Z257" s="612"/>
      <c r="AA25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7" s="612"/>
      <c r="AC257" s="599"/>
      <c r="AD257" s="612"/>
      <c r="AE257" s="612"/>
      <c r="AF257" s="612"/>
      <c r="AG257" s="612"/>
      <c r="AH257" s="619">
        <f>SUM(Table1[[#This Row],[التقييد  باللوائح و تنفيذالتوجيه]:[اتباع اجراءات السلامه]])</f>
        <v>0</v>
      </c>
      <c r="AI257" s="619">
        <f>Table1[[#This Row],[المجموع]]+Table1[[#This Row],[المجموع2]]</f>
        <v>0</v>
      </c>
      <c r="AJ257" s="612"/>
      <c r="AK257" s="612"/>
      <c r="AL257" s="612"/>
      <c r="AM257" s="612"/>
      <c r="AN257" s="612"/>
      <c r="AO257" s="606">
        <f>Table1[[#This Row],[المجموع 1+2]]*$AO$2</f>
        <v>0</v>
      </c>
      <c r="AP257" s="648">
        <f>Table1[[#This Row],[راتب ديسمبر 2019]]*Table1[[#This Row],[نسبه التقييم الرئيسي 2018]]%</f>
        <v>0</v>
      </c>
      <c r="AQ257" s="627">
        <f>Table1[[#This Row],[مبلغ التقييم النسبي 2018]]+Table1[[#This Row],[راتب ديسمبر 2019]]</f>
        <v>4000</v>
      </c>
      <c r="AR257" s="10">
        <f>IF(Table1[[#This Row],[Column3]]&lt;0,0,Table1[[#This Row],[Column3]])</f>
        <v>5000</v>
      </c>
      <c r="AS257" s="599">
        <f>VLOOKUP(Table1[[#This Row],[درجه التوسيط]],Table10[],3,)</f>
        <v>9000</v>
      </c>
      <c r="AT257" s="608">
        <f>Table1[[#This Row],[الراتب 2018+النسبه]]+Table1[[#This Row],[فروقات الحد الادني]]</f>
        <v>9000</v>
      </c>
      <c r="AU257" s="629">
        <f>Table1[[#This Row],[الراتب 2018 + النسبه + الفرق]]-Table1[[#This Row],[راتب ديسمبر 2019]]</f>
        <v>5000</v>
      </c>
      <c r="AV257" s="628">
        <f>Table1[[#This Row],[الزياده]]/Table1[[#This Row],[راتب ديسمبر 2019]]%</f>
        <v>125</v>
      </c>
      <c r="AW257" s="659">
        <f>IF(Table1[[#This Row],[Column4]]&lt;0,0,Table1[[#This Row],[Column4]])</f>
        <v>0</v>
      </c>
      <c r="AX257" s="611">
        <f>Table1[[#This Row],[الجبر حتي]]-Table1[[#This Row],[رن]]</f>
        <v>0</v>
      </c>
      <c r="AY257" s="611">
        <f>Table1[[#This Row],[الزياده]]+Table1[[#This Row],[التعديل]]+Table1[[#This Row],[جبر الرقم]]</f>
        <v>5000</v>
      </c>
      <c r="AZ257" s="611">
        <f>Table1[[#This Row],[الراتب 2018 + النسبه + الفرق]]+Table1[[#This Row],[جبر الرقم]]+Table1[[#This Row],[التعديل]]</f>
        <v>9000</v>
      </c>
      <c r="BA257" s="631">
        <f>Table1[[#This Row],[الزياده النهائيه]]/Table1[[#This Row],[راتب ديسمبر 2019]]%</f>
        <v>125</v>
      </c>
      <c r="BB257" s="612">
        <f>VLOOKUP(Table1[[#This Row],[الرقم الوظيفي]],Table6[],8,)</f>
        <v>4000</v>
      </c>
      <c r="BC257" s="7"/>
      <c r="BD257" s="7">
        <v>6280</v>
      </c>
      <c r="BE257" s="7">
        <v>6280</v>
      </c>
      <c r="BF257" s="5">
        <f>Table1[[#This Row],[الحد الادني]]-Table1[[#This Row],[الراتب 2018+النسبه]]</f>
        <v>5000</v>
      </c>
      <c r="BG257" s="5">
        <f>Table1[[#This Row],[التعديل حتي]]-Table1[[#This Row],[kkk]]</f>
        <v>-6280</v>
      </c>
      <c r="BH257" s="5">
        <v>6280</v>
      </c>
      <c r="BI257" s="5"/>
    </row>
    <row r="258" spans="1:61" ht="21" customHeight="1">
      <c r="A258" s="602">
        <v>1050</v>
      </c>
      <c r="B258" s="618" t="str">
        <f>VLOOKUP(Table1[[#This Row],[الرقم الوظيفي]],[1]Sheet2!$1:$1048576,2,)</f>
        <v>بابكر حسن احمد بابكر</v>
      </c>
      <c r="C258" s="599" t="str">
        <f>VLOOKUP(Table1[[#This Row],[الرقم الوظيفي]],[1]Sheet2!$1:$1048576,7,)</f>
        <v>المصنع</v>
      </c>
      <c r="D258" s="599" t="str">
        <f>VLOOKUP(Table1[[#This Row],[الرقم الوظيفي]],[1]Sheet2!$1:$1048576,8,)</f>
        <v>الانتاج</v>
      </c>
      <c r="E258" s="599">
        <f>VLOOKUP(Table1[[#This Row],[الرقم الوظيفي]],[1]Sheet2!$1:$1048576,9,)</f>
        <v>0</v>
      </c>
      <c r="F258" s="599" t="str">
        <f>VLOOKUP(Table1[[#This Row],[الرقم الوظيفي]],[1]Sheet2!$1:$1048576,12,)</f>
        <v>عامل</v>
      </c>
      <c r="G258" s="599">
        <f>VLOOKUP(Table1[[#This Row],[الرقم الوظيفي]],[1]Sheet2!$1:$1048576,72,)</f>
        <v>0</v>
      </c>
      <c r="H258" s="599">
        <f>VLOOKUP(Table1[[#This Row],[الرقم الوظيفي]],[1]Sheet2!$1:$1048576,71,)</f>
        <v>0</v>
      </c>
      <c r="I258" s="599" t="str">
        <f>VLOOKUP(Table1[[#This Row],[المؤهل الرئيسي]],Table4[],3,)</f>
        <v>H</v>
      </c>
      <c r="J258" s="599" t="s">
        <v>929</v>
      </c>
      <c r="K258" s="615">
        <f>VLOOKUP(Table1[[#This Row],[الرقم الوظيفي]],[1]Sheet2!$1:$1048576,13,)</f>
        <v>43160</v>
      </c>
      <c r="L258" s="615">
        <v>43830</v>
      </c>
      <c r="M258" s="599">
        <f>DATEDIF(Table1[[#This Row],[تاريخ التعيين]],Table1[[#This Row],[اخر العام]],"y")</f>
        <v>1</v>
      </c>
      <c r="N258" s="599">
        <f>DATEDIF(Table1[[#This Row],[تاريخ التعيين]],Table1[[#This Row],[اخر العام]],"ym")</f>
        <v>9</v>
      </c>
      <c r="O258" s="610">
        <f>Table1[[#This Row],[سنوات الخدمه]]*1+Table1[[#This Row],[الشهور اقل من سنه]]*0.08</f>
        <v>1.72</v>
      </c>
      <c r="P258" s="616">
        <v>3000</v>
      </c>
      <c r="Q258" s="617">
        <v>43.2</v>
      </c>
      <c r="R258" s="612"/>
      <c r="S258" s="599"/>
      <c r="T258" s="612"/>
      <c r="U258" s="612"/>
      <c r="V258" s="612"/>
      <c r="W258" s="612"/>
      <c r="X258" s="612"/>
      <c r="Y258" s="612"/>
      <c r="Z258" s="612"/>
      <c r="AA25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8" s="612"/>
      <c r="AC258" s="599"/>
      <c r="AD258" s="612"/>
      <c r="AE258" s="612"/>
      <c r="AF258" s="612"/>
      <c r="AG258" s="612"/>
      <c r="AH258" s="619">
        <f>SUM(Table1[[#This Row],[التقييد  باللوائح و تنفيذالتوجيه]:[اتباع اجراءات السلامه]])</f>
        <v>0</v>
      </c>
      <c r="AI258" s="619">
        <f>Table1[[#This Row],[المجموع]]+Table1[[#This Row],[المجموع2]]</f>
        <v>0</v>
      </c>
      <c r="AJ258" s="612"/>
      <c r="AK258" s="612"/>
      <c r="AL258" s="612"/>
      <c r="AM258" s="612"/>
      <c r="AN258" s="612"/>
      <c r="AO258" s="606">
        <f>Table1[[#This Row],[المجموع 1+2]]*$AO$2</f>
        <v>0</v>
      </c>
      <c r="AP258" s="648">
        <f>Table1[[#This Row],[راتب ديسمبر 2019]]*Table1[[#This Row],[نسبه التقييم الرئيسي 2018]]%</f>
        <v>0</v>
      </c>
      <c r="AQ258" s="627">
        <f>Table1[[#This Row],[مبلغ التقييم النسبي 2018]]+Table1[[#This Row],[راتب ديسمبر 2019]]</f>
        <v>3000</v>
      </c>
      <c r="AR258" s="10">
        <f>IF(Table1[[#This Row],[Column3]]&lt;0,0,Table1[[#This Row],[Column3]])</f>
        <v>3000</v>
      </c>
      <c r="AS258" s="599">
        <f>VLOOKUP(Table1[[#This Row],[درجه التوسيط]],Table10[],3,)</f>
        <v>6000</v>
      </c>
      <c r="AT258" s="608">
        <f>Table1[[#This Row],[الراتب 2018+النسبه]]+Table1[[#This Row],[فروقات الحد الادني]]</f>
        <v>6000</v>
      </c>
      <c r="AU258" s="629">
        <f>Table1[[#This Row],[الراتب 2018 + النسبه + الفرق]]-Table1[[#This Row],[راتب ديسمبر 2019]]</f>
        <v>3000</v>
      </c>
      <c r="AV258" s="628">
        <f>Table1[[#This Row],[الزياده]]/Table1[[#This Row],[راتب ديسمبر 2019]]%</f>
        <v>100</v>
      </c>
      <c r="AW258" s="659">
        <f>IF(Table1[[#This Row],[Column4]]&lt;0,0,Table1[[#This Row],[Column4]])</f>
        <v>0</v>
      </c>
      <c r="AX258" s="611">
        <f>Table1[[#This Row],[الجبر حتي]]-Table1[[#This Row],[رن]]</f>
        <v>0</v>
      </c>
      <c r="AY258" s="611">
        <f>Table1[[#This Row],[الزياده]]+Table1[[#This Row],[التعديل]]+Table1[[#This Row],[جبر الرقم]]</f>
        <v>3000</v>
      </c>
      <c r="AZ258" s="611">
        <f>Table1[[#This Row],[الراتب 2018 + النسبه + الفرق]]+Table1[[#This Row],[جبر الرقم]]+Table1[[#This Row],[التعديل]]</f>
        <v>6000</v>
      </c>
      <c r="BA258" s="631">
        <f>Table1[[#This Row],[الزياده النهائيه]]/Table1[[#This Row],[راتب ديسمبر 2019]]%</f>
        <v>100</v>
      </c>
      <c r="BB258" s="612">
        <f>VLOOKUP(Table1[[#This Row],[الرقم الوظيفي]],Table6[],8,)</f>
        <v>3000</v>
      </c>
      <c r="BC258" s="7"/>
      <c r="BD258" s="7">
        <v>4500</v>
      </c>
      <c r="BE258" s="7">
        <v>4500</v>
      </c>
      <c r="BF258" s="5">
        <f>Table1[[#This Row],[الحد الادني]]-Table1[[#This Row],[الراتب 2018+النسبه]]</f>
        <v>3000</v>
      </c>
      <c r="BG258" s="5">
        <f>Table1[[#This Row],[التعديل حتي]]-Table1[[#This Row],[kkk]]</f>
        <v>-4500</v>
      </c>
      <c r="BH258" s="5">
        <v>4500</v>
      </c>
      <c r="BI258" s="5"/>
    </row>
    <row r="259" spans="1:61" ht="21" customHeight="1">
      <c r="A259" s="602">
        <v>1051</v>
      </c>
      <c r="B259" s="618" t="str">
        <f>VLOOKUP(Table1[[#This Row],[الرقم الوظيفي]],[1]Sheet2!$1:$1048576,2,)</f>
        <v>عبدالباقى ابراهيم عبدالله الحاج</v>
      </c>
      <c r="C259" s="599" t="str">
        <f>VLOOKUP(Table1[[#This Row],[الرقم الوظيفي]],[1]Sheet2!$1:$1048576,7,)</f>
        <v>الرئاسه</v>
      </c>
      <c r="D259" s="599">
        <f>VLOOKUP(Table1[[#This Row],[الرقم الوظيفي]],[1]Sheet2!$1:$1048576,8,)</f>
        <v>0</v>
      </c>
      <c r="E259" s="599">
        <f>VLOOKUP(Table1[[#This Row],[الرقم الوظيفي]],[1]Sheet2!$1:$1048576,9,)</f>
        <v>0</v>
      </c>
      <c r="F259" s="599" t="str">
        <f>VLOOKUP(Table1[[#This Row],[الرقم الوظيفي]],[1]Sheet2!$1:$1048576,12,)</f>
        <v>محاسب</v>
      </c>
      <c r="G259" s="599" t="str">
        <f>VLOOKUP(Table1[[#This Row],[الرقم الوظيفي]],[1]Sheet2!$1:$1048576,72,)</f>
        <v>بكلاريوس</v>
      </c>
      <c r="H259" s="599" t="str">
        <f>VLOOKUP(Table1[[#This Row],[الرقم الوظيفي]],[1]Sheet2!$1:$1048576,71,)</f>
        <v>المحاسبة والتمويل</v>
      </c>
      <c r="I259" s="599" t="str">
        <f>VLOOKUP(Table1[[#This Row],[المؤهل الرئيسي]],Table4[],3,)</f>
        <v>C</v>
      </c>
      <c r="J259" s="599" t="s">
        <v>922</v>
      </c>
      <c r="K259" s="615">
        <f>VLOOKUP(Table1[[#This Row],[الرقم الوظيفي]],[1]Sheet2!$1:$1048576,13,)</f>
        <v>43169</v>
      </c>
      <c r="L259" s="615">
        <v>43830</v>
      </c>
      <c r="M259" s="599">
        <f>DATEDIF(Table1[[#This Row],[تاريخ التعيين]],Table1[[#This Row],[اخر العام]],"y")</f>
        <v>1</v>
      </c>
      <c r="N259" s="599">
        <f>DATEDIF(Table1[[#This Row],[تاريخ التعيين]],Table1[[#This Row],[اخر العام]],"ym")</f>
        <v>9</v>
      </c>
      <c r="O259" s="610">
        <f>Table1[[#This Row],[سنوات الخدمه]]*1+Table1[[#This Row],[الشهور اقل من سنه]]*0.08</f>
        <v>1.72</v>
      </c>
      <c r="P259" s="616">
        <v>5000</v>
      </c>
      <c r="Q259" s="617">
        <v>72</v>
      </c>
      <c r="R259" s="612"/>
      <c r="S259" s="599"/>
      <c r="T259" s="612"/>
      <c r="U259" s="612"/>
      <c r="V259" s="612"/>
      <c r="W259" s="612"/>
      <c r="X259" s="612"/>
      <c r="Y259" s="612"/>
      <c r="Z259" s="612"/>
      <c r="AA25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59" s="612"/>
      <c r="AC259" s="599"/>
      <c r="AD259" s="612"/>
      <c r="AE259" s="612"/>
      <c r="AF259" s="612"/>
      <c r="AG259" s="612"/>
      <c r="AH259" s="619">
        <f>SUM(Table1[[#This Row],[التقييد  باللوائح و تنفيذالتوجيه]:[اتباع اجراءات السلامه]])</f>
        <v>0</v>
      </c>
      <c r="AI259" s="619">
        <f>Table1[[#This Row],[المجموع]]+Table1[[#This Row],[المجموع2]]</f>
        <v>0</v>
      </c>
      <c r="AJ259" s="612">
        <v>7</v>
      </c>
      <c r="AK259" s="612"/>
      <c r="AL259" s="612"/>
      <c r="AM259" s="612">
        <v>7</v>
      </c>
      <c r="AN259" s="612"/>
      <c r="AO259" s="606">
        <f>Table1[[#This Row],[المجموع 1+2]]*$AO$2</f>
        <v>0</v>
      </c>
      <c r="AP259" s="648">
        <f>Table1[[#This Row],[راتب ديسمبر 2019]]*Table1[[#This Row],[نسبه التقييم الرئيسي 2018]]%</f>
        <v>0</v>
      </c>
      <c r="AQ259" s="627">
        <f>Table1[[#This Row],[مبلغ التقييم النسبي 2018]]+Table1[[#This Row],[راتب ديسمبر 2019]]</f>
        <v>5000</v>
      </c>
      <c r="AR259" s="10">
        <f>IF(Table1[[#This Row],[Column3]]&lt;0,0,Table1[[#This Row],[Column3]])</f>
        <v>6000</v>
      </c>
      <c r="AS259" s="599">
        <f>VLOOKUP(Table1[[#This Row],[درجه التوسيط]],Table10[],3,)</f>
        <v>11000</v>
      </c>
      <c r="AT259" s="608">
        <f>Table1[[#This Row],[الراتب 2018+النسبه]]+Table1[[#This Row],[فروقات الحد الادني]]</f>
        <v>11000</v>
      </c>
      <c r="AU259" s="629">
        <f>Table1[[#This Row],[الراتب 2018 + النسبه + الفرق]]-Table1[[#This Row],[راتب ديسمبر 2019]]</f>
        <v>6000</v>
      </c>
      <c r="AV259" s="628">
        <f>Table1[[#This Row],[الزياده]]/Table1[[#This Row],[راتب ديسمبر 2019]]%</f>
        <v>120</v>
      </c>
      <c r="AW259" s="659">
        <f>IF(Table1[[#This Row],[Column4]]&lt;0,0,Table1[[#This Row],[Column4]])</f>
        <v>0</v>
      </c>
      <c r="AX259" s="611">
        <f>Table1[[#This Row],[الجبر حتي]]-Table1[[#This Row],[رن]]</f>
        <v>0</v>
      </c>
      <c r="AY259" s="611">
        <f>Table1[[#This Row],[الزياده]]+Table1[[#This Row],[التعديل]]+Table1[[#This Row],[جبر الرقم]]</f>
        <v>6000</v>
      </c>
      <c r="AZ259" s="611">
        <f>Table1[[#This Row],[الراتب 2018 + النسبه + الفرق]]+Table1[[#This Row],[جبر الرقم]]+Table1[[#This Row],[التعديل]]</f>
        <v>11000</v>
      </c>
      <c r="BA259" s="631">
        <f>Table1[[#This Row],[الزياده النهائيه]]/Table1[[#This Row],[راتب ديسمبر 2019]]%</f>
        <v>120</v>
      </c>
      <c r="BB259" s="612">
        <f>VLOOKUP(Table1[[#This Row],[الرقم الوظيفي]],Table6[],8,)</f>
        <v>5000</v>
      </c>
      <c r="BC259" s="7"/>
      <c r="BD259" s="7">
        <v>7700</v>
      </c>
      <c r="BE259" s="7">
        <v>7700</v>
      </c>
      <c r="BF259" s="5">
        <f>Table1[[#This Row],[الحد الادني]]-Table1[[#This Row],[الراتب 2018+النسبه]]</f>
        <v>6000</v>
      </c>
      <c r="BG259" s="5">
        <f>Table1[[#This Row],[التعديل حتي]]-Table1[[#This Row],[kkk]]</f>
        <v>-7700</v>
      </c>
      <c r="BH259" s="5">
        <v>7700</v>
      </c>
      <c r="BI259" s="5"/>
    </row>
    <row r="260" spans="1:61" ht="21" customHeight="1">
      <c r="A260" s="602">
        <v>1053</v>
      </c>
      <c r="B260" s="618" t="str">
        <f>VLOOKUP(Table1[[#This Row],[الرقم الوظيفي]],[1]Sheet2!$1:$1048576,2,)</f>
        <v>نادر خليفه عبدالرحمن حسين</v>
      </c>
      <c r="C260" s="599" t="str">
        <f>VLOOKUP(Table1[[#This Row],[الرقم الوظيفي]],[1]Sheet2!$1:$1048576,7,)</f>
        <v>المصنع</v>
      </c>
      <c r="D260" s="599" t="str">
        <f>VLOOKUP(Table1[[#This Row],[الرقم الوظيفي]],[1]Sheet2!$1:$1048576,8,)</f>
        <v>الانتاج</v>
      </c>
      <c r="E260" s="599" t="str">
        <f>VLOOKUP(Table1[[#This Row],[الرقم الوظيفي]],[1]Sheet2!$1:$1048576,9,)</f>
        <v>الاكسبنده</v>
      </c>
      <c r="F260" s="599" t="str">
        <f>VLOOKUP(Table1[[#This Row],[الرقم الوظيفي]],[1]Sheet2!$1:$1048576,12,)</f>
        <v>مساعد مشغل</v>
      </c>
      <c r="G260" s="599" t="str">
        <f>VLOOKUP(Table1[[#This Row],[الرقم الوظيفي]],[1]Sheet2!$1:$1048576,72,)</f>
        <v>بكلاريوس</v>
      </c>
      <c r="H260" s="599" t="str">
        <f>VLOOKUP(Table1[[#This Row],[الرقم الوظيفي]],[1]Sheet2!$1:$1048576,71,)</f>
        <v>اثار / دراسات إسلامية</v>
      </c>
      <c r="I260" s="599" t="str">
        <f>VLOOKUP(Table1[[#This Row],[المؤهل الرئيسي]],Table4[],3,)</f>
        <v>C</v>
      </c>
      <c r="J260" s="599" t="s">
        <v>929</v>
      </c>
      <c r="K260" s="615">
        <f>VLOOKUP(Table1[[#This Row],[الرقم الوظيفي]],[1]Sheet2!$1:$1048576,13,)</f>
        <v>43191</v>
      </c>
      <c r="L260" s="615">
        <v>43830</v>
      </c>
      <c r="M260" s="599">
        <f>DATEDIF(Table1[[#This Row],[تاريخ التعيين]],Table1[[#This Row],[اخر العام]],"y")</f>
        <v>1</v>
      </c>
      <c r="N260" s="599">
        <f>DATEDIF(Table1[[#This Row],[تاريخ التعيين]],Table1[[#This Row],[اخر العام]],"ym")</f>
        <v>8</v>
      </c>
      <c r="O260" s="610">
        <f>Table1[[#This Row],[سنوات الخدمه]]*1+Table1[[#This Row],[الشهور اقل من سنه]]*0.08</f>
        <v>1.6400000000000001</v>
      </c>
      <c r="P260" s="616">
        <v>3000</v>
      </c>
      <c r="Q260" s="617">
        <v>38.4</v>
      </c>
      <c r="R260" s="612"/>
      <c r="S260" s="599"/>
      <c r="T260" s="612"/>
      <c r="U260" s="612"/>
      <c r="V260" s="612"/>
      <c r="W260" s="612"/>
      <c r="X260" s="612"/>
      <c r="Y260" s="612"/>
      <c r="Z260" s="612"/>
      <c r="AA26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0" s="612"/>
      <c r="AC260" s="599"/>
      <c r="AD260" s="612"/>
      <c r="AE260" s="612"/>
      <c r="AF260" s="612"/>
      <c r="AG260" s="612"/>
      <c r="AH260" s="619">
        <f>SUM(Table1[[#This Row],[التقييد  باللوائح و تنفيذالتوجيه]:[اتباع اجراءات السلامه]])</f>
        <v>0</v>
      </c>
      <c r="AI260" s="619">
        <f>Table1[[#This Row],[المجموع]]+Table1[[#This Row],[المجموع2]]</f>
        <v>0</v>
      </c>
      <c r="AJ260" s="612"/>
      <c r="AK260" s="612"/>
      <c r="AL260" s="612"/>
      <c r="AM260" s="612"/>
      <c r="AN260" s="612"/>
      <c r="AO260" s="606">
        <f>Table1[[#This Row],[المجموع 1+2]]*$AO$2</f>
        <v>0</v>
      </c>
      <c r="AP260" s="648">
        <f>Table1[[#This Row],[راتب ديسمبر 2019]]*Table1[[#This Row],[نسبه التقييم الرئيسي 2018]]%</f>
        <v>0</v>
      </c>
      <c r="AQ260" s="627">
        <f>Table1[[#This Row],[مبلغ التقييم النسبي 2018]]+Table1[[#This Row],[راتب ديسمبر 2019]]</f>
        <v>3000</v>
      </c>
      <c r="AR260" s="10">
        <f>IF(Table1[[#This Row],[Column3]]&lt;0,0,Table1[[#This Row],[Column3]])</f>
        <v>3000</v>
      </c>
      <c r="AS260" s="599">
        <f>VLOOKUP(Table1[[#This Row],[درجه التوسيط]],Table10[],3,)</f>
        <v>6000</v>
      </c>
      <c r="AT260" s="608">
        <f>Table1[[#This Row],[الراتب 2018+النسبه]]+Table1[[#This Row],[فروقات الحد الادني]]</f>
        <v>6000</v>
      </c>
      <c r="AU260" s="629">
        <f>Table1[[#This Row],[الراتب 2018 + النسبه + الفرق]]-Table1[[#This Row],[راتب ديسمبر 2019]]</f>
        <v>3000</v>
      </c>
      <c r="AV260" s="628">
        <f>Table1[[#This Row],[الزياده]]/Table1[[#This Row],[راتب ديسمبر 2019]]%</f>
        <v>100</v>
      </c>
      <c r="AW260" s="659">
        <f>IF(Table1[[#This Row],[Column4]]&lt;0,0,Table1[[#This Row],[Column4]])</f>
        <v>326</v>
      </c>
      <c r="AX260" s="611">
        <f>Table1[[#This Row],[الجبر حتي]]-Table1[[#This Row],[رن]]</f>
        <v>0</v>
      </c>
      <c r="AY260" s="611">
        <f>Table1[[#This Row],[الزياده]]+Table1[[#This Row],[التعديل]]+Table1[[#This Row],[جبر الرقم]]</f>
        <v>3326</v>
      </c>
      <c r="AZ260" s="611">
        <f>Table1[[#This Row],[الراتب 2018 + النسبه + الفرق]]+Table1[[#This Row],[جبر الرقم]]+Table1[[#This Row],[التعديل]]</f>
        <v>6326</v>
      </c>
      <c r="BA260" s="631">
        <f>Table1[[#This Row],[الزياده النهائيه]]/Table1[[#This Row],[راتب ديسمبر 2019]]%</f>
        <v>110.86666666666666</v>
      </c>
      <c r="BB260" s="612">
        <f>VLOOKUP(Table1[[#This Row],[الرقم الوظيفي]],Table6[],8,)</f>
        <v>3000</v>
      </c>
      <c r="BC260" s="7">
        <v>5000</v>
      </c>
      <c r="BD260" s="7">
        <v>5000</v>
      </c>
      <c r="BE260" s="7">
        <v>5000</v>
      </c>
      <c r="BF260" s="5">
        <f>Table1[[#This Row],[الحد الادني]]-Table1[[#This Row],[الراتب 2018+النسبه]]</f>
        <v>3000</v>
      </c>
      <c r="BG260" s="5">
        <f>Table1[[#This Row],[التعديل حتي]]-Table1[[#This Row],[kkk]]</f>
        <v>326</v>
      </c>
      <c r="BH260" s="5">
        <v>4674</v>
      </c>
      <c r="BI260" s="5"/>
    </row>
    <row r="261" spans="1:61" ht="21" customHeight="1">
      <c r="A261" s="602">
        <v>1054</v>
      </c>
      <c r="B261" s="618" t="str">
        <f>VLOOKUP(Table1[[#This Row],[الرقم الوظيفي]],[1]Sheet2!$1:$1048576,2,)</f>
        <v>محمد يحى عثمان ادم</v>
      </c>
      <c r="C261" s="599" t="str">
        <f>VLOOKUP(Table1[[#This Row],[الرقم الوظيفي]],[1]Sheet2!$1:$1048576,7,)</f>
        <v>المصنع</v>
      </c>
      <c r="D261" s="599" t="str">
        <f>VLOOKUP(Table1[[#This Row],[الرقم الوظيفي]],[1]Sheet2!$1:$1048576,8,)</f>
        <v>الانتاج</v>
      </c>
      <c r="E261" s="599" t="str">
        <f>VLOOKUP(Table1[[#This Row],[الرقم الوظيفي]],[1]Sheet2!$1:$1048576,9,)</f>
        <v>الاكسبنده</v>
      </c>
      <c r="F261" s="599" t="str">
        <f>VLOOKUP(Table1[[#This Row],[الرقم الوظيفي]],[1]Sheet2!$1:$1048576,12,)</f>
        <v>مشغل</v>
      </c>
      <c r="G261" s="599">
        <f>VLOOKUP(Table1[[#This Row],[الرقم الوظيفي]],[1]Sheet2!$1:$1048576,72,)</f>
        <v>0</v>
      </c>
      <c r="H261" s="599">
        <f>VLOOKUP(Table1[[#This Row],[الرقم الوظيفي]],[1]Sheet2!$1:$1048576,71,)</f>
        <v>0</v>
      </c>
      <c r="I261" s="599" t="str">
        <f>VLOOKUP(Table1[[#This Row],[المؤهل الرئيسي]],Table4[],3,)</f>
        <v>H</v>
      </c>
      <c r="J261" s="599" t="s">
        <v>922</v>
      </c>
      <c r="K261" s="615">
        <f>VLOOKUP(Table1[[#This Row],[الرقم الوظيفي]],[1]Sheet2!$1:$1048576,13,)</f>
        <v>43205</v>
      </c>
      <c r="L261" s="615">
        <v>43830</v>
      </c>
      <c r="M261" s="599">
        <f>DATEDIF(Table1[[#This Row],[تاريخ التعيين]],Table1[[#This Row],[اخر العام]],"y")</f>
        <v>1</v>
      </c>
      <c r="N261" s="599">
        <f>DATEDIF(Table1[[#This Row],[تاريخ التعيين]],Table1[[#This Row],[اخر العام]],"ym")</f>
        <v>8</v>
      </c>
      <c r="O261" s="610">
        <f>Table1[[#This Row],[سنوات الخدمه]]*1+Table1[[#This Row],[الشهور اقل من سنه]]*0.08</f>
        <v>1.6400000000000001</v>
      </c>
      <c r="P261" s="616">
        <v>4500</v>
      </c>
      <c r="Q261" s="617">
        <v>57.6</v>
      </c>
      <c r="R261" s="612"/>
      <c r="S261" s="599"/>
      <c r="T261" s="612"/>
      <c r="U261" s="612"/>
      <c r="V261" s="612"/>
      <c r="W261" s="612"/>
      <c r="X261" s="612"/>
      <c r="Y261" s="612"/>
      <c r="Z261" s="612"/>
      <c r="AA26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1" s="612"/>
      <c r="AC261" s="599"/>
      <c r="AD261" s="612"/>
      <c r="AE261" s="612"/>
      <c r="AF261" s="612"/>
      <c r="AG261" s="612"/>
      <c r="AH261" s="619">
        <f>SUM(Table1[[#This Row],[التقييد  باللوائح و تنفيذالتوجيه]:[اتباع اجراءات السلامه]])</f>
        <v>0</v>
      </c>
      <c r="AI261" s="619">
        <f>Table1[[#This Row],[المجموع]]+Table1[[#This Row],[المجموع2]]</f>
        <v>0</v>
      </c>
      <c r="AJ261" s="612"/>
      <c r="AK261" s="612"/>
      <c r="AL261" s="612"/>
      <c r="AM261" s="612"/>
      <c r="AN261" s="612"/>
      <c r="AO261" s="606">
        <f>Table1[[#This Row],[المجموع 1+2]]*$AO$2</f>
        <v>0</v>
      </c>
      <c r="AP261" s="648">
        <f>Table1[[#This Row],[راتب ديسمبر 2019]]*Table1[[#This Row],[نسبه التقييم الرئيسي 2018]]%</f>
        <v>0</v>
      </c>
      <c r="AQ261" s="627">
        <f>Table1[[#This Row],[مبلغ التقييم النسبي 2018]]+Table1[[#This Row],[راتب ديسمبر 2019]]</f>
        <v>4500</v>
      </c>
      <c r="AR261" s="10">
        <f>IF(Table1[[#This Row],[Column3]]&lt;0,0,Table1[[#This Row],[Column3]])</f>
        <v>6500</v>
      </c>
      <c r="AS261" s="599">
        <f>VLOOKUP(Table1[[#This Row],[درجه التوسيط]],Table10[],3,)</f>
        <v>11000</v>
      </c>
      <c r="AT261" s="608">
        <f>Table1[[#This Row],[الراتب 2018+النسبه]]+Table1[[#This Row],[فروقات الحد الادني]]</f>
        <v>11000</v>
      </c>
      <c r="AU261" s="629">
        <f>Table1[[#This Row],[الراتب 2018 + النسبه + الفرق]]-Table1[[#This Row],[راتب ديسمبر 2019]]</f>
        <v>6500</v>
      </c>
      <c r="AV261" s="628">
        <f>Table1[[#This Row],[الزياده]]/Table1[[#This Row],[راتب ديسمبر 2019]]%</f>
        <v>144.44444444444446</v>
      </c>
      <c r="AW261" s="659">
        <f>IF(Table1[[#This Row],[Column4]]&lt;0,0,Table1[[#This Row],[Column4]])</f>
        <v>0</v>
      </c>
      <c r="AX261" s="611">
        <f>Table1[[#This Row],[الجبر حتي]]-Table1[[#This Row],[رن]]</f>
        <v>8</v>
      </c>
      <c r="AY261" s="611">
        <f>Table1[[#This Row],[الزياده]]+Table1[[#This Row],[التعديل]]+Table1[[#This Row],[جبر الرقم]]</f>
        <v>6508</v>
      </c>
      <c r="AZ261" s="611">
        <f>Table1[[#This Row],[الراتب 2018 + النسبه + الفرق]]+Table1[[#This Row],[جبر الرقم]]+Table1[[#This Row],[التعديل]]</f>
        <v>11008</v>
      </c>
      <c r="BA261" s="631">
        <f>Table1[[#This Row],[الزياده النهائيه]]/Table1[[#This Row],[راتب ديسمبر 2019]]%</f>
        <v>144.62222222222223</v>
      </c>
      <c r="BB261" s="612">
        <f>VLOOKUP(Table1[[#This Row],[الرقم الوظيفي]],Table6[],8,)</f>
        <v>4500</v>
      </c>
      <c r="BC261" s="7"/>
      <c r="BD261" s="7">
        <v>7100</v>
      </c>
      <c r="BE261" s="7">
        <v>7092</v>
      </c>
      <c r="BF261" s="5">
        <f>Table1[[#This Row],[الحد الادني]]-Table1[[#This Row],[الراتب 2018+النسبه]]</f>
        <v>6500</v>
      </c>
      <c r="BG261" s="5">
        <f>Table1[[#This Row],[التعديل حتي]]-Table1[[#This Row],[kkk]]</f>
        <v>-7092</v>
      </c>
      <c r="BH261" s="5">
        <v>7092</v>
      </c>
      <c r="BI261" s="5"/>
    </row>
    <row r="262" spans="1:61" ht="21" customHeight="1">
      <c r="A262" s="602">
        <v>1058</v>
      </c>
      <c r="B262" s="618" t="str">
        <f>VLOOKUP(Table1[[#This Row],[الرقم الوظيفي]],[1]Sheet2!$1:$1048576,2,)</f>
        <v>محمد طه محمد احمد</v>
      </c>
      <c r="C262" s="599" t="str">
        <f>VLOOKUP(Table1[[#This Row],[الرقم الوظيفي]],[1]Sheet2!$1:$1048576,7,)</f>
        <v>المصنع</v>
      </c>
      <c r="D262" s="599" t="str">
        <f>VLOOKUP(Table1[[#This Row],[الرقم الوظيفي]],[1]Sheet2!$1:$1048576,8,)</f>
        <v>الانتاج</v>
      </c>
      <c r="E262" s="599">
        <f>VLOOKUP(Table1[[#This Row],[الرقم الوظيفي]],[1]Sheet2!$1:$1048576,9,)</f>
        <v>0</v>
      </c>
      <c r="F262" s="599" t="str">
        <f>VLOOKUP(Table1[[#This Row],[الرقم الوظيفي]],[1]Sheet2!$1:$1048576,12,)</f>
        <v>عامل</v>
      </c>
      <c r="G262" s="599" t="str">
        <f>VLOOKUP(Table1[[#This Row],[الرقم الوظيفي]],[1]Sheet2!$1:$1048576,72,)</f>
        <v>دبلوم تقني</v>
      </c>
      <c r="H262" s="599" t="str">
        <f>VLOOKUP(Table1[[#This Row],[الرقم الوظيفي]],[1]Sheet2!$1:$1048576,71,)</f>
        <v>محاسبة</v>
      </c>
      <c r="I262" s="599" t="str">
        <f>VLOOKUP(Table1[[#This Row],[المؤهل الرئيسي]],Table4[],3,)</f>
        <v>D</v>
      </c>
      <c r="J262" s="599" t="s">
        <v>929</v>
      </c>
      <c r="K262" s="615">
        <f>VLOOKUP(Table1[[#This Row],[الرقم الوظيفي]],[1]Sheet2!$1:$1048576,13,)</f>
        <v>43209</v>
      </c>
      <c r="L262" s="615">
        <v>43830</v>
      </c>
      <c r="M262" s="599">
        <f>DATEDIF(Table1[[#This Row],[تاريخ التعيين]],Table1[[#This Row],[اخر العام]],"y")</f>
        <v>1</v>
      </c>
      <c r="N262" s="599">
        <f>DATEDIF(Table1[[#This Row],[تاريخ التعيين]],Table1[[#This Row],[اخر العام]],"ym")</f>
        <v>8</v>
      </c>
      <c r="O262" s="610">
        <f>Table1[[#This Row],[سنوات الخدمه]]*1+Table1[[#This Row],[الشهور اقل من سنه]]*0.08</f>
        <v>1.6400000000000001</v>
      </c>
      <c r="P262" s="616">
        <v>3000</v>
      </c>
      <c r="Q262" s="617">
        <v>38.4</v>
      </c>
      <c r="R262" s="612"/>
      <c r="S262" s="599"/>
      <c r="T262" s="612"/>
      <c r="U262" s="612"/>
      <c r="V262" s="612"/>
      <c r="W262" s="612"/>
      <c r="X262" s="612"/>
      <c r="Y262" s="612"/>
      <c r="Z262" s="612"/>
      <c r="AA26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2" s="612"/>
      <c r="AC262" s="599"/>
      <c r="AD262" s="612"/>
      <c r="AE262" s="612"/>
      <c r="AF262" s="612"/>
      <c r="AG262" s="612"/>
      <c r="AH262" s="619">
        <f>SUM(Table1[[#This Row],[التقييد  باللوائح و تنفيذالتوجيه]:[اتباع اجراءات السلامه]])</f>
        <v>0</v>
      </c>
      <c r="AI262" s="619">
        <f>Table1[[#This Row],[المجموع]]+Table1[[#This Row],[المجموع2]]</f>
        <v>0</v>
      </c>
      <c r="AJ262" s="612"/>
      <c r="AK262" s="612"/>
      <c r="AL262" s="612"/>
      <c r="AM262" s="612"/>
      <c r="AN262" s="612"/>
      <c r="AO262" s="606">
        <f>Table1[[#This Row],[المجموع 1+2]]*$AO$2</f>
        <v>0</v>
      </c>
      <c r="AP262" s="648">
        <f>Table1[[#This Row],[راتب ديسمبر 2019]]*Table1[[#This Row],[نسبه التقييم الرئيسي 2018]]%</f>
        <v>0</v>
      </c>
      <c r="AQ262" s="627">
        <f>Table1[[#This Row],[مبلغ التقييم النسبي 2018]]+Table1[[#This Row],[راتب ديسمبر 2019]]</f>
        <v>3000</v>
      </c>
      <c r="AR262" s="10">
        <f>IF(Table1[[#This Row],[Column3]]&lt;0,0,Table1[[#This Row],[Column3]])</f>
        <v>3000</v>
      </c>
      <c r="AS262" s="599">
        <f>VLOOKUP(Table1[[#This Row],[درجه التوسيط]],Table10[],3,)</f>
        <v>6000</v>
      </c>
      <c r="AT262" s="608">
        <f>Table1[[#This Row],[الراتب 2018+النسبه]]+Table1[[#This Row],[فروقات الحد الادني]]</f>
        <v>6000</v>
      </c>
      <c r="AU262" s="629">
        <f>Table1[[#This Row],[الراتب 2018 + النسبه + الفرق]]-Table1[[#This Row],[راتب ديسمبر 2019]]</f>
        <v>3000</v>
      </c>
      <c r="AV262" s="628">
        <f>Table1[[#This Row],[الزياده]]/Table1[[#This Row],[راتب ديسمبر 2019]]%</f>
        <v>100</v>
      </c>
      <c r="AW262" s="659">
        <f>IF(Table1[[#This Row],[Column4]]&lt;0,0,Table1[[#This Row],[Column4]])</f>
        <v>0</v>
      </c>
      <c r="AX262" s="611">
        <f>Table1[[#This Row],[الجبر حتي]]-Table1[[#This Row],[رن]]</f>
        <v>6</v>
      </c>
      <c r="AY262" s="611">
        <f>Table1[[#This Row],[الزياده]]+Table1[[#This Row],[التعديل]]+Table1[[#This Row],[جبر الرقم]]</f>
        <v>3006</v>
      </c>
      <c r="AZ262" s="611">
        <f>Table1[[#This Row],[الراتب 2018 + النسبه + الفرق]]+Table1[[#This Row],[جبر الرقم]]+Table1[[#This Row],[التعديل]]</f>
        <v>6006</v>
      </c>
      <c r="BA262" s="631">
        <f>Table1[[#This Row],[الزياده النهائيه]]/Table1[[#This Row],[راتب ديسمبر 2019]]%</f>
        <v>100.2</v>
      </c>
      <c r="BB262" s="612">
        <f>VLOOKUP(Table1[[#This Row],[الرقم الوظيفي]],Table6[],8,)</f>
        <v>3000</v>
      </c>
      <c r="BC262" s="7"/>
      <c r="BD262" s="7">
        <v>4590</v>
      </c>
      <c r="BE262" s="7">
        <v>4584</v>
      </c>
      <c r="BF262" s="5">
        <f>Table1[[#This Row],[الحد الادني]]-Table1[[#This Row],[الراتب 2018+النسبه]]</f>
        <v>3000</v>
      </c>
      <c r="BG262" s="5">
        <f>Table1[[#This Row],[التعديل حتي]]-Table1[[#This Row],[kkk]]</f>
        <v>-4584</v>
      </c>
      <c r="BH262" s="5">
        <v>4584</v>
      </c>
      <c r="BI262" s="5"/>
    </row>
    <row r="263" spans="1:61" ht="21" customHeight="1">
      <c r="A263" s="602">
        <v>1060</v>
      </c>
      <c r="B263" s="618" t="str">
        <f>VLOOKUP(Table1[[#This Row],[الرقم الوظيفي]],[1]Sheet2!$1:$1048576,2,)</f>
        <v>معروف محمد عبدالعزيز احمد</v>
      </c>
      <c r="C263" s="599" t="str">
        <f>VLOOKUP(Table1[[#This Row],[الرقم الوظيفي]],[1]Sheet2!$1:$1048576,7,)</f>
        <v>المصنع</v>
      </c>
      <c r="D263" s="599" t="str">
        <f>VLOOKUP(Table1[[#This Row],[الرقم الوظيفي]],[1]Sheet2!$1:$1048576,8,)</f>
        <v>الانتاج</v>
      </c>
      <c r="E263" s="599">
        <f>VLOOKUP(Table1[[#This Row],[الرقم الوظيفي]],[1]Sheet2!$1:$1048576,9,)</f>
        <v>0</v>
      </c>
      <c r="F263" s="599" t="str">
        <f>VLOOKUP(Table1[[#This Row],[الرقم الوظيفي]],[1]Sheet2!$1:$1048576,12,)</f>
        <v>عامل</v>
      </c>
      <c r="G263" s="599" t="str">
        <f>VLOOKUP(Table1[[#This Row],[الرقم الوظيفي]],[1]Sheet2!$1:$1048576,72,)</f>
        <v>دبلوم وسيط</v>
      </c>
      <c r="H263" s="599" t="str">
        <f>VLOOKUP(Table1[[#This Row],[الرقم الوظيفي]],[1]Sheet2!$1:$1048576,71,)</f>
        <v>التامين</v>
      </c>
      <c r="I263" s="599" t="str">
        <f>VLOOKUP(Table1[[#This Row],[المؤهل الرئيسي]],Table4[],3,)</f>
        <v>E</v>
      </c>
      <c r="J263" s="599" t="s">
        <v>929</v>
      </c>
      <c r="K263" s="615">
        <f>VLOOKUP(Table1[[#This Row],[الرقم الوظيفي]],[1]Sheet2!$1:$1048576,13,)</f>
        <v>43221</v>
      </c>
      <c r="L263" s="615">
        <v>43830</v>
      </c>
      <c r="M263" s="599">
        <f>DATEDIF(Table1[[#This Row],[تاريخ التعيين]],Table1[[#This Row],[اخر العام]],"y")</f>
        <v>1</v>
      </c>
      <c r="N263" s="599">
        <f>DATEDIF(Table1[[#This Row],[تاريخ التعيين]],Table1[[#This Row],[اخر العام]],"ym")</f>
        <v>7</v>
      </c>
      <c r="O263" s="610">
        <f>Table1[[#This Row],[سنوات الخدمه]]*1+Table1[[#This Row],[الشهور اقل من سنه]]*0.08</f>
        <v>1.56</v>
      </c>
      <c r="P263" s="616">
        <v>3000</v>
      </c>
      <c r="Q263" s="617">
        <v>33.6</v>
      </c>
      <c r="R263" s="612"/>
      <c r="S263" s="599"/>
      <c r="T263" s="612"/>
      <c r="U263" s="612"/>
      <c r="V263" s="612"/>
      <c r="W263" s="612"/>
      <c r="X263" s="612"/>
      <c r="Y263" s="612"/>
      <c r="Z263" s="612"/>
      <c r="AA26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3" s="612"/>
      <c r="AC263" s="599"/>
      <c r="AD263" s="612"/>
      <c r="AE263" s="612"/>
      <c r="AF263" s="612"/>
      <c r="AG263" s="612"/>
      <c r="AH263" s="619">
        <f>SUM(Table1[[#This Row],[التقييد  باللوائح و تنفيذالتوجيه]:[اتباع اجراءات السلامه]])</f>
        <v>0</v>
      </c>
      <c r="AI263" s="619">
        <f>Table1[[#This Row],[المجموع]]+Table1[[#This Row],[المجموع2]]</f>
        <v>0</v>
      </c>
      <c r="AJ263" s="612"/>
      <c r="AK263" s="612"/>
      <c r="AL263" s="612"/>
      <c r="AM263" s="612"/>
      <c r="AN263" s="612"/>
      <c r="AO263" s="606">
        <f>Table1[[#This Row],[المجموع 1+2]]*$AO$2</f>
        <v>0</v>
      </c>
      <c r="AP263" s="648">
        <f>Table1[[#This Row],[راتب ديسمبر 2019]]*Table1[[#This Row],[نسبه التقييم الرئيسي 2018]]%</f>
        <v>0</v>
      </c>
      <c r="AQ263" s="627">
        <f>Table1[[#This Row],[مبلغ التقييم النسبي 2018]]+Table1[[#This Row],[راتب ديسمبر 2019]]</f>
        <v>3000</v>
      </c>
      <c r="AR263" s="10">
        <f>IF(Table1[[#This Row],[Column3]]&lt;0,0,Table1[[#This Row],[Column3]])</f>
        <v>3000</v>
      </c>
      <c r="AS263" s="599">
        <f>VLOOKUP(Table1[[#This Row],[درجه التوسيط]],Table10[],3,)</f>
        <v>6000</v>
      </c>
      <c r="AT263" s="608">
        <f>Table1[[#This Row],[الراتب 2018+النسبه]]+Table1[[#This Row],[فروقات الحد الادني]]</f>
        <v>6000</v>
      </c>
      <c r="AU263" s="629">
        <f>Table1[[#This Row],[الراتب 2018 + النسبه + الفرق]]-Table1[[#This Row],[راتب ديسمبر 2019]]</f>
        <v>3000</v>
      </c>
      <c r="AV263" s="628">
        <f>Table1[[#This Row],[الزياده]]/Table1[[#This Row],[راتب ديسمبر 2019]]%</f>
        <v>100</v>
      </c>
      <c r="AW263" s="659">
        <f>IF(Table1[[#This Row],[Column4]]&lt;0,0,Table1[[#This Row],[Column4]])</f>
        <v>0</v>
      </c>
      <c r="AX263" s="611">
        <f>Table1[[#This Row],[الجبر حتي]]-Table1[[#This Row],[رن]]</f>
        <v>0</v>
      </c>
      <c r="AY263" s="611">
        <f>Table1[[#This Row],[الزياده]]+Table1[[#This Row],[التعديل]]+Table1[[#This Row],[جبر الرقم]]</f>
        <v>3000</v>
      </c>
      <c r="AZ263" s="611">
        <f>Table1[[#This Row],[الراتب 2018 + النسبه + الفرق]]+Table1[[#This Row],[جبر الرقم]]+Table1[[#This Row],[التعديل]]</f>
        <v>6000</v>
      </c>
      <c r="BA263" s="631">
        <f>Table1[[#This Row],[الزياده النهائيه]]/Table1[[#This Row],[راتب ديسمبر 2019]]%</f>
        <v>100</v>
      </c>
      <c r="BB263" s="612">
        <f>VLOOKUP(Table1[[#This Row],[الرقم الوظيفي]],Table6[],8,)</f>
        <v>3000</v>
      </c>
      <c r="BC263" s="7"/>
      <c r="BD263" s="7">
        <v>4620</v>
      </c>
      <c r="BE263" s="7">
        <v>4620</v>
      </c>
      <c r="BF263" s="5">
        <f>Table1[[#This Row],[الحد الادني]]-Table1[[#This Row],[الراتب 2018+النسبه]]</f>
        <v>3000</v>
      </c>
      <c r="BG263" s="5">
        <f>Table1[[#This Row],[التعديل حتي]]-Table1[[#This Row],[kkk]]</f>
        <v>-4620</v>
      </c>
      <c r="BH263" s="5">
        <v>4620</v>
      </c>
      <c r="BI263" s="5"/>
    </row>
    <row r="264" spans="1:61" ht="21" customHeight="1">
      <c r="A264" s="602">
        <v>1061</v>
      </c>
      <c r="B264" s="618" t="str">
        <f>VLOOKUP(Table1[[#This Row],[الرقم الوظيفي]],[1]Sheet2!$1:$1048576,2,)</f>
        <v>حسن على بادى يحى</v>
      </c>
      <c r="C264" s="599" t="str">
        <f>VLOOKUP(Table1[[#This Row],[الرقم الوظيفي]],[1]Sheet2!$1:$1048576,7,)</f>
        <v>المصنع</v>
      </c>
      <c r="D264" s="599" t="str">
        <f>VLOOKUP(Table1[[#This Row],[الرقم الوظيفي]],[1]Sheet2!$1:$1048576,8,)</f>
        <v>الخدمات</v>
      </c>
      <c r="E264" s="599">
        <f>VLOOKUP(Table1[[#This Row],[الرقم الوظيفي]],[1]Sheet2!$1:$1048576,9,)</f>
        <v>0</v>
      </c>
      <c r="F264" s="599" t="str">
        <f>VLOOKUP(Table1[[#This Row],[الرقم الوظيفي]],[1]Sheet2!$1:$1048576,12,)</f>
        <v>عامل</v>
      </c>
      <c r="G264" s="599">
        <f>VLOOKUP(Table1[[#This Row],[الرقم الوظيفي]],[1]Sheet2!$1:$1048576,72,)</f>
        <v>0</v>
      </c>
      <c r="H264" s="599">
        <f>VLOOKUP(Table1[[#This Row],[الرقم الوظيفي]],[1]Sheet2!$1:$1048576,71,)</f>
        <v>0</v>
      </c>
      <c r="I264" s="599" t="str">
        <f>VLOOKUP(Table1[[#This Row],[المؤهل الرئيسي]],Table4[],3,)</f>
        <v>H</v>
      </c>
      <c r="J264" s="599" t="s">
        <v>42</v>
      </c>
      <c r="K264" s="615">
        <f>VLOOKUP(Table1[[#This Row],[الرقم الوظيفي]],[1]Sheet2!$1:$1048576,13,)</f>
        <v>43221</v>
      </c>
      <c r="L264" s="615">
        <v>43830</v>
      </c>
      <c r="M264" s="599">
        <f>DATEDIF(Table1[[#This Row],[تاريخ التعيين]],Table1[[#This Row],[اخر العام]],"y")</f>
        <v>1</v>
      </c>
      <c r="N264" s="599">
        <f>DATEDIF(Table1[[#This Row],[تاريخ التعيين]],Table1[[#This Row],[اخر العام]],"ym")</f>
        <v>7</v>
      </c>
      <c r="O264" s="610">
        <f>Table1[[#This Row],[سنوات الخدمه]]*1+Table1[[#This Row],[الشهور اقل من سنه]]*0.08</f>
        <v>1.56</v>
      </c>
      <c r="P264" s="616">
        <v>3000</v>
      </c>
      <c r="Q264" s="617">
        <v>33.6</v>
      </c>
      <c r="R264" s="612"/>
      <c r="S264" s="599"/>
      <c r="T264" s="612"/>
      <c r="U264" s="612"/>
      <c r="V264" s="612"/>
      <c r="W264" s="612"/>
      <c r="X264" s="612"/>
      <c r="Y264" s="612"/>
      <c r="Z264" s="612"/>
      <c r="AA26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4" s="612"/>
      <c r="AC264" s="599"/>
      <c r="AD264" s="612"/>
      <c r="AE264" s="612"/>
      <c r="AF264" s="612"/>
      <c r="AG264" s="612"/>
      <c r="AH264" s="619">
        <f>SUM(Table1[[#This Row],[التقييد  باللوائح و تنفيذالتوجيه]:[اتباع اجراءات السلامه]])</f>
        <v>0</v>
      </c>
      <c r="AI264" s="619">
        <f>Table1[[#This Row],[المجموع]]+Table1[[#This Row],[المجموع2]]</f>
        <v>0</v>
      </c>
      <c r="AJ264" s="612"/>
      <c r="AK264" s="612"/>
      <c r="AL264" s="612"/>
      <c r="AM264" s="612"/>
      <c r="AN264" s="612"/>
      <c r="AO264" s="606">
        <f>Table1[[#This Row],[المجموع 1+2]]*$AO$2</f>
        <v>0</v>
      </c>
      <c r="AP264" s="648">
        <f>Table1[[#This Row],[راتب ديسمبر 2019]]*Table1[[#This Row],[نسبه التقييم الرئيسي 2018]]%</f>
        <v>0</v>
      </c>
      <c r="AQ264" s="627">
        <f>Table1[[#This Row],[مبلغ التقييم النسبي 2018]]+Table1[[#This Row],[راتب ديسمبر 2019]]</f>
        <v>3000</v>
      </c>
      <c r="AR264" s="10">
        <f>IF(Table1[[#This Row],[Column3]]&lt;0,0,Table1[[#This Row],[Column3]])</f>
        <v>2000</v>
      </c>
      <c r="AS264" s="599">
        <f>VLOOKUP(Table1[[#This Row],[درجه التوسيط]],Table10[],3,)</f>
        <v>5000</v>
      </c>
      <c r="AT264" s="608">
        <f>Table1[[#This Row],[الراتب 2018+النسبه]]+Table1[[#This Row],[فروقات الحد الادني]]</f>
        <v>5000</v>
      </c>
      <c r="AU264" s="629">
        <f>Table1[[#This Row],[الراتب 2018 + النسبه + الفرق]]-Table1[[#This Row],[راتب ديسمبر 2019]]</f>
        <v>2000</v>
      </c>
      <c r="AV264" s="628">
        <f>Table1[[#This Row],[الزياده]]/Table1[[#This Row],[راتب ديسمبر 2019]]%</f>
        <v>66.666666666666671</v>
      </c>
      <c r="AW264" s="659">
        <f>IF(Table1[[#This Row],[Column4]]&lt;0,0,Table1[[#This Row],[Column4]])</f>
        <v>0</v>
      </c>
      <c r="AX264" s="611">
        <f>Table1[[#This Row],[الجبر حتي]]-Table1[[#This Row],[رن]]</f>
        <v>2</v>
      </c>
      <c r="AY264" s="611">
        <f>Table1[[#This Row],[الزياده]]+Table1[[#This Row],[التعديل]]+Table1[[#This Row],[جبر الرقم]]</f>
        <v>2002</v>
      </c>
      <c r="AZ264" s="611">
        <f>Table1[[#This Row],[الراتب 2018 + النسبه + الفرق]]+Table1[[#This Row],[جبر الرقم]]+Table1[[#This Row],[التعديل]]</f>
        <v>5002</v>
      </c>
      <c r="BA264" s="631">
        <f>Table1[[#This Row],[الزياده النهائيه]]/Table1[[#This Row],[راتب ديسمبر 2019]]%</f>
        <v>66.733333333333334</v>
      </c>
      <c r="BB264" s="612">
        <f>VLOOKUP(Table1[[#This Row],[الرقم الوظيفي]],Table6[],8,)</f>
        <v>3000</v>
      </c>
      <c r="BC264" s="7"/>
      <c r="BD264" s="7">
        <v>4370</v>
      </c>
      <c r="BE264" s="7">
        <v>4368</v>
      </c>
      <c r="BF264" s="5">
        <f>Table1[[#This Row],[الحد الادني]]-Table1[[#This Row],[الراتب 2018+النسبه]]</f>
        <v>2000</v>
      </c>
      <c r="BG264" s="5">
        <f>Table1[[#This Row],[التعديل حتي]]-Table1[[#This Row],[kkk]]</f>
        <v>-4368</v>
      </c>
      <c r="BH264" s="5">
        <v>4368</v>
      </c>
      <c r="BI264" s="5"/>
    </row>
    <row r="265" spans="1:61" ht="21" customHeight="1">
      <c r="A265" s="602">
        <v>1062</v>
      </c>
      <c r="B265" s="618" t="str">
        <f>VLOOKUP(Table1[[#This Row],[الرقم الوظيفي]],[1]Sheet2!$1:$1048576,2,)</f>
        <v>ابراهيم حامد ابراهيم بابكر</v>
      </c>
      <c r="C265" s="599" t="str">
        <f>VLOOKUP(Table1[[#This Row],[الرقم الوظيفي]],[1]Sheet2!$1:$1048576,7,)</f>
        <v>المصنع</v>
      </c>
      <c r="D265" s="599" t="str">
        <f>VLOOKUP(Table1[[#This Row],[الرقم الوظيفي]],[1]Sheet2!$1:$1048576,8,)</f>
        <v>الانتاج</v>
      </c>
      <c r="E265" s="599">
        <f>VLOOKUP(Table1[[#This Row],[الرقم الوظيفي]],[1]Sheet2!$1:$1048576,9,)</f>
        <v>0</v>
      </c>
      <c r="F265" s="599" t="str">
        <f>VLOOKUP(Table1[[#This Row],[الرقم الوظيفي]],[1]Sheet2!$1:$1048576,12,)</f>
        <v>عامل</v>
      </c>
      <c r="G265" s="599" t="str">
        <f>VLOOKUP(Table1[[#This Row],[الرقم الوظيفي]],[1]Sheet2!$1:$1048576,72,)</f>
        <v>تدريب مهني</v>
      </c>
      <c r="H265" s="599" t="str">
        <f>VLOOKUP(Table1[[#This Row],[الرقم الوظيفي]],[1]Sheet2!$1:$1048576,71,)</f>
        <v>برادة الصيانة</v>
      </c>
      <c r="I265" s="599" t="str">
        <f>VLOOKUP(Table1[[#This Row],[المؤهل الرئيسي]],Table4[],3,)</f>
        <v>F</v>
      </c>
      <c r="J265" s="599" t="s">
        <v>929</v>
      </c>
      <c r="K265" s="615">
        <f>VLOOKUP(Table1[[#This Row],[الرقم الوظيفي]],[1]Sheet2!$1:$1048576,13,)</f>
        <v>43223</v>
      </c>
      <c r="L265" s="615">
        <v>43830</v>
      </c>
      <c r="M265" s="599">
        <f>DATEDIF(Table1[[#This Row],[تاريخ التعيين]],Table1[[#This Row],[اخر العام]],"y")</f>
        <v>1</v>
      </c>
      <c r="N265" s="599">
        <f>DATEDIF(Table1[[#This Row],[تاريخ التعيين]],Table1[[#This Row],[اخر العام]],"ym")</f>
        <v>7</v>
      </c>
      <c r="O265" s="610">
        <f>Table1[[#This Row],[سنوات الخدمه]]*1+Table1[[#This Row],[الشهور اقل من سنه]]*0.08</f>
        <v>1.56</v>
      </c>
      <c r="P265" s="616">
        <v>3000</v>
      </c>
      <c r="Q265" s="617">
        <v>33.6</v>
      </c>
      <c r="R265" s="612"/>
      <c r="S265" s="599"/>
      <c r="T265" s="612"/>
      <c r="U265" s="612"/>
      <c r="V265" s="612"/>
      <c r="W265" s="612"/>
      <c r="X265" s="612"/>
      <c r="Y265" s="612"/>
      <c r="Z265" s="612"/>
      <c r="AA26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5" s="612"/>
      <c r="AC265" s="599"/>
      <c r="AD265" s="612"/>
      <c r="AE265" s="612"/>
      <c r="AF265" s="612"/>
      <c r="AG265" s="612"/>
      <c r="AH265" s="619">
        <f>SUM(Table1[[#This Row],[التقييد  باللوائح و تنفيذالتوجيه]:[اتباع اجراءات السلامه]])</f>
        <v>0</v>
      </c>
      <c r="AI265" s="619">
        <f>Table1[[#This Row],[المجموع]]+Table1[[#This Row],[المجموع2]]</f>
        <v>0</v>
      </c>
      <c r="AJ265" s="612"/>
      <c r="AK265" s="612"/>
      <c r="AL265" s="612"/>
      <c r="AM265" s="612"/>
      <c r="AN265" s="612"/>
      <c r="AO265" s="606">
        <f>Table1[[#This Row],[المجموع 1+2]]*$AO$2</f>
        <v>0</v>
      </c>
      <c r="AP265" s="648">
        <f>Table1[[#This Row],[راتب ديسمبر 2019]]*Table1[[#This Row],[نسبه التقييم الرئيسي 2018]]%</f>
        <v>0</v>
      </c>
      <c r="AQ265" s="627">
        <f>Table1[[#This Row],[مبلغ التقييم النسبي 2018]]+Table1[[#This Row],[راتب ديسمبر 2019]]</f>
        <v>3000</v>
      </c>
      <c r="AR265" s="10">
        <f>IF(Table1[[#This Row],[Column3]]&lt;0,0,Table1[[#This Row],[Column3]])</f>
        <v>3000</v>
      </c>
      <c r="AS265" s="599">
        <f>VLOOKUP(Table1[[#This Row],[درجه التوسيط]],Table10[],3,)</f>
        <v>6000</v>
      </c>
      <c r="AT265" s="608">
        <f>Table1[[#This Row],[الراتب 2018+النسبه]]+Table1[[#This Row],[فروقات الحد الادني]]</f>
        <v>6000</v>
      </c>
      <c r="AU265" s="629">
        <f>Table1[[#This Row],[الراتب 2018 + النسبه + الفرق]]-Table1[[#This Row],[راتب ديسمبر 2019]]</f>
        <v>3000</v>
      </c>
      <c r="AV265" s="628">
        <f>Table1[[#This Row],[الزياده]]/Table1[[#This Row],[راتب ديسمبر 2019]]%</f>
        <v>100</v>
      </c>
      <c r="AW265" s="659">
        <f>IF(Table1[[#This Row],[Column4]]&lt;0,0,Table1[[#This Row],[Column4]])</f>
        <v>0</v>
      </c>
      <c r="AX265" s="611">
        <f>Table1[[#This Row],[الجبر حتي]]-Table1[[#This Row],[رن]]</f>
        <v>0</v>
      </c>
      <c r="AY265" s="611">
        <f>Table1[[#This Row],[الزياده]]+Table1[[#This Row],[التعديل]]+Table1[[#This Row],[جبر الرقم]]</f>
        <v>3000</v>
      </c>
      <c r="AZ265" s="611">
        <f>Table1[[#This Row],[الراتب 2018 + النسبه + الفرق]]+Table1[[#This Row],[جبر الرقم]]+Table1[[#This Row],[التعديل]]</f>
        <v>6000</v>
      </c>
      <c r="BA265" s="631">
        <f>Table1[[#This Row],[الزياده النهائيه]]/Table1[[#This Row],[راتب ديسمبر 2019]]%</f>
        <v>100</v>
      </c>
      <c r="BB265" s="612">
        <f>VLOOKUP(Table1[[#This Row],[الرقم الوظيفي]],Table6[],8,)</f>
        <v>3000</v>
      </c>
      <c r="BC265" s="7"/>
      <c r="BD265" s="7">
        <v>4620</v>
      </c>
      <c r="BE265" s="7">
        <v>4620</v>
      </c>
      <c r="BF265" s="5">
        <f>Table1[[#This Row],[الحد الادني]]-Table1[[#This Row],[الراتب 2018+النسبه]]</f>
        <v>3000</v>
      </c>
      <c r="BG265" s="5">
        <f>Table1[[#This Row],[التعديل حتي]]-Table1[[#This Row],[kkk]]</f>
        <v>-4620</v>
      </c>
      <c r="BH265" s="5">
        <v>4620</v>
      </c>
      <c r="BI265" s="5"/>
    </row>
    <row r="266" spans="1:61" ht="21" customHeight="1">
      <c r="A266" s="602">
        <v>1063</v>
      </c>
      <c r="B266" s="618" t="str">
        <f>VLOOKUP(Table1[[#This Row],[الرقم الوظيفي]],[1]Sheet2!$1:$1048576,2,)</f>
        <v>محمد عيسى النور جابر</v>
      </c>
      <c r="C266" s="599" t="str">
        <f>VLOOKUP(Table1[[#This Row],[الرقم الوظيفي]],[1]Sheet2!$1:$1048576,7,)</f>
        <v>المصنع</v>
      </c>
      <c r="D266" s="599" t="str">
        <f>VLOOKUP(Table1[[#This Row],[الرقم الوظيفي]],[1]Sheet2!$1:$1048576,8,)</f>
        <v>الانتاج</v>
      </c>
      <c r="E266" s="599">
        <f>VLOOKUP(Table1[[#This Row],[الرقم الوظيفي]],[1]Sheet2!$1:$1048576,9,)</f>
        <v>0</v>
      </c>
      <c r="F266" s="599" t="str">
        <f>VLOOKUP(Table1[[#This Row],[الرقم الوظيفي]],[1]Sheet2!$1:$1048576,12,)</f>
        <v>عامل</v>
      </c>
      <c r="G266" s="599">
        <f>VLOOKUP(Table1[[#This Row],[الرقم الوظيفي]],[1]Sheet2!$1:$1048576,72,)</f>
        <v>0</v>
      </c>
      <c r="H266" s="599">
        <f>VLOOKUP(Table1[[#This Row],[الرقم الوظيفي]],[1]Sheet2!$1:$1048576,71,)</f>
        <v>0</v>
      </c>
      <c r="I266" s="599" t="str">
        <f>VLOOKUP(Table1[[#This Row],[المؤهل الرئيسي]],Table4[],3,)</f>
        <v>H</v>
      </c>
      <c r="J266" s="599" t="s">
        <v>929</v>
      </c>
      <c r="K266" s="615">
        <f>VLOOKUP(Table1[[#This Row],[الرقم الوظيفي]],[1]Sheet2!$1:$1048576,13,)</f>
        <v>43227</v>
      </c>
      <c r="L266" s="615">
        <v>43830</v>
      </c>
      <c r="M266" s="599">
        <f>DATEDIF(Table1[[#This Row],[تاريخ التعيين]],Table1[[#This Row],[اخر العام]],"y")</f>
        <v>1</v>
      </c>
      <c r="N266" s="599">
        <f>DATEDIF(Table1[[#This Row],[تاريخ التعيين]],Table1[[#This Row],[اخر العام]],"ym")</f>
        <v>7</v>
      </c>
      <c r="O266" s="610">
        <f>Table1[[#This Row],[سنوات الخدمه]]*1+Table1[[#This Row],[الشهور اقل من سنه]]*0.08</f>
        <v>1.56</v>
      </c>
      <c r="P266" s="616">
        <v>3000</v>
      </c>
      <c r="Q266" s="617">
        <v>33.6</v>
      </c>
      <c r="R266" s="612"/>
      <c r="S266" s="599"/>
      <c r="T266" s="612"/>
      <c r="U266" s="612"/>
      <c r="V266" s="612"/>
      <c r="W266" s="612"/>
      <c r="X266" s="612"/>
      <c r="Y266" s="612"/>
      <c r="Z266" s="612"/>
      <c r="AA26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6" s="612"/>
      <c r="AC266" s="599"/>
      <c r="AD266" s="612"/>
      <c r="AE266" s="612"/>
      <c r="AF266" s="612"/>
      <c r="AG266" s="612"/>
      <c r="AH266" s="619">
        <f>SUM(Table1[[#This Row],[التقييد  باللوائح و تنفيذالتوجيه]:[اتباع اجراءات السلامه]])</f>
        <v>0</v>
      </c>
      <c r="AI266" s="619">
        <f>Table1[[#This Row],[المجموع]]+Table1[[#This Row],[المجموع2]]</f>
        <v>0</v>
      </c>
      <c r="AJ266" s="612"/>
      <c r="AK266" s="612"/>
      <c r="AL266" s="612"/>
      <c r="AM266" s="612"/>
      <c r="AN266" s="612"/>
      <c r="AO266" s="606">
        <f>Table1[[#This Row],[المجموع 1+2]]*$AO$2</f>
        <v>0</v>
      </c>
      <c r="AP266" s="648">
        <f>Table1[[#This Row],[راتب ديسمبر 2019]]*Table1[[#This Row],[نسبه التقييم الرئيسي 2018]]%</f>
        <v>0</v>
      </c>
      <c r="AQ266" s="627">
        <f>Table1[[#This Row],[مبلغ التقييم النسبي 2018]]+Table1[[#This Row],[راتب ديسمبر 2019]]</f>
        <v>3000</v>
      </c>
      <c r="AR266" s="10">
        <f>IF(Table1[[#This Row],[Column3]]&lt;0,0,Table1[[#This Row],[Column3]])</f>
        <v>3000</v>
      </c>
      <c r="AS266" s="599">
        <f>VLOOKUP(Table1[[#This Row],[درجه التوسيط]],Table10[],3,)</f>
        <v>6000</v>
      </c>
      <c r="AT266" s="608">
        <f>Table1[[#This Row],[الراتب 2018+النسبه]]+Table1[[#This Row],[فروقات الحد الادني]]</f>
        <v>6000</v>
      </c>
      <c r="AU266" s="629">
        <f>Table1[[#This Row],[الراتب 2018 + النسبه + الفرق]]-Table1[[#This Row],[راتب ديسمبر 2019]]</f>
        <v>3000</v>
      </c>
      <c r="AV266" s="628">
        <f>Table1[[#This Row],[الزياده]]/Table1[[#This Row],[راتب ديسمبر 2019]]%</f>
        <v>100</v>
      </c>
      <c r="AW266" s="659">
        <f>IF(Table1[[#This Row],[Column4]]&lt;0,0,Table1[[#This Row],[Column4]])</f>
        <v>0</v>
      </c>
      <c r="AX266" s="611">
        <f>Table1[[#This Row],[الجبر حتي]]-Table1[[#This Row],[رن]]</f>
        <v>4</v>
      </c>
      <c r="AY266" s="611">
        <f>Table1[[#This Row],[الزياده]]+Table1[[#This Row],[التعديل]]+Table1[[#This Row],[جبر الرقم]]</f>
        <v>3004</v>
      </c>
      <c r="AZ266" s="611">
        <f>Table1[[#This Row],[الراتب 2018 + النسبه + الفرق]]+Table1[[#This Row],[جبر الرقم]]+Table1[[#This Row],[التعديل]]</f>
        <v>6004</v>
      </c>
      <c r="BA266" s="631">
        <f>Table1[[#This Row],[الزياده النهائيه]]/Table1[[#This Row],[راتب ديسمبر 2019]]%</f>
        <v>100.13333333333334</v>
      </c>
      <c r="BB266" s="612">
        <f>VLOOKUP(Table1[[#This Row],[الرقم الوظيفي]],Table6[],8,)</f>
        <v>3000</v>
      </c>
      <c r="BC266" s="7"/>
      <c r="BD266" s="7">
        <v>4570</v>
      </c>
      <c r="BE266" s="7">
        <v>4566</v>
      </c>
      <c r="BF266" s="5">
        <f>Table1[[#This Row],[الحد الادني]]-Table1[[#This Row],[الراتب 2018+النسبه]]</f>
        <v>3000</v>
      </c>
      <c r="BG266" s="5">
        <f>Table1[[#This Row],[التعديل حتي]]-Table1[[#This Row],[kkk]]</f>
        <v>-4566</v>
      </c>
      <c r="BH266" s="5">
        <v>4566</v>
      </c>
      <c r="BI266" s="5"/>
    </row>
    <row r="267" spans="1:61" ht="21" customHeight="1">
      <c r="A267" s="602">
        <v>1066</v>
      </c>
      <c r="B267" s="618" t="str">
        <f>VLOOKUP(Table1[[#This Row],[الرقم الوظيفي]],[1]Sheet2!$1:$1048576,2,)</f>
        <v>فضل السيد محجوب فضل السيد دسوقى</v>
      </c>
      <c r="C267" s="599" t="str">
        <f>VLOOKUP(Table1[[#This Row],[الرقم الوظيفي]],[1]Sheet2!$1:$1048576,7,)</f>
        <v>المصنع</v>
      </c>
      <c r="D267" s="599">
        <f>VLOOKUP(Table1[[#This Row],[الرقم الوظيفي]],[1]Sheet2!$1:$1048576,8,)</f>
        <v>0</v>
      </c>
      <c r="E267" s="599">
        <f>VLOOKUP(Table1[[#This Row],[الرقم الوظيفي]],[1]Sheet2!$1:$1048576,9,)</f>
        <v>0</v>
      </c>
      <c r="F267" s="599" t="str">
        <f>VLOOKUP(Table1[[#This Row],[الرقم الوظيفي]],[1]Sheet2!$1:$1048576,12,)</f>
        <v>مراجع</v>
      </c>
      <c r="G267" s="599" t="str">
        <f>VLOOKUP(Table1[[#This Row],[الرقم الوظيفي]],[1]Sheet2!$1:$1048576,72,)</f>
        <v>ماجستير</v>
      </c>
      <c r="H267" s="599" t="str">
        <f>VLOOKUP(Table1[[#This Row],[الرقم الوظيفي]],[1]Sheet2!$1:$1048576,71,)</f>
        <v>إدارة الاعمال</v>
      </c>
      <c r="I267" s="599" t="str">
        <f>VLOOKUP(Table1[[#This Row],[المؤهل الرئيسي]],Table4[],3,)</f>
        <v>B</v>
      </c>
      <c r="J267" s="599" t="s">
        <v>495</v>
      </c>
      <c r="K267" s="615">
        <f>VLOOKUP(Table1[[#This Row],[الرقم الوظيفي]],[1]Sheet2!$1:$1048576,13,)</f>
        <v>43252</v>
      </c>
      <c r="L267" s="615">
        <v>43830</v>
      </c>
      <c r="M267" s="599">
        <f>DATEDIF(Table1[[#This Row],[تاريخ التعيين]],Table1[[#This Row],[اخر العام]],"y")</f>
        <v>1</v>
      </c>
      <c r="N267" s="599">
        <f>DATEDIF(Table1[[#This Row],[تاريخ التعيين]],Table1[[#This Row],[اخر العام]],"ym")</f>
        <v>6</v>
      </c>
      <c r="O267" s="610">
        <f>Table1[[#This Row],[سنوات الخدمه]]*1+Table1[[#This Row],[الشهور اقل من سنه]]*0.08</f>
        <v>1.48</v>
      </c>
      <c r="P267" s="616">
        <v>6000</v>
      </c>
      <c r="Q267" s="617">
        <v>57.6</v>
      </c>
      <c r="R267" s="612"/>
      <c r="S267" s="599"/>
      <c r="T267" s="612"/>
      <c r="U267" s="612"/>
      <c r="V267" s="612"/>
      <c r="W267" s="612"/>
      <c r="X267" s="612"/>
      <c r="Y267" s="612"/>
      <c r="Z267" s="612"/>
      <c r="AA26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7" s="612"/>
      <c r="AC267" s="599"/>
      <c r="AD267" s="612"/>
      <c r="AE267" s="612"/>
      <c r="AF267" s="612"/>
      <c r="AG267" s="612"/>
      <c r="AH267" s="619">
        <f>SUM(Table1[[#This Row],[التقييد  باللوائح و تنفيذالتوجيه]:[اتباع اجراءات السلامه]])</f>
        <v>0</v>
      </c>
      <c r="AI267" s="619">
        <f>Table1[[#This Row],[المجموع]]+Table1[[#This Row],[المجموع2]]</f>
        <v>0</v>
      </c>
      <c r="AJ267" s="612"/>
      <c r="AK267" s="612"/>
      <c r="AL267" s="612"/>
      <c r="AM267" s="612"/>
      <c r="AN267" s="612"/>
      <c r="AO267" s="606">
        <f>Table1[[#This Row],[المجموع 1+2]]*$AO$2</f>
        <v>0</v>
      </c>
      <c r="AP267" s="648">
        <f>Table1[[#This Row],[راتب ديسمبر 2019]]*Table1[[#This Row],[نسبه التقييم الرئيسي 2018]]%</f>
        <v>0</v>
      </c>
      <c r="AQ267" s="627">
        <f>Table1[[#This Row],[مبلغ التقييم النسبي 2018]]+Table1[[#This Row],[راتب ديسمبر 2019]]</f>
        <v>6000</v>
      </c>
      <c r="AR267" s="10">
        <f>IF(Table1[[#This Row],[Column3]]&lt;0,0,Table1[[#This Row],[Column3]])</f>
        <v>8000</v>
      </c>
      <c r="AS267" s="599">
        <f>VLOOKUP(Table1[[#This Row],[درجه التوسيط]],Table10[],3,)</f>
        <v>14000</v>
      </c>
      <c r="AT267" s="608">
        <f>Table1[[#This Row],[الراتب 2018+النسبه]]+Table1[[#This Row],[فروقات الحد الادني]]</f>
        <v>14000</v>
      </c>
      <c r="AU267" s="629">
        <f>Table1[[#This Row],[الراتب 2018 + النسبه + الفرق]]-Table1[[#This Row],[راتب ديسمبر 2019]]</f>
        <v>8000</v>
      </c>
      <c r="AV267" s="628">
        <f>Table1[[#This Row],[الزياده]]/Table1[[#This Row],[راتب ديسمبر 2019]]%</f>
        <v>133.33333333333334</v>
      </c>
      <c r="AW267" s="659">
        <f>IF(Table1[[#This Row],[Column4]]&lt;0,0,Table1[[#This Row],[Column4]])</f>
        <v>0</v>
      </c>
      <c r="AX267" s="611">
        <f>Table1[[#This Row],[الجبر حتي]]-Table1[[#This Row],[رن]]</f>
        <v>0</v>
      </c>
      <c r="AY267" s="611">
        <f>Table1[[#This Row],[الزياده]]+Table1[[#This Row],[التعديل]]+Table1[[#This Row],[جبر الرقم]]</f>
        <v>8000</v>
      </c>
      <c r="AZ267" s="611">
        <f>Table1[[#This Row],[الراتب 2018 + النسبه + الفرق]]+Table1[[#This Row],[جبر الرقم]]+Table1[[#This Row],[التعديل]]</f>
        <v>14000</v>
      </c>
      <c r="BA267" s="631">
        <f>Table1[[#This Row],[الزياده النهائيه]]/Table1[[#This Row],[راتب ديسمبر 2019]]%</f>
        <v>133.33333333333334</v>
      </c>
      <c r="BB267" s="612">
        <f>VLOOKUP(Table1[[#This Row],[الرقم الوظيفي]],Table6[],8,)</f>
        <v>6000</v>
      </c>
      <c r="BC267" s="7"/>
      <c r="BD267" s="7">
        <v>9500</v>
      </c>
      <c r="BE267" s="7">
        <v>9500</v>
      </c>
      <c r="BF267" s="5">
        <f>Table1[[#This Row],[الحد الادني]]-Table1[[#This Row],[الراتب 2018+النسبه]]</f>
        <v>8000</v>
      </c>
      <c r="BG267" s="5">
        <f>Table1[[#This Row],[التعديل حتي]]-Table1[[#This Row],[kkk]]</f>
        <v>-9500</v>
      </c>
      <c r="BH267" s="5">
        <v>9500</v>
      </c>
      <c r="BI267" s="5"/>
    </row>
    <row r="268" spans="1:61" ht="21" customHeight="1">
      <c r="A268" s="602">
        <v>1067</v>
      </c>
      <c r="B268" s="618" t="str">
        <f>VLOOKUP(Table1[[#This Row],[الرقم الوظيفي]],[1]Sheet2!$1:$1048576,2,)</f>
        <v>محمد النيل بابكر عبدالباقى</v>
      </c>
      <c r="C268" s="599" t="str">
        <f>VLOOKUP(Table1[[#This Row],[الرقم الوظيفي]],[1]Sheet2!$1:$1048576,7,)</f>
        <v>المصنع</v>
      </c>
      <c r="D268" s="599" t="str">
        <f>VLOOKUP(Table1[[#This Row],[الرقم الوظيفي]],[1]Sheet2!$1:$1048576,8,)</f>
        <v>الاليات</v>
      </c>
      <c r="E268" s="599">
        <f>VLOOKUP(Table1[[#This Row],[الرقم الوظيفي]],[1]Sheet2!$1:$1048576,9,)</f>
        <v>0</v>
      </c>
      <c r="F268" s="599" t="str">
        <f>VLOOKUP(Table1[[#This Row],[الرقم الوظيفي]],[1]Sheet2!$1:$1048576,12,)</f>
        <v>فنى كهربائي</v>
      </c>
      <c r="G268" s="599" t="str">
        <f>VLOOKUP(Table1[[#This Row],[الرقم الوظيفي]],[1]Sheet2!$1:$1048576,72,)</f>
        <v>دبلوم تقني</v>
      </c>
      <c r="H268" s="599" t="str">
        <f>VLOOKUP(Table1[[#This Row],[الرقم الوظيفي]],[1]Sheet2!$1:$1048576,71,)</f>
        <v>هندسة ميكانيكا (صيانة)</v>
      </c>
      <c r="I268" s="599" t="str">
        <f>VLOOKUP(Table1[[#This Row],[المؤهل الرئيسي]],Table4[],3,)</f>
        <v>D</v>
      </c>
      <c r="J268" s="599" t="s">
        <v>922</v>
      </c>
      <c r="K268" s="615">
        <f>VLOOKUP(Table1[[#This Row],[الرقم الوظيفي]],[1]Sheet2!$1:$1048576,13,)</f>
        <v>43286</v>
      </c>
      <c r="L268" s="615">
        <v>43830</v>
      </c>
      <c r="M268" s="599">
        <f>DATEDIF(Table1[[#This Row],[تاريخ التعيين]],Table1[[#This Row],[اخر العام]],"y")</f>
        <v>1</v>
      </c>
      <c r="N268" s="599">
        <f>DATEDIF(Table1[[#This Row],[تاريخ التعيين]],Table1[[#This Row],[اخر العام]],"ym")</f>
        <v>5</v>
      </c>
      <c r="O268" s="610">
        <f>Table1[[#This Row],[سنوات الخدمه]]*1+Table1[[#This Row],[الشهور اقل من سنه]]*0.08</f>
        <v>1.4</v>
      </c>
      <c r="P268" s="616">
        <v>4000</v>
      </c>
      <c r="Q268" s="617">
        <v>32</v>
      </c>
      <c r="R268" s="612"/>
      <c r="S268" s="599"/>
      <c r="T268" s="612"/>
      <c r="U268" s="612"/>
      <c r="V268" s="612"/>
      <c r="W268" s="612"/>
      <c r="X268" s="612"/>
      <c r="Y268" s="612"/>
      <c r="Z268" s="612"/>
      <c r="AA26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8" s="612"/>
      <c r="AC268" s="599"/>
      <c r="AD268" s="612"/>
      <c r="AE268" s="612"/>
      <c r="AF268" s="612"/>
      <c r="AG268" s="612"/>
      <c r="AH268" s="619">
        <f>SUM(Table1[[#This Row],[التقييد  باللوائح و تنفيذالتوجيه]:[اتباع اجراءات السلامه]])</f>
        <v>0</v>
      </c>
      <c r="AI268" s="619">
        <f>Table1[[#This Row],[المجموع]]+Table1[[#This Row],[المجموع2]]</f>
        <v>0</v>
      </c>
      <c r="AJ268" s="612"/>
      <c r="AK268" s="612"/>
      <c r="AL268" s="612"/>
      <c r="AM268" s="612"/>
      <c r="AN268" s="612"/>
      <c r="AO268" s="606">
        <f>Table1[[#This Row],[المجموع 1+2]]*$AO$2</f>
        <v>0</v>
      </c>
      <c r="AP268" s="648">
        <f>Table1[[#This Row],[راتب ديسمبر 2019]]*Table1[[#This Row],[نسبه التقييم الرئيسي 2018]]%</f>
        <v>0</v>
      </c>
      <c r="AQ268" s="627">
        <f>Table1[[#This Row],[مبلغ التقييم النسبي 2018]]+Table1[[#This Row],[راتب ديسمبر 2019]]</f>
        <v>4000</v>
      </c>
      <c r="AR268" s="10">
        <f>IF(Table1[[#This Row],[Column3]]&lt;0,0,Table1[[#This Row],[Column3]])</f>
        <v>7000</v>
      </c>
      <c r="AS268" s="599">
        <f>VLOOKUP(Table1[[#This Row],[درجه التوسيط]],Table10[],3,)</f>
        <v>11000</v>
      </c>
      <c r="AT268" s="608">
        <f>Table1[[#This Row],[الراتب 2018+النسبه]]+Table1[[#This Row],[فروقات الحد الادني]]</f>
        <v>11000</v>
      </c>
      <c r="AU268" s="629">
        <f>Table1[[#This Row],[الراتب 2018 + النسبه + الفرق]]-Table1[[#This Row],[راتب ديسمبر 2019]]</f>
        <v>7000</v>
      </c>
      <c r="AV268" s="628">
        <f>Table1[[#This Row],[الزياده]]/Table1[[#This Row],[راتب ديسمبر 2019]]%</f>
        <v>175</v>
      </c>
      <c r="AW268" s="659">
        <f>IF(Table1[[#This Row],[Column4]]&lt;0,0,Table1[[#This Row],[Column4]])</f>
        <v>0</v>
      </c>
      <c r="AX268" s="611">
        <f>Table1[[#This Row],[الجبر حتي]]-Table1[[#This Row],[رن]]</f>
        <v>0</v>
      </c>
      <c r="AY268" s="611">
        <f>Table1[[#This Row],[الزياده]]+Table1[[#This Row],[التعديل]]+Table1[[#This Row],[جبر الرقم]]</f>
        <v>7000</v>
      </c>
      <c r="AZ268" s="611">
        <f>Table1[[#This Row],[الراتب 2018 + النسبه + الفرق]]+Table1[[#This Row],[جبر الرقم]]+Table1[[#This Row],[التعديل]]</f>
        <v>11000</v>
      </c>
      <c r="BA268" s="631">
        <f>Table1[[#This Row],[الزياده النهائيه]]/Table1[[#This Row],[راتب ديسمبر 2019]]%</f>
        <v>175</v>
      </c>
      <c r="BB268" s="612">
        <f>VLOOKUP(Table1[[#This Row],[الرقم الوظيفي]],Table6[],8,)</f>
        <v>4000</v>
      </c>
      <c r="BC268" s="7"/>
      <c r="BD268" s="7">
        <v>7000</v>
      </c>
      <c r="BE268" s="7">
        <v>7000</v>
      </c>
      <c r="BF268" s="5">
        <f>Table1[[#This Row],[الحد الادني]]-Table1[[#This Row],[الراتب 2018+النسبه]]</f>
        <v>7000</v>
      </c>
      <c r="BG268" s="5">
        <f>Table1[[#This Row],[التعديل حتي]]-Table1[[#This Row],[kkk]]</f>
        <v>-7000</v>
      </c>
      <c r="BH268" s="5">
        <v>7000</v>
      </c>
      <c r="BI268" s="5"/>
    </row>
    <row r="269" spans="1:61" ht="21" customHeight="1">
      <c r="A269" s="602">
        <v>1068</v>
      </c>
      <c r="B269" s="618" t="str">
        <f>VLOOKUP(Table1[[#This Row],[الرقم الوظيفي]],[1]Sheet2!$1:$1048576,2,)</f>
        <v>مصطفى الامين عبدالرحيم عبدالله</v>
      </c>
      <c r="C269" s="599" t="str">
        <f>VLOOKUP(Table1[[#This Row],[الرقم الوظيفي]],[1]Sheet2!$1:$1048576,7,)</f>
        <v>المصنع</v>
      </c>
      <c r="D269" s="599" t="str">
        <f>VLOOKUP(Table1[[#This Row],[الرقم الوظيفي]],[1]Sheet2!$1:$1048576,8,)</f>
        <v>الميكانيكا</v>
      </c>
      <c r="E269" s="599">
        <f>VLOOKUP(Table1[[#This Row],[الرقم الوظيفي]],[1]Sheet2!$1:$1048576,9,)</f>
        <v>0</v>
      </c>
      <c r="F269" s="599" t="str">
        <f>VLOOKUP(Table1[[#This Row],[الرقم الوظيفي]],[1]Sheet2!$1:$1048576,12,)</f>
        <v>مهندس ميكانيكا</v>
      </c>
      <c r="G269" s="599" t="str">
        <f>VLOOKUP(Table1[[#This Row],[الرقم الوظيفي]],[1]Sheet2!$1:$1048576,72,)</f>
        <v>بكلاريوس الشرف</v>
      </c>
      <c r="H269" s="599" t="str">
        <f>VLOOKUP(Table1[[#This Row],[الرقم الوظيفي]],[1]Sheet2!$1:$1048576,71,)</f>
        <v>هندسة ميكانيكية</v>
      </c>
      <c r="I269" s="599" t="str">
        <f>VLOOKUP(Table1[[#This Row],[المؤهل الرئيسي]],Table4[],3,)</f>
        <v>C</v>
      </c>
      <c r="J269" s="599" t="s">
        <v>924</v>
      </c>
      <c r="K269" s="615">
        <f>VLOOKUP(Table1[[#This Row],[الرقم الوظيفي]],[1]Sheet2!$1:$1048576,13,)</f>
        <v>43282</v>
      </c>
      <c r="L269" s="615">
        <v>43830</v>
      </c>
      <c r="M269" s="599">
        <f>DATEDIF(Table1[[#This Row],[تاريخ التعيين]],Table1[[#This Row],[اخر العام]],"y")</f>
        <v>1</v>
      </c>
      <c r="N269" s="599">
        <f>DATEDIF(Table1[[#This Row],[تاريخ التعيين]],Table1[[#This Row],[اخر العام]],"ym")</f>
        <v>5</v>
      </c>
      <c r="O269" s="610">
        <f>Table1[[#This Row],[سنوات الخدمه]]*1+Table1[[#This Row],[الشهور اقل من سنه]]*0.08</f>
        <v>1.4</v>
      </c>
      <c r="P269" s="616">
        <v>4500</v>
      </c>
      <c r="Q269" s="617">
        <v>36</v>
      </c>
      <c r="R269" s="612"/>
      <c r="S269" s="599"/>
      <c r="T269" s="612"/>
      <c r="U269" s="612"/>
      <c r="V269" s="612"/>
      <c r="W269" s="612"/>
      <c r="X269" s="612"/>
      <c r="Y269" s="612"/>
      <c r="Z269" s="612"/>
      <c r="AA26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69" s="612"/>
      <c r="AC269" s="599"/>
      <c r="AD269" s="612"/>
      <c r="AE269" s="612"/>
      <c r="AF269" s="612"/>
      <c r="AG269" s="612"/>
      <c r="AH269" s="619">
        <f>SUM(Table1[[#This Row],[التقييد  باللوائح و تنفيذالتوجيه]:[اتباع اجراءات السلامه]])</f>
        <v>0</v>
      </c>
      <c r="AI269" s="619">
        <f>Table1[[#This Row],[المجموع]]+Table1[[#This Row],[المجموع2]]</f>
        <v>0</v>
      </c>
      <c r="AJ269" s="612"/>
      <c r="AK269" s="612"/>
      <c r="AL269" s="612"/>
      <c r="AM269" s="612"/>
      <c r="AN269" s="612"/>
      <c r="AO269" s="606">
        <f>Table1[[#This Row],[المجموع 1+2]]*$AO$2</f>
        <v>0</v>
      </c>
      <c r="AP269" s="648">
        <f>Table1[[#This Row],[راتب ديسمبر 2019]]*Table1[[#This Row],[نسبه التقييم الرئيسي 2018]]%</f>
        <v>0</v>
      </c>
      <c r="AQ269" s="627">
        <f>Table1[[#This Row],[مبلغ التقييم النسبي 2018]]+Table1[[#This Row],[راتب ديسمبر 2019]]</f>
        <v>4500</v>
      </c>
      <c r="AR269" s="10">
        <f>IF(Table1[[#This Row],[Column3]]&lt;0,0,Table1[[#This Row],[Column3]])</f>
        <v>4500</v>
      </c>
      <c r="AS269" s="599">
        <f>VLOOKUP(Table1[[#This Row],[درجه التوسيط]],Table10[],3,)</f>
        <v>9000</v>
      </c>
      <c r="AT269" s="608">
        <f>Table1[[#This Row],[الراتب 2018+النسبه]]+Table1[[#This Row],[فروقات الحد الادني]]</f>
        <v>9000</v>
      </c>
      <c r="AU269" s="629">
        <f>Table1[[#This Row],[الراتب 2018 + النسبه + الفرق]]-Table1[[#This Row],[راتب ديسمبر 2019]]</f>
        <v>4500</v>
      </c>
      <c r="AV269" s="628">
        <f>Table1[[#This Row],[الزياده]]/Table1[[#This Row],[راتب ديسمبر 2019]]%</f>
        <v>100</v>
      </c>
      <c r="AW269" s="659">
        <f>IF(Table1[[#This Row],[Column4]]&lt;0,0,Table1[[#This Row],[Column4]])</f>
        <v>0</v>
      </c>
      <c r="AX269" s="611">
        <f>Table1[[#This Row],[الجبر حتي]]-Table1[[#This Row],[رن]]</f>
        <v>4</v>
      </c>
      <c r="AY269" s="611">
        <f>Table1[[#This Row],[الزياده]]+Table1[[#This Row],[التعديل]]+Table1[[#This Row],[جبر الرقم]]</f>
        <v>4504</v>
      </c>
      <c r="AZ269" s="611">
        <f>Table1[[#This Row],[الراتب 2018 + النسبه + الفرق]]+Table1[[#This Row],[جبر الرقم]]+Table1[[#This Row],[التعديل]]</f>
        <v>9004</v>
      </c>
      <c r="BA269" s="631">
        <f>Table1[[#This Row],[الزياده النهائيه]]/Table1[[#This Row],[راتب ديسمبر 2019]]%</f>
        <v>100.08888888888889</v>
      </c>
      <c r="BB269" s="612">
        <f>VLOOKUP(Table1[[#This Row],[الرقم الوظيفي]],Table6[],8,)</f>
        <v>4500</v>
      </c>
      <c r="BC269" s="7"/>
      <c r="BD269" s="7">
        <v>6880</v>
      </c>
      <c r="BE269" s="7">
        <v>6876</v>
      </c>
      <c r="BF269" s="5">
        <f>Table1[[#This Row],[الحد الادني]]-Table1[[#This Row],[الراتب 2018+النسبه]]</f>
        <v>4500</v>
      </c>
      <c r="BG269" s="5">
        <f>Table1[[#This Row],[التعديل حتي]]-Table1[[#This Row],[kkk]]</f>
        <v>-6876</v>
      </c>
      <c r="BH269" s="5">
        <v>6876</v>
      </c>
      <c r="BI269" s="5"/>
    </row>
    <row r="270" spans="1:61" ht="21" customHeight="1">
      <c r="A270" s="604">
        <v>6001</v>
      </c>
      <c r="B270" s="618" t="str">
        <f>VLOOKUP(Table1[[#This Row],[الرقم الوظيفي]],[1]Sheet2!$1:$1048576,2,)</f>
        <v>محمد الساير فضالى الحلو</v>
      </c>
      <c r="C270" s="599" t="str">
        <f>VLOOKUP(Table1[[#This Row],[الرقم الوظيفي]],[1]Sheet2!$1:$1048576,7,)</f>
        <v>السودانى الايطالى</v>
      </c>
      <c r="D270" s="599" t="str">
        <f>VLOOKUP(Table1[[#This Row],[الرقم الوظيفي]],[1]Sheet2!$1:$1048576,8,)</f>
        <v>الامن و الحركه</v>
      </c>
      <c r="E270" s="599" t="str">
        <f>VLOOKUP(Table1[[#This Row],[الرقم الوظيفي]],[1]Sheet2!$1:$1048576,9,)</f>
        <v>الامن</v>
      </c>
      <c r="F270" s="599" t="str">
        <f>VLOOKUP(Table1[[#This Row],[الرقم الوظيفي]],[1]Sheet2!$1:$1048576,12,)</f>
        <v>خفير</v>
      </c>
      <c r="G270" s="599">
        <f>VLOOKUP(Table1[[#This Row],[الرقم الوظيفي]],[1]Sheet2!$1:$1048576,72,)</f>
        <v>0</v>
      </c>
      <c r="H270" s="599">
        <f>VLOOKUP(Table1[[#This Row],[الرقم الوظيفي]],[1]Sheet2!$1:$1048576,71,)</f>
        <v>0</v>
      </c>
      <c r="I270" s="599" t="str">
        <f>VLOOKUP(Table1[[#This Row],[المؤهل الرئيسي]],Table4[],3,)</f>
        <v>H</v>
      </c>
      <c r="J270" s="599" t="s">
        <v>924</v>
      </c>
      <c r="K270" s="615">
        <f>VLOOKUP(Table1[[#This Row],[الرقم الوظيفي]],[1]Sheet2!$1:$1048576,13,)</f>
        <v>41105</v>
      </c>
      <c r="L270" s="615">
        <v>43830</v>
      </c>
      <c r="M270" s="599">
        <f>DATEDIF(Table1[[#This Row],[تاريخ التعيين]],Table1[[#This Row],[اخر العام]],"y")</f>
        <v>7</v>
      </c>
      <c r="N270" s="599">
        <f>DATEDIF(Table1[[#This Row],[تاريخ التعيين]],Table1[[#This Row],[اخر العام]],"ym")</f>
        <v>5</v>
      </c>
      <c r="O270" s="610">
        <f>Table1[[#This Row],[سنوات الخدمه]]*1+Table1[[#This Row],[الشهور اقل من سنه]]*0.08</f>
        <v>7.4</v>
      </c>
      <c r="P270" s="616">
        <v>4210</v>
      </c>
      <c r="Q270" s="617">
        <v>538.88</v>
      </c>
      <c r="R270" s="612"/>
      <c r="S270" s="599"/>
      <c r="T270" s="612"/>
      <c r="U270" s="612"/>
      <c r="V270" s="612"/>
      <c r="W270" s="612"/>
      <c r="X270" s="612"/>
      <c r="Y270" s="612"/>
      <c r="Z270" s="612"/>
      <c r="AA27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0" s="612"/>
      <c r="AC270" s="599"/>
      <c r="AD270" s="612"/>
      <c r="AE270" s="612"/>
      <c r="AF270" s="612"/>
      <c r="AG270" s="612"/>
      <c r="AH270" s="619">
        <f>SUM(Table1[[#This Row],[التقييد  باللوائح و تنفيذالتوجيه]:[اتباع اجراءات السلامه]])</f>
        <v>0</v>
      </c>
      <c r="AI270" s="619">
        <f>Table1[[#This Row],[المجموع]]+Table1[[#This Row],[المجموع2]]</f>
        <v>0</v>
      </c>
      <c r="AJ270" s="612"/>
      <c r="AK270" s="612"/>
      <c r="AL270" s="612"/>
      <c r="AM270" s="612"/>
      <c r="AN270" s="612"/>
      <c r="AO270" s="606">
        <f>Table1[[#This Row],[المجموع 1+2]]*$AO$2</f>
        <v>0</v>
      </c>
      <c r="AP270" s="648">
        <f>Table1[[#This Row],[راتب ديسمبر 2019]]*Table1[[#This Row],[نسبه التقييم الرئيسي 2018]]%</f>
        <v>0</v>
      </c>
      <c r="AQ270" s="627">
        <f>Table1[[#This Row],[مبلغ التقييم النسبي 2018]]+Table1[[#This Row],[راتب ديسمبر 2019]]</f>
        <v>4210</v>
      </c>
      <c r="AR270" s="10">
        <f>IF(Table1[[#This Row],[Column3]]&lt;0,0,Table1[[#This Row],[Column3]])</f>
        <v>4790</v>
      </c>
      <c r="AS270" s="599">
        <f>VLOOKUP(Table1[[#This Row],[درجه التوسيط]],Table10[],3,)</f>
        <v>9000</v>
      </c>
      <c r="AT270" s="608">
        <f>Table1[[#This Row],[الراتب 2018+النسبه]]+Table1[[#This Row],[فروقات الحد الادني]]</f>
        <v>9000</v>
      </c>
      <c r="AU270" s="629">
        <f>Table1[[#This Row],[الراتب 2018 + النسبه + الفرق]]-Table1[[#This Row],[راتب ديسمبر 2019]]</f>
        <v>4790</v>
      </c>
      <c r="AV270" s="628">
        <f>Table1[[#This Row],[الزياده]]/Table1[[#This Row],[راتب ديسمبر 2019]]%</f>
        <v>113.77672209026127</v>
      </c>
      <c r="AW270" s="659">
        <f>IF(Table1[[#This Row],[Column4]]&lt;0,0,Table1[[#This Row],[Column4]])</f>
        <v>0</v>
      </c>
      <c r="AX270" s="611">
        <f>Table1[[#This Row],[الجبر حتي]]-Table1[[#This Row],[رن]]</f>
        <v>4.5200000000004366</v>
      </c>
      <c r="AY270" s="611">
        <f>Table1[[#This Row],[الزياده]]+Table1[[#This Row],[التعديل]]+Table1[[#This Row],[جبر الرقم]]</f>
        <v>4794.5200000000004</v>
      </c>
      <c r="AZ270" s="611">
        <f>Table1[[#This Row],[الراتب 2018 + النسبه + الفرق]]+Table1[[#This Row],[جبر الرقم]]+Table1[[#This Row],[التعديل]]</f>
        <v>9004.52</v>
      </c>
      <c r="BA270" s="631">
        <f>Table1[[#This Row],[الزياده النهائيه]]/Table1[[#This Row],[راتب ديسمبر 2019]]%</f>
        <v>113.88408551068885</v>
      </c>
      <c r="BB270" s="612">
        <f>VLOOKUP(Table1[[#This Row],[الرقم الوظيفي]],Table6[],8,)</f>
        <v>4210</v>
      </c>
      <c r="BC270" s="7"/>
      <c r="BD270" s="7">
        <v>6690</v>
      </c>
      <c r="BE270" s="7">
        <v>6685.48</v>
      </c>
      <c r="BF270" s="5">
        <f>Table1[[#This Row],[الحد الادني]]-Table1[[#This Row],[الراتب 2018+النسبه]]</f>
        <v>4790</v>
      </c>
      <c r="BG270" s="5">
        <f>Table1[[#This Row],[التعديل حتي]]-Table1[[#This Row],[kkk]]</f>
        <v>-6685.48</v>
      </c>
      <c r="BH270" s="5">
        <v>6685.48</v>
      </c>
      <c r="BI270" s="5"/>
    </row>
    <row r="271" spans="1:61" ht="21" customHeight="1">
      <c r="A271" s="604">
        <v>6002</v>
      </c>
      <c r="B271" s="618" t="str">
        <f>VLOOKUP(Table1[[#This Row],[الرقم الوظيفي]],[1]Sheet2!$1:$1048576,2,)</f>
        <v>معتز الرشيد خشم الموس احمد</v>
      </c>
      <c r="C271" s="599" t="str">
        <f>VLOOKUP(Table1[[#This Row],[الرقم الوظيفي]],[1]Sheet2!$1:$1048576,7,)</f>
        <v>السودانى الايطالى</v>
      </c>
      <c r="D271" s="599" t="str">
        <f>VLOOKUP(Table1[[#This Row],[الرقم الوظيفي]],[1]Sheet2!$1:$1048576,8,)</f>
        <v>الاداره</v>
      </c>
      <c r="E271" s="599">
        <f>VLOOKUP(Table1[[#This Row],[الرقم الوظيفي]],[1]Sheet2!$1:$1048576,9,)</f>
        <v>0</v>
      </c>
      <c r="F271" s="599" t="str">
        <f>VLOOKUP(Table1[[#This Row],[الرقم الوظيفي]],[1]Sheet2!$1:$1048576,12,)</f>
        <v>مدير السودانى الايطالى</v>
      </c>
      <c r="G271" s="599" t="str">
        <f>VLOOKUP(Table1[[#This Row],[الرقم الوظيفي]],[1]Sheet2!$1:$1048576,72,)</f>
        <v>بكلاريوس الشرف</v>
      </c>
      <c r="H271" s="599" t="str">
        <f>VLOOKUP(Table1[[#This Row],[الرقم الوظيفي]],[1]Sheet2!$1:$1048576,71,)</f>
        <v>هندسة زراعة</v>
      </c>
      <c r="I271" s="599" t="str">
        <f>VLOOKUP(Table1[[#This Row],[المؤهل الرئيسي]],Table4[],3,)</f>
        <v>C</v>
      </c>
      <c r="J271" s="599" t="s">
        <v>118</v>
      </c>
      <c r="K271" s="615">
        <f>VLOOKUP(Table1[[#This Row],[الرقم الوظيفي]],[1]Sheet2!$1:$1048576,13,)</f>
        <v>41760</v>
      </c>
      <c r="L271" s="615">
        <v>43830</v>
      </c>
      <c r="M271" s="599">
        <f>DATEDIF(Table1[[#This Row],[تاريخ التعيين]],Table1[[#This Row],[اخر العام]],"y")</f>
        <v>5</v>
      </c>
      <c r="N271" s="599">
        <f>DATEDIF(Table1[[#This Row],[تاريخ التعيين]],Table1[[#This Row],[اخر العام]],"ym")</f>
        <v>7</v>
      </c>
      <c r="O271" s="610">
        <f>Table1[[#This Row],[سنوات الخدمه]]*1+Table1[[#This Row],[الشهور اقل من سنه]]*0.08</f>
        <v>5.5600000000000005</v>
      </c>
      <c r="P271" s="616">
        <v>22120</v>
      </c>
      <c r="Q271" s="617">
        <v>2017.3440000000001</v>
      </c>
      <c r="R271" s="612"/>
      <c r="S271" s="599"/>
      <c r="T271" s="612"/>
      <c r="U271" s="612"/>
      <c r="V271" s="612"/>
      <c r="W271" s="612"/>
      <c r="X271" s="612"/>
      <c r="Y271" s="612"/>
      <c r="Z271" s="612"/>
      <c r="AA27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1" s="612"/>
      <c r="AC271" s="599"/>
      <c r="AD271" s="612"/>
      <c r="AE271" s="612"/>
      <c r="AF271" s="612"/>
      <c r="AG271" s="612"/>
      <c r="AH271" s="619">
        <f>SUM(Table1[[#This Row],[التقييد  باللوائح و تنفيذالتوجيه]:[اتباع اجراءات السلامه]])</f>
        <v>0</v>
      </c>
      <c r="AI271" s="619">
        <f>Table1[[#This Row],[المجموع]]+Table1[[#This Row],[المجموع2]]</f>
        <v>0</v>
      </c>
      <c r="AJ271" s="612"/>
      <c r="AK271" s="612"/>
      <c r="AL271" s="612"/>
      <c r="AM271" s="612"/>
      <c r="AN271" s="612"/>
      <c r="AO271" s="606">
        <f>Table1[[#This Row],[المجموع 1+2]]*$AO$2</f>
        <v>0</v>
      </c>
      <c r="AP271" s="648">
        <f>Table1[[#This Row],[راتب ديسمبر 2019]]*Table1[[#This Row],[نسبه التقييم الرئيسي 2018]]%</f>
        <v>0</v>
      </c>
      <c r="AQ271" s="627">
        <f>Table1[[#This Row],[مبلغ التقييم النسبي 2018]]+Table1[[#This Row],[راتب ديسمبر 2019]]</f>
        <v>22120</v>
      </c>
      <c r="AR271" s="10">
        <f>IF(Table1[[#This Row],[Column3]]&lt;0,0,Table1[[#This Row],[Column3]])</f>
        <v>12880</v>
      </c>
      <c r="AS271" s="599">
        <f>VLOOKUP(Table1[[#This Row],[درجه التوسيط]],Table10[],3,)</f>
        <v>35000</v>
      </c>
      <c r="AT271" s="608">
        <f>Table1[[#This Row],[الراتب 2018+النسبه]]+Table1[[#This Row],[فروقات الحد الادني]]</f>
        <v>35000</v>
      </c>
      <c r="AU271" s="629">
        <f>Table1[[#This Row],[الراتب 2018 + النسبه + الفرق]]-Table1[[#This Row],[راتب ديسمبر 2019]]</f>
        <v>12880</v>
      </c>
      <c r="AV271" s="628">
        <f>Table1[[#This Row],[الزياده]]/Table1[[#This Row],[راتب ديسمبر 2019]]%</f>
        <v>58.227848101265828</v>
      </c>
      <c r="AW271" s="659">
        <f>IF(Table1[[#This Row],[Column4]]&lt;0,0,Table1[[#This Row],[Column4]])</f>
        <v>0</v>
      </c>
      <c r="AX271" s="611">
        <f>Table1[[#This Row],[الجبر حتي]]-Table1[[#This Row],[رن]]</f>
        <v>0.72000000000116415</v>
      </c>
      <c r="AY271" s="611">
        <f>Table1[[#This Row],[الزياده]]+Table1[[#This Row],[التعديل]]+Table1[[#This Row],[جبر الرقم]]</f>
        <v>12880.720000000001</v>
      </c>
      <c r="AZ271" s="611">
        <f>Table1[[#This Row],[الراتب 2018 + النسبه + الفرق]]+Table1[[#This Row],[جبر الرقم]]+Table1[[#This Row],[التعديل]]</f>
        <v>35000.720000000001</v>
      </c>
      <c r="BA271" s="631">
        <f>Table1[[#This Row],[الزياده النهائيه]]/Table1[[#This Row],[راتب ديسمبر 2019]]%</f>
        <v>58.23110307414106</v>
      </c>
      <c r="BB271" s="612">
        <f>VLOOKUP(Table1[[#This Row],[الرقم الوظيفي]],Table6[],8,)</f>
        <v>22120</v>
      </c>
      <c r="BC271" s="7"/>
      <c r="BD271" s="7">
        <v>35260</v>
      </c>
      <c r="BE271" s="7">
        <v>35259.279999999999</v>
      </c>
      <c r="BF271" s="5">
        <f>Table1[[#This Row],[الحد الادني]]-Table1[[#This Row],[الراتب 2018+النسبه]]</f>
        <v>12880</v>
      </c>
      <c r="BG271" s="5">
        <f>Table1[[#This Row],[التعديل حتي]]-Table1[[#This Row],[kkk]]</f>
        <v>-35259.279999999999</v>
      </c>
      <c r="BH271" s="5">
        <v>35259.279999999999</v>
      </c>
      <c r="BI271" s="5"/>
    </row>
    <row r="272" spans="1:61" ht="21" customHeight="1">
      <c r="A272" s="604">
        <v>6006</v>
      </c>
      <c r="B272" s="618" t="str">
        <f>VLOOKUP(Table1[[#This Row],[الرقم الوظيفي]],[1]Sheet2!$1:$1048576,2,)</f>
        <v>عبدالمنعم عبدالرحمن مصطفى بابكر</v>
      </c>
      <c r="C272" s="599" t="str">
        <f>VLOOKUP(Table1[[#This Row],[الرقم الوظيفي]],[1]Sheet2!$1:$1048576,7,)</f>
        <v>السودانى الايطالى</v>
      </c>
      <c r="D272" s="599" t="str">
        <f>VLOOKUP(Table1[[#This Row],[الرقم الوظيفي]],[1]Sheet2!$1:$1048576,8,)</f>
        <v>الاداره</v>
      </c>
      <c r="E272" s="599">
        <f>VLOOKUP(Table1[[#This Row],[الرقم الوظيفي]],[1]Sheet2!$1:$1048576,9,)</f>
        <v>0</v>
      </c>
      <c r="F272" s="599" t="str">
        <f>VLOOKUP(Table1[[#This Row],[الرقم الوظيفي]],[1]Sheet2!$1:$1048576,12,)</f>
        <v>موظف مبيعات</v>
      </c>
      <c r="G272" s="599" t="str">
        <f>VLOOKUP(Table1[[#This Row],[الرقم الوظيفي]],[1]Sheet2!$1:$1048576,72,)</f>
        <v>بكلاريوس</v>
      </c>
      <c r="H272" s="599" t="str">
        <f>VLOOKUP(Table1[[#This Row],[الرقم الوظيفي]],[1]Sheet2!$1:$1048576,71,)</f>
        <v>دراسات اقنصادية واجتماعية</v>
      </c>
      <c r="I272" s="599" t="str">
        <f>VLOOKUP(Table1[[#This Row],[المؤهل الرئيسي]],Table4[],3,)</f>
        <v>C</v>
      </c>
      <c r="J272" s="599" t="s">
        <v>922</v>
      </c>
      <c r="K272" s="615">
        <f>VLOOKUP(Table1[[#This Row],[الرقم الوظيفي]],[1]Sheet2!$1:$1048576,13,)</f>
        <v>42310</v>
      </c>
      <c r="L272" s="615">
        <v>43830</v>
      </c>
      <c r="M272" s="599">
        <f>DATEDIF(Table1[[#This Row],[تاريخ التعيين]],Table1[[#This Row],[اخر العام]],"y")</f>
        <v>4</v>
      </c>
      <c r="N272" s="599">
        <f>DATEDIF(Table1[[#This Row],[تاريخ التعيين]],Table1[[#This Row],[اخر العام]],"ym")</f>
        <v>1</v>
      </c>
      <c r="O272" s="610">
        <f>Table1[[#This Row],[سنوات الخدمه]]*1+Table1[[#This Row],[الشهور اقل من سنه]]*0.08</f>
        <v>4.08</v>
      </c>
      <c r="P272" s="616">
        <v>5100</v>
      </c>
      <c r="Q272" s="617">
        <v>314.16000000000003</v>
      </c>
      <c r="R272" s="612"/>
      <c r="S272" s="599"/>
      <c r="T272" s="612"/>
      <c r="U272" s="612"/>
      <c r="V272" s="612"/>
      <c r="W272" s="612"/>
      <c r="X272" s="612"/>
      <c r="Y272" s="612"/>
      <c r="Z272" s="612"/>
      <c r="AA27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2" s="612"/>
      <c r="AC272" s="599"/>
      <c r="AD272" s="612"/>
      <c r="AE272" s="612"/>
      <c r="AF272" s="612"/>
      <c r="AG272" s="612"/>
      <c r="AH272" s="619">
        <f>SUM(Table1[[#This Row],[التقييد  باللوائح و تنفيذالتوجيه]:[اتباع اجراءات السلامه]])</f>
        <v>0</v>
      </c>
      <c r="AI272" s="619">
        <f>Table1[[#This Row],[المجموع]]+Table1[[#This Row],[المجموع2]]</f>
        <v>0</v>
      </c>
      <c r="AJ272" s="612">
        <v>7</v>
      </c>
      <c r="AK272" s="612"/>
      <c r="AL272" s="612"/>
      <c r="AM272" s="612"/>
      <c r="AN272" s="612"/>
      <c r="AO272" s="606">
        <f>Table1[[#This Row],[المجموع 1+2]]*$AO$2</f>
        <v>0</v>
      </c>
      <c r="AP272" s="648">
        <f>Table1[[#This Row],[راتب ديسمبر 2019]]*Table1[[#This Row],[نسبه التقييم الرئيسي 2018]]%</f>
        <v>0</v>
      </c>
      <c r="AQ272" s="627">
        <f>Table1[[#This Row],[مبلغ التقييم النسبي 2018]]+Table1[[#This Row],[راتب ديسمبر 2019]]</f>
        <v>5100</v>
      </c>
      <c r="AR272" s="10">
        <f>IF(Table1[[#This Row],[Column3]]&lt;0,0,Table1[[#This Row],[Column3]])</f>
        <v>5900</v>
      </c>
      <c r="AS272" s="599">
        <f>VLOOKUP(Table1[[#This Row],[درجه التوسيط]],Table10[],3,)</f>
        <v>11000</v>
      </c>
      <c r="AT272" s="608">
        <f>Table1[[#This Row],[الراتب 2018+النسبه]]+Table1[[#This Row],[فروقات الحد الادني]]</f>
        <v>11000</v>
      </c>
      <c r="AU272" s="629">
        <f>Table1[[#This Row],[الراتب 2018 + النسبه + الفرق]]-Table1[[#This Row],[راتب ديسمبر 2019]]</f>
        <v>5900</v>
      </c>
      <c r="AV272" s="628">
        <f>Table1[[#This Row],[الزياده]]/Table1[[#This Row],[راتب ديسمبر 2019]]%</f>
        <v>115.68627450980392</v>
      </c>
      <c r="AW272" s="659">
        <f>IF(Table1[[#This Row],[Column4]]&lt;0,0,Table1[[#This Row],[Column4]])</f>
        <v>0</v>
      </c>
      <c r="AX272" s="611">
        <f>Table1[[#This Row],[الجبر حتي]]-Table1[[#This Row],[رن]]</f>
        <v>9.6000000000003638</v>
      </c>
      <c r="AY272" s="611">
        <f>Table1[[#This Row],[الزياده]]+Table1[[#This Row],[التعديل]]+Table1[[#This Row],[جبر الرقم]]</f>
        <v>5909.6</v>
      </c>
      <c r="AZ272" s="611">
        <f>Table1[[#This Row],[الراتب 2018 + النسبه + الفرق]]+Table1[[#This Row],[جبر الرقم]]+Table1[[#This Row],[التعديل]]</f>
        <v>11009.6</v>
      </c>
      <c r="BA272" s="631">
        <f>Table1[[#This Row],[الزياده النهائيه]]/Table1[[#This Row],[راتب ديسمبر 2019]]%</f>
        <v>115.87450980392157</v>
      </c>
      <c r="BB272" s="612">
        <f>VLOOKUP(Table1[[#This Row],[الرقم الوظيفي]],Table6[],8,)</f>
        <v>5100</v>
      </c>
      <c r="BC272" s="7"/>
      <c r="BD272" s="7">
        <v>7680</v>
      </c>
      <c r="BE272" s="7">
        <v>7670.4</v>
      </c>
      <c r="BF272" s="5">
        <f>Table1[[#This Row],[الحد الادني]]-Table1[[#This Row],[الراتب 2018+النسبه]]</f>
        <v>5900</v>
      </c>
      <c r="BG272" s="5">
        <f>Table1[[#This Row],[التعديل حتي]]-Table1[[#This Row],[kkk]]</f>
        <v>-7670.4</v>
      </c>
      <c r="BH272" s="5">
        <v>7670.4</v>
      </c>
      <c r="BI272" s="5"/>
    </row>
    <row r="273" spans="1:61" ht="21" customHeight="1">
      <c r="A273" s="602">
        <v>6008</v>
      </c>
      <c r="B273" s="618" t="str">
        <f>VLOOKUP(Table1[[#This Row],[الرقم الوظيفي]],[1]Sheet2!$1:$1048576,2,)</f>
        <v>رفيده البدرى محمد محمد نور</v>
      </c>
      <c r="C273" s="599" t="str">
        <f>VLOOKUP(Table1[[#This Row],[الرقم الوظيفي]],[1]Sheet2!$1:$1048576,7,)</f>
        <v>السودانى الايطالى</v>
      </c>
      <c r="D273" s="599" t="str">
        <f>VLOOKUP(Table1[[#This Row],[الرقم الوظيفي]],[1]Sheet2!$1:$1048576,8,)</f>
        <v>الاداره</v>
      </c>
      <c r="E273" s="599">
        <f>VLOOKUP(Table1[[#This Row],[الرقم الوظيفي]],[1]Sheet2!$1:$1048576,9,)</f>
        <v>0</v>
      </c>
      <c r="F273" s="599" t="str">
        <f>VLOOKUP(Table1[[#This Row],[الرقم الوظيفي]],[1]Sheet2!$1:$1048576,12,)</f>
        <v>مندوب مبيعات</v>
      </c>
      <c r="G273" s="599" t="str">
        <f>VLOOKUP(Table1[[#This Row],[الرقم الوظيفي]],[1]Sheet2!$1:$1048576,72,)</f>
        <v>بكلاريوس الشرف</v>
      </c>
      <c r="H273" s="599" t="str">
        <f>VLOOKUP(Table1[[#This Row],[الرقم الوظيفي]],[1]Sheet2!$1:$1048576,71,)</f>
        <v xml:space="preserve">علوم زراعية </v>
      </c>
      <c r="I273" s="599" t="str">
        <f>VLOOKUP(Table1[[#This Row],[المؤهل الرئيسي]],Table4[],3,)</f>
        <v>C</v>
      </c>
      <c r="J273" s="599" t="s">
        <v>922</v>
      </c>
      <c r="K273" s="615">
        <f>VLOOKUP(Table1[[#This Row],[الرقم الوظيفي]],[1]Sheet2!$1:$1048576,13,)</f>
        <v>42692</v>
      </c>
      <c r="L273" s="615">
        <v>43830</v>
      </c>
      <c r="M273" s="599">
        <f>DATEDIF(Table1[[#This Row],[تاريخ التعيين]],Table1[[#This Row],[اخر العام]],"y")</f>
        <v>3</v>
      </c>
      <c r="N273" s="599">
        <f>DATEDIF(Table1[[#This Row],[تاريخ التعيين]],Table1[[#This Row],[اخر العام]],"ym")</f>
        <v>1</v>
      </c>
      <c r="O273" s="610">
        <f>Table1[[#This Row],[سنوات الخدمه]]*1+Table1[[#This Row],[الشهور اقل من سنه]]*0.08</f>
        <v>3.08</v>
      </c>
      <c r="P273" s="616">
        <v>5050</v>
      </c>
      <c r="Q273" s="617">
        <v>210.08</v>
      </c>
      <c r="R273" s="612"/>
      <c r="S273" s="599"/>
      <c r="T273" s="612"/>
      <c r="U273" s="612"/>
      <c r="V273" s="612"/>
      <c r="W273" s="612"/>
      <c r="X273" s="612"/>
      <c r="Y273" s="612"/>
      <c r="Z273" s="612"/>
      <c r="AA27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3" s="612"/>
      <c r="AC273" s="599"/>
      <c r="AD273" s="612"/>
      <c r="AE273" s="612"/>
      <c r="AF273" s="612"/>
      <c r="AG273" s="612"/>
      <c r="AH273" s="619">
        <f>SUM(Table1[[#This Row],[التقييد  باللوائح و تنفيذالتوجيه]:[اتباع اجراءات السلامه]])</f>
        <v>0</v>
      </c>
      <c r="AI273" s="619">
        <f>Table1[[#This Row],[المجموع]]+Table1[[#This Row],[المجموع2]]</f>
        <v>0</v>
      </c>
      <c r="AJ273" s="612">
        <v>8</v>
      </c>
      <c r="AK273" s="612"/>
      <c r="AL273" s="612"/>
      <c r="AM273" s="612"/>
      <c r="AN273" s="612"/>
      <c r="AO273" s="606">
        <f>Table1[[#This Row],[المجموع 1+2]]*$AO$2</f>
        <v>0</v>
      </c>
      <c r="AP273" s="648">
        <f>Table1[[#This Row],[راتب ديسمبر 2019]]*Table1[[#This Row],[نسبه التقييم الرئيسي 2018]]%</f>
        <v>0</v>
      </c>
      <c r="AQ273" s="627">
        <f>Table1[[#This Row],[مبلغ التقييم النسبي 2018]]+Table1[[#This Row],[راتب ديسمبر 2019]]</f>
        <v>5050</v>
      </c>
      <c r="AR273" s="10">
        <f>IF(Table1[[#This Row],[Column3]]&lt;0,0,Table1[[#This Row],[Column3]])</f>
        <v>5950</v>
      </c>
      <c r="AS273" s="599">
        <f>VLOOKUP(Table1[[#This Row],[درجه التوسيط]],Table10[],3,)</f>
        <v>11000</v>
      </c>
      <c r="AT273" s="608">
        <f>Table1[[#This Row],[الراتب 2018+النسبه]]+Table1[[#This Row],[فروقات الحد الادني]]</f>
        <v>11000</v>
      </c>
      <c r="AU273" s="629">
        <f>Table1[[#This Row],[الراتب 2018 + النسبه + الفرق]]-Table1[[#This Row],[راتب ديسمبر 2019]]</f>
        <v>5950</v>
      </c>
      <c r="AV273" s="628">
        <f>Table1[[#This Row],[الزياده]]/Table1[[#This Row],[راتب ديسمبر 2019]]%</f>
        <v>117.82178217821782</v>
      </c>
      <c r="AW273" s="659">
        <f>IF(Table1[[#This Row],[Column4]]&lt;0,0,Table1[[#This Row],[Column4]])</f>
        <v>0</v>
      </c>
      <c r="AX273" s="611">
        <f>Table1[[#This Row],[الجبر حتي]]-Table1[[#This Row],[رن]]</f>
        <v>7.5</v>
      </c>
      <c r="AY273" s="611">
        <f>Table1[[#This Row],[الزياده]]+Table1[[#This Row],[التعديل]]+Table1[[#This Row],[جبر الرقم]]</f>
        <v>5957.5</v>
      </c>
      <c r="AZ273" s="611">
        <f>Table1[[#This Row],[الراتب 2018 + النسبه + الفرق]]+Table1[[#This Row],[جبر الرقم]]+Table1[[#This Row],[التعديل]]</f>
        <v>11007.5</v>
      </c>
      <c r="BA273" s="631">
        <f>Table1[[#This Row],[الزياده النهائيه]]/Table1[[#This Row],[راتب ديسمبر 2019]]%</f>
        <v>117.97029702970298</v>
      </c>
      <c r="BB273" s="612">
        <f>VLOOKUP(Table1[[#This Row],[الرقم الوظيفي]],Table6[],8,)</f>
        <v>5050</v>
      </c>
      <c r="BC273" s="7"/>
      <c r="BD273" s="7">
        <v>7330</v>
      </c>
      <c r="BE273" s="7">
        <v>7322.5</v>
      </c>
      <c r="BF273" s="5">
        <f>Table1[[#This Row],[الحد الادني]]-Table1[[#This Row],[الراتب 2018+النسبه]]</f>
        <v>5950</v>
      </c>
      <c r="BG273" s="5">
        <f>Table1[[#This Row],[التعديل حتي]]-Table1[[#This Row],[kkk]]</f>
        <v>-7322.5</v>
      </c>
      <c r="BH273" s="5">
        <v>7322.5</v>
      </c>
      <c r="BI273" s="5"/>
    </row>
    <row r="274" spans="1:61" ht="21" customHeight="1">
      <c r="A274" s="602">
        <v>6010</v>
      </c>
      <c r="B274" s="618" t="str">
        <f>VLOOKUP(Table1[[#This Row],[الرقم الوظيفي]],[1]Sheet2!$1:$1048576,2,)</f>
        <v>فتح الرحمن عباس رحمه محمد</v>
      </c>
      <c r="C274" s="599" t="str">
        <f>VLOOKUP(Table1[[#This Row],[الرقم الوظيفي]],[1]Sheet2!$1:$1048576,7,)</f>
        <v>السودانى الايطالى</v>
      </c>
      <c r="D274" s="599" t="str">
        <f>VLOOKUP(Table1[[#This Row],[الرقم الوظيفي]],[1]Sheet2!$1:$1048576,8,)</f>
        <v>الانتاج</v>
      </c>
      <c r="E274" s="599">
        <f>VLOOKUP(Table1[[#This Row],[الرقم الوظيفي]],[1]Sheet2!$1:$1048576,9,)</f>
        <v>0</v>
      </c>
      <c r="F274" s="599" t="str">
        <f>VLOOKUP(Table1[[#This Row],[الرقم الوظيفي]],[1]Sheet2!$1:$1048576,12,)</f>
        <v>عامل</v>
      </c>
      <c r="G274" s="599">
        <f>VLOOKUP(Table1[[#This Row],[الرقم الوظيفي]],[1]Sheet2!$1:$1048576,72,)</f>
        <v>0</v>
      </c>
      <c r="H274" s="599">
        <f>VLOOKUP(Table1[[#This Row],[الرقم الوظيفي]],[1]Sheet2!$1:$1048576,71,)</f>
        <v>0</v>
      </c>
      <c r="I274" s="599" t="str">
        <f>VLOOKUP(Table1[[#This Row],[المؤهل الرئيسي]],Table4[],3,)</f>
        <v>H</v>
      </c>
      <c r="J274" s="599" t="s">
        <v>928</v>
      </c>
      <c r="K274" s="615">
        <f>VLOOKUP(Table1[[#This Row],[الرقم الوظيفي]],[1]Sheet2!$1:$1048576,13,)</f>
        <v>42719</v>
      </c>
      <c r="L274" s="615">
        <v>43830</v>
      </c>
      <c r="M274" s="599">
        <f>DATEDIF(Table1[[#This Row],[تاريخ التعيين]],Table1[[#This Row],[اخر العام]],"y")</f>
        <v>3</v>
      </c>
      <c r="N274" s="599">
        <f>DATEDIF(Table1[[#This Row],[تاريخ التعيين]],Table1[[#This Row],[اخر العام]],"ym")</f>
        <v>0</v>
      </c>
      <c r="O274" s="610">
        <f>Table1[[#This Row],[سنوات الخدمه]]*1+Table1[[#This Row],[الشهور اقل من سنه]]*0.08</f>
        <v>3</v>
      </c>
      <c r="P274" s="616">
        <v>3040</v>
      </c>
      <c r="Q274" s="617">
        <v>121.6</v>
      </c>
      <c r="R274" s="612"/>
      <c r="S274" s="599"/>
      <c r="T274" s="612"/>
      <c r="U274" s="612"/>
      <c r="V274" s="612"/>
      <c r="W274" s="612"/>
      <c r="X274" s="612"/>
      <c r="Y274" s="612"/>
      <c r="Z274" s="612"/>
      <c r="AA27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4" s="612"/>
      <c r="AC274" s="599"/>
      <c r="AD274" s="612"/>
      <c r="AE274" s="612"/>
      <c r="AF274" s="612"/>
      <c r="AG274" s="612"/>
      <c r="AH274" s="619">
        <f>SUM(Table1[[#This Row],[التقييد  باللوائح و تنفيذالتوجيه]:[اتباع اجراءات السلامه]])</f>
        <v>0</v>
      </c>
      <c r="AI274" s="619">
        <f>Table1[[#This Row],[المجموع]]+Table1[[#This Row],[المجموع2]]</f>
        <v>0</v>
      </c>
      <c r="AJ274" s="612">
        <v>5</v>
      </c>
      <c r="AK274" s="612"/>
      <c r="AL274" s="612"/>
      <c r="AM274" s="612"/>
      <c r="AN274" s="612"/>
      <c r="AO274" s="606">
        <f>Table1[[#This Row],[المجموع 1+2]]*$AO$2</f>
        <v>0</v>
      </c>
      <c r="AP274" s="648">
        <f>Table1[[#This Row],[راتب ديسمبر 2019]]*Table1[[#This Row],[نسبه التقييم الرئيسي 2018]]%</f>
        <v>0</v>
      </c>
      <c r="AQ274" s="627">
        <f>Table1[[#This Row],[مبلغ التقييم النسبي 2018]]+Table1[[#This Row],[راتب ديسمبر 2019]]</f>
        <v>3040</v>
      </c>
      <c r="AR274" s="10">
        <f>IF(Table1[[#This Row],[Column3]]&lt;0,0,Table1[[#This Row],[Column3]])</f>
        <v>3960</v>
      </c>
      <c r="AS274" s="599">
        <f>VLOOKUP(Table1[[#This Row],[درجه التوسيط]],Table10[],3,)</f>
        <v>7000</v>
      </c>
      <c r="AT274" s="608">
        <f>Table1[[#This Row],[الراتب 2018+النسبه]]+Table1[[#This Row],[فروقات الحد الادني]]</f>
        <v>7000</v>
      </c>
      <c r="AU274" s="629">
        <f>Table1[[#This Row],[الراتب 2018 + النسبه + الفرق]]-Table1[[#This Row],[راتب ديسمبر 2019]]</f>
        <v>3960</v>
      </c>
      <c r="AV274" s="628">
        <f>Table1[[#This Row],[الزياده]]/Table1[[#This Row],[راتب ديسمبر 2019]]%</f>
        <v>130.26315789473685</v>
      </c>
      <c r="AW274" s="659">
        <f>IF(Table1[[#This Row],[Column4]]&lt;0,0,Table1[[#This Row],[Column4]])</f>
        <v>0</v>
      </c>
      <c r="AX274" s="611">
        <f>Table1[[#This Row],[الجبر حتي]]-Table1[[#This Row],[رن]]</f>
        <v>0</v>
      </c>
      <c r="AY274" s="611">
        <f>Table1[[#This Row],[الزياده]]+Table1[[#This Row],[التعديل]]+Table1[[#This Row],[جبر الرقم]]</f>
        <v>3960</v>
      </c>
      <c r="AZ274" s="611">
        <f>Table1[[#This Row],[الراتب 2018 + النسبه + الفرق]]+Table1[[#This Row],[جبر الرقم]]+Table1[[#This Row],[التعديل]]</f>
        <v>7000</v>
      </c>
      <c r="BA274" s="631">
        <f>Table1[[#This Row],[الزياده النهائيه]]/Table1[[#This Row],[راتب ديسمبر 2019]]%</f>
        <v>130.26315789473685</v>
      </c>
      <c r="BB274" s="612">
        <f>VLOOKUP(Table1[[#This Row],[الرقم الوظيفي]],Table6[],8,)</f>
        <v>3040</v>
      </c>
      <c r="BC274" s="7"/>
      <c r="BD274" s="7">
        <v>5000</v>
      </c>
      <c r="BE274" s="7">
        <v>5000</v>
      </c>
      <c r="BF274" s="5">
        <f>Table1[[#This Row],[الحد الادني]]-Table1[[#This Row],[الراتب 2018+النسبه]]</f>
        <v>3960</v>
      </c>
      <c r="BG274" s="5">
        <f>Table1[[#This Row],[التعديل حتي]]-Table1[[#This Row],[kkk]]</f>
        <v>-5000</v>
      </c>
      <c r="BH274" s="5">
        <v>5000</v>
      </c>
      <c r="BI274" s="5"/>
    </row>
    <row r="275" spans="1:61" ht="21" customHeight="1">
      <c r="A275" s="602">
        <v>6011</v>
      </c>
      <c r="B275" s="618" t="str">
        <f>VLOOKUP(Table1[[#This Row],[الرقم الوظيفي]],[1]Sheet2!$1:$1048576,2,)</f>
        <v>عوض الله هجو الفكى سليم</v>
      </c>
      <c r="C275" s="599" t="str">
        <f>VLOOKUP(Table1[[#This Row],[الرقم الوظيفي]],[1]Sheet2!$1:$1048576,7,)</f>
        <v>السودانى الايطالى</v>
      </c>
      <c r="D275" s="599" t="str">
        <f>VLOOKUP(Table1[[#This Row],[الرقم الوظيفي]],[1]Sheet2!$1:$1048576,8,)</f>
        <v>الاداره</v>
      </c>
      <c r="E275" s="599">
        <f>VLOOKUP(Table1[[#This Row],[الرقم الوظيفي]],[1]Sheet2!$1:$1048576,9,)</f>
        <v>0</v>
      </c>
      <c r="F275" s="599" t="str">
        <f>VLOOKUP(Table1[[#This Row],[الرقم الوظيفي]],[1]Sheet2!$1:$1048576,12,)</f>
        <v>مهندس مشاريع</v>
      </c>
      <c r="G275" s="599" t="str">
        <f>VLOOKUP(Table1[[#This Row],[الرقم الوظيفي]],[1]Sheet2!$1:$1048576,72,)</f>
        <v>بكلاريوس الشرف</v>
      </c>
      <c r="H275" s="599" t="str">
        <f>VLOOKUP(Table1[[#This Row],[الرقم الوظيفي]],[1]Sheet2!$1:$1048576,71,)</f>
        <v>هندسة زراعة</v>
      </c>
      <c r="I275" s="599" t="str">
        <f>VLOOKUP(Table1[[#This Row],[المؤهل الرئيسي]],Table4[],3,)</f>
        <v>C</v>
      </c>
      <c r="J275" s="599" t="s">
        <v>922</v>
      </c>
      <c r="K275" s="615">
        <f>VLOOKUP(Table1[[#This Row],[الرقم الوظيفي]],[1]Sheet2!$1:$1048576,13,)</f>
        <v>42795</v>
      </c>
      <c r="L275" s="615">
        <v>43830</v>
      </c>
      <c r="M275" s="599">
        <f>DATEDIF(Table1[[#This Row],[تاريخ التعيين]],Table1[[#This Row],[اخر العام]],"y")</f>
        <v>2</v>
      </c>
      <c r="N275" s="599">
        <f>DATEDIF(Table1[[#This Row],[تاريخ التعيين]],Table1[[#This Row],[اخر العام]],"ym")</f>
        <v>9</v>
      </c>
      <c r="O275" s="610">
        <f>Table1[[#This Row],[سنوات الخدمه]]*1+Table1[[#This Row],[الشهور اقل من سنه]]*0.08</f>
        <v>2.7199999999999998</v>
      </c>
      <c r="P275" s="616">
        <v>5040</v>
      </c>
      <c r="Q275" s="617">
        <v>173.376</v>
      </c>
      <c r="R275" s="612"/>
      <c r="S275" s="599"/>
      <c r="T275" s="612"/>
      <c r="U275" s="612"/>
      <c r="V275" s="612"/>
      <c r="W275" s="612"/>
      <c r="X275" s="612"/>
      <c r="Y275" s="612"/>
      <c r="Z275" s="612"/>
      <c r="AA27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5" s="612"/>
      <c r="AC275" s="599"/>
      <c r="AD275" s="612"/>
      <c r="AE275" s="612"/>
      <c r="AF275" s="612"/>
      <c r="AG275" s="612"/>
      <c r="AH275" s="619">
        <f>SUM(Table1[[#This Row],[التقييد  باللوائح و تنفيذالتوجيه]:[اتباع اجراءات السلامه]])</f>
        <v>0</v>
      </c>
      <c r="AI275" s="619">
        <f>Table1[[#This Row],[المجموع]]+Table1[[#This Row],[المجموع2]]</f>
        <v>0</v>
      </c>
      <c r="AJ275" s="612">
        <v>6</v>
      </c>
      <c r="AK275" s="612"/>
      <c r="AL275" s="612"/>
      <c r="AM275" s="612"/>
      <c r="AN275" s="612"/>
      <c r="AO275" s="606">
        <f>Table1[[#This Row],[المجموع 1+2]]*$AO$2</f>
        <v>0</v>
      </c>
      <c r="AP275" s="648">
        <f>Table1[[#This Row],[راتب ديسمبر 2019]]*Table1[[#This Row],[نسبه التقييم الرئيسي 2018]]%</f>
        <v>0</v>
      </c>
      <c r="AQ275" s="627">
        <f>Table1[[#This Row],[مبلغ التقييم النسبي 2018]]+Table1[[#This Row],[راتب ديسمبر 2019]]</f>
        <v>5040</v>
      </c>
      <c r="AR275" s="10">
        <f>IF(Table1[[#This Row],[Column3]]&lt;0,0,Table1[[#This Row],[Column3]])</f>
        <v>5960</v>
      </c>
      <c r="AS275" s="599">
        <f>VLOOKUP(Table1[[#This Row],[درجه التوسيط]],Table10[],3,)</f>
        <v>11000</v>
      </c>
      <c r="AT275" s="608">
        <f>Table1[[#This Row],[الراتب 2018+النسبه]]+Table1[[#This Row],[فروقات الحد الادني]]</f>
        <v>11000</v>
      </c>
      <c r="AU275" s="629">
        <f>Table1[[#This Row],[الراتب 2018 + النسبه + الفرق]]-Table1[[#This Row],[راتب ديسمبر 2019]]</f>
        <v>5960</v>
      </c>
      <c r="AV275" s="628">
        <f>Table1[[#This Row],[الزياده]]/Table1[[#This Row],[راتب ديسمبر 2019]]%</f>
        <v>118.25396825396825</v>
      </c>
      <c r="AW275" s="659">
        <f>IF(Table1[[#This Row],[Column4]]&lt;0,0,Table1[[#This Row],[Column4]])</f>
        <v>0</v>
      </c>
      <c r="AX275" s="611">
        <f>Table1[[#This Row],[الجبر حتي]]-Table1[[#This Row],[رن]]</f>
        <v>1.5200000000004366</v>
      </c>
      <c r="AY275" s="611">
        <f>Table1[[#This Row],[الزياده]]+Table1[[#This Row],[التعديل]]+Table1[[#This Row],[جبر الرقم]]</f>
        <v>5961.52</v>
      </c>
      <c r="AZ275" s="611">
        <f>Table1[[#This Row],[الراتب 2018 + النسبه + الفرق]]+Table1[[#This Row],[جبر الرقم]]+Table1[[#This Row],[التعديل]]</f>
        <v>11001.52</v>
      </c>
      <c r="BA275" s="631">
        <f>Table1[[#This Row],[الزياده النهائيه]]/Table1[[#This Row],[راتب ديسمبر 2019]]%</f>
        <v>118.284126984127</v>
      </c>
      <c r="BB275" s="612">
        <f>VLOOKUP(Table1[[#This Row],[الرقم الوظيفي]],Table6[],8,)</f>
        <v>5040</v>
      </c>
      <c r="BC275" s="7"/>
      <c r="BD275" s="7">
        <v>7370</v>
      </c>
      <c r="BE275" s="7">
        <v>7368.48</v>
      </c>
      <c r="BF275" s="5">
        <f>Table1[[#This Row],[الحد الادني]]-Table1[[#This Row],[الراتب 2018+النسبه]]</f>
        <v>5960</v>
      </c>
      <c r="BG275" s="5">
        <f>Table1[[#This Row],[التعديل حتي]]-Table1[[#This Row],[kkk]]</f>
        <v>-7368.48</v>
      </c>
      <c r="BH275" s="5">
        <v>7368.48</v>
      </c>
      <c r="BI275" s="5"/>
    </row>
    <row r="276" spans="1:61" ht="21" customHeight="1">
      <c r="A276" s="602">
        <v>6013</v>
      </c>
      <c r="B276" s="618" t="str">
        <f>VLOOKUP(Table1[[#This Row],[الرقم الوظيفي]],[1]Sheet2!$1:$1048576,2,)</f>
        <v>صدام عبداللطيف فضل المولى الغزالى</v>
      </c>
      <c r="C276" s="599" t="str">
        <f>VLOOKUP(Table1[[#This Row],[الرقم الوظيفي]],[1]Sheet2!$1:$1048576,7,)</f>
        <v>السودانى الايطالى</v>
      </c>
      <c r="D276" s="599" t="str">
        <f>VLOOKUP(Table1[[#This Row],[الرقم الوظيفي]],[1]Sheet2!$1:$1048576,8,)</f>
        <v>الانتاج</v>
      </c>
      <c r="E276" s="599">
        <f>VLOOKUP(Table1[[#This Row],[الرقم الوظيفي]],[1]Sheet2!$1:$1048576,9,)</f>
        <v>0</v>
      </c>
      <c r="F276" s="599" t="str">
        <f>VLOOKUP(Table1[[#This Row],[الرقم الوظيفي]],[1]Sheet2!$1:$1048576,12,)</f>
        <v>عامل</v>
      </c>
      <c r="G276" s="599" t="str">
        <f>VLOOKUP(Table1[[#This Row],[الرقم الوظيفي]],[1]Sheet2!$1:$1048576,72,)</f>
        <v>بكلاريوس</v>
      </c>
      <c r="H276" s="599" t="str">
        <f>VLOOKUP(Table1[[#This Row],[الرقم الوظيفي]],[1]Sheet2!$1:$1048576,71,)</f>
        <v>الاقتصاد التطبيقى</v>
      </c>
      <c r="I276" s="599" t="str">
        <f>VLOOKUP(Table1[[#This Row],[المؤهل الرئيسي]],Table4[],3,)</f>
        <v>C</v>
      </c>
      <c r="J276" s="599" t="s">
        <v>929</v>
      </c>
      <c r="K276" s="615">
        <f>VLOOKUP(Table1[[#This Row],[الرقم الوظيفي]],[1]Sheet2!$1:$1048576,13,)</f>
        <v>42953</v>
      </c>
      <c r="L276" s="615">
        <v>43830</v>
      </c>
      <c r="M276" s="599">
        <f>DATEDIF(Table1[[#This Row],[تاريخ التعيين]],Table1[[#This Row],[اخر العام]],"y")</f>
        <v>2</v>
      </c>
      <c r="N276" s="599">
        <f>DATEDIF(Table1[[#This Row],[تاريخ التعيين]],Table1[[#This Row],[اخر العام]],"ym")</f>
        <v>4</v>
      </c>
      <c r="O276" s="610">
        <f>Table1[[#This Row],[سنوات الخدمه]]*1+Table1[[#This Row],[الشهور اقل من سنه]]*0.08</f>
        <v>2.3199999999999998</v>
      </c>
      <c r="P276" s="616">
        <v>3010</v>
      </c>
      <c r="Q276" s="617">
        <v>79.463999999999999</v>
      </c>
      <c r="R276" s="612"/>
      <c r="S276" s="599"/>
      <c r="T276" s="612"/>
      <c r="U276" s="612"/>
      <c r="V276" s="612"/>
      <c r="W276" s="612"/>
      <c r="X276" s="612"/>
      <c r="Y276" s="612"/>
      <c r="Z276" s="612"/>
      <c r="AA27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6" s="612"/>
      <c r="AC276" s="599"/>
      <c r="AD276" s="612"/>
      <c r="AE276" s="612"/>
      <c r="AF276" s="612"/>
      <c r="AG276" s="612"/>
      <c r="AH276" s="619">
        <f>SUM(Table1[[#This Row],[التقييد  باللوائح و تنفيذالتوجيه]:[اتباع اجراءات السلامه]])</f>
        <v>0</v>
      </c>
      <c r="AI276" s="619">
        <f>Table1[[#This Row],[المجموع]]+Table1[[#This Row],[المجموع2]]</f>
        <v>0</v>
      </c>
      <c r="AJ276" s="612">
        <v>8</v>
      </c>
      <c r="AK276" s="612"/>
      <c r="AL276" s="612"/>
      <c r="AM276" s="612"/>
      <c r="AN276" s="612"/>
      <c r="AO276" s="606">
        <f>Table1[[#This Row],[المجموع 1+2]]*$AO$2</f>
        <v>0</v>
      </c>
      <c r="AP276" s="648">
        <f>Table1[[#This Row],[راتب ديسمبر 2019]]*Table1[[#This Row],[نسبه التقييم الرئيسي 2018]]%</f>
        <v>0</v>
      </c>
      <c r="AQ276" s="627">
        <f>Table1[[#This Row],[مبلغ التقييم النسبي 2018]]+Table1[[#This Row],[راتب ديسمبر 2019]]</f>
        <v>3010</v>
      </c>
      <c r="AR276" s="10">
        <f>IF(Table1[[#This Row],[Column3]]&lt;0,0,Table1[[#This Row],[Column3]])</f>
        <v>2990</v>
      </c>
      <c r="AS276" s="599">
        <f>VLOOKUP(Table1[[#This Row],[درجه التوسيط]],Table10[],3,)</f>
        <v>6000</v>
      </c>
      <c r="AT276" s="608">
        <f>Table1[[#This Row],[الراتب 2018+النسبه]]+Table1[[#This Row],[فروقات الحد الادني]]</f>
        <v>6000</v>
      </c>
      <c r="AU276" s="629">
        <f>Table1[[#This Row],[الراتب 2018 + النسبه + الفرق]]-Table1[[#This Row],[راتب ديسمبر 2019]]</f>
        <v>2990</v>
      </c>
      <c r="AV276" s="628">
        <f>Table1[[#This Row],[الزياده]]/Table1[[#This Row],[راتب ديسمبر 2019]]%</f>
        <v>99.33554817275747</v>
      </c>
      <c r="AW276" s="659">
        <f>IF(Table1[[#This Row],[Column4]]&lt;0,0,Table1[[#This Row],[Column4]])</f>
        <v>0</v>
      </c>
      <c r="AX276" s="611">
        <f>Table1[[#This Row],[الجبر حتي]]-Table1[[#This Row],[رن]]</f>
        <v>8.4800000000004729</v>
      </c>
      <c r="AY276" s="611">
        <f>Table1[[#This Row],[الزياده]]+Table1[[#This Row],[التعديل]]+Table1[[#This Row],[جبر الرقم]]</f>
        <v>2998.4800000000005</v>
      </c>
      <c r="AZ276" s="611">
        <f>Table1[[#This Row],[الراتب 2018 + النسبه + الفرق]]+Table1[[#This Row],[جبر الرقم]]+Table1[[#This Row],[التعديل]]</f>
        <v>6008.4800000000005</v>
      </c>
      <c r="BA276" s="631">
        <f>Table1[[#This Row],[الزياده النهائيه]]/Table1[[#This Row],[راتب ديسمبر 2019]]%</f>
        <v>99.617275747508316</v>
      </c>
      <c r="BB276" s="612">
        <f>VLOOKUP(Table1[[#This Row],[الرقم الوظيفي]],Table6[],8,)</f>
        <v>3010</v>
      </c>
      <c r="BC276" s="7"/>
      <c r="BD276" s="7">
        <v>4680</v>
      </c>
      <c r="BE276" s="7">
        <v>4671.5199999999995</v>
      </c>
      <c r="BF276" s="5">
        <f>Table1[[#This Row],[الحد الادني]]-Table1[[#This Row],[الراتب 2018+النسبه]]</f>
        <v>2990</v>
      </c>
      <c r="BG276" s="5">
        <f>Table1[[#This Row],[التعديل حتي]]-Table1[[#This Row],[kkk]]</f>
        <v>-4671.5199999999995</v>
      </c>
      <c r="BH276" s="5">
        <v>4671.5199999999995</v>
      </c>
      <c r="BI276" s="5"/>
    </row>
    <row r="277" spans="1:61" ht="21" customHeight="1">
      <c r="A277" s="602">
        <v>6014</v>
      </c>
      <c r="B277" s="618" t="str">
        <f>VLOOKUP(Table1[[#This Row],[الرقم الوظيفي]],[1]Sheet2!$1:$1048576,2,)</f>
        <v>عبد الله العوض ادريس حسن</v>
      </c>
      <c r="C277" s="599" t="str">
        <f>VLOOKUP(Table1[[#This Row],[الرقم الوظيفي]],[1]Sheet2!$1:$1048576,7,)</f>
        <v>السودانى الايطالى</v>
      </c>
      <c r="D277" s="599" t="str">
        <f>VLOOKUP(Table1[[#This Row],[الرقم الوظيفي]],[1]Sheet2!$1:$1048576,8,)</f>
        <v>الانتاج</v>
      </c>
      <c r="E277" s="599">
        <f>VLOOKUP(Table1[[#This Row],[الرقم الوظيفي]],[1]Sheet2!$1:$1048576,9,)</f>
        <v>0</v>
      </c>
      <c r="F277" s="599" t="str">
        <f>VLOOKUP(Table1[[#This Row],[الرقم الوظيفي]],[1]Sheet2!$1:$1048576,12,)</f>
        <v>عامل</v>
      </c>
      <c r="G277" s="599">
        <f>VLOOKUP(Table1[[#This Row],[الرقم الوظيفي]],[1]Sheet2!$1:$1048576,72,)</f>
        <v>0</v>
      </c>
      <c r="H277" s="599">
        <f>VLOOKUP(Table1[[#This Row],[الرقم الوظيفي]],[1]Sheet2!$1:$1048576,71,)</f>
        <v>0</v>
      </c>
      <c r="I277" s="599" t="str">
        <f>VLOOKUP(Table1[[#This Row],[المؤهل الرئيسي]],Table4[],3,)</f>
        <v>H</v>
      </c>
      <c r="J277" s="599" t="s">
        <v>928</v>
      </c>
      <c r="K277" s="615">
        <f>VLOOKUP(Table1[[#This Row],[الرقم الوظيفي]],[1]Sheet2!$1:$1048576,13,)</f>
        <v>43023</v>
      </c>
      <c r="L277" s="615">
        <v>43830</v>
      </c>
      <c r="M277" s="599">
        <f>DATEDIF(Table1[[#This Row],[تاريخ التعيين]],Table1[[#This Row],[اخر العام]],"y")</f>
        <v>2</v>
      </c>
      <c r="N277" s="599">
        <f>DATEDIF(Table1[[#This Row],[تاريخ التعيين]],Table1[[#This Row],[اخر العام]],"ym")</f>
        <v>2</v>
      </c>
      <c r="O277" s="610">
        <f>Table1[[#This Row],[سنوات الخدمه]]*1+Table1[[#This Row],[الشهور اقل من سنه]]*0.08</f>
        <v>2.16</v>
      </c>
      <c r="P277" s="616">
        <v>3000</v>
      </c>
      <c r="Q277" s="617">
        <v>69.599999999999994</v>
      </c>
      <c r="R277" s="612"/>
      <c r="S277" s="599"/>
      <c r="T277" s="612"/>
      <c r="U277" s="612"/>
      <c r="V277" s="612"/>
      <c r="W277" s="612"/>
      <c r="X277" s="612"/>
      <c r="Y277" s="612"/>
      <c r="Z277" s="612"/>
      <c r="AA27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7" s="612"/>
      <c r="AC277" s="599"/>
      <c r="AD277" s="612"/>
      <c r="AE277" s="612"/>
      <c r="AF277" s="612"/>
      <c r="AG277" s="612"/>
      <c r="AH277" s="619">
        <f>SUM(Table1[[#This Row],[التقييد  باللوائح و تنفيذالتوجيه]:[اتباع اجراءات السلامه]])</f>
        <v>0</v>
      </c>
      <c r="AI277" s="619">
        <f>Table1[[#This Row],[المجموع]]+Table1[[#This Row],[المجموع2]]</f>
        <v>0</v>
      </c>
      <c r="AJ277" s="612">
        <v>7</v>
      </c>
      <c r="AK277" s="612"/>
      <c r="AL277" s="612"/>
      <c r="AM277" s="612"/>
      <c r="AN277" s="612"/>
      <c r="AO277" s="606">
        <f>Table1[[#This Row],[المجموع 1+2]]*$AO$2</f>
        <v>0</v>
      </c>
      <c r="AP277" s="648">
        <f>Table1[[#This Row],[راتب ديسمبر 2019]]*Table1[[#This Row],[نسبه التقييم الرئيسي 2018]]%</f>
        <v>0</v>
      </c>
      <c r="AQ277" s="627">
        <f>Table1[[#This Row],[مبلغ التقييم النسبي 2018]]+Table1[[#This Row],[راتب ديسمبر 2019]]</f>
        <v>3000</v>
      </c>
      <c r="AR277" s="10">
        <f>IF(Table1[[#This Row],[Column3]]&lt;0,0,Table1[[#This Row],[Column3]])</f>
        <v>4000</v>
      </c>
      <c r="AS277" s="599">
        <f>VLOOKUP(Table1[[#This Row],[درجه التوسيط]],Table10[],3,)</f>
        <v>7000</v>
      </c>
      <c r="AT277" s="608">
        <f>Table1[[#This Row],[الراتب 2018+النسبه]]+Table1[[#This Row],[فروقات الحد الادني]]</f>
        <v>7000</v>
      </c>
      <c r="AU277" s="629">
        <f>Table1[[#This Row],[الراتب 2018 + النسبه + الفرق]]-Table1[[#This Row],[راتب ديسمبر 2019]]</f>
        <v>4000</v>
      </c>
      <c r="AV277" s="628">
        <f>Table1[[#This Row],[الزياده]]/Table1[[#This Row],[راتب ديسمبر 2019]]%</f>
        <v>133.33333333333334</v>
      </c>
      <c r="AW277" s="659">
        <f>IF(Table1[[#This Row],[Column4]]&lt;0,0,Table1[[#This Row],[Column4]])</f>
        <v>0</v>
      </c>
      <c r="AX277" s="611">
        <f>Table1[[#This Row],[الجبر حتي]]-Table1[[#This Row],[رن]]</f>
        <v>0</v>
      </c>
      <c r="AY277" s="611">
        <f>Table1[[#This Row],[الزياده]]+Table1[[#This Row],[التعديل]]+Table1[[#This Row],[جبر الرقم]]</f>
        <v>4000</v>
      </c>
      <c r="AZ277" s="611">
        <f>Table1[[#This Row],[الراتب 2018 + النسبه + الفرق]]+Table1[[#This Row],[جبر الرقم]]+Table1[[#This Row],[التعديل]]</f>
        <v>7000</v>
      </c>
      <c r="BA277" s="631">
        <f>Table1[[#This Row],[الزياده النهائيه]]/Table1[[#This Row],[راتب ديسمبر 2019]]%</f>
        <v>133.33333333333334</v>
      </c>
      <c r="BB277" s="612">
        <f>VLOOKUP(Table1[[#This Row],[الرقم الوظيفي]],Table6[],8,)</f>
        <v>3000</v>
      </c>
      <c r="BC277" s="7"/>
      <c r="BD277" s="7">
        <v>5000</v>
      </c>
      <c r="BE277" s="7">
        <v>5000</v>
      </c>
      <c r="BF277" s="5">
        <f>Table1[[#This Row],[الحد الادني]]-Table1[[#This Row],[الراتب 2018+النسبه]]</f>
        <v>4000</v>
      </c>
      <c r="BG277" s="5">
        <f>Table1[[#This Row],[التعديل حتي]]-Table1[[#This Row],[kkk]]</f>
        <v>-5000</v>
      </c>
      <c r="BH277" s="5">
        <v>5000</v>
      </c>
      <c r="BI277" s="5"/>
    </row>
    <row r="278" spans="1:61" ht="21" customHeight="1">
      <c r="A278" s="602">
        <v>6016</v>
      </c>
      <c r="B278" s="618" t="str">
        <f>VLOOKUP(Table1[[#This Row],[الرقم الوظيفي]],[1]Sheet2!$1:$1048576,2,)</f>
        <v>محمد عمران محمد احمد</v>
      </c>
      <c r="C278" s="599" t="str">
        <f>VLOOKUP(Table1[[#This Row],[الرقم الوظيفي]],[1]Sheet2!$1:$1048576,7,)</f>
        <v>السودانى الايطالى</v>
      </c>
      <c r="D278" s="599" t="str">
        <f>VLOOKUP(Table1[[#This Row],[الرقم الوظيفي]],[1]Sheet2!$1:$1048576,8,)</f>
        <v>الانتاج</v>
      </c>
      <c r="E278" s="599" t="str">
        <f>VLOOKUP(Table1[[#This Row],[الرقم الوظيفي]],[1]Sheet2!$1:$1048576,9,)</f>
        <v>الزنك</v>
      </c>
      <c r="F278" s="599" t="str">
        <f>VLOOKUP(Table1[[#This Row],[الرقم الوظيفي]],[1]Sheet2!$1:$1048576,12,)</f>
        <v>مشغل</v>
      </c>
      <c r="G278" s="599" t="str">
        <f>VLOOKUP(Table1[[#This Row],[الرقم الوظيفي]],[1]Sheet2!$1:$1048576,72,)</f>
        <v>دبلوم تقني</v>
      </c>
      <c r="H278" s="599" t="str">
        <f>VLOOKUP(Table1[[#This Row],[الرقم الوظيفي]],[1]Sheet2!$1:$1048576,71,)</f>
        <v>نظم المعلومات الادارية</v>
      </c>
      <c r="I278" s="599" t="str">
        <f>VLOOKUP(Table1[[#This Row],[المؤهل الرئيسي]],Table4[],3,)</f>
        <v>D</v>
      </c>
      <c r="J278" s="599" t="s">
        <v>925</v>
      </c>
      <c r="K278" s="615">
        <f>VLOOKUP(Table1[[#This Row],[الرقم الوظيفي]],[1]Sheet2!$1:$1048576,13,)</f>
        <v>43044</v>
      </c>
      <c r="L278" s="615">
        <v>43830</v>
      </c>
      <c r="M278" s="599">
        <f>DATEDIF(Table1[[#This Row],[تاريخ التعيين]],Table1[[#This Row],[اخر العام]],"y")</f>
        <v>2</v>
      </c>
      <c r="N278" s="599">
        <f>DATEDIF(Table1[[#This Row],[تاريخ التعيين]],Table1[[#This Row],[اخر العام]],"ym")</f>
        <v>1</v>
      </c>
      <c r="O278" s="610">
        <f>Table1[[#This Row],[سنوات الخدمه]]*1+Table1[[#This Row],[الشهور اقل من سنه]]*0.08</f>
        <v>2.08</v>
      </c>
      <c r="P278" s="616">
        <v>3000</v>
      </c>
      <c r="Q278" s="617">
        <v>64.8</v>
      </c>
      <c r="R278" s="612"/>
      <c r="S278" s="599"/>
      <c r="T278" s="612"/>
      <c r="U278" s="612"/>
      <c r="V278" s="612"/>
      <c r="W278" s="612"/>
      <c r="X278" s="612"/>
      <c r="Y278" s="612"/>
      <c r="Z278" s="612"/>
      <c r="AA27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8" s="612"/>
      <c r="AC278" s="599"/>
      <c r="AD278" s="612"/>
      <c r="AE278" s="612"/>
      <c r="AF278" s="612"/>
      <c r="AG278" s="612"/>
      <c r="AH278" s="619">
        <f>SUM(Table1[[#This Row],[التقييد  باللوائح و تنفيذالتوجيه]:[اتباع اجراءات السلامه]])</f>
        <v>0</v>
      </c>
      <c r="AI278" s="619">
        <f>Table1[[#This Row],[المجموع]]+Table1[[#This Row],[المجموع2]]</f>
        <v>0</v>
      </c>
      <c r="AJ278" s="612">
        <v>8</v>
      </c>
      <c r="AK278" s="612"/>
      <c r="AL278" s="612"/>
      <c r="AM278" s="612"/>
      <c r="AN278" s="612"/>
      <c r="AO278" s="606">
        <f>Table1[[#This Row],[المجموع 1+2]]*$AO$2</f>
        <v>0</v>
      </c>
      <c r="AP278" s="648">
        <f>Table1[[#This Row],[راتب ديسمبر 2019]]*Table1[[#This Row],[نسبه التقييم الرئيسي 2018]]%</f>
        <v>0</v>
      </c>
      <c r="AQ278" s="627">
        <f>Table1[[#This Row],[مبلغ التقييم النسبي 2018]]+Table1[[#This Row],[راتب ديسمبر 2019]]</f>
        <v>3000</v>
      </c>
      <c r="AR278" s="10">
        <f>IF(Table1[[#This Row],[Column3]]&lt;0,0,Table1[[#This Row],[Column3]])</f>
        <v>6000</v>
      </c>
      <c r="AS278" s="599">
        <f>VLOOKUP(Table1[[#This Row],[درجه التوسيط]],Table10[],3,)</f>
        <v>9000</v>
      </c>
      <c r="AT278" s="608">
        <f>Table1[[#This Row],[الراتب 2018+النسبه]]+Table1[[#This Row],[فروقات الحد الادني]]</f>
        <v>9000</v>
      </c>
      <c r="AU278" s="629">
        <f>Table1[[#This Row],[الراتب 2018 + النسبه + الفرق]]-Table1[[#This Row],[راتب ديسمبر 2019]]</f>
        <v>6000</v>
      </c>
      <c r="AV278" s="628">
        <f>Table1[[#This Row],[الزياده]]/Table1[[#This Row],[راتب ديسمبر 2019]]%</f>
        <v>200</v>
      </c>
      <c r="AW278" s="659">
        <f>IF(Table1[[#This Row],[Column4]]&lt;0,0,Table1[[#This Row],[Column4]])</f>
        <v>0</v>
      </c>
      <c r="AX278" s="611">
        <f>Table1[[#This Row],[الجبر حتي]]-Table1[[#This Row],[رن]]</f>
        <v>0</v>
      </c>
      <c r="AY278" s="611">
        <f>Table1[[#This Row],[الزياده]]+Table1[[#This Row],[التعديل]]+Table1[[#This Row],[جبر الرقم]]</f>
        <v>6000</v>
      </c>
      <c r="AZ278" s="611">
        <f>Table1[[#This Row],[الراتب 2018 + النسبه + الفرق]]+Table1[[#This Row],[جبر الرقم]]+Table1[[#This Row],[التعديل]]</f>
        <v>9000</v>
      </c>
      <c r="BA278" s="631">
        <f>Table1[[#This Row],[الزياده النهائيه]]/Table1[[#This Row],[راتب ديسمبر 2019]]%</f>
        <v>200</v>
      </c>
      <c r="BB278" s="612">
        <f>VLOOKUP(Table1[[#This Row],[الرقم الوظيفي]],Table6[],8,)</f>
        <v>3000</v>
      </c>
      <c r="BC278" s="7"/>
      <c r="BD278" s="7">
        <v>6000</v>
      </c>
      <c r="BE278" s="7">
        <v>6000</v>
      </c>
      <c r="BF278" s="5">
        <f>Table1[[#This Row],[الحد الادني]]-Table1[[#This Row],[الراتب 2018+النسبه]]</f>
        <v>6000</v>
      </c>
      <c r="BG278" s="5">
        <f>Table1[[#This Row],[التعديل حتي]]-Table1[[#This Row],[kkk]]</f>
        <v>-6000</v>
      </c>
      <c r="BH278" s="5">
        <v>6000</v>
      </c>
      <c r="BI278" s="5"/>
    </row>
    <row r="279" spans="1:61" ht="21" customHeight="1">
      <c r="A279" s="602">
        <v>6017</v>
      </c>
      <c r="B279" s="618" t="str">
        <f>VLOOKUP(Table1[[#This Row],[الرقم الوظيفي]],[1]Sheet2!$1:$1048576,2,)</f>
        <v>باشا محمد تركاس محمد</v>
      </c>
      <c r="C279" s="599" t="str">
        <f>VLOOKUP(Table1[[#This Row],[الرقم الوظيفي]],[1]Sheet2!$1:$1048576,7,)</f>
        <v>السودانى الايطالى</v>
      </c>
      <c r="D279" s="599" t="str">
        <f>VLOOKUP(Table1[[#This Row],[الرقم الوظيفي]],[1]Sheet2!$1:$1048576,8,)</f>
        <v>الانتاج</v>
      </c>
      <c r="E279" s="599">
        <f>VLOOKUP(Table1[[#This Row],[الرقم الوظيفي]],[1]Sheet2!$1:$1048576,9,)</f>
        <v>0</v>
      </c>
      <c r="F279" s="599" t="str">
        <f>VLOOKUP(Table1[[#This Row],[الرقم الوظيفي]],[1]Sheet2!$1:$1048576,12,)</f>
        <v>عامل</v>
      </c>
      <c r="G279" s="599">
        <f>VLOOKUP(Table1[[#This Row],[الرقم الوظيفي]],[1]Sheet2!$1:$1048576,72,)</f>
        <v>0</v>
      </c>
      <c r="H279" s="599">
        <f>VLOOKUP(Table1[[#This Row],[الرقم الوظيفي]],[1]Sheet2!$1:$1048576,71,)</f>
        <v>0</v>
      </c>
      <c r="I279" s="599" t="str">
        <f>VLOOKUP(Table1[[#This Row],[المؤهل الرئيسي]],Table4[],3,)</f>
        <v>H</v>
      </c>
      <c r="J279" s="599" t="s">
        <v>928</v>
      </c>
      <c r="K279" s="615">
        <f>VLOOKUP(Table1[[#This Row],[الرقم الوظيفي]],[1]Sheet2!$1:$1048576,13,)</f>
        <v>43047</v>
      </c>
      <c r="L279" s="615">
        <v>43830</v>
      </c>
      <c r="M279" s="599">
        <f>DATEDIF(Table1[[#This Row],[تاريخ التعيين]],Table1[[#This Row],[اخر العام]],"y")</f>
        <v>2</v>
      </c>
      <c r="N279" s="599">
        <f>DATEDIF(Table1[[#This Row],[تاريخ التعيين]],Table1[[#This Row],[اخر العام]],"ym")</f>
        <v>1</v>
      </c>
      <c r="O279" s="610">
        <f>Table1[[#This Row],[سنوات الخدمه]]*1+Table1[[#This Row],[الشهور اقل من سنه]]*0.08</f>
        <v>2.08</v>
      </c>
      <c r="P279" s="616">
        <v>3000</v>
      </c>
      <c r="Q279" s="617">
        <v>64.8</v>
      </c>
      <c r="R279" s="612"/>
      <c r="S279" s="599"/>
      <c r="T279" s="612"/>
      <c r="U279" s="612"/>
      <c r="V279" s="612"/>
      <c r="W279" s="612"/>
      <c r="X279" s="612"/>
      <c r="Y279" s="612"/>
      <c r="Z279" s="612"/>
      <c r="AA27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79" s="612"/>
      <c r="AC279" s="599"/>
      <c r="AD279" s="612"/>
      <c r="AE279" s="612"/>
      <c r="AF279" s="612"/>
      <c r="AG279" s="612"/>
      <c r="AH279" s="619">
        <f>SUM(Table1[[#This Row],[التقييد  باللوائح و تنفيذالتوجيه]:[اتباع اجراءات السلامه]])</f>
        <v>0</v>
      </c>
      <c r="AI279" s="619">
        <f>Table1[[#This Row],[المجموع]]+Table1[[#This Row],[المجموع2]]</f>
        <v>0</v>
      </c>
      <c r="AJ279" s="612">
        <v>8</v>
      </c>
      <c r="AK279" s="612"/>
      <c r="AL279" s="612"/>
      <c r="AM279" s="612"/>
      <c r="AN279" s="612"/>
      <c r="AO279" s="606">
        <f>Table1[[#This Row],[المجموع 1+2]]*$AO$2</f>
        <v>0</v>
      </c>
      <c r="AP279" s="648">
        <f>Table1[[#This Row],[راتب ديسمبر 2019]]*Table1[[#This Row],[نسبه التقييم الرئيسي 2018]]%</f>
        <v>0</v>
      </c>
      <c r="AQ279" s="627">
        <f>Table1[[#This Row],[مبلغ التقييم النسبي 2018]]+Table1[[#This Row],[راتب ديسمبر 2019]]</f>
        <v>3000</v>
      </c>
      <c r="AR279" s="10">
        <f>IF(Table1[[#This Row],[Column3]]&lt;0,0,Table1[[#This Row],[Column3]])</f>
        <v>4000</v>
      </c>
      <c r="AS279" s="599">
        <f>VLOOKUP(Table1[[#This Row],[درجه التوسيط]],Table10[],3,)</f>
        <v>7000</v>
      </c>
      <c r="AT279" s="608">
        <f>Table1[[#This Row],[الراتب 2018+النسبه]]+Table1[[#This Row],[فروقات الحد الادني]]</f>
        <v>7000</v>
      </c>
      <c r="AU279" s="629">
        <f>Table1[[#This Row],[الراتب 2018 + النسبه + الفرق]]-Table1[[#This Row],[راتب ديسمبر 2019]]</f>
        <v>4000</v>
      </c>
      <c r="AV279" s="628">
        <f>Table1[[#This Row],[الزياده]]/Table1[[#This Row],[راتب ديسمبر 2019]]%</f>
        <v>133.33333333333334</v>
      </c>
      <c r="AW279" s="659">
        <f>IF(Table1[[#This Row],[Column4]]&lt;0,0,Table1[[#This Row],[Column4]])</f>
        <v>0</v>
      </c>
      <c r="AX279" s="611">
        <f>Table1[[#This Row],[الجبر حتي]]-Table1[[#This Row],[رن]]</f>
        <v>0</v>
      </c>
      <c r="AY279" s="611">
        <f>Table1[[#This Row],[الزياده]]+Table1[[#This Row],[التعديل]]+Table1[[#This Row],[جبر الرقم]]</f>
        <v>4000</v>
      </c>
      <c r="AZ279" s="611">
        <f>Table1[[#This Row],[الراتب 2018 + النسبه + الفرق]]+Table1[[#This Row],[جبر الرقم]]+Table1[[#This Row],[التعديل]]</f>
        <v>7000</v>
      </c>
      <c r="BA279" s="631">
        <f>Table1[[#This Row],[الزياده النهائيه]]/Table1[[#This Row],[راتب ديسمبر 2019]]%</f>
        <v>133.33333333333334</v>
      </c>
      <c r="BB279" s="612">
        <f>VLOOKUP(Table1[[#This Row],[الرقم الوظيفي]],Table6[],8,)</f>
        <v>3000</v>
      </c>
      <c r="BC279" s="7"/>
      <c r="BD279" s="7">
        <v>5000</v>
      </c>
      <c r="BE279" s="7">
        <v>5000</v>
      </c>
      <c r="BF279" s="5">
        <f>Table1[[#This Row],[الحد الادني]]-Table1[[#This Row],[الراتب 2018+النسبه]]</f>
        <v>4000</v>
      </c>
      <c r="BG279" s="5">
        <f>Table1[[#This Row],[التعديل حتي]]-Table1[[#This Row],[kkk]]</f>
        <v>-5000</v>
      </c>
      <c r="BH279" s="5">
        <v>5000</v>
      </c>
      <c r="BI279" s="5"/>
    </row>
    <row r="280" spans="1:61" ht="21" customHeight="1">
      <c r="A280" s="602">
        <v>6018</v>
      </c>
      <c r="B280" s="618" t="str">
        <f>VLOOKUP(Table1[[#This Row],[الرقم الوظيفي]],[1]Sheet2!$1:$1048576,2,)</f>
        <v>عبد الفتاح محمد عبدالله عبدالسلام</v>
      </c>
      <c r="C280" s="599" t="str">
        <f>VLOOKUP(Table1[[#This Row],[الرقم الوظيفي]],[1]Sheet2!$1:$1048576,7,)</f>
        <v>السودانى الايطالى</v>
      </c>
      <c r="D280" s="599" t="str">
        <f>VLOOKUP(Table1[[#This Row],[الرقم الوظيفي]],[1]Sheet2!$1:$1048576,8,)</f>
        <v>الانتاج</v>
      </c>
      <c r="E280" s="599">
        <f>VLOOKUP(Table1[[#This Row],[الرقم الوظيفي]],[1]Sheet2!$1:$1048576,9,)</f>
        <v>0</v>
      </c>
      <c r="F280" s="599" t="str">
        <f>VLOOKUP(Table1[[#This Row],[الرقم الوظيفي]],[1]Sheet2!$1:$1048576,12,)</f>
        <v>عامل</v>
      </c>
      <c r="G280" s="599" t="str">
        <f>VLOOKUP(Table1[[#This Row],[الرقم الوظيفي]],[1]Sheet2!$1:$1048576,72,)</f>
        <v>شهاده دورة تدريب</v>
      </c>
      <c r="H280" s="599" t="str">
        <f>VLOOKUP(Table1[[#This Row],[الرقم الوظيفي]],[1]Sheet2!$1:$1048576,71,)</f>
        <v>تصنيع الادوات الزراعية</v>
      </c>
      <c r="I280" s="599" t="str">
        <f>VLOOKUP(Table1[[#This Row],[المؤهل الرئيسي]],Table4[],3,)</f>
        <v>F</v>
      </c>
      <c r="J280" s="599" t="s">
        <v>928</v>
      </c>
      <c r="K280" s="615">
        <f>VLOOKUP(Table1[[#This Row],[الرقم الوظيفي]],[1]Sheet2!$1:$1048576,13,)</f>
        <v>43057</v>
      </c>
      <c r="L280" s="615">
        <v>43830</v>
      </c>
      <c r="M280" s="599">
        <f>DATEDIF(Table1[[#This Row],[تاريخ التعيين]],Table1[[#This Row],[اخر العام]],"y")</f>
        <v>2</v>
      </c>
      <c r="N280" s="599">
        <f>DATEDIF(Table1[[#This Row],[تاريخ التعيين]],Table1[[#This Row],[اخر العام]],"ym")</f>
        <v>1</v>
      </c>
      <c r="O280" s="610">
        <f>Table1[[#This Row],[سنوات الخدمه]]*1+Table1[[#This Row],[الشهور اقل من سنه]]*0.08</f>
        <v>2.08</v>
      </c>
      <c r="P280" s="616">
        <v>3000</v>
      </c>
      <c r="Q280" s="617">
        <v>64.8</v>
      </c>
      <c r="R280" s="612"/>
      <c r="S280" s="599"/>
      <c r="T280" s="612"/>
      <c r="U280" s="612"/>
      <c r="V280" s="612"/>
      <c r="W280" s="612"/>
      <c r="X280" s="612"/>
      <c r="Y280" s="612"/>
      <c r="Z280" s="612"/>
      <c r="AA28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0" s="612"/>
      <c r="AC280" s="599"/>
      <c r="AD280" s="612"/>
      <c r="AE280" s="612"/>
      <c r="AF280" s="612"/>
      <c r="AG280" s="612"/>
      <c r="AH280" s="619">
        <f>SUM(Table1[[#This Row],[التقييد  باللوائح و تنفيذالتوجيه]:[اتباع اجراءات السلامه]])</f>
        <v>0</v>
      </c>
      <c r="AI280" s="619">
        <f>Table1[[#This Row],[المجموع]]+Table1[[#This Row],[المجموع2]]</f>
        <v>0</v>
      </c>
      <c r="AJ280" s="612">
        <v>7</v>
      </c>
      <c r="AK280" s="612"/>
      <c r="AL280" s="612"/>
      <c r="AM280" s="612"/>
      <c r="AN280" s="612"/>
      <c r="AO280" s="606">
        <f>Table1[[#This Row],[المجموع 1+2]]*$AO$2</f>
        <v>0</v>
      </c>
      <c r="AP280" s="648">
        <f>Table1[[#This Row],[راتب ديسمبر 2019]]*Table1[[#This Row],[نسبه التقييم الرئيسي 2018]]%</f>
        <v>0</v>
      </c>
      <c r="AQ280" s="627">
        <f>Table1[[#This Row],[مبلغ التقييم النسبي 2018]]+Table1[[#This Row],[راتب ديسمبر 2019]]</f>
        <v>3000</v>
      </c>
      <c r="AR280" s="10">
        <f>IF(Table1[[#This Row],[Column3]]&lt;0,0,Table1[[#This Row],[Column3]])</f>
        <v>4000</v>
      </c>
      <c r="AS280" s="599">
        <f>VLOOKUP(Table1[[#This Row],[درجه التوسيط]],Table10[],3,)</f>
        <v>7000</v>
      </c>
      <c r="AT280" s="608">
        <f>Table1[[#This Row],[الراتب 2018+النسبه]]+Table1[[#This Row],[فروقات الحد الادني]]</f>
        <v>7000</v>
      </c>
      <c r="AU280" s="629">
        <f>Table1[[#This Row],[الراتب 2018 + النسبه + الفرق]]-Table1[[#This Row],[راتب ديسمبر 2019]]</f>
        <v>4000</v>
      </c>
      <c r="AV280" s="628">
        <f>Table1[[#This Row],[الزياده]]/Table1[[#This Row],[راتب ديسمبر 2019]]%</f>
        <v>133.33333333333334</v>
      </c>
      <c r="AW280" s="659">
        <f>IF(Table1[[#This Row],[Column4]]&lt;0,0,Table1[[#This Row],[Column4]])</f>
        <v>0</v>
      </c>
      <c r="AX280" s="611">
        <f>Table1[[#This Row],[الجبر حتي]]-Table1[[#This Row],[رن]]</f>
        <v>0</v>
      </c>
      <c r="AY280" s="611">
        <f>Table1[[#This Row],[الزياده]]+Table1[[#This Row],[التعديل]]+Table1[[#This Row],[جبر الرقم]]</f>
        <v>4000</v>
      </c>
      <c r="AZ280" s="611">
        <f>Table1[[#This Row],[الراتب 2018 + النسبه + الفرق]]+Table1[[#This Row],[جبر الرقم]]+Table1[[#This Row],[التعديل]]</f>
        <v>7000</v>
      </c>
      <c r="BA280" s="631">
        <f>Table1[[#This Row],[الزياده النهائيه]]/Table1[[#This Row],[راتب ديسمبر 2019]]%</f>
        <v>133.33333333333334</v>
      </c>
      <c r="BB280" s="612">
        <f>VLOOKUP(Table1[[#This Row],[الرقم الوظيفي]],Table6[],8,)</f>
        <v>3000</v>
      </c>
      <c r="BC280" s="7"/>
      <c r="BD280" s="7">
        <v>5000</v>
      </c>
      <c r="BE280" s="7">
        <v>5000</v>
      </c>
      <c r="BF280" s="5">
        <f>Table1[[#This Row],[الحد الادني]]-Table1[[#This Row],[الراتب 2018+النسبه]]</f>
        <v>4000</v>
      </c>
      <c r="BG280" s="5">
        <f>Table1[[#This Row],[التعديل حتي]]-Table1[[#This Row],[kkk]]</f>
        <v>-5000</v>
      </c>
      <c r="BH280" s="5">
        <v>5000</v>
      </c>
      <c r="BI280" s="5"/>
    </row>
    <row r="281" spans="1:61" ht="21" customHeight="1">
      <c r="A281" s="602">
        <v>8501</v>
      </c>
      <c r="B281" s="618" t="str">
        <f>VLOOKUP(Table1[[#This Row],[الرقم الوظيفي]],[1]Sheet2!$1:$1048576,2,)</f>
        <v>الطاهر على محمد</v>
      </c>
      <c r="C281" s="599" t="str">
        <f>VLOOKUP(Table1[[#This Row],[الرقم الوظيفي]],[1]Sheet2!$1:$1048576,7,)</f>
        <v>المكتب الاقليمي</v>
      </c>
      <c r="D281" s="599" t="str">
        <f>VLOOKUP(Table1[[#This Row],[الرقم الوظيفي]],[1]Sheet2!$1:$1048576,8,)</f>
        <v>الاداره</v>
      </c>
      <c r="E281" s="599">
        <f>VLOOKUP(Table1[[#This Row],[الرقم الوظيفي]],[1]Sheet2!$1:$1048576,9,)</f>
        <v>0</v>
      </c>
      <c r="F281" s="599" t="str">
        <f>VLOOKUP(Table1[[#This Row],[الرقم الوظيفي]],[1]Sheet2!$1:$1048576,12,)</f>
        <v>مدير المكتب الاقليمي</v>
      </c>
      <c r="G281" s="599">
        <f>VLOOKUP(Table1[[#This Row],[الرقم الوظيفي]],[1]Sheet2!$1:$1048576,72,)</f>
        <v>0</v>
      </c>
      <c r="H281" s="599">
        <f>VLOOKUP(Table1[[#This Row],[الرقم الوظيفي]],[1]Sheet2!$1:$1048576,71,)</f>
        <v>0</v>
      </c>
      <c r="I281" s="599" t="str">
        <f>VLOOKUP(Table1[[#This Row],[المؤهل الرئيسي]],Table4[],3,)</f>
        <v>H</v>
      </c>
      <c r="J281" s="599" t="s">
        <v>1108</v>
      </c>
      <c r="K281" s="615">
        <f>VLOOKUP(Table1[[#This Row],[الرقم الوظيفي]],[1]Sheet2!$1:$1048576,13,)</f>
        <v>42005</v>
      </c>
      <c r="L281" s="615">
        <v>43830</v>
      </c>
      <c r="M281" s="599">
        <f>DATEDIF(Table1[[#This Row],[تاريخ التعيين]],Table1[[#This Row],[اخر العام]],"y")</f>
        <v>4</v>
      </c>
      <c r="N281" s="599">
        <f>DATEDIF(Table1[[#This Row],[تاريخ التعيين]],Table1[[#This Row],[اخر العام]],"ym")</f>
        <v>11</v>
      </c>
      <c r="O281" s="610">
        <f>Table1[[#This Row],[سنوات الخدمه]]*1+Table1[[#This Row],[الشهور اقل من سنه]]*0.08</f>
        <v>4.88</v>
      </c>
      <c r="P281" s="616">
        <v>11240</v>
      </c>
      <c r="Q281" s="617">
        <v>872.22400000000005</v>
      </c>
      <c r="R281" s="612"/>
      <c r="S281" s="599"/>
      <c r="T281" s="612"/>
      <c r="U281" s="612"/>
      <c r="V281" s="612"/>
      <c r="W281" s="612"/>
      <c r="X281" s="612"/>
      <c r="Y281" s="612"/>
      <c r="Z281" s="612"/>
      <c r="AA28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1" s="612"/>
      <c r="AC281" s="599"/>
      <c r="AD281" s="612"/>
      <c r="AE281" s="612"/>
      <c r="AF281" s="612"/>
      <c r="AG281" s="612"/>
      <c r="AH281" s="619">
        <f>SUM(Table1[[#This Row],[التقييد  باللوائح و تنفيذالتوجيه]:[اتباع اجراءات السلامه]])</f>
        <v>0</v>
      </c>
      <c r="AI281" s="619">
        <f>Table1[[#This Row],[المجموع]]+Table1[[#This Row],[المجموع2]]</f>
        <v>0</v>
      </c>
      <c r="AJ281" s="612"/>
      <c r="AK281" s="612"/>
      <c r="AL281" s="612"/>
      <c r="AM281" s="612"/>
      <c r="AN281" s="612"/>
      <c r="AO281" s="606">
        <f>Table1[[#This Row],[المجموع 1+2]]*$AO$2</f>
        <v>0</v>
      </c>
      <c r="AP281" s="648">
        <f>Table1[[#This Row],[راتب ديسمبر 2019]]*Table1[[#This Row],[نسبه التقييم الرئيسي 2018]]%</f>
        <v>0</v>
      </c>
      <c r="AQ281" s="627">
        <f>Table1[[#This Row],[مبلغ التقييم النسبي 2018]]+Table1[[#This Row],[راتب ديسمبر 2019]]</f>
        <v>11240</v>
      </c>
      <c r="AR281" s="10">
        <f>IF(Table1[[#This Row],[Column3]]&lt;0,0,Table1[[#This Row],[Column3]])</f>
        <v>8760</v>
      </c>
      <c r="AS281" s="599">
        <f>VLOOKUP(Table1[[#This Row],[درجه التوسيط]],Table10[],3,)</f>
        <v>20000</v>
      </c>
      <c r="AT281" s="608">
        <f>Table1[[#This Row],[الراتب 2018+النسبه]]+Table1[[#This Row],[فروقات الحد الادني]]</f>
        <v>20000</v>
      </c>
      <c r="AU281" s="629">
        <f>Table1[[#This Row],[الراتب 2018 + النسبه + الفرق]]-Table1[[#This Row],[راتب ديسمبر 2019]]</f>
        <v>8760</v>
      </c>
      <c r="AV281" s="628">
        <f>Table1[[#This Row],[الزياده]]/Table1[[#This Row],[راتب ديسمبر 2019]]%</f>
        <v>77.935943060498218</v>
      </c>
      <c r="AW281" s="659">
        <f>IF(Table1[[#This Row],[Column4]]&lt;0,0,Table1[[#This Row],[Column4]])</f>
        <v>0</v>
      </c>
      <c r="AX281" s="611">
        <f>Table1[[#This Row],[الجبر حتي]]-Table1[[#This Row],[رن]]</f>
        <v>2.4799999999995634</v>
      </c>
      <c r="AY281" s="611">
        <f>Table1[[#This Row],[الزياده]]+Table1[[#This Row],[التعديل]]+Table1[[#This Row],[جبر الرقم]]</f>
        <v>8762.48</v>
      </c>
      <c r="AZ281" s="611">
        <f>Table1[[#This Row],[الراتب 2018 + النسبه + الفرق]]+Table1[[#This Row],[جبر الرقم]]+Table1[[#This Row],[التعديل]]</f>
        <v>20002.48</v>
      </c>
      <c r="BA281" s="631">
        <f>Table1[[#This Row],[الزياده النهائيه]]/Table1[[#This Row],[راتب ديسمبر 2019]]%</f>
        <v>77.958007117437717</v>
      </c>
      <c r="BB281" s="612">
        <f>VLOOKUP(Table1[[#This Row],[الرقم الوظيفي]],Table6[],8,)</f>
        <v>11240</v>
      </c>
      <c r="BC281" s="7"/>
      <c r="BD281" s="7">
        <v>16840</v>
      </c>
      <c r="BE281" s="5">
        <v>16837.52</v>
      </c>
      <c r="BF281" s="5">
        <f>Table1[[#This Row],[الحد الادني]]-Table1[[#This Row],[الراتب 2018+النسبه]]</f>
        <v>8760</v>
      </c>
      <c r="BG281" s="5">
        <f>Table1[[#This Row],[التعديل حتي]]-Table1[[#This Row],[kkk]]</f>
        <v>-11240</v>
      </c>
      <c r="BH281" s="5">
        <v>11240</v>
      </c>
      <c r="BI281" s="5"/>
    </row>
    <row r="282" spans="1:61" ht="21" customHeight="1">
      <c r="A282" s="602">
        <v>8502</v>
      </c>
      <c r="B282" s="618" t="str">
        <f>VLOOKUP(Table1[[#This Row],[الرقم الوظيفي]],[1]Sheet2!$1:$1048576,2,)</f>
        <v>محمد  حسن عثمان صالح</v>
      </c>
      <c r="C282" s="599" t="str">
        <f>VLOOKUP(Table1[[#This Row],[الرقم الوظيفي]],[1]Sheet2!$1:$1048576,7,)</f>
        <v>المكتب الاقليمي</v>
      </c>
      <c r="D282" s="599" t="str">
        <f>VLOOKUP(Table1[[#This Row],[الرقم الوظيفي]],[1]Sheet2!$1:$1048576,8,)</f>
        <v>التخليص</v>
      </c>
      <c r="E282" s="599">
        <f>VLOOKUP(Table1[[#This Row],[الرقم الوظيفي]],[1]Sheet2!$1:$1048576,9,)</f>
        <v>0</v>
      </c>
      <c r="F282" s="599" t="str">
        <f>VLOOKUP(Table1[[#This Row],[الرقم الوظيفي]],[1]Sheet2!$1:$1048576,12,)</f>
        <v>مخلص</v>
      </c>
      <c r="G282" s="599">
        <f>VLOOKUP(Table1[[#This Row],[الرقم الوظيفي]],[1]Sheet2!$1:$1048576,72,)</f>
        <v>0</v>
      </c>
      <c r="H282" s="599">
        <f>VLOOKUP(Table1[[#This Row],[الرقم الوظيفي]],[1]Sheet2!$1:$1048576,71,)</f>
        <v>0</v>
      </c>
      <c r="I282" s="599" t="str">
        <f>VLOOKUP(Table1[[#This Row],[المؤهل الرئيسي]],Table4[],3,)</f>
        <v>H</v>
      </c>
      <c r="J282" s="599" t="s">
        <v>981</v>
      </c>
      <c r="K282" s="615">
        <f>VLOOKUP(Table1[[#This Row],[الرقم الوظيفي]],[1]Sheet2!$1:$1048576,13,)</f>
        <v>42005</v>
      </c>
      <c r="L282" s="615">
        <v>43830</v>
      </c>
      <c r="M282" s="599">
        <f>DATEDIF(Table1[[#This Row],[تاريخ التعيين]],Table1[[#This Row],[اخر العام]],"y")</f>
        <v>4</v>
      </c>
      <c r="N282" s="599">
        <f>DATEDIF(Table1[[#This Row],[تاريخ التعيين]],Table1[[#This Row],[اخر العام]],"ym")</f>
        <v>11</v>
      </c>
      <c r="O282" s="610">
        <f>Table1[[#This Row],[سنوات الخدمه]]*1+Table1[[#This Row],[الشهور اقل من سنه]]*0.08</f>
        <v>4.88</v>
      </c>
      <c r="P282" s="616">
        <v>5720</v>
      </c>
      <c r="Q282" s="617">
        <v>443.87200000000001</v>
      </c>
      <c r="R282" s="612"/>
      <c r="S282" s="599"/>
      <c r="T282" s="612"/>
      <c r="U282" s="612"/>
      <c r="V282" s="612"/>
      <c r="W282" s="612"/>
      <c r="X282" s="612"/>
      <c r="Y282" s="612"/>
      <c r="Z282" s="612"/>
      <c r="AA28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2" s="612"/>
      <c r="AC282" s="599"/>
      <c r="AD282" s="612"/>
      <c r="AE282" s="612"/>
      <c r="AF282" s="612"/>
      <c r="AG282" s="612"/>
      <c r="AH282" s="619">
        <f>SUM(Table1[[#This Row],[التقييد  باللوائح و تنفيذالتوجيه]:[اتباع اجراءات السلامه]])</f>
        <v>0</v>
      </c>
      <c r="AI282" s="619">
        <f>Table1[[#This Row],[المجموع]]+Table1[[#This Row],[المجموع2]]</f>
        <v>0</v>
      </c>
      <c r="AJ282" s="612"/>
      <c r="AK282" s="612"/>
      <c r="AL282" s="612"/>
      <c r="AM282" s="612"/>
      <c r="AN282" s="612"/>
      <c r="AO282" s="606">
        <f>Table1[[#This Row],[المجموع 1+2]]*$AO$2</f>
        <v>0</v>
      </c>
      <c r="AP282" s="648">
        <f>Table1[[#This Row],[راتب ديسمبر 2019]]*Table1[[#This Row],[نسبه التقييم الرئيسي 2018]]%</f>
        <v>0</v>
      </c>
      <c r="AQ282" s="627">
        <f>Table1[[#This Row],[مبلغ التقييم النسبي 2018]]+Table1[[#This Row],[راتب ديسمبر 2019]]</f>
        <v>5720</v>
      </c>
      <c r="AR282" s="10">
        <f>IF(Table1[[#This Row],[Column3]]&lt;0,0,Table1[[#This Row],[Column3]])</f>
        <v>5280</v>
      </c>
      <c r="AS282" s="599">
        <f>VLOOKUP(Table1[[#This Row],[درجه التوسيط]],Table10[],3,)</f>
        <v>11000</v>
      </c>
      <c r="AT282" s="608">
        <f>Table1[[#This Row],[الراتب 2018+النسبه]]+Table1[[#This Row],[فروقات الحد الادني]]</f>
        <v>11000</v>
      </c>
      <c r="AU282" s="629">
        <f>Table1[[#This Row],[الراتب 2018 + النسبه + الفرق]]-Table1[[#This Row],[راتب ديسمبر 2019]]</f>
        <v>5280</v>
      </c>
      <c r="AV282" s="628">
        <f>Table1[[#This Row],[الزياده]]/Table1[[#This Row],[راتب ديسمبر 2019]]%</f>
        <v>92.307692307692307</v>
      </c>
      <c r="AW282" s="659">
        <f>IF(Table1[[#This Row],[Column4]]&lt;0,0,Table1[[#This Row],[Column4]])</f>
        <v>0</v>
      </c>
      <c r="AX282" s="611">
        <f>Table1[[#This Row],[الجبر حتي]]-Table1[[#This Row],[رن]]</f>
        <v>1.4400000000005093</v>
      </c>
      <c r="AY282" s="611">
        <f>Table1[[#This Row],[الزياده]]+Table1[[#This Row],[التعديل]]+Table1[[#This Row],[جبر الرقم]]</f>
        <v>5281.4400000000005</v>
      </c>
      <c r="AZ282" s="611">
        <f>Table1[[#This Row],[الراتب 2018 + النسبه + الفرق]]+Table1[[#This Row],[جبر الرقم]]+Table1[[#This Row],[التعديل]]</f>
        <v>11001.44</v>
      </c>
      <c r="BA282" s="631">
        <f>Table1[[#This Row],[الزياده النهائيه]]/Table1[[#This Row],[راتب ديسمبر 2019]]%</f>
        <v>92.332867132867136</v>
      </c>
      <c r="BB282" s="612">
        <f>VLOOKUP(Table1[[#This Row],[الرقم الوظيفي]],Table6[],8,)</f>
        <v>5720</v>
      </c>
      <c r="BC282" s="7"/>
      <c r="BD282" s="5">
        <v>8570</v>
      </c>
      <c r="BE282" s="5">
        <v>8568.56</v>
      </c>
      <c r="BF282" s="5">
        <f>Table1[[#This Row],[الحد الادني]]-Table1[[#This Row],[الراتب 2018+النسبه]]</f>
        <v>5280</v>
      </c>
      <c r="BG282" s="5">
        <f>Table1[[#This Row],[التعديل حتي]]-Table1[[#This Row],[kkk]]</f>
        <v>-5720</v>
      </c>
      <c r="BH282" s="5">
        <v>5720</v>
      </c>
      <c r="BI282" s="5"/>
    </row>
    <row r="283" spans="1:61" ht="18.75" customHeight="1">
      <c r="A283" s="602">
        <v>8503</v>
      </c>
      <c r="B283" s="618" t="str">
        <f>VLOOKUP(Table1[[#This Row],[الرقم الوظيفي]],[1]Sheet2!$1:$1048576,2,)</f>
        <v>على الطاهر على محمد</v>
      </c>
      <c r="C283" s="599" t="str">
        <f>VLOOKUP(Table1[[#This Row],[الرقم الوظيفي]],[1]Sheet2!$1:$1048576,7,)</f>
        <v>المكتب الاقليمي</v>
      </c>
      <c r="D283" s="599" t="str">
        <f>VLOOKUP(Table1[[#This Row],[الرقم الوظيفي]],[1]Sheet2!$1:$1048576,8,)</f>
        <v>التخليص</v>
      </c>
      <c r="E283" s="599">
        <f>VLOOKUP(Table1[[#This Row],[الرقم الوظيفي]],[1]Sheet2!$1:$1048576,9,)</f>
        <v>0</v>
      </c>
      <c r="F283" s="599" t="str">
        <f>VLOOKUP(Table1[[#This Row],[الرقم الوظيفي]],[1]Sheet2!$1:$1048576,12,)</f>
        <v>مخلص</v>
      </c>
      <c r="G283" s="599">
        <f>VLOOKUP(Table1[[#This Row],[الرقم الوظيفي]],[1]Sheet2!$1:$1048576,72,)</f>
        <v>0</v>
      </c>
      <c r="H283" s="599">
        <f>VLOOKUP(Table1[[#This Row],[الرقم الوظيفي]],[1]Sheet2!$1:$1048576,71,)</f>
        <v>0</v>
      </c>
      <c r="I283" s="599" t="str">
        <f>VLOOKUP(Table1[[#This Row],[المؤهل الرئيسي]],Table4[],3,)</f>
        <v>H</v>
      </c>
      <c r="J283" s="599" t="s">
        <v>981</v>
      </c>
      <c r="K283" s="615">
        <f>VLOOKUP(Table1[[#This Row],[الرقم الوظيفي]],[1]Sheet2!$1:$1048576,13,)</f>
        <v>42005</v>
      </c>
      <c r="L283" s="615">
        <v>43830</v>
      </c>
      <c r="M283" s="599">
        <f>DATEDIF(Table1[[#This Row],[تاريخ التعيين]],Table1[[#This Row],[اخر العام]],"y")</f>
        <v>4</v>
      </c>
      <c r="N283" s="599">
        <f>DATEDIF(Table1[[#This Row],[تاريخ التعيين]],Table1[[#This Row],[اخر العام]],"ym")</f>
        <v>11</v>
      </c>
      <c r="O283" s="610">
        <f>Table1[[#This Row],[سنوات الخدمه]]*1+Table1[[#This Row],[الشهور اقل من سنه]]*0.08</f>
        <v>4.88</v>
      </c>
      <c r="P283" s="616">
        <v>5720</v>
      </c>
      <c r="Q283" s="617">
        <v>443.87200000000001</v>
      </c>
      <c r="R283" s="612"/>
      <c r="S283" s="599"/>
      <c r="T283" s="612"/>
      <c r="U283" s="612"/>
      <c r="V283" s="612"/>
      <c r="W283" s="612"/>
      <c r="X283" s="612"/>
      <c r="Y283" s="612"/>
      <c r="Z283" s="612"/>
      <c r="AA28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3" s="612"/>
      <c r="AC283" s="599"/>
      <c r="AD283" s="612"/>
      <c r="AE283" s="612"/>
      <c r="AF283" s="612"/>
      <c r="AG283" s="612"/>
      <c r="AH283" s="619">
        <f>SUM(Table1[[#This Row],[التقييد  باللوائح و تنفيذالتوجيه]:[اتباع اجراءات السلامه]])</f>
        <v>0</v>
      </c>
      <c r="AI283" s="619">
        <f>Table1[[#This Row],[المجموع]]+Table1[[#This Row],[المجموع2]]</f>
        <v>0</v>
      </c>
      <c r="AJ283" s="612"/>
      <c r="AK283" s="612"/>
      <c r="AL283" s="612"/>
      <c r="AM283" s="612"/>
      <c r="AN283" s="612"/>
      <c r="AO283" s="606">
        <f>Table1[[#This Row],[المجموع 1+2]]*$AO$2</f>
        <v>0</v>
      </c>
      <c r="AP283" s="648">
        <f>Table1[[#This Row],[راتب ديسمبر 2019]]*Table1[[#This Row],[نسبه التقييم الرئيسي 2018]]%</f>
        <v>0</v>
      </c>
      <c r="AQ283" s="627">
        <f>Table1[[#This Row],[مبلغ التقييم النسبي 2018]]+Table1[[#This Row],[راتب ديسمبر 2019]]</f>
        <v>5720</v>
      </c>
      <c r="AR283" s="10">
        <f>IF(Table1[[#This Row],[Column3]]&lt;0,0,Table1[[#This Row],[Column3]])</f>
        <v>5280</v>
      </c>
      <c r="AS283" s="599">
        <f>VLOOKUP(Table1[[#This Row],[درجه التوسيط]],Table10[],3,)</f>
        <v>11000</v>
      </c>
      <c r="AT283" s="608">
        <f>Table1[[#This Row],[الراتب 2018+النسبه]]+Table1[[#This Row],[فروقات الحد الادني]]</f>
        <v>11000</v>
      </c>
      <c r="AU283" s="629">
        <f>Table1[[#This Row],[الراتب 2018 + النسبه + الفرق]]-Table1[[#This Row],[راتب ديسمبر 2019]]</f>
        <v>5280</v>
      </c>
      <c r="AV283" s="628">
        <f>Table1[[#This Row],[الزياده]]/Table1[[#This Row],[راتب ديسمبر 2019]]%</f>
        <v>92.307692307692307</v>
      </c>
      <c r="AW283" s="659">
        <f>IF(Table1[[#This Row],[Column4]]&lt;0,0,Table1[[#This Row],[Column4]])</f>
        <v>0</v>
      </c>
      <c r="AX283" s="611">
        <f>Table1[[#This Row],[الجبر حتي]]-Table1[[#This Row],[رن]]</f>
        <v>1.4400000000005093</v>
      </c>
      <c r="AY283" s="611">
        <f>Table1[[#This Row],[الزياده]]+Table1[[#This Row],[التعديل]]+Table1[[#This Row],[جبر الرقم]]</f>
        <v>5281.4400000000005</v>
      </c>
      <c r="AZ283" s="611">
        <f>Table1[[#This Row],[الراتب 2018 + النسبه + الفرق]]+Table1[[#This Row],[جبر الرقم]]+Table1[[#This Row],[التعديل]]</f>
        <v>11001.44</v>
      </c>
      <c r="BA283" s="631">
        <f>Table1[[#This Row],[الزياده النهائيه]]/Table1[[#This Row],[راتب ديسمبر 2019]]%</f>
        <v>92.332867132867136</v>
      </c>
      <c r="BB283" s="612">
        <f>VLOOKUP(Table1[[#This Row],[الرقم الوظيفي]],Table6[],8,)</f>
        <v>5720</v>
      </c>
      <c r="BC283" s="7"/>
      <c r="BD283" s="5">
        <v>8570</v>
      </c>
      <c r="BE283" s="5">
        <v>8568.56</v>
      </c>
      <c r="BF283" s="5">
        <f>Table1[[#This Row],[الحد الادني]]-Table1[[#This Row],[الراتب 2018+النسبه]]</f>
        <v>5280</v>
      </c>
      <c r="BG283" s="5">
        <f>Table1[[#This Row],[التعديل حتي]]-Table1[[#This Row],[kkk]]</f>
        <v>-5720</v>
      </c>
      <c r="BH283" s="5">
        <v>5720</v>
      </c>
      <c r="BI283" s="5"/>
    </row>
    <row r="284" spans="1:61" ht="18.75" customHeight="1">
      <c r="A284" s="602">
        <v>8504</v>
      </c>
      <c r="B284" s="618" t="str">
        <f>VLOOKUP(Table1[[#This Row],[الرقم الوظيفي]],[1]Sheet2!$1:$1048576,2,)</f>
        <v>فاطمه عمر محمد عمر</v>
      </c>
      <c r="C284" s="599" t="str">
        <f>VLOOKUP(Table1[[#This Row],[الرقم الوظيفي]],[1]Sheet2!$1:$1048576,7,)</f>
        <v>المكتب الاقليمي</v>
      </c>
      <c r="D284" s="599" t="str">
        <f>VLOOKUP(Table1[[#This Row],[الرقم الوظيفي]],[1]Sheet2!$1:$1048576,8,)</f>
        <v>الخدمات</v>
      </c>
      <c r="E284" s="599">
        <f>VLOOKUP(Table1[[#This Row],[الرقم الوظيفي]],[1]Sheet2!$1:$1048576,9,)</f>
        <v>0</v>
      </c>
      <c r="F284" s="599" t="str">
        <f>VLOOKUP(Table1[[#This Row],[الرقم الوظيفي]],[1]Sheet2!$1:$1048576,12,)</f>
        <v>عامل</v>
      </c>
      <c r="G284" s="599">
        <f>VLOOKUP(Table1[[#This Row],[الرقم الوظيفي]],[1]Sheet2!$1:$1048576,72,)</f>
        <v>0</v>
      </c>
      <c r="H284" s="599">
        <f>VLOOKUP(Table1[[#This Row],[الرقم الوظيفي]],[1]Sheet2!$1:$1048576,71,)</f>
        <v>0</v>
      </c>
      <c r="I284" s="599" t="str">
        <f>VLOOKUP(Table1[[#This Row],[المؤهل الرئيسي]],Table4[],3,)</f>
        <v>H</v>
      </c>
      <c r="J284" s="599" t="s">
        <v>1107</v>
      </c>
      <c r="K284" s="615">
        <f>VLOOKUP(Table1[[#This Row],[الرقم الوظيفي]],[1]Sheet2!$1:$1048576,13,)</f>
        <v>42005</v>
      </c>
      <c r="L284" s="615">
        <v>43830</v>
      </c>
      <c r="M284" s="599">
        <f>DATEDIF(Table1[[#This Row],[تاريخ التعيين]],Table1[[#This Row],[اخر العام]],"y")</f>
        <v>4</v>
      </c>
      <c r="N284" s="599">
        <f>DATEDIF(Table1[[#This Row],[تاريخ التعيين]],Table1[[#This Row],[اخر العام]],"ym")</f>
        <v>11</v>
      </c>
      <c r="O284" s="610">
        <f>Table1[[#This Row],[سنوات الخدمه]]*1+Table1[[#This Row],[الشهور اقل من سنه]]*0.08</f>
        <v>4.88</v>
      </c>
      <c r="P284" s="616">
        <v>3510</v>
      </c>
      <c r="Q284" s="617">
        <v>272.37599999999998</v>
      </c>
      <c r="R284" s="612"/>
      <c r="S284" s="599"/>
      <c r="T284" s="612"/>
      <c r="U284" s="612"/>
      <c r="V284" s="612"/>
      <c r="W284" s="612"/>
      <c r="X284" s="612"/>
      <c r="Y284" s="612"/>
      <c r="Z284" s="612"/>
      <c r="AA28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4" s="612"/>
      <c r="AC284" s="599"/>
      <c r="AD284" s="612"/>
      <c r="AE284" s="612"/>
      <c r="AF284" s="612"/>
      <c r="AG284" s="612"/>
      <c r="AH284" s="619">
        <f>SUM(Table1[[#This Row],[التقييد  باللوائح و تنفيذالتوجيه]:[اتباع اجراءات السلامه]])</f>
        <v>0</v>
      </c>
      <c r="AI284" s="619">
        <f>Table1[[#This Row],[المجموع]]+Table1[[#This Row],[المجموع2]]</f>
        <v>0</v>
      </c>
      <c r="AJ284" s="612"/>
      <c r="AK284" s="612"/>
      <c r="AL284" s="612"/>
      <c r="AM284" s="612"/>
      <c r="AN284" s="612"/>
      <c r="AO284" s="606">
        <f>Table1[[#This Row],[المجموع 1+2]]*$AO$2</f>
        <v>0</v>
      </c>
      <c r="AP284" s="648">
        <f>Table1[[#This Row],[راتب ديسمبر 2019]]*Table1[[#This Row],[نسبه التقييم الرئيسي 2018]]%</f>
        <v>0</v>
      </c>
      <c r="AQ284" s="627">
        <f>Table1[[#This Row],[مبلغ التقييم النسبي 2018]]+Table1[[#This Row],[راتب ديسمبر 2019]]</f>
        <v>3510</v>
      </c>
      <c r="AR284" s="10">
        <f>IF(Table1[[#This Row],[Column3]]&lt;0,0,Table1[[#This Row],[Column3]])</f>
        <v>2490</v>
      </c>
      <c r="AS284" s="599">
        <f>VLOOKUP(Table1[[#This Row],[درجه التوسيط]],Table10[],3,)</f>
        <v>6000</v>
      </c>
      <c r="AT284" s="608">
        <f>Table1[[#This Row],[الراتب 2018+النسبه]]+Table1[[#This Row],[فروقات الحد الادني]]</f>
        <v>6000</v>
      </c>
      <c r="AU284" s="629">
        <f>Table1[[#This Row],[الراتب 2018 + النسبه + الفرق]]-Table1[[#This Row],[راتب ديسمبر 2019]]</f>
        <v>2490</v>
      </c>
      <c r="AV284" s="628">
        <f>Table1[[#This Row],[الزياده]]/Table1[[#This Row],[راتب ديسمبر 2019]]%</f>
        <v>70.940170940170944</v>
      </c>
      <c r="AW284" s="659">
        <f>IF(Table1[[#This Row],[Column4]]&lt;0,0,Table1[[#This Row],[Column4]])</f>
        <v>0</v>
      </c>
      <c r="AX284" s="611">
        <f>Table1[[#This Row],[الجبر حتي]]-Table1[[#This Row],[رن]]</f>
        <v>2.0200000000004366</v>
      </c>
      <c r="AY284" s="611">
        <f>Table1[[#This Row],[الزياده]]+Table1[[#This Row],[التعديل]]+Table1[[#This Row],[جبر الرقم]]</f>
        <v>2492.0200000000004</v>
      </c>
      <c r="AZ284" s="611">
        <f>Table1[[#This Row],[الراتب 2018 + النسبه + الفرق]]+Table1[[#This Row],[جبر الرقم]]+Table1[[#This Row],[التعديل]]</f>
        <v>6002.02</v>
      </c>
      <c r="BA284" s="631">
        <f>Table1[[#This Row],[الزياده النهائيه]]/Table1[[#This Row],[راتب ديسمبر 2019]]%</f>
        <v>70.997720797720802</v>
      </c>
      <c r="BB284" s="612">
        <f>VLOOKUP(Table1[[#This Row],[الرقم الوظيفي]],Table6[],8,)</f>
        <v>3510</v>
      </c>
      <c r="BC284" s="7"/>
      <c r="BD284" s="5">
        <v>5260</v>
      </c>
      <c r="BE284" s="5">
        <v>5257.98</v>
      </c>
      <c r="BF284" s="5">
        <f>Table1[[#This Row],[الحد الادني]]-Table1[[#This Row],[الراتب 2018+النسبه]]</f>
        <v>2490</v>
      </c>
      <c r="BG284" s="5">
        <f>Table1[[#This Row],[التعديل حتي]]-Table1[[#This Row],[kkk]]</f>
        <v>-3510</v>
      </c>
      <c r="BH284" s="5">
        <v>3510</v>
      </c>
      <c r="BI284" s="5"/>
    </row>
    <row r="285" spans="1:61" ht="18.75" customHeight="1">
      <c r="A285" s="602">
        <v>8505</v>
      </c>
      <c r="B285" s="618" t="str">
        <f>VLOOKUP(Table1[[#This Row],[الرقم الوظيفي]],[1]Sheet2!$1:$1048576,2,)</f>
        <v>عامر الطاهر على محمد</v>
      </c>
      <c r="C285" s="599" t="str">
        <f>VLOOKUP(Table1[[#This Row],[الرقم الوظيفي]],[1]Sheet2!$1:$1048576,7,)</f>
        <v>المكتب الاقليمي</v>
      </c>
      <c r="D285" s="599" t="str">
        <f>VLOOKUP(Table1[[#This Row],[الرقم الوظيفي]],[1]Sheet2!$1:$1048576,8,)</f>
        <v>الماليه</v>
      </c>
      <c r="E285" s="599">
        <f>VLOOKUP(Table1[[#This Row],[الرقم الوظيفي]],[1]Sheet2!$1:$1048576,9,)</f>
        <v>0</v>
      </c>
      <c r="F285" s="599" t="str">
        <f>VLOOKUP(Table1[[#This Row],[الرقم الوظيفي]],[1]Sheet2!$1:$1048576,12,)</f>
        <v>محاسب</v>
      </c>
      <c r="G285" s="599">
        <f>VLOOKUP(Table1[[#This Row],[الرقم الوظيفي]],[1]Sheet2!$1:$1048576,72,)</f>
        <v>0</v>
      </c>
      <c r="H285" s="599">
        <f>VLOOKUP(Table1[[#This Row],[الرقم الوظيفي]],[1]Sheet2!$1:$1048576,71,)</f>
        <v>0</v>
      </c>
      <c r="I285" s="599" t="str">
        <f>VLOOKUP(Table1[[#This Row],[المؤهل الرئيسي]],Table4[],3,)</f>
        <v>H</v>
      </c>
      <c r="J285" s="599" t="s">
        <v>981</v>
      </c>
      <c r="K285" s="615">
        <f>VLOOKUP(Table1[[#This Row],[الرقم الوظيفي]],[1]Sheet2!$1:$1048576,13,)</f>
        <v>42430</v>
      </c>
      <c r="L285" s="615">
        <v>43830</v>
      </c>
      <c r="M285" s="599">
        <f>DATEDIF(Table1[[#This Row],[تاريخ التعيين]],Table1[[#This Row],[اخر العام]],"y")</f>
        <v>3</v>
      </c>
      <c r="N285" s="599">
        <f>DATEDIF(Table1[[#This Row],[تاريخ التعيين]],Table1[[#This Row],[اخر العام]],"ym")</f>
        <v>9</v>
      </c>
      <c r="O285" s="610">
        <f>Table1[[#This Row],[سنوات الخدمه]]*1+Table1[[#This Row],[الشهور اقل من سنه]]*0.08</f>
        <v>3.7199999999999998</v>
      </c>
      <c r="P285" s="616">
        <v>5090</v>
      </c>
      <c r="Q285" s="617">
        <v>276.89600000000002</v>
      </c>
      <c r="R285" s="612"/>
      <c r="S285" s="599"/>
      <c r="T285" s="612"/>
      <c r="U285" s="612"/>
      <c r="V285" s="612"/>
      <c r="W285" s="612"/>
      <c r="X285" s="612"/>
      <c r="Y285" s="612"/>
      <c r="Z285" s="612"/>
      <c r="AA28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5" s="612"/>
      <c r="AC285" s="599"/>
      <c r="AD285" s="612"/>
      <c r="AE285" s="612"/>
      <c r="AF285" s="612"/>
      <c r="AG285" s="612"/>
      <c r="AH285" s="619">
        <f>SUM(Table1[[#This Row],[التقييد  باللوائح و تنفيذالتوجيه]:[اتباع اجراءات السلامه]])</f>
        <v>0</v>
      </c>
      <c r="AI285" s="619">
        <f>Table1[[#This Row],[المجموع]]+Table1[[#This Row],[المجموع2]]</f>
        <v>0</v>
      </c>
      <c r="AJ285" s="612"/>
      <c r="AK285" s="612"/>
      <c r="AL285" s="612"/>
      <c r="AM285" s="612"/>
      <c r="AN285" s="612"/>
      <c r="AO285" s="606">
        <f>Table1[[#This Row],[المجموع 1+2]]*$AO$2</f>
        <v>0</v>
      </c>
      <c r="AP285" s="648">
        <f>Table1[[#This Row],[راتب ديسمبر 2019]]*Table1[[#This Row],[نسبه التقييم الرئيسي 2018]]%</f>
        <v>0</v>
      </c>
      <c r="AQ285" s="627">
        <f>Table1[[#This Row],[مبلغ التقييم النسبي 2018]]+Table1[[#This Row],[راتب ديسمبر 2019]]</f>
        <v>5090</v>
      </c>
      <c r="AR285" s="10">
        <f>IF(Table1[[#This Row],[Column3]]&lt;0,0,Table1[[#This Row],[Column3]])</f>
        <v>5910</v>
      </c>
      <c r="AS285" s="599">
        <f>VLOOKUP(Table1[[#This Row],[درجه التوسيط]],Table10[],3,)</f>
        <v>11000</v>
      </c>
      <c r="AT285" s="608">
        <f>Table1[[#This Row],[الراتب 2018+النسبه]]+Table1[[#This Row],[فروقات الحد الادني]]</f>
        <v>11000</v>
      </c>
      <c r="AU285" s="629">
        <f>Table1[[#This Row],[الراتب 2018 + النسبه + الفرق]]-Table1[[#This Row],[راتب ديسمبر 2019]]</f>
        <v>5910</v>
      </c>
      <c r="AV285" s="628">
        <f>Table1[[#This Row],[الزياده]]/Table1[[#This Row],[راتب ديسمبر 2019]]%</f>
        <v>116.11001964636543</v>
      </c>
      <c r="AW285" s="659">
        <f>IF(Table1[[#This Row],[Column4]]&lt;0,0,Table1[[#This Row],[Column4]])</f>
        <v>0</v>
      </c>
      <c r="AX285" s="611">
        <f>Table1[[#This Row],[الجبر حتي]]-Table1[[#This Row],[رن]]</f>
        <v>5.180000000000291</v>
      </c>
      <c r="AY285" s="611">
        <f>Table1[[#This Row],[الزياده]]+Table1[[#This Row],[التعديل]]+Table1[[#This Row],[جبر الرقم]]</f>
        <v>5915.18</v>
      </c>
      <c r="AZ285" s="611">
        <f>Table1[[#This Row],[الراتب 2018 + النسبه + الفرق]]+Table1[[#This Row],[جبر الرقم]]+Table1[[#This Row],[التعديل]]</f>
        <v>11005.18</v>
      </c>
      <c r="BA285" s="631">
        <f>Table1[[#This Row],[الزياده النهائيه]]/Table1[[#This Row],[راتب ديسمبر 2019]]%</f>
        <v>116.21178781925344</v>
      </c>
      <c r="BB285" s="612">
        <f>VLOOKUP(Table1[[#This Row],[الرقم الوظيفي]],Table6[],8,)</f>
        <v>5090</v>
      </c>
      <c r="BC285" s="7"/>
      <c r="BD285" s="5">
        <v>7630</v>
      </c>
      <c r="BE285" s="5">
        <v>7624.82</v>
      </c>
      <c r="BF285" s="5">
        <f>Table1[[#This Row],[الحد الادني]]-Table1[[#This Row],[الراتب 2018+النسبه]]</f>
        <v>5910</v>
      </c>
      <c r="BG285" s="5">
        <f>Table1[[#This Row],[التعديل حتي]]-Table1[[#This Row],[kkk]]</f>
        <v>-5090</v>
      </c>
      <c r="BH285" s="5">
        <v>5090</v>
      </c>
      <c r="BI285" s="5"/>
    </row>
    <row r="286" spans="1:61" ht="18.75" customHeight="1">
      <c r="A286" s="602">
        <v>8506</v>
      </c>
      <c r="B286" s="618" t="str">
        <f>VLOOKUP(Table1[[#This Row],[الرقم الوظيفي]],[1]Sheet2!$1:$1048576,2,)</f>
        <v>عمر عثمان محمد عثمان</v>
      </c>
      <c r="C286" s="599" t="str">
        <f>VLOOKUP(Table1[[#This Row],[الرقم الوظيفي]],[1]Sheet2!$1:$1048576,7,)</f>
        <v>المكتب الاقليمي</v>
      </c>
      <c r="D286" s="599">
        <f>VLOOKUP(Table1[[#This Row],[الرقم الوظيفي]],[1]Sheet2!$1:$1048576,8,)</f>
        <v>0</v>
      </c>
      <c r="E286" s="599">
        <f>VLOOKUP(Table1[[#This Row],[الرقم الوظيفي]],[1]Sheet2!$1:$1048576,9,)</f>
        <v>0</v>
      </c>
      <c r="F286" s="599" t="str">
        <f>VLOOKUP(Table1[[#This Row],[الرقم الوظيفي]],[1]Sheet2!$1:$1048576,12,)</f>
        <v>سائق</v>
      </c>
      <c r="G286" s="599">
        <f>VLOOKUP(Table1[[#This Row],[الرقم الوظيفي]],[1]Sheet2!$1:$1048576,72,)</f>
        <v>0</v>
      </c>
      <c r="H286" s="599">
        <f>VLOOKUP(Table1[[#This Row],[الرقم الوظيفي]],[1]Sheet2!$1:$1048576,71,)</f>
        <v>0</v>
      </c>
      <c r="I286" s="599" t="str">
        <f>VLOOKUP(Table1[[#This Row],[المؤهل الرئيسي]],Table4[],3,)</f>
        <v>H</v>
      </c>
      <c r="J286" s="599" t="s">
        <v>1109</v>
      </c>
      <c r="K286" s="615">
        <f>VLOOKUP(Table1[[#This Row],[الرقم الوظيفي]],[1]Sheet2!$1:$1048576,13,)</f>
        <v>43191</v>
      </c>
      <c r="L286" s="615">
        <v>43830</v>
      </c>
      <c r="M286" s="599">
        <f>DATEDIF(Table1[[#This Row],[تاريخ التعيين]],Table1[[#This Row],[اخر العام]],"y")</f>
        <v>1</v>
      </c>
      <c r="N286" s="599">
        <f>DATEDIF(Table1[[#This Row],[تاريخ التعيين]],Table1[[#This Row],[اخر العام]],"ym")</f>
        <v>8</v>
      </c>
      <c r="O286" s="610">
        <f>Table1[[#This Row],[سنوات الخدمه]]*1+Table1[[#This Row],[الشهور اقل من سنه]]*0.08</f>
        <v>1.6400000000000001</v>
      </c>
      <c r="P286" s="616">
        <v>3000</v>
      </c>
      <c r="Q286" s="617">
        <v>38.4</v>
      </c>
      <c r="R286" s="612"/>
      <c r="S286" s="599"/>
      <c r="T286" s="612"/>
      <c r="U286" s="612"/>
      <c r="V286" s="612"/>
      <c r="W286" s="612"/>
      <c r="X286" s="612"/>
      <c r="Y286" s="612"/>
      <c r="Z286" s="612"/>
      <c r="AA28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6" s="612"/>
      <c r="AC286" s="599"/>
      <c r="AD286" s="612"/>
      <c r="AE286" s="612"/>
      <c r="AF286" s="612"/>
      <c r="AG286" s="612"/>
      <c r="AH286" s="619">
        <f>SUM(Table1[[#This Row],[التقييد  باللوائح و تنفيذالتوجيه]:[اتباع اجراءات السلامه]])</f>
        <v>0</v>
      </c>
      <c r="AI286" s="619">
        <f>Table1[[#This Row],[المجموع]]+Table1[[#This Row],[المجموع2]]</f>
        <v>0</v>
      </c>
      <c r="AJ286" s="612"/>
      <c r="AK286" s="612"/>
      <c r="AL286" s="612"/>
      <c r="AM286" s="612"/>
      <c r="AN286" s="612"/>
      <c r="AO286" s="606">
        <f>Table1[[#This Row],[المجموع 1+2]]*$AO$2</f>
        <v>0</v>
      </c>
      <c r="AP286" s="648">
        <f>Table1[[#This Row],[راتب ديسمبر 2019]]*Table1[[#This Row],[نسبه التقييم الرئيسي 2018]]%</f>
        <v>0</v>
      </c>
      <c r="AQ286" s="627">
        <f>Table1[[#This Row],[مبلغ التقييم النسبي 2018]]+Table1[[#This Row],[راتب ديسمبر 2019]]</f>
        <v>3000</v>
      </c>
      <c r="AR286" s="10">
        <f>IF(Table1[[#This Row],[Column3]]&lt;0,0,Table1[[#This Row],[Column3]])</f>
        <v>6000</v>
      </c>
      <c r="AS286" s="599">
        <f>VLOOKUP(Table1[[#This Row],[درجه التوسيط]],Table10[],3,)</f>
        <v>9000</v>
      </c>
      <c r="AT286" s="608">
        <f>Table1[[#This Row],[الراتب 2018+النسبه]]+Table1[[#This Row],[فروقات الحد الادني]]</f>
        <v>9000</v>
      </c>
      <c r="AU286" s="629">
        <f>Table1[[#This Row],[الراتب 2018 + النسبه + الفرق]]-Table1[[#This Row],[راتب ديسمبر 2019]]</f>
        <v>6000</v>
      </c>
      <c r="AV286" s="628">
        <f>Table1[[#This Row],[الزياده]]/Table1[[#This Row],[راتب ديسمبر 2019]]%</f>
        <v>200</v>
      </c>
      <c r="AW286" s="659">
        <f>IF(Table1[[#This Row],[Column4]]&lt;0,0,Table1[[#This Row],[Column4]])</f>
        <v>0</v>
      </c>
      <c r="AX286" s="611">
        <f>Table1[[#This Row],[الجبر حتي]]-Table1[[#This Row],[رن]]</f>
        <v>0</v>
      </c>
      <c r="AY286" s="611">
        <f>Table1[[#This Row],[الزياده]]+Table1[[#This Row],[التعديل]]+Table1[[#This Row],[جبر الرقم]]</f>
        <v>6000</v>
      </c>
      <c r="AZ286" s="611">
        <f>Table1[[#This Row],[الراتب 2018 + النسبه + الفرق]]+Table1[[#This Row],[جبر الرقم]]+Table1[[#This Row],[التعديل]]</f>
        <v>9000</v>
      </c>
      <c r="BA286" s="631">
        <f>Table1[[#This Row],[الزياده النهائيه]]/Table1[[#This Row],[راتب ديسمبر 2019]]%</f>
        <v>200</v>
      </c>
      <c r="BB286" s="612">
        <f>VLOOKUP(Table1[[#This Row],[الرقم الوظيفي]],Table6[],8,)</f>
        <v>3000</v>
      </c>
      <c r="BC286" s="7"/>
      <c r="BD286" s="5">
        <v>6000</v>
      </c>
      <c r="BE286" s="5">
        <v>6000</v>
      </c>
      <c r="BF286" s="5">
        <f>Table1[[#This Row],[الحد الادني]]-Table1[[#This Row],[الراتب 2018+النسبه]]</f>
        <v>6000</v>
      </c>
      <c r="BG286" s="5">
        <f>Table1[[#This Row],[التعديل حتي]]-Table1[[#This Row],[kkk]]</f>
        <v>-3000</v>
      </c>
      <c r="BH286" s="5">
        <v>3000</v>
      </c>
      <c r="BI286" s="5"/>
    </row>
    <row r="287" spans="1:61" ht="18.75" customHeight="1">
      <c r="A287" s="602">
        <v>8507</v>
      </c>
      <c r="B287" s="618" t="str">
        <f>VLOOKUP(Table1[[#This Row],[الرقم الوظيفي]],[1]Sheet2!$1:$1048576,2,)</f>
        <v>روان مصطفى محمد خليفه</v>
      </c>
      <c r="C287" s="599" t="str">
        <f>VLOOKUP(Table1[[#This Row],[الرقم الوظيفي]],[1]Sheet2!$1:$1048576,7,)</f>
        <v>المكتب الاقليمي</v>
      </c>
      <c r="D287" s="599">
        <f>VLOOKUP(Table1[[#This Row],[الرقم الوظيفي]],[1]Sheet2!$1:$1048576,8,)</f>
        <v>0</v>
      </c>
      <c r="E287" s="599">
        <f>VLOOKUP(Table1[[#This Row],[الرقم الوظيفي]],[1]Sheet2!$1:$1048576,9,)</f>
        <v>0</v>
      </c>
      <c r="F287" s="599" t="str">
        <f>VLOOKUP(Table1[[#This Row],[الرقم الوظيفي]],[1]Sheet2!$1:$1048576,12,)</f>
        <v>سكرتيرة</v>
      </c>
      <c r="G287" s="599" t="str">
        <f>VLOOKUP(Table1[[#This Row],[الرقم الوظيفي]],[1]Sheet2!$1:$1048576,72,)</f>
        <v>دبلوم تقني</v>
      </c>
      <c r="H287" s="599" t="str">
        <f>VLOOKUP(Table1[[#This Row],[الرقم الوظيفي]],[1]Sheet2!$1:$1048576,71,)</f>
        <v>الدراسات الاسلامية</v>
      </c>
      <c r="I287" s="599" t="str">
        <f>VLOOKUP(Table1[[#This Row],[المؤهل الرئيسي]],Table4[],3,)</f>
        <v>D</v>
      </c>
      <c r="J287" s="599" t="s">
        <v>1110</v>
      </c>
      <c r="K287" s="615">
        <f>VLOOKUP(Table1[[#This Row],[الرقم الوظيفي]],[1]Sheet2!$1:$1048576,13,)</f>
        <v>43221</v>
      </c>
      <c r="L287" s="615">
        <v>43830</v>
      </c>
      <c r="M287" s="599">
        <f>DATEDIF(Table1[[#This Row],[تاريخ التعيين]],Table1[[#This Row],[اخر العام]],"y")</f>
        <v>1</v>
      </c>
      <c r="N287" s="599">
        <f>DATEDIF(Table1[[#This Row],[تاريخ التعيين]],Table1[[#This Row],[اخر العام]],"ym")</f>
        <v>7</v>
      </c>
      <c r="O287" s="610">
        <f>Table1[[#This Row],[سنوات الخدمه]]*1+Table1[[#This Row],[الشهور اقل من سنه]]*0.08</f>
        <v>1.56</v>
      </c>
      <c r="P287" s="616">
        <v>3000</v>
      </c>
      <c r="Q287" s="617">
        <v>33.6</v>
      </c>
      <c r="R287" s="612"/>
      <c r="S287" s="599"/>
      <c r="T287" s="612"/>
      <c r="U287" s="612"/>
      <c r="V287" s="612"/>
      <c r="W287" s="612"/>
      <c r="X287" s="612"/>
      <c r="Y287" s="612"/>
      <c r="Z287" s="612"/>
      <c r="AA28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7" s="612"/>
      <c r="AC287" s="599"/>
      <c r="AD287" s="612"/>
      <c r="AE287" s="612"/>
      <c r="AF287" s="612"/>
      <c r="AG287" s="612"/>
      <c r="AH287" s="619">
        <f>SUM(Table1[[#This Row],[التقييد  باللوائح و تنفيذالتوجيه]:[اتباع اجراءات السلامه]])</f>
        <v>0</v>
      </c>
      <c r="AI287" s="619">
        <f>Table1[[#This Row],[المجموع]]+Table1[[#This Row],[المجموع2]]</f>
        <v>0</v>
      </c>
      <c r="AJ287" s="612"/>
      <c r="AK287" s="612"/>
      <c r="AL287" s="612"/>
      <c r="AM287" s="612"/>
      <c r="AN287" s="612"/>
      <c r="AO287" s="606">
        <f>Table1[[#This Row],[المجموع 1+2]]*$AO$2</f>
        <v>0</v>
      </c>
      <c r="AP287" s="648">
        <f>Table1[[#This Row],[راتب ديسمبر 2019]]*Table1[[#This Row],[نسبه التقييم الرئيسي 2018]]%</f>
        <v>0</v>
      </c>
      <c r="AQ287" s="627">
        <f>Table1[[#This Row],[مبلغ التقييم النسبي 2018]]+Table1[[#This Row],[راتب ديسمبر 2019]]</f>
        <v>3000</v>
      </c>
      <c r="AR287" s="10">
        <f>IF(Table1[[#This Row],[Column3]]&lt;0,0,Table1[[#This Row],[Column3]])</f>
        <v>5000</v>
      </c>
      <c r="AS287" s="599">
        <f>VLOOKUP(Table1[[#This Row],[درجه التوسيط]],Table10[],3,)</f>
        <v>8000</v>
      </c>
      <c r="AT287" s="608">
        <f>Table1[[#This Row],[الراتب 2018+النسبه]]+Table1[[#This Row],[فروقات الحد الادني]]</f>
        <v>8000</v>
      </c>
      <c r="AU287" s="629">
        <f>Table1[[#This Row],[الراتب 2018 + النسبه + الفرق]]-Table1[[#This Row],[راتب ديسمبر 2019]]</f>
        <v>5000</v>
      </c>
      <c r="AV287" s="628">
        <f>Table1[[#This Row],[الزياده]]/Table1[[#This Row],[راتب ديسمبر 2019]]%</f>
        <v>166.66666666666666</v>
      </c>
      <c r="AW287" s="659">
        <f>IF(Table1[[#This Row],[Column4]]&lt;0,0,Table1[[#This Row],[Column4]])</f>
        <v>0</v>
      </c>
      <c r="AX287" s="611">
        <f>Table1[[#This Row],[الجبر حتي]]-Table1[[#This Row],[رن]]</f>
        <v>0</v>
      </c>
      <c r="AY287" s="611">
        <f>Table1[[#This Row],[الزياده]]+Table1[[#This Row],[التعديل]]+Table1[[#This Row],[جبر الرقم]]</f>
        <v>5000</v>
      </c>
      <c r="AZ287" s="611">
        <f>Table1[[#This Row],[الراتب 2018 + النسبه + الفرق]]+Table1[[#This Row],[جبر الرقم]]+Table1[[#This Row],[التعديل]]</f>
        <v>8000</v>
      </c>
      <c r="BA287" s="631">
        <f>Table1[[#This Row],[الزياده النهائيه]]/Table1[[#This Row],[راتب ديسمبر 2019]]%</f>
        <v>166.66666666666666</v>
      </c>
      <c r="BB287" s="612">
        <f>VLOOKUP(Table1[[#This Row],[الرقم الوظيفي]],Table6[],8,)</f>
        <v>3000</v>
      </c>
      <c r="BC287" s="7"/>
      <c r="BD287" s="5">
        <v>5500</v>
      </c>
      <c r="BE287" s="5">
        <v>5500</v>
      </c>
      <c r="BF287" s="5">
        <f>Table1[[#This Row],[الحد الادني]]-Table1[[#This Row],[الراتب 2018+النسبه]]</f>
        <v>5000</v>
      </c>
      <c r="BG287" s="5">
        <f>Table1[[#This Row],[التعديل حتي]]-Table1[[#This Row],[kkk]]</f>
        <v>-3000</v>
      </c>
      <c r="BH287" s="5">
        <v>3000</v>
      </c>
      <c r="BI287" s="5"/>
    </row>
    <row r="288" spans="1:61" ht="18.75" customHeight="1">
      <c r="A288" s="602">
        <v>1008</v>
      </c>
      <c r="B288" s="618" t="str">
        <f>VLOOKUP(Table1[[#This Row],[الرقم الوظيفي]],[1]Sheet2!$1:$1048576,2,)</f>
        <v>فايز عوض ابراهيم محمد</v>
      </c>
      <c r="C288" s="599" t="str">
        <f>VLOOKUP(Table1[[#This Row],[الرقم الوظيفي]],[1]Sheet2!$1:$1048576,7,)</f>
        <v>الرئاسه</v>
      </c>
      <c r="D288" s="599" t="str">
        <f>VLOOKUP(Table1[[#This Row],[الرقم الوظيفي]],[1]Sheet2!$1:$1048576,8,)</f>
        <v>العلاقات العامه</v>
      </c>
      <c r="E288" s="599">
        <f>VLOOKUP(Table1[[#This Row],[الرقم الوظيفي]],[1]Sheet2!$1:$1048576,9,)</f>
        <v>0</v>
      </c>
      <c r="F288" s="599" t="str">
        <f>VLOOKUP(Table1[[#This Row],[الرقم الوظيفي]],[1]Sheet2!$1:$1048576,12,)</f>
        <v>علاقات عامه</v>
      </c>
      <c r="G288" s="599">
        <f>VLOOKUP(Table1[[#This Row],[الرقم الوظيفي]],[1]Sheet2!$1:$1048576,72,)</f>
        <v>0</v>
      </c>
      <c r="H288" s="599">
        <f>VLOOKUP(Table1[[#This Row],[الرقم الوظيفي]],[1]Sheet2!$1:$1048576,71,)</f>
        <v>0</v>
      </c>
      <c r="I288" s="599" t="str">
        <f>VLOOKUP(Table1[[#This Row],[المؤهل الرئيسي]],Table4[],3,)</f>
        <v>H</v>
      </c>
      <c r="J288" s="599" t="s">
        <v>922</v>
      </c>
      <c r="K288" s="615">
        <f>VLOOKUP(Table1[[#This Row],[الرقم الوظيفي]],[1]Sheet2!$1:$1048576,13,)</f>
        <v>39142</v>
      </c>
      <c r="L288" s="615">
        <v>43830</v>
      </c>
      <c r="M288" s="599">
        <f>DATEDIF(Table1[[#This Row],[تاريخ التعيين]],Table1[[#This Row],[اخر العام]],"y")</f>
        <v>12</v>
      </c>
      <c r="N288" s="599">
        <f>DATEDIF(Table1[[#This Row],[تاريخ التعيين]],Table1[[#This Row],[اخر العام]],"ym")</f>
        <v>9</v>
      </c>
      <c r="O288" s="610">
        <f>Table1[[#This Row],[سنوات الخدمه]]*1+Table1[[#This Row],[الشهور اقل من سنه]]*0.08</f>
        <v>12.72</v>
      </c>
      <c r="P288" s="616">
        <v>10740</v>
      </c>
      <c r="Q288" s="617">
        <v>2517.4560000000001</v>
      </c>
      <c r="R288" s="612"/>
      <c r="S288" s="599"/>
      <c r="T288" s="612"/>
      <c r="U288" s="612"/>
      <c r="V288" s="612"/>
      <c r="W288" s="612"/>
      <c r="X288" s="612"/>
      <c r="Y288" s="612"/>
      <c r="Z288" s="612"/>
      <c r="AA28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8" s="612"/>
      <c r="AC288" s="599"/>
      <c r="AD288" s="612"/>
      <c r="AE288" s="612"/>
      <c r="AF288" s="612"/>
      <c r="AG288" s="612"/>
      <c r="AH288" s="619">
        <f>SUM(Table1[[#This Row],[التقييد  باللوائح و تنفيذالتوجيه]:[اتباع اجراءات السلامه]])</f>
        <v>0</v>
      </c>
      <c r="AI288" s="619">
        <f>Table1[[#This Row],[المجموع]]+Table1[[#This Row],[المجموع2]]</f>
        <v>0</v>
      </c>
      <c r="AJ288" s="612">
        <v>9</v>
      </c>
      <c r="AK288" s="612"/>
      <c r="AL288" s="612"/>
      <c r="AM288" s="612">
        <v>6</v>
      </c>
      <c r="AN288" s="612"/>
      <c r="AO288" s="606">
        <f>Table1[[#This Row],[المجموع 1+2]]*$AO$2</f>
        <v>0</v>
      </c>
      <c r="AP288" s="648">
        <f>Table1[[#This Row],[راتب ديسمبر 2019]]*Table1[[#This Row],[نسبه التقييم الرئيسي 2018]]%</f>
        <v>0</v>
      </c>
      <c r="AQ288" s="627">
        <f>Table1[[#This Row],[مبلغ التقييم النسبي 2018]]+Table1[[#This Row],[راتب ديسمبر 2019]]</f>
        <v>10740</v>
      </c>
      <c r="AR288" s="10">
        <f>IF(Table1[[#This Row],[Column3]]&lt;0,0,Table1[[#This Row],[Column3]])</f>
        <v>260</v>
      </c>
      <c r="AS288" s="599">
        <f>VLOOKUP(Table1[[#This Row],[درجه التوسيط]],Table10[],3,)</f>
        <v>11000</v>
      </c>
      <c r="AT288" s="608">
        <f>Table1[[#This Row],[الراتب 2018+النسبه]]+Table1[[#This Row],[فروقات الحد الادني]]</f>
        <v>11000</v>
      </c>
      <c r="AU288" s="629">
        <f>Table1[[#This Row],[الراتب 2018 + النسبه + الفرق]]-Table1[[#This Row],[راتب ديسمبر 2019]]</f>
        <v>260</v>
      </c>
      <c r="AV288" s="628">
        <f>Table1[[#This Row],[الزياده]]/Table1[[#This Row],[راتب ديسمبر 2019]]%</f>
        <v>2.4208566108007448</v>
      </c>
      <c r="AW288" s="659">
        <f>IF(Table1[[#This Row],[Column4]]&lt;0,0,Table1[[#This Row],[Column4]])</f>
        <v>0</v>
      </c>
      <c r="AX288" s="611">
        <f>Table1[[#This Row],[الجبر حتي]]-Table1[[#This Row],[رن]]</f>
        <v>2.6399999999994179</v>
      </c>
      <c r="AY288" s="611">
        <f>Table1[[#This Row],[الزياده]]+Table1[[#This Row],[التعديل]]+Table1[[#This Row],[جبر الرقم]]</f>
        <v>262.63999999999942</v>
      </c>
      <c r="AZ288" s="611">
        <f>Table1[[#This Row],[الراتب 2018 + النسبه + الفرق]]+Table1[[#This Row],[جبر الرقم]]+Table1[[#This Row],[التعديل]]</f>
        <v>11002.64</v>
      </c>
      <c r="BA288" s="631">
        <f>Table1[[#This Row],[الزياده النهائيه]]/Table1[[#This Row],[راتب ديسمبر 2019]]%</f>
        <v>2.4454376163873315</v>
      </c>
      <c r="BB288" s="612">
        <f>VLOOKUP(Table1[[#This Row],[الرقم الوظيفي]],Table6[],8,)</f>
        <v>10740</v>
      </c>
      <c r="BC288" s="7"/>
      <c r="BD288" s="7">
        <v>16800</v>
      </c>
      <c r="BE288" s="7">
        <v>16797.36</v>
      </c>
      <c r="BF288" s="5">
        <f>Table1[[#This Row],[الحد الادني]]-Table1[[#This Row],[الراتب 2018+النسبه]]</f>
        <v>260</v>
      </c>
      <c r="BG288" s="5">
        <f>Table1[[#This Row],[التعديل حتي]]-Table1[[#This Row],[kkk]]</f>
        <v>-16797.36</v>
      </c>
      <c r="BH288" s="5">
        <v>16797.36</v>
      </c>
      <c r="BI288" s="5"/>
    </row>
    <row r="289" spans="1:61" ht="18.75" customHeight="1">
      <c r="A289" s="602">
        <v>1009</v>
      </c>
      <c r="B289" s="618" t="str">
        <f>VLOOKUP(Table1[[#This Row],[الرقم الوظيفي]],[1]Sheet2!$1:$1048576,2,)</f>
        <v>عثمان سراج عوض على</v>
      </c>
      <c r="C289" s="599" t="str">
        <f>VLOOKUP(Table1[[#This Row],[الرقم الوظيفي]],[1]Sheet2!$1:$1048576,7,)</f>
        <v>الرئاسه</v>
      </c>
      <c r="D289" s="599" t="str">
        <f>VLOOKUP(Table1[[#This Row],[الرقم الوظيفي]],[1]Sheet2!$1:$1048576,8,)</f>
        <v>التحصيل</v>
      </c>
      <c r="E289" s="599">
        <f>VLOOKUP(Table1[[#This Row],[الرقم الوظيفي]],[1]Sheet2!$1:$1048576,9,)</f>
        <v>0</v>
      </c>
      <c r="F289" s="599">
        <f>VLOOKUP(Table1[[#This Row],[الرقم الوظيفي]],[1]Sheet2!$1:$1048576,12,)</f>
        <v>0</v>
      </c>
      <c r="G289" s="599">
        <f>VLOOKUP(Table1[[#This Row],[الرقم الوظيفي]],[1]Sheet2!$1:$1048576,72,)</f>
        <v>0</v>
      </c>
      <c r="H289" s="599">
        <f>VLOOKUP(Table1[[#This Row],[الرقم الوظيفي]],[1]Sheet2!$1:$1048576,71,)</f>
        <v>0</v>
      </c>
      <c r="I289" s="599" t="str">
        <f>VLOOKUP(Table1[[#This Row],[المؤهل الرئيسي]],Table4[],3,)</f>
        <v>H</v>
      </c>
      <c r="J289" s="599" t="s">
        <v>49</v>
      </c>
      <c r="K289" s="615">
        <f>VLOOKUP(Table1[[#This Row],[الرقم الوظيفي]],[1]Sheet2!$1:$1048576,13,)</f>
        <v>39142</v>
      </c>
      <c r="L289" s="615">
        <v>43830</v>
      </c>
      <c r="M289" s="599">
        <f>DATEDIF(Table1[[#This Row],[تاريخ التعيين]],Table1[[#This Row],[اخر العام]],"y")</f>
        <v>12</v>
      </c>
      <c r="N289" s="599">
        <f>DATEDIF(Table1[[#This Row],[تاريخ التعيين]],Table1[[#This Row],[اخر العام]],"ym")</f>
        <v>9</v>
      </c>
      <c r="O289" s="610">
        <f>Table1[[#This Row],[سنوات الخدمه]]*1+Table1[[#This Row],[الشهور اقل من سنه]]*0.08</f>
        <v>12.72</v>
      </c>
      <c r="P289" s="616">
        <v>50000</v>
      </c>
      <c r="Q289" s="617">
        <v>11720</v>
      </c>
      <c r="R289" s="612"/>
      <c r="S289" s="599"/>
      <c r="T289" s="612"/>
      <c r="U289" s="612"/>
      <c r="V289" s="612"/>
      <c r="W289" s="612"/>
      <c r="X289" s="612"/>
      <c r="Y289" s="612"/>
      <c r="Z289" s="612"/>
      <c r="AA28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89" s="612"/>
      <c r="AC289" s="599"/>
      <c r="AD289" s="612"/>
      <c r="AE289" s="612"/>
      <c r="AF289" s="612"/>
      <c r="AG289" s="612"/>
      <c r="AH289" s="619">
        <f>SUM(Table1[[#This Row],[التقييد  باللوائح و تنفيذالتوجيه]:[اتباع اجراءات السلامه]])</f>
        <v>0</v>
      </c>
      <c r="AI289" s="619">
        <f>Table1[[#This Row],[المجموع]]+Table1[[#This Row],[المجموع2]]</f>
        <v>0</v>
      </c>
      <c r="AJ289" s="612"/>
      <c r="AK289" s="612"/>
      <c r="AL289" s="612"/>
      <c r="AM289" s="612"/>
      <c r="AN289" s="612"/>
      <c r="AO289" s="606">
        <f>Table1[[#This Row],[المجموع 1+2]]*$AO$2</f>
        <v>0</v>
      </c>
      <c r="AP289" s="648">
        <f>Table1[[#This Row],[راتب ديسمبر 2019]]*Table1[[#This Row],[نسبه التقييم الرئيسي 2018]]%</f>
        <v>0</v>
      </c>
      <c r="AQ289" s="627">
        <f>Table1[[#This Row],[مبلغ التقييم النسبي 2018]]+Table1[[#This Row],[راتب ديسمبر 2019]]</f>
        <v>50000</v>
      </c>
      <c r="AR289" s="10">
        <f>IF(Table1[[#This Row],[Column3]]&lt;0,0,Table1[[#This Row],[Column3]])</f>
        <v>50000</v>
      </c>
      <c r="AS289" s="599">
        <f>VLOOKUP(Table1[[#This Row],[درجه التوسيط]],Table10[],3,)</f>
        <v>100000</v>
      </c>
      <c r="AT289" s="608">
        <f>Table1[[#This Row],[الراتب 2018+النسبه]]+Table1[[#This Row],[فروقات الحد الادني]]</f>
        <v>100000</v>
      </c>
      <c r="AU289" s="629">
        <f>Table1[[#This Row],[الراتب 2018 + النسبه + الفرق]]-Table1[[#This Row],[راتب ديسمبر 2019]]</f>
        <v>50000</v>
      </c>
      <c r="AV289" s="628">
        <f>Table1[[#This Row],[الزياده]]/Table1[[#This Row],[راتب ديسمبر 2019]]%</f>
        <v>100</v>
      </c>
      <c r="AW289" s="659">
        <f>IF(Table1[[#This Row],[Column4]]&lt;0,0,Table1[[#This Row],[Column4]])</f>
        <v>0</v>
      </c>
      <c r="AX289" s="611">
        <f>Table1[[#This Row],[الجبر حتي]]-Table1[[#This Row],[رن]]</f>
        <v>0</v>
      </c>
      <c r="AY289" s="611">
        <f>Table1[[#This Row],[الزياده]]+Table1[[#This Row],[التعديل]]+Table1[[#This Row],[جبر الرقم]]</f>
        <v>50000</v>
      </c>
      <c r="AZ289" s="611">
        <f>Table1[[#This Row],[الراتب 2018 + النسبه + الفرق]]+Table1[[#This Row],[جبر الرقم]]+Table1[[#This Row],[التعديل]]</f>
        <v>100000</v>
      </c>
      <c r="BA289" s="631">
        <f>Table1[[#This Row],[الزياده النهائيه]]/Table1[[#This Row],[راتب ديسمبر 2019]]%</f>
        <v>100</v>
      </c>
      <c r="BB289" s="612">
        <f>VLOOKUP(Table1[[#This Row],[الرقم الوظيفي]],Table6[],8,)</f>
        <v>50000</v>
      </c>
      <c r="BC289" s="7"/>
      <c r="BD289" s="7">
        <v>80000</v>
      </c>
      <c r="BE289" s="7">
        <v>80000</v>
      </c>
      <c r="BF289" s="5">
        <f>Table1[[#This Row],[الحد الادني]]-Table1[[#This Row],[الراتب 2018+النسبه]]</f>
        <v>50000</v>
      </c>
      <c r="BG289" s="5">
        <f>Table1[[#This Row],[التعديل حتي]]-Table1[[#This Row],[kkk]]</f>
        <v>-80000</v>
      </c>
      <c r="BH289" s="5">
        <v>80000</v>
      </c>
      <c r="BI289" s="5"/>
    </row>
    <row r="290" spans="1:61" ht="18.75" customHeight="1">
      <c r="A290" s="602">
        <v>1010</v>
      </c>
      <c r="B290" s="618" t="str">
        <f>VLOOKUP(Table1[[#This Row],[الرقم الوظيفي]],[1]Sheet2!$1:$1048576,2,)</f>
        <v>ميرغنى طه سوركتى شكرليه</v>
      </c>
      <c r="C290" s="599" t="str">
        <f>VLOOKUP(Table1[[#This Row],[الرقم الوظيفي]],[1]Sheet2!$1:$1048576,7,)</f>
        <v>الرئاسه</v>
      </c>
      <c r="D290" s="599" t="str">
        <f>VLOOKUP(Table1[[#This Row],[الرقم الوظيفي]],[1]Sheet2!$1:$1048576,8,)</f>
        <v>الخدمات</v>
      </c>
      <c r="E290" s="599">
        <f>VLOOKUP(Table1[[#This Row],[الرقم الوظيفي]],[1]Sheet2!$1:$1048576,9,)</f>
        <v>0</v>
      </c>
      <c r="F290" s="599" t="str">
        <f>VLOOKUP(Table1[[#This Row],[الرقم الوظيفي]],[1]Sheet2!$1:$1048576,12,)</f>
        <v>عامل</v>
      </c>
      <c r="G290" s="599">
        <f>VLOOKUP(Table1[[#This Row],[الرقم الوظيفي]],[1]Sheet2!$1:$1048576,72,)</f>
        <v>0</v>
      </c>
      <c r="H290" s="599">
        <f>VLOOKUP(Table1[[#This Row],[الرقم الوظيفي]],[1]Sheet2!$1:$1048576,71,)</f>
        <v>0</v>
      </c>
      <c r="I290" s="599" t="str">
        <f>VLOOKUP(Table1[[#This Row],[المؤهل الرئيسي]],Table4[],3,)</f>
        <v>H</v>
      </c>
      <c r="J290" s="599" t="s">
        <v>929</v>
      </c>
      <c r="K290" s="615">
        <f>VLOOKUP(Table1[[#This Row],[الرقم الوظيفي]],[1]Sheet2!$1:$1048576,13,)</f>
        <v>39995</v>
      </c>
      <c r="L290" s="615">
        <v>43830</v>
      </c>
      <c r="M290" s="599">
        <f>DATEDIF(Table1[[#This Row],[تاريخ التعيين]],Table1[[#This Row],[اخر العام]],"y")</f>
        <v>10</v>
      </c>
      <c r="N290" s="599">
        <f>DATEDIF(Table1[[#This Row],[تاريخ التعيين]],Table1[[#This Row],[اخر العام]],"ym")</f>
        <v>5</v>
      </c>
      <c r="O290" s="610">
        <f>Table1[[#This Row],[سنوات الخدمه]]*1+Table1[[#This Row],[الشهور اقل من سنه]]*0.08</f>
        <v>10.4</v>
      </c>
      <c r="P290" s="616">
        <v>3320</v>
      </c>
      <c r="Q290" s="617">
        <v>624.16</v>
      </c>
      <c r="R290" s="612"/>
      <c r="S290" s="599"/>
      <c r="T290" s="612"/>
      <c r="U290" s="612"/>
      <c r="V290" s="612"/>
      <c r="W290" s="612"/>
      <c r="X290" s="612"/>
      <c r="Y290" s="612"/>
      <c r="Z290" s="612"/>
      <c r="AA29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0" s="612"/>
      <c r="AC290" s="599"/>
      <c r="AD290" s="612"/>
      <c r="AE290" s="612"/>
      <c r="AF290" s="612"/>
      <c r="AG290" s="612"/>
      <c r="AH290" s="619">
        <f>SUM(Table1[[#This Row],[التقييد  باللوائح و تنفيذالتوجيه]:[اتباع اجراءات السلامه]])</f>
        <v>0</v>
      </c>
      <c r="AI290" s="619">
        <f>Table1[[#This Row],[المجموع]]+Table1[[#This Row],[المجموع2]]</f>
        <v>0</v>
      </c>
      <c r="AJ290" s="612">
        <v>9</v>
      </c>
      <c r="AK290" s="612"/>
      <c r="AL290" s="612"/>
      <c r="AM290" s="612">
        <v>7</v>
      </c>
      <c r="AN290" s="612"/>
      <c r="AO290" s="606">
        <f>Table1[[#This Row],[المجموع 1+2]]*$AO$2</f>
        <v>0</v>
      </c>
      <c r="AP290" s="648">
        <f>Table1[[#This Row],[راتب ديسمبر 2019]]*Table1[[#This Row],[نسبه التقييم الرئيسي 2018]]%</f>
        <v>0</v>
      </c>
      <c r="AQ290" s="627">
        <f>Table1[[#This Row],[مبلغ التقييم النسبي 2018]]+Table1[[#This Row],[راتب ديسمبر 2019]]</f>
        <v>3320</v>
      </c>
      <c r="AR290" s="10">
        <f>IF(Table1[[#This Row],[Column3]]&lt;0,0,Table1[[#This Row],[Column3]])</f>
        <v>2680</v>
      </c>
      <c r="AS290" s="599">
        <f>VLOOKUP(Table1[[#This Row],[درجه التوسيط]],Table10[],3,)</f>
        <v>6000</v>
      </c>
      <c r="AT290" s="608">
        <f>Table1[[#This Row],[الراتب 2018+النسبه]]+Table1[[#This Row],[فروقات الحد الادني]]</f>
        <v>6000</v>
      </c>
      <c r="AU290" s="629">
        <f>Table1[[#This Row],[الراتب 2018 + النسبه + الفرق]]-Table1[[#This Row],[راتب ديسمبر 2019]]</f>
        <v>2680</v>
      </c>
      <c r="AV290" s="628">
        <f>Table1[[#This Row],[الزياده]]/Table1[[#This Row],[راتب ديسمبر 2019]]%</f>
        <v>80.722891566265048</v>
      </c>
      <c r="AW290" s="659">
        <f>IF(Table1[[#This Row],[Column4]]&lt;0,0,Table1[[#This Row],[Column4]])</f>
        <v>887.19999999999982</v>
      </c>
      <c r="AX290" s="611">
        <f>Table1[[#This Row],[الجبر حتي]]-Table1[[#This Row],[رن]]</f>
        <v>0</v>
      </c>
      <c r="AY290" s="611">
        <f>Table1[[#This Row],[الزياده]]+Table1[[#This Row],[التعديل]]+Table1[[#This Row],[جبر الرقم]]</f>
        <v>3567.2</v>
      </c>
      <c r="AZ290" s="611">
        <f>Table1[[#This Row],[الراتب 2018 + النسبه + الفرق]]+Table1[[#This Row],[جبر الرقم]]+Table1[[#This Row],[التعديل]]</f>
        <v>6887.2</v>
      </c>
      <c r="BA290" s="631">
        <f>Table1[[#This Row],[الزياده النهائيه]]/Table1[[#This Row],[راتب ديسمبر 2019]]%</f>
        <v>107.44578313253011</v>
      </c>
      <c r="BB290" s="612">
        <f>VLOOKUP(Table1[[#This Row],[الرقم الوظيفي]],Table6[],8,)</f>
        <v>3320</v>
      </c>
      <c r="BC290" s="7">
        <v>6000</v>
      </c>
      <c r="BD290" s="5">
        <v>5112.8</v>
      </c>
      <c r="BE290" s="7">
        <v>5112.8</v>
      </c>
      <c r="BF290" s="5">
        <f>Table1[[#This Row],[الحد الادني]]-Table1[[#This Row],[الراتب 2018+النسبه]]</f>
        <v>2680</v>
      </c>
      <c r="BG290" s="5">
        <f>Table1[[#This Row],[التعديل حتي]]-Table1[[#This Row],[kkk]]</f>
        <v>887.19999999999982</v>
      </c>
      <c r="BH290" s="5">
        <v>5112.8</v>
      </c>
      <c r="BI290" s="5"/>
    </row>
    <row r="291" spans="1:61" ht="18.75" customHeight="1">
      <c r="A291" s="605">
        <v>1011</v>
      </c>
      <c r="B291" s="618" t="str">
        <f>VLOOKUP(Table1[[#This Row],[الرقم الوظيفي]],[1]Sheet2!$1:$1048576,2,)</f>
        <v>محمد مهدى ابو محمد</v>
      </c>
      <c r="C291" s="599" t="str">
        <f>VLOOKUP(Table1[[#This Row],[الرقم الوظيفي]],[1]Sheet2!$1:$1048576,7,)</f>
        <v>الرئاسه</v>
      </c>
      <c r="D291" s="599" t="str">
        <f>VLOOKUP(Table1[[#This Row],[الرقم الوظيفي]],[1]Sheet2!$1:$1048576,8,)</f>
        <v>الخدمات</v>
      </c>
      <c r="E291" s="599">
        <f>VLOOKUP(Table1[[#This Row],[الرقم الوظيفي]],[1]Sheet2!$1:$1048576,9,)</f>
        <v>0</v>
      </c>
      <c r="F291" s="599" t="str">
        <f>VLOOKUP(Table1[[#This Row],[الرقم الوظيفي]],[1]Sheet2!$1:$1048576,12,)</f>
        <v>عامل</v>
      </c>
      <c r="G291" s="599">
        <f>VLOOKUP(Table1[[#This Row],[الرقم الوظيفي]],[1]Sheet2!$1:$1048576,72,)</f>
        <v>0</v>
      </c>
      <c r="H291" s="599">
        <f>VLOOKUP(Table1[[#This Row],[الرقم الوظيفي]],[1]Sheet2!$1:$1048576,71,)</f>
        <v>0</v>
      </c>
      <c r="I291" s="599" t="str">
        <f>VLOOKUP(Table1[[#This Row],[المؤهل الرئيسي]],Table4[],3,)</f>
        <v>H</v>
      </c>
      <c r="J291" s="599" t="s">
        <v>929</v>
      </c>
      <c r="K291" s="615">
        <f>VLOOKUP(Table1[[#This Row],[الرقم الوظيفي]],[1]Sheet2!$1:$1048576,13,)</f>
        <v>39264</v>
      </c>
      <c r="L291" s="615">
        <v>43830</v>
      </c>
      <c r="M291" s="599">
        <f>DATEDIF(Table1[[#This Row],[تاريخ التعيين]],Table1[[#This Row],[اخر العام]],"y")</f>
        <v>12</v>
      </c>
      <c r="N291" s="599">
        <f>DATEDIF(Table1[[#This Row],[تاريخ التعيين]],Table1[[#This Row],[اخر العام]],"ym")</f>
        <v>5</v>
      </c>
      <c r="O291" s="610">
        <f>Table1[[#This Row],[سنوات الخدمه]]*1+Table1[[#This Row],[الشهور اقل من سنه]]*0.08</f>
        <v>12.4</v>
      </c>
      <c r="P291" s="616">
        <v>3570</v>
      </c>
      <c r="Q291" s="617">
        <v>813.96</v>
      </c>
      <c r="R291" s="612"/>
      <c r="S291" s="599"/>
      <c r="T291" s="612"/>
      <c r="U291" s="612"/>
      <c r="V291" s="612"/>
      <c r="W291" s="612"/>
      <c r="X291" s="612"/>
      <c r="Y291" s="612"/>
      <c r="Z291" s="612"/>
      <c r="AA29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1" s="612"/>
      <c r="AC291" s="599"/>
      <c r="AD291" s="612"/>
      <c r="AE291" s="612"/>
      <c r="AF291" s="612"/>
      <c r="AG291" s="612"/>
      <c r="AH291" s="619">
        <f>SUM(Table1[[#This Row],[التقييد  باللوائح و تنفيذالتوجيه]:[اتباع اجراءات السلامه]])</f>
        <v>0</v>
      </c>
      <c r="AI291" s="619">
        <f>Table1[[#This Row],[المجموع]]+Table1[[#This Row],[المجموع2]]</f>
        <v>0</v>
      </c>
      <c r="AJ291" s="612">
        <v>7</v>
      </c>
      <c r="AK291" s="612"/>
      <c r="AL291" s="612"/>
      <c r="AM291" s="612">
        <v>6</v>
      </c>
      <c r="AN291" s="612"/>
      <c r="AO291" s="606">
        <f>Table1[[#This Row],[المجموع 1+2]]*$AO$2</f>
        <v>0</v>
      </c>
      <c r="AP291" s="648">
        <f>Table1[[#This Row],[راتب ديسمبر 2019]]*Table1[[#This Row],[نسبه التقييم الرئيسي 2018]]%</f>
        <v>0</v>
      </c>
      <c r="AQ291" s="627">
        <f>Table1[[#This Row],[مبلغ التقييم النسبي 2018]]+Table1[[#This Row],[راتب ديسمبر 2019]]</f>
        <v>3570</v>
      </c>
      <c r="AR291" s="10">
        <f>IF(Table1[[#This Row],[Column3]]&lt;0,0,Table1[[#This Row],[Column3]])</f>
        <v>2430</v>
      </c>
      <c r="AS291" s="599">
        <f>VLOOKUP(Table1[[#This Row],[درجه التوسيط]],Table10[],3,)</f>
        <v>6000</v>
      </c>
      <c r="AT291" s="608">
        <f>Table1[[#This Row],[الراتب 2018+النسبه]]+Table1[[#This Row],[فروقات الحد الادني]]</f>
        <v>6000</v>
      </c>
      <c r="AU291" s="629">
        <f>Table1[[#This Row],[الراتب 2018 + النسبه + الفرق]]-Table1[[#This Row],[راتب ديسمبر 2019]]</f>
        <v>2430</v>
      </c>
      <c r="AV291" s="628">
        <f>Table1[[#This Row],[الزياده]]/Table1[[#This Row],[راتب ديسمبر 2019]]%</f>
        <v>68.067226890756302</v>
      </c>
      <c r="AW291" s="659">
        <f>IF(Table1[[#This Row],[Column4]]&lt;0,0,Table1[[#This Row],[Column4]])</f>
        <v>437.94000000000051</v>
      </c>
      <c r="AX291" s="611">
        <f>Table1[[#This Row],[الجبر حتي]]-Table1[[#This Row],[رن]]</f>
        <v>0</v>
      </c>
      <c r="AY291" s="611">
        <f>Table1[[#This Row],[الزياده]]+Table1[[#This Row],[التعديل]]+Table1[[#This Row],[جبر الرقم]]</f>
        <v>2867.9400000000005</v>
      </c>
      <c r="AZ291" s="611">
        <f>Table1[[#This Row],[الراتب 2018 + النسبه + الفرق]]+Table1[[#This Row],[جبر الرقم]]+Table1[[#This Row],[التعديل]]</f>
        <v>6437.9400000000005</v>
      </c>
      <c r="BA291" s="631">
        <f>Table1[[#This Row],[الزياده النهائيه]]/Table1[[#This Row],[راتب ديسمبر 2019]]%</f>
        <v>80.334453781512607</v>
      </c>
      <c r="BB291" s="612">
        <f>VLOOKUP(Table1[[#This Row],[الرقم الوظيفي]],Table6[],8,)</f>
        <v>3570</v>
      </c>
      <c r="BC291" s="7">
        <v>6000</v>
      </c>
      <c r="BD291" s="5">
        <v>5562.0599999999995</v>
      </c>
      <c r="BE291" s="7">
        <v>5562.0599999999995</v>
      </c>
      <c r="BF291" s="5">
        <f>Table1[[#This Row],[الحد الادني]]-Table1[[#This Row],[الراتب 2018+النسبه]]</f>
        <v>2430</v>
      </c>
      <c r="BG291" s="5">
        <f>Table1[[#This Row],[التعديل حتي]]-Table1[[#This Row],[kkk]]</f>
        <v>437.94000000000051</v>
      </c>
      <c r="BH291" s="5">
        <v>5562.0599999999995</v>
      </c>
      <c r="BI291" s="5"/>
    </row>
    <row r="292" spans="1:61" ht="18.75" customHeight="1">
      <c r="A292" s="602">
        <v>1012</v>
      </c>
      <c r="B292" s="618" t="str">
        <f>VLOOKUP(Table1[[#This Row],[الرقم الوظيفي]],[1]Sheet2!$1:$1048576,2,)</f>
        <v>مايكل يوهانس</v>
      </c>
      <c r="C292" s="599" t="str">
        <f>VLOOKUP(Table1[[#This Row],[الرقم الوظيفي]],[1]Sheet2!$1:$1048576,7,)</f>
        <v>الرئاسه</v>
      </c>
      <c r="D292" s="599" t="str">
        <f>VLOOKUP(Table1[[#This Row],[الرقم الوظيفي]],[1]Sheet2!$1:$1048576,8,)</f>
        <v>الخدمات</v>
      </c>
      <c r="E292" s="599">
        <f>VLOOKUP(Table1[[#This Row],[الرقم الوظيفي]],[1]Sheet2!$1:$1048576,9,)</f>
        <v>0</v>
      </c>
      <c r="F292" s="599" t="str">
        <f>VLOOKUP(Table1[[#This Row],[الرقم الوظيفي]],[1]Sheet2!$1:$1048576,12,)</f>
        <v>عامل</v>
      </c>
      <c r="G292" s="599">
        <f>VLOOKUP(Table1[[#This Row],[الرقم الوظيفي]],[1]Sheet2!$1:$1048576,72,)</f>
        <v>0</v>
      </c>
      <c r="H292" s="599">
        <f>VLOOKUP(Table1[[#This Row],[الرقم الوظيفي]],[1]Sheet2!$1:$1048576,71,)</f>
        <v>0</v>
      </c>
      <c r="I292" s="599" t="str">
        <f>VLOOKUP(Table1[[#This Row],[المؤهل الرئيسي]],Table4[],3,)</f>
        <v>H</v>
      </c>
      <c r="J292" s="599" t="s">
        <v>929</v>
      </c>
      <c r="K292" s="615">
        <f>VLOOKUP(Table1[[#This Row],[الرقم الوظيفي]],[1]Sheet2!$1:$1048576,13,)</f>
        <v>39142</v>
      </c>
      <c r="L292" s="615">
        <v>43830</v>
      </c>
      <c r="M292" s="599">
        <f>DATEDIF(Table1[[#This Row],[تاريخ التعيين]],Table1[[#This Row],[اخر العام]],"y")</f>
        <v>12</v>
      </c>
      <c r="N292" s="599">
        <f>DATEDIF(Table1[[#This Row],[تاريخ التعيين]],Table1[[#This Row],[اخر العام]],"ym")</f>
        <v>9</v>
      </c>
      <c r="O292" s="610">
        <f>Table1[[#This Row],[سنوات الخدمه]]*1+Table1[[#This Row],[الشهور اقل من سنه]]*0.08</f>
        <v>12.72</v>
      </c>
      <c r="P292" s="616">
        <v>3420</v>
      </c>
      <c r="Q292" s="617">
        <v>801.64800000000002</v>
      </c>
      <c r="R292" s="612"/>
      <c r="S292" s="599"/>
      <c r="T292" s="612"/>
      <c r="U292" s="612"/>
      <c r="V292" s="612"/>
      <c r="W292" s="612"/>
      <c r="X292" s="612"/>
      <c r="Y292" s="612"/>
      <c r="Z292" s="612"/>
      <c r="AA29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2" s="612"/>
      <c r="AC292" s="599"/>
      <c r="AD292" s="612"/>
      <c r="AE292" s="612"/>
      <c r="AF292" s="612"/>
      <c r="AG292" s="612"/>
      <c r="AH292" s="619">
        <f>SUM(Table1[[#This Row],[التقييد  باللوائح و تنفيذالتوجيه]:[اتباع اجراءات السلامه]])</f>
        <v>0</v>
      </c>
      <c r="AI292" s="619">
        <f>Table1[[#This Row],[المجموع]]+Table1[[#This Row],[المجموع2]]</f>
        <v>0</v>
      </c>
      <c r="AJ292" s="612">
        <v>9</v>
      </c>
      <c r="AK292" s="612"/>
      <c r="AL292" s="612"/>
      <c r="AM292" s="612">
        <v>7</v>
      </c>
      <c r="AN292" s="612"/>
      <c r="AO292" s="606">
        <f>Table1[[#This Row],[المجموع 1+2]]*$AO$2</f>
        <v>0</v>
      </c>
      <c r="AP292" s="648">
        <f>Table1[[#This Row],[راتب ديسمبر 2019]]*Table1[[#This Row],[نسبه التقييم الرئيسي 2018]]%</f>
        <v>0</v>
      </c>
      <c r="AQ292" s="627">
        <f>Table1[[#This Row],[مبلغ التقييم النسبي 2018]]+Table1[[#This Row],[راتب ديسمبر 2019]]</f>
        <v>3420</v>
      </c>
      <c r="AR292" s="10">
        <f>IF(Table1[[#This Row],[Column3]]&lt;0,0,Table1[[#This Row],[Column3]])</f>
        <v>2580</v>
      </c>
      <c r="AS292" s="599">
        <f>VLOOKUP(Table1[[#This Row],[درجه التوسيط]],Table10[],3,)</f>
        <v>6000</v>
      </c>
      <c r="AT292" s="608">
        <f>Table1[[#This Row],[الراتب 2018+النسبه]]+Table1[[#This Row],[فروقات الحد الادني]]</f>
        <v>6000</v>
      </c>
      <c r="AU292" s="629">
        <f>Table1[[#This Row],[الراتب 2018 + النسبه + الفرق]]-Table1[[#This Row],[راتب ديسمبر 2019]]</f>
        <v>2580</v>
      </c>
      <c r="AV292" s="628">
        <f>Table1[[#This Row],[الزياده]]/Table1[[#This Row],[راتب ديسمبر 2019]]%</f>
        <v>75.438596491228068</v>
      </c>
      <c r="AW292" s="659">
        <f>IF(Table1[[#This Row],[Column4]]&lt;0,0,Table1[[#This Row],[Column4]])</f>
        <v>671.64000000000033</v>
      </c>
      <c r="AX292" s="611">
        <f>Table1[[#This Row],[الجبر حتي]]-Table1[[#This Row],[رن]]</f>
        <v>0</v>
      </c>
      <c r="AY292" s="611">
        <f>Table1[[#This Row],[الزياده]]+Table1[[#This Row],[التعديل]]+Table1[[#This Row],[جبر الرقم]]</f>
        <v>3251.6400000000003</v>
      </c>
      <c r="AZ292" s="611">
        <f>Table1[[#This Row],[الراتب 2018 + النسبه + الفرق]]+Table1[[#This Row],[جبر الرقم]]+Table1[[#This Row],[التعديل]]</f>
        <v>6671.64</v>
      </c>
      <c r="BA292" s="631">
        <f>Table1[[#This Row],[الزياده النهائيه]]/Table1[[#This Row],[راتب ديسمبر 2019]]%</f>
        <v>95.07719298245614</v>
      </c>
      <c r="BB292" s="612">
        <f>VLOOKUP(Table1[[#This Row],[الرقم الوظيفي]],Table6[],8,)</f>
        <v>3420</v>
      </c>
      <c r="BC292" s="7">
        <v>6000</v>
      </c>
      <c r="BD292" s="5">
        <v>5328.36</v>
      </c>
      <c r="BE292" s="7">
        <v>5328.36</v>
      </c>
      <c r="BF292" s="5">
        <f>Table1[[#This Row],[الحد الادني]]-Table1[[#This Row],[الراتب 2018+النسبه]]</f>
        <v>2580</v>
      </c>
      <c r="BG292" s="5">
        <f>Table1[[#This Row],[التعديل حتي]]-Table1[[#This Row],[kkk]]</f>
        <v>671.64000000000033</v>
      </c>
      <c r="BH292" s="5">
        <v>5328.36</v>
      </c>
      <c r="BI292" s="5"/>
    </row>
    <row r="293" spans="1:61" ht="18.75" customHeight="1">
      <c r="A293" s="602">
        <v>1013</v>
      </c>
      <c r="B293" s="618" t="str">
        <f>VLOOKUP(Table1[[#This Row],[الرقم الوظيفي]],[1]Sheet2!$1:$1048576,2,)</f>
        <v>عمر العوض حسن الامام</v>
      </c>
      <c r="C293" s="599" t="str">
        <f>VLOOKUP(Table1[[#This Row],[الرقم الوظيفي]],[1]Sheet2!$1:$1048576,7,)</f>
        <v>الرئاسه</v>
      </c>
      <c r="D293" s="599" t="str">
        <f>VLOOKUP(Table1[[#This Row],[الرقم الوظيفي]],[1]Sheet2!$1:$1048576,8,)</f>
        <v>الماليه</v>
      </c>
      <c r="E293" s="599">
        <f>VLOOKUP(Table1[[#This Row],[الرقم الوظيفي]],[1]Sheet2!$1:$1048576,9,)</f>
        <v>0</v>
      </c>
      <c r="F293" s="599" t="str">
        <f>VLOOKUP(Table1[[#This Row],[الرقم الوظيفي]],[1]Sheet2!$1:$1048576,12,)</f>
        <v>محاسب</v>
      </c>
      <c r="G293" s="599" t="str">
        <f>VLOOKUP(Table1[[#This Row],[الرقم الوظيفي]],[1]Sheet2!$1:$1048576,72,)</f>
        <v>بكلاريوس</v>
      </c>
      <c r="H293" s="599" t="str">
        <f>VLOOKUP(Table1[[#This Row],[الرقم الوظيفي]],[1]Sheet2!$1:$1048576,71,)</f>
        <v>محاسبة</v>
      </c>
      <c r="I293" s="599" t="str">
        <f>VLOOKUP(Table1[[#This Row],[المؤهل الرئيسي]],Table4[],3,)</f>
        <v>C</v>
      </c>
      <c r="J293" s="599" t="s">
        <v>922</v>
      </c>
      <c r="K293" s="615">
        <f>VLOOKUP(Table1[[#This Row],[الرقم الوظيفي]],[1]Sheet2!$1:$1048576,13,)</f>
        <v>41365</v>
      </c>
      <c r="L293" s="615">
        <v>43830</v>
      </c>
      <c r="M293" s="599">
        <f>DATEDIF(Table1[[#This Row],[تاريخ التعيين]],Table1[[#This Row],[اخر العام]],"y")</f>
        <v>6</v>
      </c>
      <c r="N293" s="599">
        <f>DATEDIF(Table1[[#This Row],[تاريخ التعيين]],Table1[[#This Row],[اخر العام]],"ym")</f>
        <v>8</v>
      </c>
      <c r="O293" s="610">
        <f>Table1[[#This Row],[سنوات الخدمه]]*1+Table1[[#This Row],[الشهور اقل من سنه]]*0.08</f>
        <v>6.64</v>
      </c>
      <c r="P293" s="616">
        <v>5640</v>
      </c>
      <c r="Q293" s="617">
        <v>636.19200000000001</v>
      </c>
      <c r="R293" s="612"/>
      <c r="S293" s="599"/>
      <c r="T293" s="612"/>
      <c r="U293" s="612"/>
      <c r="V293" s="612"/>
      <c r="W293" s="612"/>
      <c r="X293" s="612"/>
      <c r="Y293" s="612"/>
      <c r="Z293" s="612"/>
      <c r="AA29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3" s="612"/>
      <c r="AC293" s="599"/>
      <c r="AD293" s="612"/>
      <c r="AE293" s="612"/>
      <c r="AF293" s="612"/>
      <c r="AG293" s="612"/>
      <c r="AH293" s="619">
        <f>SUM(Table1[[#This Row],[التقييد  باللوائح و تنفيذالتوجيه]:[اتباع اجراءات السلامه]])</f>
        <v>0</v>
      </c>
      <c r="AI293" s="619">
        <f>Table1[[#This Row],[المجموع]]+Table1[[#This Row],[المجموع2]]</f>
        <v>0</v>
      </c>
      <c r="AJ293" s="612">
        <v>9</v>
      </c>
      <c r="AK293" s="612"/>
      <c r="AL293" s="612"/>
      <c r="AM293" s="612">
        <v>8</v>
      </c>
      <c r="AN293" s="612"/>
      <c r="AO293" s="606">
        <f>Table1[[#This Row],[المجموع 1+2]]*$AO$2</f>
        <v>0</v>
      </c>
      <c r="AP293" s="648">
        <f>Table1[[#This Row],[راتب ديسمبر 2019]]*Table1[[#This Row],[نسبه التقييم الرئيسي 2018]]%</f>
        <v>0</v>
      </c>
      <c r="AQ293" s="627">
        <f>Table1[[#This Row],[مبلغ التقييم النسبي 2018]]+Table1[[#This Row],[راتب ديسمبر 2019]]</f>
        <v>5640</v>
      </c>
      <c r="AR293" s="10">
        <f>IF(Table1[[#This Row],[Column3]]&lt;0,0,Table1[[#This Row],[Column3]])</f>
        <v>5360</v>
      </c>
      <c r="AS293" s="599">
        <f>VLOOKUP(Table1[[#This Row],[درجه التوسيط]],Table10[],3,)</f>
        <v>11000</v>
      </c>
      <c r="AT293" s="608">
        <f>Table1[[#This Row],[الراتب 2018+النسبه]]+Table1[[#This Row],[فروقات الحد الادني]]</f>
        <v>11000</v>
      </c>
      <c r="AU293" s="629">
        <f>Table1[[#This Row],[الراتب 2018 + النسبه + الفرق]]-Table1[[#This Row],[راتب ديسمبر 2019]]</f>
        <v>5360</v>
      </c>
      <c r="AV293" s="628">
        <f>Table1[[#This Row],[الزياده]]/Table1[[#This Row],[راتب ديسمبر 2019]]%</f>
        <v>95.035460992907801</v>
      </c>
      <c r="AW293" s="659">
        <f>IF(Table1[[#This Row],[Column4]]&lt;0,0,Table1[[#This Row],[Column4]])</f>
        <v>2314.3999999999996</v>
      </c>
      <c r="AX293" s="611">
        <f>Table1[[#This Row],[الجبر حتي]]-Table1[[#This Row],[رن]]</f>
        <v>0</v>
      </c>
      <c r="AY293" s="611">
        <f>Table1[[#This Row],[الزياده]]+Table1[[#This Row],[التعديل]]+Table1[[#This Row],[جبر الرقم]]</f>
        <v>7674.4</v>
      </c>
      <c r="AZ293" s="611">
        <f>Table1[[#This Row],[الراتب 2018 + النسبه + الفرق]]+Table1[[#This Row],[جبر الرقم]]+Table1[[#This Row],[التعديل]]</f>
        <v>13314.4</v>
      </c>
      <c r="BA293" s="631">
        <f>Table1[[#This Row],[الزياده النهائيه]]/Table1[[#This Row],[راتب ديسمبر 2019]]%</f>
        <v>136.0709219858156</v>
      </c>
      <c r="BB293" s="612">
        <f>VLOOKUP(Table1[[#This Row],[الرقم الوظيفي]],Table6[],8,)</f>
        <v>5640</v>
      </c>
      <c r="BC293" s="7">
        <v>11000</v>
      </c>
      <c r="BD293" s="7">
        <v>11000</v>
      </c>
      <c r="BE293" s="7">
        <v>11000</v>
      </c>
      <c r="BF293" s="5">
        <f>Table1[[#This Row],[الحد الادني]]-Table1[[#This Row],[الراتب 2018+النسبه]]</f>
        <v>5360</v>
      </c>
      <c r="BG293" s="5">
        <f>Table1[[#This Row],[التعديل حتي]]-Table1[[#This Row],[kkk]]</f>
        <v>2314.3999999999996</v>
      </c>
      <c r="BH293" s="5">
        <v>8685.6</v>
      </c>
      <c r="BI293" s="5"/>
    </row>
    <row r="294" spans="1:61" ht="18.75" customHeight="1">
      <c r="A294" s="602">
        <v>1014</v>
      </c>
      <c r="B294" s="618" t="str">
        <f>VLOOKUP(Table1[[#This Row],[الرقم الوظيفي]],[1]Sheet2!$1:$1048576,2,)</f>
        <v>عمر احمد محمد عمر</v>
      </c>
      <c r="C294" s="599" t="str">
        <f>VLOOKUP(Table1[[#This Row],[الرقم الوظيفي]],[1]Sheet2!$1:$1048576,7,)</f>
        <v>الرئاسه</v>
      </c>
      <c r="D294" s="599" t="str">
        <f>VLOOKUP(Table1[[#This Row],[الرقم الوظيفي]],[1]Sheet2!$1:$1048576,8,)</f>
        <v>الاداره</v>
      </c>
      <c r="E294" s="599">
        <f>VLOOKUP(Table1[[#This Row],[الرقم الوظيفي]],[1]Sheet2!$1:$1048576,9,)</f>
        <v>0</v>
      </c>
      <c r="F294" s="599" t="str">
        <f>VLOOKUP(Table1[[#This Row],[الرقم الوظيفي]],[1]Sheet2!$1:$1048576,12,)</f>
        <v>محاسب</v>
      </c>
      <c r="G294" s="599">
        <f>VLOOKUP(Table1[[#This Row],[الرقم الوظيفي]],[1]Sheet2!$1:$1048576,72,)</f>
        <v>0</v>
      </c>
      <c r="H294" s="599">
        <f>VLOOKUP(Table1[[#This Row],[الرقم الوظيفي]],[1]Sheet2!$1:$1048576,71,)</f>
        <v>0</v>
      </c>
      <c r="I294" s="599" t="str">
        <f>VLOOKUP(Table1[[#This Row],[المؤهل الرئيسي]],Table4[],3,)</f>
        <v>H</v>
      </c>
      <c r="J294" s="599" t="s">
        <v>922</v>
      </c>
      <c r="K294" s="615">
        <f>VLOOKUP(Table1[[#This Row],[الرقم الوظيفي]],[1]Sheet2!$1:$1048576,13,)</f>
        <v>41262</v>
      </c>
      <c r="L294" s="615">
        <v>43830</v>
      </c>
      <c r="M294" s="599">
        <f>DATEDIF(Table1[[#This Row],[تاريخ التعيين]],Table1[[#This Row],[اخر العام]],"y")</f>
        <v>7</v>
      </c>
      <c r="N294" s="599">
        <f>DATEDIF(Table1[[#This Row],[تاريخ التعيين]],Table1[[#This Row],[اخر العام]],"ym")</f>
        <v>0</v>
      </c>
      <c r="O294" s="610">
        <f>Table1[[#This Row],[سنوات الخدمه]]*1+Table1[[#This Row],[الشهور اقل من سنه]]*0.08</f>
        <v>7</v>
      </c>
      <c r="P294" s="616">
        <v>4750</v>
      </c>
      <c r="Q294" s="617">
        <v>570</v>
      </c>
      <c r="R294" s="612"/>
      <c r="S294" s="599"/>
      <c r="T294" s="612"/>
      <c r="U294" s="612"/>
      <c r="V294" s="612"/>
      <c r="W294" s="612"/>
      <c r="X294" s="612"/>
      <c r="Y294" s="612"/>
      <c r="Z294" s="612"/>
      <c r="AA29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4" s="612"/>
      <c r="AC294" s="599"/>
      <c r="AD294" s="612"/>
      <c r="AE294" s="612"/>
      <c r="AF294" s="612"/>
      <c r="AG294" s="612"/>
      <c r="AH294" s="619">
        <f>SUM(Table1[[#This Row],[التقييد  باللوائح و تنفيذالتوجيه]:[اتباع اجراءات السلامه]])</f>
        <v>0</v>
      </c>
      <c r="AI294" s="619">
        <f>Table1[[#This Row],[المجموع]]+Table1[[#This Row],[المجموع2]]</f>
        <v>0</v>
      </c>
      <c r="AJ294" s="612">
        <v>9</v>
      </c>
      <c r="AK294" s="612"/>
      <c r="AL294" s="612"/>
      <c r="AM294" s="612">
        <v>8</v>
      </c>
      <c r="AN294" s="612"/>
      <c r="AO294" s="606">
        <f>Table1[[#This Row],[المجموع 1+2]]*$AO$2</f>
        <v>0</v>
      </c>
      <c r="AP294" s="648">
        <f>Table1[[#This Row],[راتب ديسمبر 2019]]*Table1[[#This Row],[نسبه التقييم الرئيسي 2018]]%</f>
        <v>0</v>
      </c>
      <c r="AQ294" s="627">
        <f>Table1[[#This Row],[مبلغ التقييم النسبي 2018]]+Table1[[#This Row],[راتب ديسمبر 2019]]</f>
        <v>4750</v>
      </c>
      <c r="AR294" s="10">
        <f>IF(Table1[[#This Row],[Column3]]&lt;0,0,Table1[[#This Row],[Column3]])</f>
        <v>6250</v>
      </c>
      <c r="AS294" s="599">
        <f>VLOOKUP(Table1[[#This Row],[درجه التوسيط]],Table10[],3,)</f>
        <v>11000</v>
      </c>
      <c r="AT294" s="608">
        <f>Table1[[#This Row],[الراتب 2018+النسبه]]+Table1[[#This Row],[فروقات الحد الادني]]</f>
        <v>11000</v>
      </c>
      <c r="AU294" s="629">
        <f>Table1[[#This Row],[الراتب 2018 + النسبه + الفرق]]-Table1[[#This Row],[راتب ديسمبر 2019]]</f>
        <v>6250</v>
      </c>
      <c r="AV294" s="628">
        <f>Table1[[#This Row],[الزياده]]/Table1[[#This Row],[راتب ديسمبر 2019]]%</f>
        <v>131.57894736842104</v>
      </c>
      <c r="AW294" s="659">
        <f>IF(Table1[[#This Row],[Column4]]&lt;0,0,Table1[[#This Row],[Column4]])</f>
        <v>1413</v>
      </c>
      <c r="AX294" s="611">
        <f>Table1[[#This Row],[الجبر حتي]]-Table1[[#This Row],[رن]]</f>
        <v>0</v>
      </c>
      <c r="AY294" s="611">
        <f>Table1[[#This Row],[الزياده]]+Table1[[#This Row],[التعديل]]+Table1[[#This Row],[جبر الرقم]]</f>
        <v>7663</v>
      </c>
      <c r="AZ294" s="611">
        <f>Table1[[#This Row],[الراتب 2018 + النسبه + الفرق]]+Table1[[#This Row],[جبر الرقم]]+Table1[[#This Row],[التعديل]]</f>
        <v>12413</v>
      </c>
      <c r="BA294" s="631">
        <f>Table1[[#This Row],[الزياده النهائيه]]/Table1[[#This Row],[راتب ديسمبر 2019]]%</f>
        <v>161.32631578947368</v>
      </c>
      <c r="BB294" s="612">
        <f>VLOOKUP(Table1[[#This Row],[الرقم الوظيفي]],Table6[],8,)</f>
        <v>4750</v>
      </c>
      <c r="BC294" s="7">
        <v>8500</v>
      </c>
      <c r="BD294" s="7">
        <v>8500</v>
      </c>
      <c r="BE294" s="7">
        <v>8500</v>
      </c>
      <c r="BF294" s="5">
        <f>Table1[[#This Row],[الحد الادني]]-Table1[[#This Row],[الراتب 2018+النسبه]]</f>
        <v>6250</v>
      </c>
      <c r="BG294" s="5">
        <f>Table1[[#This Row],[التعديل حتي]]-Table1[[#This Row],[kkk]]</f>
        <v>1413</v>
      </c>
      <c r="BH294" s="5">
        <v>7087</v>
      </c>
      <c r="BI294" s="5"/>
    </row>
    <row r="295" spans="1:61" ht="18.75" customHeight="1">
      <c r="A295" s="602">
        <v>407</v>
      </c>
      <c r="B295" s="618" t="str">
        <f>VLOOKUP(Table1[[#This Row],[الرقم الوظيفي]],[1]Sheet2!$1:$1048576,2,)</f>
        <v>احمد محمد سليمان محمد على</v>
      </c>
      <c r="C295" s="599" t="str">
        <f>VLOOKUP(Table1[[#This Row],[الرقم الوظيفي]],[1]Sheet2!$1:$1048576,7,)</f>
        <v>الرئاسه</v>
      </c>
      <c r="D295" s="599" t="str">
        <f>VLOOKUP(Table1[[#This Row],[الرقم الوظيفي]],[1]Sheet2!$1:$1048576,8,)</f>
        <v>المشتريات</v>
      </c>
      <c r="E295" s="599">
        <f>VLOOKUP(Table1[[#This Row],[الرقم الوظيفي]],[1]Sheet2!$1:$1048576,9,)</f>
        <v>0</v>
      </c>
      <c r="F295" s="599" t="str">
        <f>VLOOKUP(Table1[[#This Row],[الرقم الوظيفي]],[1]Sheet2!$1:$1048576,12,)</f>
        <v>موظف مشتروات</v>
      </c>
      <c r="G295" s="599" t="str">
        <f>VLOOKUP(Table1[[#This Row],[الرقم الوظيفي]],[1]Sheet2!$1:$1048576,72,)</f>
        <v>دبلوم تقني</v>
      </c>
      <c r="H295" s="599" t="str">
        <f>VLOOKUP(Table1[[#This Row],[الرقم الوظيفي]],[1]Sheet2!$1:$1048576,71,)</f>
        <v>هندسة بترول</v>
      </c>
      <c r="I295" s="599" t="str">
        <f>VLOOKUP(Table1[[#This Row],[المؤهل الرئيسي]],Table4[],3,)</f>
        <v>D</v>
      </c>
      <c r="J295" s="599" t="s">
        <v>492</v>
      </c>
      <c r="K295" s="615">
        <f>VLOOKUP(Table1[[#This Row],[الرقم الوظيفي]],[1]Sheet2!$1:$1048576,13,)</f>
        <v>41281</v>
      </c>
      <c r="L295" s="615">
        <v>43830</v>
      </c>
      <c r="M295" s="599">
        <f>DATEDIF(Table1[[#This Row],[تاريخ التعيين]],Table1[[#This Row],[اخر العام]],"y")</f>
        <v>6</v>
      </c>
      <c r="N295" s="599">
        <f>DATEDIF(Table1[[#This Row],[تاريخ التعيين]],Table1[[#This Row],[اخر العام]],"ym")</f>
        <v>11</v>
      </c>
      <c r="O295" s="610">
        <f>Table1[[#This Row],[سنوات الخدمه]]*1+Table1[[#This Row],[الشهور اقل من سنه]]*0.08</f>
        <v>6.88</v>
      </c>
      <c r="P295" s="616">
        <v>5400</v>
      </c>
      <c r="Q295" s="617">
        <v>635.04</v>
      </c>
      <c r="R295" s="612"/>
      <c r="S295" s="599"/>
      <c r="T295" s="612"/>
      <c r="U295" s="612"/>
      <c r="V295" s="612"/>
      <c r="W295" s="612"/>
      <c r="X295" s="612"/>
      <c r="Y295" s="612"/>
      <c r="Z295" s="612"/>
      <c r="AA29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5" s="612"/>
      <c r="AC295" s="599"/>
      <c r="AD295" s="612"/>
      <c r="AE295" s="612"/>
      <c r="AF295" s="612"/>
      <c r="AG295" s="612"/>
      <c r="AH295" s="619">
        <f>SUM(Table1[[#This Row],[التقييد  باللوائح و تنفيذالتوجيه]:[اتباع اجراءات السلامه]])</f>
        <v>0</v>
      </c>
      <c r="AI295" s="619">
        <f>Table1[[#This Row],[المجموع]]+Table1[[#This Row],[المجموع2]]</f>
        <v>0</v>
      </c>
      <c r="AJ295" s="612">
        <v>9</v>
      </c>
      <c r="AK295" s="612"/>
      <c r="AL295" s="612"/>
      <c r="AM295" s="612">
        <v>6</v>
      </c>
      <c r="AN295" s="612"/>
      <c r="AO295" s="606">
        <f>Table1[[#This Row],[المجموع 1+2]]*$AO$2</f>
        <v>0</v>
      </c>
      <c r="AP295" s="648">
        <f>Table1[[#This Row],[راتب ديسمبر 2019]]*Table1[[#This Row],[نسبه التقييم الرئيسي 2018]]%</f>
        <v>0</v>
      </c>
      <c r="AQ295" s="627">
        <f>Table1[[#This Row],[مبلغ التقييم النسبي 2018]]+Table1[[#This Row],[راتب ديسمبر 2019]]</f>
        <v>5400</v>
      </c>
      <c r="AR295" s="10">
        <f>IF(Table1[[#This Row],[Column3]]&lt;0,0,Table1[[#This Row],[Column3]])</f>
        <v>24600</v>
      </c>
      <c r="AS295" s="599">
        <f>VLOOKUP(Table1[[#This Row],[درجه التوسيط]],Table10[],3,)</f>
        <v>30000</v>
      </c>
      <c r="AT295" s="608">
        <f>Table1[[#This Row],[الراتب 2018+النسبه]]+Table1[[#This Row],[فروقات الحد الادني]]</f>
        <v>30000</v>
      </c>
      <c r="AU295" s="629">
        <f>Table1[[#This Row],[الراتب 2018 + النسبه + الفرق]]-Table1[[#This Row],[راتب ديسمبر 2019]]</f>
        <v>24600</v>
      </c>
      <c r="AV295" s="628">
        <f>Table1[[#This Row],[الزياده]]/Table1[[#This Row],[راتب ديسمبر 2019]]%</f>
        <v>455.55555555555554</v>
      </c>
      <c r="AW295" s="659">
        <f>IF(Table1[[#This Row],[Column4]]&lt;0,0,Table1[[#This Row],[Column4]])</f>
        <v>10000</v>
      </c>
      <c r="AX295" s="611">
        <f>Table1[[#This Row],[الجبر حتي]]-Table1[[#This Row],[رن]]</f>
        <v>0</v>
      </c>
      <c r="AY295" s="611">
        <f>Table1[[#This Row],[الزياده]]+Table1[[#This Row],[التعديل]]+Table1[[#This Row],[جبر الرقم]]</f>
        <v>34600</v>
      </c>
      <c r="AZ295" s="611">
        <f>Table1[[#This Row],[الراتب 2018 + النسبه + الفرق]]+Table1[[#This Row],[جبر الرقم]]+Table1[[#This Row],[التعديل]]</f>
        <v>40000</v>
      </c>
      <c r="BA295" s="631">
        <f>Table1[[#This Row],[الزياده النهائيه]]/Table1[[#This Row],[راتب ديسمبر 2019]]%</f>
        <v>640.74074074074076</v>
      </c>
      <c r="BB295" s="612">
        <f>VLOOKUP(Table1[[#This Row],[الرقم الوظيفي]],Table6[],8,)</f>
        <v>5400</v>
      </c>
      <c r="BC295" s="7">
        <v>30000</v>
      </c>
      <c r="BD295" s="7">
        <v>20000</v>
      </c>
      <c r="BE295" s="7">
        <v>20000</v>
      </c>
      <c r="BF295" s="5">
        <f>Table1[[#This Row],[الحد الادني]]-Table1[[#This Row],[الراتب 2018+النسبه]]</f>
        <v>24600</v>
      </c>
      <c r="BG295" s="5">
        <f>Table1[[#This Row],[التعديل حتي]]-Table1[[#This Row],[kkk]]</f>
        <v>10000</v>
      </c>
      <c r="BH295" s="5">
        <v>20000</v>
      </c>
      <c r="BI295" s="5"/>
    </row>
    <row r="296" spans="1:61" ht="18.75" customHeight="1">
      <c r="A296" s="602">
        <v>1017</v>
      </c>
      <c r="B296" s="618" t="str">
        <f>VLOOKUP(Table1[[#This Row],[الرقم الوظيفي]],[1]Sheet2!$1:$1048576,2,)</f>
        <v>ميناس عبدالوهاب الامين حسن</v>
      </c>
      <c r="C296" s="599" t="str">
        <f>VLOOKUP(Table1[[#This Row],[الرقم الوظيفي]],[1]Sheet2!$1:$1048576,7,)</f>
        <v>الرئاسه</v>
      </c>
      <c r="D296" s="599" t="str">
        <f>VLOOKUP(Table1[[#This Row],[الرقم الوظيفي]],[1]Sheet2!$1:$1048576,8,)</f>
        <v>الماليه</v>
      </c>
      <c r="E296" s="599">
        <f>VLOOKUP(Table1[[#This Row],[الرقم الوظيفي]],[1]Sheet2!$1:$1048576,9,)</f>
        <v>0</v>
      </c>
      <c r="F296" s="599" t="str">
        <f>VLOOKUP(Table1[[#This Row],[الرقم الوظيفي]],[1]Sheet2!$1:$1048576,12,)</f>
        <v>محاسب</v>
      </c>
      <c r="G296" s="599" t="str">
        <f>VLOOKUP(Table1[[#This Row],[الرقم الوظيفي]],[1]Sheet2!$1:$1048576,72,)</f>
        <v>بكلاريوس</v>
      </c>
      <c r="H296" s="599" t="str">
        <f>VLOOKUP(Table1[[#This Row],[الرقم الوظيفي]],[1]Sheet2!$1:$1048576,71,)</f>
        <v>بنوك ومصارف</v>
      </c>
      <c r="I296" s="599" t="str">
        <f>VLOOKUP(Table1[[#This Row],[المؤهل الرئيسي]],Table4[],3,)</f>
        <v>C</v>
      </c>
      <c r="J296" s="599" t="s">
        <v>922</v>
      </c>
      <c r="K296" s="615">
        <f>VLOOKUP(Table1[[#This Row],[الرقم الوظيفي]],[1]Sheet2!$1:$1048576,13,)</f>
        <v>42176</v>
      </c>
      <c r="L296" s="615">
        <v>43830</v>
      </c>
      <c r="M296" s="599">
        <f>DATEDIF(Table1[[#This Row],[تاريخ التعيين]],Table1[[#This Row],[اخر العام]],"y")</f>
        <v>4</v>
      </c>
      <c r="N296" s="599">
        <f>DATEDIF(Table1[[#This Row],[تاريخ التعيين]],Table1[[#This Row],[اخر العام]],"ym")</f>
        <v>6</v>
      </c>
      <c r="O296" s="610">
        <f>Table1[[#This Row],[سنوات الخدمه]]*1+Table1[[#This Row],[الشهور اقل من سنه]]*0.08</f>
        <v>4.4800000000000004</v>
      </c>
      <c r="P296" s="616">
        <v>5120</v>
      </c>
      <c r="Q296" s="617">
        <v>356.35199999999998</v>
      </c>
      <c r="R296" s="612"/>
      <c r="S296" s="599"/>
      <c r="T296" s="612"/>
      <c r="U296" s="612"/>
      <c r="V296" s="612"/>
      <c r="W296" s="612"/>
      <c r="X296" s="612"/>
      <c r="Y296" s="612"/>
      <c r="Z296" s="612"/>
      <c r="AA29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6" s="612"/>
      <c r="AC296" s="599"/>
      <c r="AD296" s="612"/>
      <c r="AE296" s="612"/>
      <c r="AF296" s="612"/>
      <c r="AG296" s="612"/>
      <c r="AH296" s="619">
        <f>SUM(Table1[[#This Row],[التقييد  باللوائح و تنفيذالتوجيه]:[اتباع اجراءات السلامه]])</f>
        <v>0</v>
      </c>
      <c r="AI296" s="619">
        <f>Table1[[#This Row],[المجموع]]+Table1[[#This Row],[المجموع2]]</f>
        <v>0</v>
      </c>
      <c r="AJ296" s="612">
        <v>9</v>
      </c>
      <c r="AK296" s="612"/>
      <c r="AL296" s="612"/>
      <c r="AM296" s="612">
        <v>6</v>
      </c>
      <c r="AN296" s="612"/>
      <c r="AO296" s="606">
        <f>Table1[[#This Row],[المجموع 1+2]]*$AO$2</f>
        <v>0</v>
      </c>
      <c r="AP296" s="648">
        <f>Table1[[#This Row],[راتب ديسمبر 2019]]*Table1[[#This Row],[نسبه التقييم الرئيسي 2018]]%</f>
        <v>0</v>
      </c>
      <c r="AQ296" s="627">
        <f>Table1[[#This Row],[مبلغ التقييم النسبي 2018]]+Table1[[#This Row],[راتب ديسمبر 2019]]</f>
        <v>5120</v>
      </c>
      <c r="AR296" s="10">
        <f>IF(Table1[[#This Row],[Column3]]&lt;0,0,Table1[[#This Row],[Column3]])</f>
        <v>5880</v>
      </c>
      <c r="AS296" s="599">
        <f>VLOOKUP(Table1[[#This Row],[درجه التوسيط]],Table10[],3,)</f>
        <v>11000</v>
      </c>
      <c r="AT296" s="608">
        <f>Table1[[#This Row],[الراتب 2018+النسبه]]+Table1[[#This Row],[فروقات الحد الادني]]</f>
        <v>11000</v>
      </c>
      <c r="AU296" s="629">
        <f>Table1[[#This Row],[الراتب 2018 + النسبه + الفرق]]-Table1[[#This Row],[راتب ديسمبر 2019]]</f>
        <v>5880</v>
      </c>
      <c r="AV296" s="628">
        <f>Table1[[#This Row],[الزياده]]/Table1[[#This Row],[راتب ديسمبر 2019]]%</f>
        <v>114.84375</v>
      </c>
      <c r="AW296" s="659">
        <f>IF(Table1[[#This Row],[Column4]]&lt;0,0,Table1[[#This Row],[Column4]])</f>
        <v>545.27999999999975</v>
      </c>
      <c r="AX296" s="611">
        <f>Table1[[#This Row],[الجبر حتي]]-Table1[[#This Row],[رن]]</f>
        <v>0</v>
      </c>
      <c r="AY296" s="611">
        <f>Table1[[#This Row],[الزياده]]+Table1[[#This Row],[التعديل]]+Table1[[#This Row],[جبر الرقم]]</f>
        <v>6425.28</v>
      </c>
      <c r="AZ296" s="611">
        <f>Table1[[#This Row],[الراتب 2018 + النسبه + الفرق]]+Table1[[#This Row],[جبر الرقم]]+Table1[[#This Row],[التعديل]]</f>
        <v>11545.279999999999</v>
      </c>
      <c r="BA296" s="631">
        <f>Table1[[#This Row],[الزياده النهائيه]]/Table1[[#This Row],[راتب ديسمبر 2019]]%</f>
        <v>125.49374999999999</v>
      </c>
      <c r="BB296" s="612">
        <f>VLOOKUP(Table1[[#This Row],[الرقم الوظيفي]],Table6[],8,)</f>
        <v>5120</v>
      </c>
      <c r="BC296" s="7">
        <v>8000</v>
      </c>
      <c r="BD296" s="7">
        <v>8000</v>
      </c>
      <c r="BE296" s="7">
        <v>8000</v>
      </c>
      <c r="BF296" s="5">
        <f>Table1[[#This Row],[الحد الادني]]-Table1[[#This Row],[الراتب 2018+النسبه]]</f>
        <v>5880</v>
      </c>
      <c r="BG296" s="5">
        <f>Table1[[#This Row],[التعديل حتي]]-Table1[[#This Row],[kkk]]</f>
        <v>545.27999999999975</v>
      </c>
      <c r="BH296" s="5">
        <v>7454.72</v>
      </c>
      <c r="BI296" s="5"/>
    </row>
    <row r="297" spans="1:61" ht="18.75" customHeight="1">
      <c r="A297" s="602">
        <v>1018</v>
      </c>
      <c r="B297" s="618" t="str">
        <f>VLOOKUP(Table1[[#This Row],[الرقم الوظيفي]],[1]Sheet2!$1:$1048576,2,)</f>
        <v>عفاف الطاهر قرشي حسن</v>
      </c>
      <c r="C297" s="599" t="str">
        <f>VLOOKUP(Table1[[#This Row],[الرقم الوظيفي]],[1]Sheet2!$1:$1048576,7,)</f>
        <v>الرئاسه</v>
      </c>
      <c r="D297" s="599" t="str">
        <f>VLOOKUP(Table1[[#This Row],[الرقم الوظيفي]],[1]Sheet2!$1:$1048576,8,)</f>
        <v>الماليه</v>
      </c>
      <c r="E297" s="599">
        <f>VLOOKUP(Table1[[#This Row],[الرقم الوظيفي]],[1]Sheet2!$1:$1048576,9,)</f>
        <v>0</v>
      </c>
      <c r="F297" s="599" t="str">
        <f>VLOOKUP(Table1[[#This Row],[الرقم الوظيفي]],[1]Sheet2!$1:$1048576,12,)</f>
        <v>محاسب</v>
      </c>
      <c r="G297" s="599" t="str">
        <f>VLOOKUP(Table1[[#This Row],[الرقم الوظيفي]],[1]Sheet2!$1:$1048576,72,)</f>
        <v>ماجستير</v>
      </c>
      <c r="H297" s="599" t="str">
        <f>VLOOKUP(Table1[[#This Row],[الرقم الوظيفي]],[1]Sheet2!$1:$1048576,71,)</f>
        <v>إدارة الاعمال</v>
      </c>
      <c r="I297" s="599" t="str">
        <f>VLOOKUP(Table1[[#This Row],[المؤهل الرئيسي]],Table4[],3,)</f>
        <v>B</v>
      </c>
      <c r="J297" s="599" t="s">
        <v>922</v>
      </c>
      <c r="K297" s="615">
        <f>VLOOKUP(Table1[[#This Row],[الرقم الوظيفي]],[1]Sheet2!$1:$1048576,13,)</f>
        <v>42403</v>
      </c>
      <c r="L297" s="615">
        <v>43830</v>
      </c>
      <c r="M297" s="599">
        <f>DATEDIF(Table1[[#This Row],[تاريخ التعيين]],Table1[[#This Row],[اخر العام]],"y")</f>
        <v>3</v>
      </c>
      <c r="N297" s="599">
        <f>DATEDIF(Table1[[#This Row],[تاريخ التعيين]],Table1[[#This Row],[اخر العام]],"ym")</f>
        <v>10</v>
      </c>
      <c r="O297" s="610">
        <f>Table1[[#This Row],[سنوات الخدمه]]*1+Table1[[#This Row],[الشهور اقل من سنه]]*0.08</f>
        <v>3.8</v>
      </c>
      <c r="P297" s="616">
        <v>5110</v>
      </c>
      <c r="Q297" s="617">
        <v>286.16000000000003</v>
      </c>
      <c r="R297" s="612"/>
      <c r="S297" s="599"/>
      <c r="T297" s="612"/>
      <c r="U297" s="612"/>
      <c r="V297" s="612"/>
      <c r="W297" s="612"/>
      <c r="X297" s="612"/>
      <c r="Y297" s="612"/>
      <c r="Z297" s="612"/>
      <c r="AA29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7" s="612"/>
      <c r="AC297" s="599"/>
      <c r="AD297" s="612"/>
      <c r="AE297" s="612"/>
      <c r="AF297" s="612"/>
      <c r="AG297" s="612"/>
      <c r="AH297" s="619">
        <f>SUM(Table1[[#This Row],[التقييد  باللوائح و تنفيذالتوجيه]:[اتباع اجراءات السلامه]])</f>
        <v>0</v>
      </c>
      <c r="AI297" s="619">
        <f>Table1[[#This Row],[المجموع]]+Table1[[#This Row],[المجموع2]]</f>
        <v>0</v>
      </c>
      <c r="AJ297" s="612">
        <v>10</v>
      </c>
      <c r="AK297" s="612"/>
      <c r="AL297" s="612"/>
      <c r="AM297" s="612">
        <v>8</v>
      </c>
      <c r="AN297" s="612"/>
      <c r="AO297" s="606">
        <f>Table1[[#This Row],[المجموع 1+2]]*$AO$2</f>
        <v>0</v>
      </c>
      <c r="AP297" s="648">
        <f>Table1[[#This Row],[راتب ديسمبر 2019]]*Table1[[#This Row],[نسبه التقييم الرئيسي 2018]]%</f>
        <v>0</v>
      </c>
      <c r="AQ297" s="627">
        <f>Table1[[#This Row],[مبلغ التقييم النسبي 2018]]+Table1[[#This Row],[راتب ديسمبر 2019]]</f>
        <v>5110</v>
      </c>
      <c r="AR297" s="10">
        <f>IF(Table1[[#This Row],[Column3]]&lt;0,0,Table1[[#This Row],[Column3]])</f>
        <v>5890</v>
      </c>
      <c r="AS297" s="599">
        <f>VLOOKUP(Table1[[#This Row],[درجه التوسيط]],Table10[],3,)</f>
        <v>11000</v>
      </c>
      <c r="AT297" s="608">
        <f>Table1[[#This Row],[الراتب 2018+النسبه]]+Table1[[#This Row],[فروقات الحد الادني]]</f>
        <v>11000</v>
      </c>
      <c r="AU297" s="629">
        <f>Table1[[#This Row],[الراتب 2018 + النسبه + الفرق]]-Table1[[#This Row],[راتب ديسمبر 2019]]</f>
        <v>5890</v>
      </c>
      <c r="AV297" s="628">
        <f>Table1[[#This Row],[الزياده]]/Table1[[#This Row],[راتب ديسمبر 2019]]%</f>
        <v>115.26418786692759</v>
      </c>
      <c r="AW297" s="659">
        <f>IF(Table1[[#This Row],[Column4]]&lt;0,0,Table1[[#This Row],[Column4]])</f>
        <v>2191.92</v>
      </c>
      <c r="AX297" s="611">
        <f>Table1[[#This Row],[الجبر حتي]]-Table1[[#This Row],[رن]]</f>
        <v>0</v>
      </c>
      <c r="AY297" s="611">
        <f>Table1[[#This Row],[الزياده]]+Table1[[#This Row],[التعديل]]+Table1[[#This Row],[جبر الرقم]]</f>
        <v>8081.92</v>
      </c>
      <c r="AZ297" s="611">
        <f>Table1[[#This Row],[الراتب 2018 + النسبه + الفرق]]+Table1[[#This Row],[جبر الرقم]]+Table1[[#This Row],[التعديل]]</f>
        <v>13191.92</v>
      </c>
      <c r="BA297" s="631">
        <f>Table1[[#This Row],[الزياده النهائيه]]/Table1[[#This Row],[راتب ديسمبر 2019]]%</f>
        <v>158.15890410958903</v>
      </c>
      <c r="BB297" s="612">
        <f>VLOOKUP(Table1[[#This Row],[الرقم الوظيفي]],Table6[],8,)</f>
        <v>5110</v>
      </c>
      <c r="BC297" s="7">
        <v>10000</v>
      </c>
      <c r="BD297" s="7">
        <v>10000</v>
      </c>
      <c r="BE297" s="7">
        <v>10000</v>
      </c>
      <c r="BF297" s="5">
        <f>Table1[[#This Row],[الحد الادني]]-Table1[[#This Row],[الراتب 2018+النسبه]]</f>
        <v>5890</v>
      </c>
      <c r="BG297" s="5">
        <f>Table1[[#This Row],[التعديل حتي]]-Table1[[#This Row],[kkk]]</f>
        <v>2191.92</v>
      </c>
      <c r="BH297" s="5">
        <v>7808.08</v>
      </c>
      <c r="BI297" s="5"/>
    </row>
    <row r="298" spans="1:61" ht="18.75" customHeight="1">
      <c r="A298" s="602">
        <v>1019</v>
      </c>
      <c r="B298" s="618" t="str">
        <f>VLOOKUP(Table1[[#This Row],[الرقم الوظيفي]],[1]Sheet2!$1:$1048576,2,)</f>
        <v>سلمى عباس عبدالله تيه</v>
      </c>
      <c r="C298" s="599" t="str">
        <f>VLOOKUP(Table1[[#This Row],[الرقم الوظيفي]],[1]Sheet2!$1:$1048576,7,)</f>
        <v>الرئاسه</v>
      </c>
      <c r="D298" s="599" t="str">
        <f>VLOOKUP(Table1[[#This Row],[الرقم الوظيفي]],[1]Sheet2!$1:$1048576,8,)</f>
        <v>الخدمات</v>
      </c>
      <c r="E298" s="599">
        <f>VLOOKUP(Table1[[#This Row],[الرقم الوظيفي]],[1]Sheet2!$1:$1048576,9,)</f>
        <v>0</v>
      </c>
      <c r="F298" s="599" t="str">
        <f>VLOOKUP(Table1[[#This Row],[الرقم الوظيفي]],[1]Sheet2!$1:$1048576,12,)</f>
        <v>عامل</v>
      </c>
      <c r="G298" s="599">
        <f>VLOOKUP(Table1[[#This Row],[الرقم الوظيفي]],[1]Sheet2!$1:$1048576,72,)</f>
        <v>0</v>
      </c>
      <c r="H298" s="599">
        <f>VLOOKUP(Table1[[#This Row],[الرقم الوظيفي]],[1]Sheet2!$1:$1048576,71,)</f>
        <v>0</v>
      </c>
      <c r="I298" s="599" t="str">
        <f>VLOOKUP(Table1[[#This Row],[المؤهل الرئيسي]],Table4[],3,)</f>
        <v>H</v>
      </c>
      <c r="J298" s="599" t="s">
        <v>929</v>
      </c>
      <c r="K298" s="615">
        <f>VLOOKUP(Table1[[#This Row],[الرقم الوظيفي]],[1]Sheet2!$1:$1048576,13,)</f>
        <v>42597</v>
      </c>
      <c r="L298" s="615">
        <v>43830</v>
      </c>
      <c r="M298" s="599">
        <f>DATEDIF(Table1[[#This Row],[تاريخ التعيين]],Table1[[#This Row],[اخر العام]],"y")</f>
        <v>3</v>
      </c>
      <c r="N298" s="599">
        <f>DATEDIF(Table1[[#This Row],[تاريخ التعيين]],Table1[[#This Row],[اخر العام]],"ym")</f>
        <v>4</v>
      </c>
      <c r="O298" s="610">
        <f>Table1[[#This Row],[سنوات الخدمه]]*1+Table1[[#This Row],[الشهور اقل من سنه]]*0.08</f>
        <v>3.32</v>
      </c>
      <c r="P298" s="616">
        <v>3050</v>
      </c>
      <c r="Q298" s="617">
        <v>141.52000000000001</v>
      </c>
      <c r="R298" s="612"/>
      <c r="S298" s="599"/>
      <c r="T298" s="612"/>
      <c r="U298" s="612"/>
      <c r="V298" s="612"/>
      <c r="W298" s="612"/>
      <c r="X298" s="612"/>
      <c r="Y298" s="612"/>
      <c r="Z298" s="612"/>
      <c r="AA29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8" s="612"/>
      <c r="AC298" s="599"/>
      <c r="AD298" s="612"/>
      <c r="AE298" s="612"/>
      <c r="AF298" s="612"/>
      <c r="AG298" s="612"/>
      <c r="AH298" s="619">
        <f>SUM(Table1[[#This Row],[التقييد  باللوائح و تنفيذالتوجيه]:[اتباع اجراءات السلامه]])</f>
        <v>0</v>
      </c>
      <c r="AI298" s="619">
        <f>Table1[[#This Row],[المجموع]]+Table1[[#This Row],[المجموع2]]</f>
        <v>0</v>
      </c>
      <c r="AJ298" s="612">
        <v>9</v>
      </c>
      <c r="AK298" s="612"/>
      <c r="AL298" s="612"/>
      <c r="AM298" s="612">
        <v>6</v>
      </c>
      <c r="AN298" s="612"/>
      <c r="AO298" s="606">
        <f>Table1[[#This Row],[المجموع 1+2]]*$AO$2</f>
        <v>0</v>
      </c>
      <c r="AP298" s="648">
        <f>Table1[[#This Row],[راتب ديسمبر 2019]]*Table1[[#This Row],[نسبه التقييم الرئيسي 2018]]%</f>
        <v>0</v>
      </c>
      <c r="AQ298" s="627">
        <f>Table1[[#This Row],[مبلغ التقييم النسبي 2018]]+Table1[[#This Row],[راتب ديسمبر 2019]]</f>
        <v>3050</v>
      </c>
      <c r="AR298" s="10">
        <f>IF(Table1[[#This Row],[Column3]]&lt;0,0,Table1[[#This Row],[Column3]])</f>
        <v>2950</v>
      </c>
      <c r="AS298" s="599">
        <f>VLOOKUP(Table1[[#This Row],[درجه التوسيط]],Table10[],3,)</f>
        <v>6000</v>
      </c>
      <c r="AT298" s="608">
        <f>Table1[[#This Row],[الراتب 2018+النسبه]]+Table1[[#This Row],[فروقات الحد الادني]]</f>
        <v>6000</v>
      </c>
      <c r="AU298" s="629">
        <f>Table1[[#This Row],[الراتب 2018 + النسبه + الفرق]]-Table1[[#This Row],[راتب ديسمبر 2019]]</f>
        <v>2950</v>
      </c>
      <c r="AV298" s="628">
        <f>Table1[[#This Row],[الزياده]]/Table1[[#This Row],[راتب ديسمبر 2019]]%</f>
        <v>96.721311475409834</v>
      </c>
      <c r="AW298" s="659">
        <f>IF(Table1[[#This Row],[Column4]]&lt;0,0,Table1[[#This Row],[Column4]])</f>
        <v>0</v>
      </c>
      <c r="AX298" s="611">
        <f>Table1[[#This Row],[الجبر حتي]]-Table1[[#This Row],[رن]]</f>
        <v>4.5</v>
      </c>
      <c r="AY298" s="611">
        <f>Table1[[#This Row],[الزياده]]+Table1[[#This Row],[التعديل]]+Table1[[#This Row],[جبر الرقم]]</f>
        <v>2954.5</v>
      </c>
      <c r="AZ298" s="611">
        <f>Table1[[#This Row],[الراتب 2018 + النسبه + الفرق]]+Table1[[#This Row],[جبر الرقم]]+Table1[[#This Row],[التعديل]]</f>
        <v>6004.5</v>
      </c>
      <c r="BA298" s="631">
        <f>Table1[[#This Row],[الزياده النهائيه]]/Table1[[#This Row],[راتب ديسمبر 2019]]%</f>
        <v>96.868852459016395</v>
      </c>
      <c r="BB298" s="612">
        <f>VLOOKUP(Table1[[#This Row],[الرقم الوظيفي]],Table6[],8,)</f>
        <v>3050</v>
      </c>
      <c r="BC298" s="7"/>
      <c r="BD298" s="7">
        <v>4610</v>
      </c>
      <c r="BE298" s="7">
        <v>4605.5</v>
      </c>
      <c r="BF298" s="5">
        <f>Table1[[#This Row],[الحد الادني]]-Table1[[#This Row],[الراتب 2018+النسبه]]</f>
        <v>2950</v>
      </c>
      <c r="BG298" s="5">
        <f>Table1[[#This Row],[التعديل حتي]]-Table1[[#This Row],[kkk]]</f>
        <v>-4605.5</v>
      </c>
      <c r="BH298" s="5">
        <v>4605.5</v>
      </c>
      <c r="BI298" s="5"/>
    </row>
    <row r="299" spans="1:61" ht="18.75" customHeight="1">
      <c r="A299" s="602">
        <v>317</v>
      </c>
      <c r="B299" s="618" t="str">
        <f>VLOOKUP(Table1[[#This Row],[الرقم الوظيفي]],[1]Sheet2!$1:$1048576,2,)</f>
        <v>تسفاى دسو ابلى</v>
      </c>
      <c r="C299" s="599" t="str">
        <f>VLOOKUP(Table1[[#This Row],[الرقم الوظيفي]],[1]Sheet2!$1:$1048576,7,)</f>
        <v>المصنع</v>
      </c>
      <c r="D299" s="599" t="str">
        <f>VLOOKUP(Table1[[#This Row],[الرقم الوظيفي]],[1]Sheet2!$1:$1048576,8,)</f>
        <v>الانتاج</v>
      </c>
      <c r="E299" s="599">
        <f>VLOOKUP(Table1[[#This Row],[الرقم الوظيفي]],[1]Sheet2!$1:$1048576,9,)</f>
        <v>0</v>
      </c>
      <c r="F299" s="599" t="str">
        <f>VLOOKUP(Table1[[#This Row],[الرقم الوظيفي]],[1]Sheet2!$1:$1048576,12,)</f>
        <v>عامل</v>
      </c>
      <c r="G299" s="599">
        <f>VLOOKUP(Table1[[#This Row],[الرقم الوظيفي]],[1]Sheet2!$1:$1048576,72,)</f>
        <v>0</v>
      </c>
      <c r="H299" s="599">
        <f>VLOOKUP(Table1[[#This Row],[الرقم الوظيفي]],[1]Sheet2!$1:$1048576,71,)</f>
        <v>0</v>
      </c>
      <c r="I299" s="599" t="str">
        <f>VLOOKUP(Table1[[#This Row],[المؤهل الرئيسي]],Table4[],3,)</f>
        <v>H</v>
      </c>
      <c r="J299" s="599" t="s">
        <v>929</v>
      </c>
      <c r="K299" s="615">
        <f>VLOOKUP(Table1[[#This Row],[الرقم الوظيفي]],[1]Sheet2!$1:$1048576,13,)</f>
        <v>41153</v>
      </c>
      <c r="L299" s="615">
        <v>43830</v>
      </c>
      <c r="M299" s="599">
        <f>DATEDIF(Table1[[#This Row],[تاريخ التعيين]],Table1[[#This Row],[اخر العام]],"y")</f>
        <v>7</v>
      </c>
      <c r="N299" s="599">
        <f>DATEDIF(Table1[[#This Row],[تاريخ التعيين]],Table1[[#This Row],[اخر العام]],"ym")</f>
        <v>3</v>
      </c>
      <c r="O299" s="610">
        <f>Table1[[#This Row],[سنوات الخدمه]]*1+Table1[[#This Row],[الشهور اقل من سنه]]*0.08</f>
        <v>7.24</v>
      </c>
      <c r="P299" s="616">
        <v>3420</v>
      </c>
      <c r="Q299" s="617">
        <v>426.81599999999997</v>
      </c>
      <c r="R299" s="612"/>
      <c r="S299" s="599"/>
      <c r="T299" s="612"/>
      <c r="U299" s="612"/>
      <c r="V299" s="612"/>
      <c r="W299" s="612"/>
      <c r="X299" s="612"/>
      <c r="Y299" s="612"/>
      <c r="Z299" s="612"/>
      <c r="AA29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299" s="612"/>
      <c r="AC299" s="599"/>
      <c r="AD299" s="612"/>
      <c r="AE299" s="612"/>
      <c r="AF299" s="612"/>
      <c r="AG299" s="612"/>
      <c r="AH299" s="619">
        <f>SUM(Table1[[#This Row],[التقييد  باللوائح و تنفيذالتوجيه]:[اتباع اجراءات السلامه]])</f>
        <v>0</v>
      </c>
      <c r="AI299" s="619">
        <f>Table1[[#This Row],[المجموع]]+Table1[[#This Row],[المجموع2]]</f>
        <v>0</v>
      </c>
      <c r="AJ299" s="612">
        <v>9</v>
      </c>
      <c r="AK299" s="612"/>
      <c r="AL299" s="612"/>
      <c r="AM299" s="612">
        <v>7</v>
      </c>
      <c r="AN299" s="612"/>
      <c r="AO299" s="606">
        <f>Table1[[#This Row],[المجموع 1+2]]*$AO$2</f>
        <v>0</v>
      </c>
      <c r="AP299" s="648">
        <f>Table1[[#This Row],[راتب ديسمبر 2019]]*Table1[[#This Row],[نسبه التقييم الرئيسي 2018]]%</f>
        <v>0</v>
      </c>
      <c r="AQ299" s="627">
        <f>Table1[[#This Row],[مبلغ التقييم النسبي 2018]]+Table1[[#This Row],[راتب ديسمبر 2019]]</f>
        <v>3420</v>
      </c>
      <c r="AR299" s="10">
        <f>IF(Table1[[#This Row],[Column3]]&lt;0,0,Table1[[#This Row],[Column3]])</f>
        <v>2580</v>
      </c>
      <c r="AS299" s="599">
        <f>VLOOKUP(Table1[[#This Row],[درجه التوسيط]],Table10[],3,)</f>
        <v>6000</v>
      </c>
      <c r="AT299" s="608">
        <f>Table1[[#This Row],[الراتب 2018+النسبه]]+Table1[[#This Row],[فروقات الحد الادني]]</f>
        <v>6000</v>
      </c>
      <c r="AU299" s="629">
        <f>Table1[[#This Row],[الراتب 2018 + النسبه + الفرق]]-Table1[[#This Row],[راتب ديسمبر 2019]]</f>
        <v>2580</v>
      </c>
      <c r="AV299" s="628">
        <f>Table1[[#This Row],[الزياده]]/Table1[[#This Row],[راتب ديسمبر 2019]]%</f>
        <v>75.438596491228068</v>
      </c>
      <c r="AW299" s="659">
        <f>IF(Table1[[#This Row],[Column4]]&lt;0,0,Table1[[#This Row],[Column4]])</f>
        <v>0</v>
      </c>
      <c r="AX299" s="611">
        <f>Table1[[#This Row],[الجبر حتي]]-Table1[[#This Row],[رن]]</f>
        <v>4.7600000000002183</v>
      </c>
      <c r="AY299" s="611">
        <f>Table1[[#This Row],[الزياده]]+Table1[[#This Row],[التعديل]]+Table1[[#This Row],[جبر الرقم]]</f>
        <v>2584.7600000000002</v>
      </c>
      <c r="AZ299" s="611">
        <f>Table1[[#This Row],[الراتب 2018 + النسبه + الفرق]]+Table1[[#This Row],[جبر الرقم]]+Table1[[#This Row],[التعديل]]</f>
        <v>6004.76</v>
      </c>
      <c r="BA299" s="631">
        <f>Table1[[#This Row],[الزياده النهائيه]]/Table1[[#This Row],[راتب ديسمبر 2019]]%</f>
        <v>75.577777777777783</v>
      </c>
      <c r="BB299" s="612">
        <f>VLOOKUP(Table1[[#This Row],[الرقم الوظيفي]],Table6[],8,)</f>
        <v>3420</v>
      </c>
      <c r="BC299" s="7"/>
      <c r="BD299" s="7">
        <v>5210</v>
      </c>
      <c r="BE299" s="7">
        <v>5205.24</v>
      </c>
      <c r="BF299" s="5">
        <f>Table1[[#This Row],[الحد الادني]]-Table1[[#This Row],[الراتب 2018+النسبه]]</f>
        <v>2580</v>
      </c>
      <c r="BG299" s="5">
        <f>Table1[[#This Row],[التعديل حتي]]-Table1[[#This Row],[kkk]]</f>
        <v>-5205.24</v>
      </c>
      <c r="BH299" s="5">
        <v>5205.24</v>
      </c>
      <c r="BI299" s="5"/>
    </row>
    <row r="300" spans="1:61" ht="18.75" customHeight="1">
      <c r="A300" s="602">
        <v>1021</v>
      </c>
      <c r="B300" s="618" t="str">
        <f>VLOOKUP(Table1[[#This Row],[الرقم الوظيفي]],[1]Sheet2!$1:$1048576,2,)</f>
        <v>نشوه داؤد فرح احمد</v>
      </c>
      <c r="C300" s="599" t="str">
        <f>VLOOKUP(Table1[[#This Row],[الرقم الوظيفي]],[1]Sheet2!$1:$1048576,7,)</f>
        <v>الرئاسه</v>
      </c>
      <c r="D300" s="599" t="str">
        <f>VLOOKUP(Table1[[#This Row],[الرقم الوظيفي]],[1]Sheet2!$1:$1048576,8,)</f>
        <v>الماليه</v>
      </c>
      <c r="E300" s="599">
        <f>VLOOKUP(Table1[[#This Row],[الرقم الوظيفي]],[1]Sheet2!$1:$1048576,9,)</f>
        <v>0</v>
      </c>
      <c r="F300" s="599" t="str">
        <f>VLOOKUP(Table1[[#This Row],[الرقم الوظيفي]],[1]Sheet2!$1:$1048576,12,)</f>
        <v>محاسب</v>
      </c>
      <c r="G300" s="599" t="str">
        <f>VLOOKUP(Table1[[#This Row],[الرقم الوظيفي]],[1]Sheet2!$1:$1048576,72,)</f>
        <v>بكلاريوس</v>
      </c>
      <c r="H300" s="599" t="str">
        <f>VLOOKUP(Table1[[#This Row],[الرقم الوظيفي]],[1]Sheet2!$1:$1048576,71,)</f>
        <v>المحاسبة والتمويل</v>
      </c>
      <c r="I300" s="599" t="str">
        <f>VLOOKUP(Table1[[#This Row],[المؤهل الرئيسي]],Table4[],3,)</f>
        <v>C</v>
      </c>
      <c r="J300" s="599" t="s">
        <v>922</v>
      </c>
      <c r="K300" s="615">
        <f>VLOOKUP(Table1[[#This Row],[الرقم الوظيفي]],[1]Sheet2!$1:$1048576,13,)</f>
        <v>43009</v>
      </c>
      <c r="L300" s="615">
        <v>43830</v>
      </c>
      <c r="M300" s="599">
        <f>DATEDIF(Table1[[#This Row],[تاريخ التعيين]],Table1[[#This Row],[اخر العام]],"y")</f>
        <v>2</v>
      </c>
      <c r="N300" s="599">
        <f>DATEDIF(Table1[[#This Row],[تاريخ التعيين]],Table1[[#This Row],[اخر العام]],"ym")</f>
        <v>2</v>
      </c>
      <c r="O300" s="610">
        <f>Table1[[#This Row],[سنوات الخدمه]]*1+Table1[[#This Row],[الشهور اقل من سنه]]*0.08</f>
        <v>2.16</v>
      </c>
      <c r="P300" s="616">
        <v>5010</v>
      </c>
      <c r="Q300" s="617">
        <v>116.232</v>
      </c>
      <c r="R300" s="612"/>
      <c r="S300" s="599"/>
      <c r="T300" s="612"/>
      <c r="U300" s="612"/>
      <c r="V300" s="612"/>
      <c r="W300" s="612"/>
      <c r="X300" s="612"/>
      <c r="Y300" s="612"/>
      <c r="Z300" s="612"/>
      <c r="AA30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0" s="612"/>
      <c r="AC300" s="599"/>
      <c r="AD300" s="612"/>
      <c r="AE300" s="612"/>
      <c r="AF300" s="612"/>
      <c r="AG300" s="612"/>
      <c r="AH300" s="619">
        <f>SUM(Table1[[#This Row],[التقييد  باللوائح و تنفيذالتوجيه]:[اتباع اجراءات السلامه]])</f>
        <v>0</v>
      </c>
      <c r="AI300" s="619">
        <f>Table1[[#This Row],[المجموع]]+Table1[[#This Row],[المجموع2]]</f>
        <v>0</v>
      </c>
      <c r="AJ300" s="612"/>
      <c r="AK300" s="612"/>
      <c r="AL300" s="612"/>
      <c r="AM300" s="612"/>
      <c r="AN300" s="612"/>
      <c r="AO300" s="606">
        <f>Table1[[#This Row],[المجموع 1+2]]*$AO$2</f>
        <v>0</v>
      </c>
      <c r="AP300" s="648">
        <f>Table1[[#This Row],[راتب ديسمبر 2019]]*Table1[[#This Row],[نسبه التقييم الرئيسي 2018]]%</f>
        <v>0</v>
      </c>
      <c r="AQ300" s="627">
        <f>Table1[[#This Row],[مبلغ التقييم النسبي 2018]]+Table1[[#This Row],[راتب ديسمبر 2019]]</f>
        <v>5010</v>
      </c>
      <c r="AR300" s="10">
        <f>IF(Table1[[#This Row],[Column3]]&lt;0,0,Table1[[#This Row],[Column3]])</f>
        <v>5990</v>
      </c>
      <c r="AS300" s="599">
        <f>VLOOKUP(Table1[[#This Row],[درجه التوسيط]],Table10[],3,)</f>
        <v>11000</v>
      </c>
      <c r="AT300" s="608">
        <f>Table1[[#This Row],[الراتب 2018+النسبه]]+Table1[[#This Row],[فروقات الحد الادني]]</f>
        <v>11000</v>
      </c>
      <c r="AU300" s="629">
        <f>Table1[[#This Row],[الراتب 2018 + النسبه + الفرق]]-Table1[[#This Row],[راتب ديسمبر 2019]]</f>
        <v>5990</v>
      </c>
      <c r="AV300" s="628">
        <f>Table1[[#This Row],[الزياده]]/Table1[[#This Row],[راتب ديسمبر 2019]]%</f>
        <v>119.56087824351297</v>
      </c>
      <c r="AW300" s="659">
        <f>IF(Table1[[#This Row],[Column4]]&lt;0,0,Table1[[#This Row],[Column4]])</f>
        <v>0</v>
      </c>
      <c r="AX300" s="611">
        <f>Table1[[#This Row],[الجبر حتي]]-Table1[[#This Row],[رن]]</f>
        <v>4.7199999999993452</v>
      </c>
      <c r="AY300" s="611">
        <f>Table1[[#This Row],[الزياده]]+Table1[[#This Row],[التعديل]]+Table1[[#This Row],[جبر الرقم]]</f>
        <v>5994.7199999999993</v>
      </c>
      <c r="AZ300" s="611">
        <f>Table1[[#This Row],[الراتب 2018 + النسبه + الفرق]]+Table1[[#This Row],[جبر الرقم]]+Table1[[#This Row],[التعديل]]</f>
        <v>11004.72</v>
      </c>
      <c r="BA300" s="631">
        <f>Table1[[#This Row],[الزياده النهائيه]]/Table1[[#This Row],[راتب ديسمبر 2019]]%</f>
        <v>119.65508982035927</v>
      </c>
      <c r="BB300" s="612">
        <f>VLOOKUP(Table1[[#This Row],[الرقم الوظيفي]],Table6[],8,)</f>
        <v>5010</v>
      </c>
      <c r="BC300" s="7"/>
      <c r="BD300" s="7">
        <v>7660</v>
      </c>
      <c r="BE300" s="7">
        <v>7655.2800000000007</v>
      </c>
      <c r="BF300" s="5">
        <f>Table1[[#This Row],[الحد الادني]]-Table1[[#This Row],[الراتب 2018+النسبه]]</f>
        <v>5990</v>
      </c>
      <c r="BG300" s="5">
        <f>Table1[[#This Row],[التعديل حتي]]-Table1[[#This Row],[kkk]]</f>
        <v>-7655.2800000000007</v>
      </c>
      <c r="BH300" s="5">
        <v>7655.2800000000007</v>
      </c>
      <c r="BI300" s="5"/>
    </row>
    <row r="301" spans="1:61" ht="18.75" customHeight="1">
      <c r="A301" s="602">
        <v>1002</v>
      </c>
      <c r="B301" s="618" t="str">
        <f>VLOOKUP(Table1[[#This Row],[الرقم الوظيفي]],[1]Sheet2!$1:$1048576,2,)</f>
        <v>عبدالله حسن سعيد عبدالكريم</v>
      </c>
      <c r="C301" s="599" t="str">
        <f>VLOOKUP(Table1[[#This Row],[الرقم الوظيفي]],[1]Sheet2!$1:$1048576,7,)</f>
        <v>الرئاسه</v>
      </c>
      <c r="D301" s="599" t="str">
        <f>VLOOKUP(Table1[[#This Row],[الرقم الوظيفي]],[1]Sheet2!$1:$1048576,8,)</f>
        <v>الماليه</v>
      </c>
      <c r="E301" s="599">
        <f>VLOOKUP(Table1[[#This Row],[الرقم الوظيفي]],[1]Sheet2!$1:$1048576,9,)</f>
        <v>0</v>
      </c>
      <c r="F301" s="599" t="str">
        <f>VLOOKUP(Table1[[#This Row],[الرقم الوظيفي]],[1]Sheet2!$1:$1048576,12,)</f>
        <v>رئيس حسابات</v>
      </c>
      <c r="G301" s="599" t="str">
        <f>VLOOKUP(Table1[[#This Row],[الرقم الوظيفي]],[1]Sheet2!$1:$1048576,72,)</f>
        <v>بكلاريوس الشرف</v>
      </c>
      <c r="H301" s="599" t="str">
        <f>VLOOKUP(Table1[[#This Row],[الرقم الوظيفي]],[1]Sheet2!$1:$1048576,71,)</f>
        <v>الاقتصاد</v>
      </c>
      <c r="I301" s="599" t="str">
        <f>VLOOKUP(Table1[[#This Row],[المؤهل الرئيسي]],Table4[],3,)</f>
        <v>C</v>
      </c>
      <c r="J301" s="599" t="s">
        <v>59</v>
      </c>
      <c r="K301" s="615">
        <f>VLOOKUP(Table1[[#This Row],[الرقم الوظيفي]],[1]Sheet2!$1:$1048576,13,)</f>
        <v>39142</v>
      </c>
      <c r="L301" s="615">
        <v>43830</v>
      </c>
      <c r="M301" s="599">
        <f>DATEDIF(Table1[[#This Row],[تاريخ التعيين]],Table1[[#This Row],[اخر العام]],"y")</f>
        <v>12</v>
      </c>
      <c r="N301" s="599">
        <f>DATEDIF(Table1[[#This Row],[تاريخ التعيين]],Table1[[#This Row],[اخر العام]],"ym")</f>
        <v>9</v>
      </c>
      <c r="O301" s="610">
        <f>Table1[[#This Row],[سنوات الخدمه]]*1+Table1[[#This Row],[الشهور اقل من سنه]]*0.08</f>
        <v>12.72</v>
      </c>
      <c r="P301" s="616">
        <v>17080</v>
      </c>
      <c r="Q301" s="617">
        <v>4003.5520000000001</v>
      </c>
      <c r="R301" s="612"/>
      <c r="S301" s="599"/>
      <c r="T301" s="612"/>
      <c r="U301" s="612"/>
      <c r="V301" s="612"/>
      <c r="W301" s="612"/>
      <c r="X301" s="612"/>
      <c r="Y301" s="612"/>
      <c r="Z301" s="612"/>
      <c r="AA30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1" s="612"/>
      <c r="AC301" s="599"/>
      <c r="AD301" s="612"/>
      <c r="AE301" s="612"/>
      <c r="AF301" s="612"/>
      <c r="AG301" s="612"/>
      <c r="AH301" s="619">
        <f>SUM(Table1[[#This Row],[التقييد  باللوائح و تنفيذالتوجيه]:[اتباع اجراءات السلامه]])</f>
        <v>0</v>
      </c>
      <c r="AI301" s="619">
        <f>Table1[[#This Row],[المجموع]]+Table1[[#This Row],[المجموع2]]</f>
        <v>0</v>
      </c>
      <c r="AJ301" s="612">
        <v>9</v>
      </c>
      <c r="AK301" s="612"/>
      <c r="AL301" s="612"/>
      <c r="AM301" s="612">
        <v>9</v>
      </c>
      <c r="AN301" s="612"/>
      <c r="AO301" s="606">
        <f>Table1[[#This Row],[المجموع 1+2]]*$AO$2</f>
        <v>0</v>
      </c>
      <c r="AP301" s="648">
        <f>Table1[[#This Row],[راتب ديسمبر 2019]]*Table1[[#This Row],[نسبه التقييم الرئيسي 2018]]%</f>
        <v>0</v>
      </c>
      <c r="AQ301" s="627">
        <f>Table1[[#This Row],[مبلغ التقييم النسبي 2018]]+Table1[[#This Row],[راتب ديسمبر 2019]]</f>
        <v>17080</v>
      </c>
      <c r="AR301" s="10">
        <f>IF(Table1[[#This Row],[Column3]]&lt;0,0,Table1[[#This Row],[Column3]])</f>
        <v>32920</v>
      </c>
      <c r="AS301" s="599">
        <f>VLOOKUP(Table1[[#This Row],[درجه التوسيط]],Table10[],3,)</f>
        <v>50000</v>
      </c>
      <c r="AT301" s="608">
        <f>Table1[[#This Row],[الراتب 2018+النسبه]]+Table1[[#This Row],[فروقات الحد الادني]]</f>
        <v>50000</v>
      </c>
      <c r="AU301" s="629">
        <f>Table1[[#This Row],[الراتب 2018 + النسبه + الفرق]]-Table1[[#This Row],[راتب ديسمبر 2019]]</f>
        <v>32920</v>
      </c>
      <c r="AV301" s="628">
        <f>Table1[[#This Row],[الزياده]]/Table1[[#This Row],[راتب ديسمبر 2019]]%</f>
        <v>192.74004683840749</v>
      </c>
      <c r="AW301" s="659">
        <f>IF(Table1[[#This Row],[Column4]]&lt;0,0,Table1[[#This Row],[Column4]])</f>
        <v>3000</v>
      </c>
      <c r="AX301" s="611">
        <f>Table1[[#This Row],[الجبر حتي]]-Table1[[#This Row],[رن]]</f>
        <v>0</v>
      </c>
      <c r="AY301" s="611">
        <f>Table1[[#This Row],[الزياده]]+Table1[[#This Row],[التعديل]]+Table1[[#This Row],[جبر الرقم]]</f>
        <v>35920</v>
      </c>
      <c r="AZ301" s="611">
        <f>Table1[[#This Row],[الراتب 2018 + النسبه + الفرق]]+Table1[[#This Row],[جبر الرقم]]+Table1[[#This Row],[التعديل]]</f>
        <v>53000</v>
      </c>
      <c r="BA301" s="631">
        <f>Table1[[#This Row],[الزياده النهائيه]]/Table1[[#This Row],[راتب ديسمبر 2019]]%</f>
        <v>210.30444964871194</v>
      </c>
      <c r="BB301" s="612">
        <f>VLOOKUP(Table1[[#This Row],[الرقم الوظيفي]],Table6[],8,)</f>
        <v>17080</v>
      </c>
      <c r="BC301" s="7">
        <v>33000</v>
      </c>
      <c r="BD301" s="7">
        <v>30000</v>
      </c>
      <c r="BE301" s="7">
        <v>30000</v>
      </c>
      <c r="BF301" s="5">
        <f>Table1[[#This Row],[الحد الادني]]-Table1[[#This Row],[الراتب 2018+النسبه]]</f>
        <v>32920</v>
      </c>
      <c r="BG301" s="5">
        <f>Table1[[#This Row],[التعديل حتي]]-Table1[[#This Row],[kkk]]</f>
        <v>3000</v>
      </c>
      <c r="BH301" s="5">
        <v>30000</v>
      </c>
      <c r="BI301" s="5"/>
    </row>
    <row r="302" spans="1:61" ht="18.75" customHeight="1">
      <c r="A302" s="602">
        <v>1003</v>
      </c>
      <c r="B302" s="618" t="str">
        <f>VLOOKUP(Table1[[#This Row],[الرقم الوظيفي]],[1]Sheet2!$1:$1048576,2,)</f>
        <v>بلال عثمان بلال صالح</v>
      </c>
      <c r="C302" s="599" t="str">
        <f>VLOOKUP(Table1[[#This Row],[الرقم الوظيفي]],[1]Sheet2!$1:$1048576,7,)</f>
        <v>الرئاسه</v>
      </c>
      <c r="D302" s="599" t="str">
        <f>VLOOKUP(Table1[[#This Row],[الرقم الوظيفي]],[1]Sheet2!$1:$1048576,8,)</f>
        <v>الماليه</v>
      </c>
      <c r="E302" s="599">
        <f>VLOOKUP(Table1[[#This Row],[الرقم الوظيفي]],[1]Sheet2!$1:$1048576,9,)</f>
        <v>0</v>
      </c>
      <c r="F302" s="599" t="str">
        <f>VLOOKUP(Table1[[#This Row],[الرقم الوظيفي]],[1]Sheet2!$1:$1048576,12,)</f>
        <v>محاسب</v>
      </c>
      <c r="G302" s="599">
        <f>VLOOKUP(Table1[[#This Row],[الرقم الوظيفي]],[1]Sheet2!$1:$1048576,72,)</f>
        <v>0</v>
      </c>
      <c r="H302" s="599">
        <f>VLOOKUP(Table1[[#This Row],[الرقم الوظيفي]],[1]Sheet2!$1:$1048576,71,)</f>
        <v>0</v>
      </c>
      <c r="I302" s="599" t="str">
        <f>VLOOKUP(Table1[[#This Row],[المؤهل الرئيسي]],Table4[],3,)</f>
        <v>H</v>
      </c>
      <c r="J302" s="599" t="s">
        <v>492</v>
      </c>
      <c r="K302" s="615">
        <f>VLOOKUP(Table1[[#This Row],[الرقم الوظيفي]],[1]Sheet2!$1:$1048576,13,)</f>
        <v>39142</v>
      </c>
      <c r="L302" s="615">
        <v>43830</v>
      </c>
      <c r="M302" s="599">
        <f>DATEDIF(Table1[[#This Row],[تاريخ التعيين]],Table1[[#This Row],[اخر العام]],"y")</f>
        <v>12</v>
      </c>
      <c r="N302" s="599">
        <f>DATEDIF(Table1[[#This Row],[تاريخ التعيين]],Table1[[#This Row],[اخر العام]],"ym")</f>
        <v>9</v>
      </c>
      <c r="O302" s="610">
        <f>Table1[[#This Row],[سنوات الخدمه]]*1+Table1[[#This Row],[الشهور اقل من سنه]]*0.08</f>
        <v>12.72</v>
      </c>
      <c r="P302" s="616">
        <v>9420</v>
      </c>
      <c r="Q302" s="617">
        <v>2208.0479999999998</v>
      </c>
      <c r="R302" s="612"/>
      <c r="S302" s="599"/>
      <c r="T302" s="612"/>
      <c r="U302" s="612"/>
      <c r="V302" s="612"/>
      <c r="W302" s="612"/>
      <c r="X302" s="612"/>
      <c r="Y302" s="612"/>
      <c r="Z302" s="612"/>
      <c r="AA30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2" s="612"/>
      <c r="AC302" s="599"/>
      <c r="AD302" s="612"/>
      <c r="AE302" s="612"/>
      <c r="AF302" s="612"/>
      <c r="AG302" s="612"/>
      <c r="AH302" s="619">
        <f>SUM(Table1[[#This Row],[التقييد  باللوائح و تنفيذالتوجيه]:[اتباع اجراءات السلامه]])</f>
        <v>0</v>
      </c>
      <c r="AI302" s="619">
        <f>Table1[[#This Row],[المجموع]]+Table1[[#This Row],[المجموع2]]</f>
        <v>0</v>
      </c>
      <c r="AJ302" s="612">
        <v>8</v>
      </c>
      <c r="AK302" s="612"/>
      <c r="AL302" s="612"/>
      <c r="AM302" s="612">
        <v>9</v>
      </c>
      <c r="AN302" s="612"/>
      <c r="AO302" s="606">
        <f>Table1[[#This Row],[المجموع 1+2]]*$AO$2</f>
        <v>0</v>
      </c>
      <c r="AP302" s="648">
        <f>Table1[[#This Row],[راتب ديسمبر 2019]]*Table1[[#This Row],[نسبه التقييم الرئيسي 2018]]%</f>
        <v>0</v>
      </c>
      <c r="AQ302" s="627">
        <f>Table1[[#This Row],[مبلغ التقييم النسبي 2018]]+Table1[[#This Row],[راتب ديسمبر 2019]]</f>
        <v>9420</v>
      </c>
      <c r="AR302" s="10">
        <f>IF(Table1[[#This Row],[Column3]]&lt;0,0,Table1[[#This Row],[Column3]])</f>
        <v>20580</v>
      </c>
      <c r="AS302" s="599">
        <f>VLOOKUP(Table1[[#This Row],[درجه التوسيط]],Table10[],3,)</f>
        <v>30000</v>
      </c>
      <c r="AT302" s="608">
        <f>Table1[[#This Row],[الراتب 2018+النسبه]]+Table1[[#This Row],[فروقات الحد الادني]]</f>
        <v>30000</v>
      </c>
      <c r="AU302" s="629">
        <f>Table1[[#This Row],[الراتب 2018 + النسبه + الفرق]]-Table1[[#This Row],[راتب ديسمبر 2019]]</f>
        <v>20580</v>
      </c>
      <c r="AV302" s="628">
        <f>Table1[[#This Row],[الزياده]]/Table1[[#This Row],[راتب ديسمبر 2019]]%</f>
        <v>218.47133757961782</v>
      </c>
      <c r="AW302" s="659">
        <f>IF(Table1[[#This Row],[Column4]]&lt;0,0,Table1[[#This Row],[Column4]])</f>
        <v>0</v>
      </c>
      <c r="AX302" s="611">
        <f>Table1[[#This Row],[الجبر حتي]]-Table1[[#This Row],[رن]]</f>
        <v>0</v>
      </c>
      <c r="AY302" s="611">
        <f>Table1[[#This Row],[الزياده]]+Table1[[#This Row],[التعديل]]+Table1[[#This Row],[جبر الرقم]]</f>
        <v>20580</v>
      </c>
      <c r="AZ302" s="611">
        <f>Table1[[#This Row],[الراتب 2018 + النسبه + الفرق]]+Table1[[#This Row],[جبر الرقم]]+Table1[[#This Row],[التعديل]]</f>
        <v>30000</v>
      </c>
      <c r="BA302" s="631">
        <f>Table1[[#This Row],[الزياده النهائيه]]/Table1[[#This Row],[راتب ديسمبر 2019]]%</f>
        <v>218.47133757961782</v>
      </c>
      <c r="BB302" s="612">
        <f>VLOOKUP(Table1[[#This Row],[الرقم الوظيفي]],Table6[],8,)</f>
        <v>9420</v>
      </c>
      <c r="BC302" s="7"/>
      <c r="BD302" s="7">
        <v>20000</v>
      </c>
      <c r="BE302" s="7">
        <v>20000</v>
      </c>
      <c r="BF302" s="5">
        <f>Table1[[#This Row],[الحد الادني]]-Table1[[#This Row],[الراتب 2018+النسبه]]</f>
        <v>20580</v>
      </c>
      <c r="BG302" s="5">
        <f>Table1[[#This Row],[التعديل حتي]]-Table1[[#This Row],[kkk]]</f>
        <v>-20000</v>
      </c>
      <c r="BH302" s="5">
        <v>20000</v>
      </c>
      <c r="BI302" s="5"/>
    </row>
    <row r="303" spans="1:61" ht="18.75" customHeight="1">
      <c r="A303" s="602">
        <v>1006</v>
      </c>
      <c r="B303" s="618" t="str">
        <f>VLOOKUP(Table1[[#This Row],[الرقم الوظيفي]],[1]Sheet2!$1:$1048576,2,)</f>
        <v>المعز احمد سعيد احمد</v>
      </c>
      <c r="C303" s="599" t="str">
        <f>VLOOKUP(Table1[[#This Row],[الرقم الوظيفي]],[1]Sheet2!$1:$1048576,7,)</f>
        <v>الرئاسه</v>
      </c>
      <c r="D303" s="599" t="str">
        <f>VLOOKUP(Table1[[#This Row],[الرقم الوظيفي]],[1]Sheet2!$1:$1048576,8,)</f>
        <v>العلاقات العامه</v>
      </c>
      <c r="E303" s="599">
        <f>VLOOKUP(Table1[[#This Row],[الرقم الوظيفي]],[1]Sheet2!$1:$1048576,9,)</f>
        <v>0</v>
      </c>
      <c r="F303" s="599" t="str">
        <f>VLOOKUP(Table1[[#This Row],[الرقم الوظيفي]],[1]Sheet2!$1:$1048576,12,)</f>
        <v>مستشار</v>
      </c>
      <c r="G303" s="599">
        <f>VLOOKUP(Table1[[#This Row],[الرقم الوظيفي]],[1]Sheet2!$1:$1048576,72,)</f>
        <v>0</v>
      </c>
      <c r="H303" s="599">
        <f>VLOOKUP(Table1[[#This Row],[الرقم الوظيفي]],[1]Sheet2!$1:$1048576,71,)</f>
        <v>0</v>
      </c>
      <c r="I303" s="599" t="str">
        <f>VLOOKUP(Table1[[#This Row],[المؤهل الرئيسي]],Table4[],3,)</f>
        <v>H</v>
      </c>
      <c r="J303" s="599" t="s">
        <v>922</v>
      </c>
      <c r="K303" s="615">
        <f>VLOOKUP(Table1[[#This Row],[الرقم الوظيفي]],[1]Sheet2!$1:$1048576,13,)</f>
        <v>39995</v>
      </c>
      <c r="L303" s="615">
        <v>43830</v>
      </c>
      <c r="M303" s="599">
        <f>DATEDIF(Table1[[#This Row],[تاريخ التعيين]],Table1[[#This Row],[اخر العام]],"y")</f>
        <v>10</v>
      </c>
      <c r="N303" s="599">
        <f>DATEDIF(Table1[[#This Row],[تاريخ التعيين]],Table1[[#This Row],[اخر العام]],"ym")</f>
        <v>5</v>
      </c>
      <c r="O303" s="610">
        <f>Table1[[#This Row],[سنوات الخدمه]]*1+Table1[[#This Row],[الشهور اقل من سنه]]*0.08</f>
        <v>10.4</v>
      </c>
      <c r="P303" s="616">
        <v>10000</v>
      </c>
      <c r="Q303" s="617">
        <v>1880</v>
      </c>
      <c r="R303" s="612"/>
      <c r="S303" s="599"/>
      <c r="T303" s="612"/>
      <c r="U303" s="612"/>
      <c r="V303" s="612"/>
      <c r="W303" s="612"/>
      <c r="X303" s="612"/>
      <c r="Y303" s="612"/>
      <c r="Z303" s="612"/>
      <c r="AA30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3" s="612"/>
      <c r="AC303" s="599"/>
      <c r="AD303" s="612"/>
      <c r="AE303" s="612"/>
      <c r="AF303" s="612"/>
      <c r="AG303" s="612"/>
      <c r="AH303" s="619">
        <f>SUM(Table1[[#This Row],[التقييد  باللوائح و تنفيذالتوجيه]:[اتباع اجراءات السلامه]])</f>
        <v>0</v>
      </c>
      <c r="AI303" s="619">
        <f>Table1[[#This Row],[المجموع]]+Table1[[#This Row],[المجموع2]]</f>
        <v>0</v>
      </c>
      <c r="AJ303" s="612">
        <v>10</v>
      </c>
      <c r="AK303" s="612"/>
      <c r="AL303" s="612"/>
      <c r="AM303" s="612">
        <v>6</v>
      </c>
      <c r="AN303" s="612"/>
      <c r="AO303" s="606">
        <f>Table1[[#This Row],[المجموع 1+2]]*$AO$2</f>
        <v>0</v>
      </c>
      <c r="AP303" s="648">
        <f>Table1[[#This Row],[راتب ديسمبر 2019]]*Table1[[#This Row],[نسبه التقييم الرئيسي 2018]]%</f>
        <v>0</v>
      </c>
      <c r="AQ303" s="627">
        <f>Table1[[#This Row],[مبلغ التقييم النسبي 2018]]+Table1[[#This Row],[راتب ديسمبر 2019]]</f>
        <v>10000</v>
      </c>
      <c r="AR303" s="10">
        <f>IF(Table1[[#This Row],[Column3]]&lt;0,0,Table1[[#This Row],[Column3]])</f>
        <v>1000</v>
      </c>
      <c r="AS303" s="599">
        <f>VLOOKUP(Table1[[#This Row],[درجه التوسيط]],Table10[],3,)</f>
        <v>11000</v>
      </c>
      <c r="AT303" s="608">
        <f>Table1[[#This Row],[الراتب 2018+النسبه]]+Table1[[#This Row],[فروقات الحد الادني]]</f>
        <v>11000</v>
      </c>
      <c r="AU303" s="629">
        <f>Table1[[#This Row],[الراتب 2018 + النسبه + الفرق]]-Table1[[#This Row],[راتب ديسمبر 2019]]</f>
        <v>1000</v>
      </c>
      <c r="AV303" s="628">
        <f>Table1[[#This Row],[الزياده]]/Table1[[#This Row],[راتب ديسمبر 2019]]%</f>
        <v>10</v>
      </c>
      <c r="AW303" s="659">
        <f>IF(Table1[[#This Row],[Column4]]&lt;0,0,Table1[[#This Row],[Column4]])</f>
        <v>0</v>
      </c>
      <c r="AX303" s="611">
        <f>Table1[[#This Row],[الجبر حتي]]-Table1[[#This Row],[رن]]</f>
        <v>0</v>
      </c>
      <c r="AY303" s="611">
        <f>Table1[[#This Row],[الزياده]]+Table1[[#This Row],[التعديل]]+Table1[[#This Row],[جبر الرقم]]</f>
        <v>1000</v>
      </c>
      <c r="AZ303" s="611">
        <f>Table1[[#This Row],[الراتب 2018 + النسبه + الفرق]]+Table1[[#This Row],[جبر الرقم]]+Table1[[#This Row],[التعديل]]</f>
        <v>11000</v>
      </c>
      <c r="BA303" s="631">
        <f>Table1[[#This Row],[الزياده النهائيه]]/Table1[[#This Row],[راتب ديسمبر 2019]]%</f>
        <v>10</v>
      </c>
      <c r="BB303" s="612">
        <f>VLOOKUP(Table1[[#This Row],[الرقم الوظيفي]],Table6[],8,)</f>
        <v>10000</v>
      </c>
      <c r="BC303" s="7"/>
      <c r="BD303" s="7">
        <v>15460</v>
      </c>
      <c r="BE303" s="7">
        <v>15460</v>
      </c>
      <c r="BF303" s="5">
        <f>Table1[[#This Row],[الحد الادني]]-Table1[[#This Row],[الراتب 2018+النسبه]]</f>
        <v>1000</v>
      </c>
      <c r="BG303" s="5">
        <f>Table1[[#This Row],[التعديل حتي]]-Table1[[#This Row],[kkk]]</f>
        <v>-15460</v>
      </c>
      <c r="BH303" s="5">
        <v>15460</v>
      </c>
      <c r="BI303" s="5"/>
    </row>
    <row r="304" spans="1:61" ht="18.75" customHeight="1">
      <c r="A304" s="602">
        <v>1007</v>
      </c>
      <c r="B304" s="618" t="str">
        <f>VLOOKUP(Table1[[#This Row],[الرقم الوظيفي]],[1]Sheet2!$1:$1048576,2,)</f>
        <v>بله حامد ابراهيم</v>
      </c>
      <c r="C304" s="599" t="str">
        <f>VLOOKUP(Table1[[#This Row],[الرقم الوظيفي]],[1]Sheet2!$1:$1048576,7,)</f>
        <v>الرئاسه</v>
      </c>
      <c r="D304" s="599" t="str">
        <f>VLOOKUP(Table1[[#This Row],[الرقم الوظيفي]],[1]Sheet2!$1:$1048576,8,)</f>
        <v>العلاقات العامه</v>
      </c>
      <c r="E304" s="599">
        <f>VLOOKUP(Table1[[#This Row],[الرقم الوظيفي]],[1]Sheet2!$1:$1048576,9,)</f>
        <v>0</v>
      </c>
      <c r="F304" s="599" t="str">
        <f>VLOOKUP(Table1[[#This Row],[الرقم الوظيفي]],[1]Sheet2!$1:$1048576,12,)</f>
        <v>مخلص</v>
      </c>
      <c r="G304" s="599">
        <f>VLOOKUP(Table1[[#This Row],[الرقم الوظيفي]],[1]Sheet2!$1:$1048576,72,)</f>
        <v>0</v>
      </c>
      <c r="H304" s="599">
        <f>VLOOKUP(Table1[[#This Row],[الرقم الوظيفي]],[1]Sheet2!$1:$1048576,71,)</f>
        <v>0</v>
      </c>
      <c r="I304" s="599" t="str">
        <f>VLOOKUP(Table1[[#This Row],[المؤهل الرئيسي]],Table4[],3,)</f>
        <v>H</v>
      </c>
      <c r="J304" s="599" t="s">
        <v>496</v>
      </c>
      <c r="K304" s="615">
        <f>VLOOKUP(Table1[[#This Row],[الرقم الوظيفي]],[1]Sheet2!$1:$1048576,13,)</f>
        <v>39142</v>
      </c>
      <c r="L304" s="615">
        <v>43830</v>
      </c>
      <c r="M304" s="599">
        <f>DATEDIF(Table1[[#This Row],[تاريخ التعيين]],Table1[[#This Row],[اخر العام]],"y")</f>
        <v>12</v>
      </c>
      <c r="N304" s="599">
        <f>DATEDIF(Table1[[#This Row],[تاريخ التعيين]],Table1[[#This Row],[اخر العام]],"ym")</f>
        <v>9</v>
      </c>
      <c r="O304" s="610">
        <f>Table1[[#This Row],[سنوات الخدمه]]*1+Table1[[#This Row],[الشهور اقل من سنه]]*0.08</f>
        <v>12.72</v>
      </c>
      <c r="P304" s="616">
        <v>9070</v>
      </c>
      <c r="Q304" s="617">
        <v>2126.0079999999998</v>
      </c>
      <c r="R304" s="612"/>
      <c r="S304" s="599"/>
      <c r="T304" s="612"/>
      <c r="U304" s="612"/>
      <c r="V304" s="612"/>
      <c r="W304" s="612"/>
      <c r="X304" s="612"/>
      <c r="Y304" s="612"/>
      <c r="Z304" s="612"/>
      <c r="AA30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4" s="612"/>
      <c r="AC304" s="599"/>
      <c r="AD304" s="612"/>
      <c r="AE304" s="612"/>
      <c r="AF304" s="612"/>
      <c r="AG304" s="612"/>
      <c r="AH304" s="619">
        <f>SUM(Table1[[#This Row],[التقييد  باللوائح و تنفيذالتوجيه]:[اتباع اجراءات السلامه]])</f>
        <v>0</v>
      </c>
      <c r="AI304" s="619">
        <f>Table1[[#This Row],[المجموع]]+Table1[[#This Row],[المجموع2]]</f>
        <v>0</v>
      </c>
      <c r="AJ304" s="612">
        <v>10</v>
      </c>
      <c r="AK304" s="612"/>
      <c r="AL304" s="612"/>
      <c r="AM304" s="612">
        <v>8</v>
      </c>
      <c r="AN304" s="612"/>
      <c r="AO304" s="606">
        <f>Table1[[#This Row],[المجموع 1+2]]*$AO$2</f>
        <v>0</v>
      </c>
      <c r="AP304" s="648">
        <f>Table1[[#This Row],[راتب ديسمبر 2019]]*Table1[[#This Row],[نسبه التقييم الرئيسي 2018]]%</f>
        <v>0</v>
      </c>
      <c r="AQ304" s="627">
        <f>Table1[[#This Row],[مبلغ التقييم النسبي 2018]]+Table1[[#This Row],[راتب ديسمبر 2019]]</f>
        <v>9070</v>
      </c>
      <c r="AR304" s="10">
        <f>IF(Table1[[#This Row],[Column3]]&lt;0,0,Table1[[#This Row],[Column3]])</f>
        <v>2930</v>
      </c>
      <c r="AS304" s="599">
        <f>VLOOKUP(Table1[[#This Row],[درجه التوسيط]],Table10[],3,)</f>
        <v>12000</v>
      </c>
      <c r="AT304" s="608">
        <f>Table1[[#This Row],[الراتب 2018+النسبه]]+Table1[[#This Row],[فروقات الحد الادني]]</f>
        <v>12000</v>
      </c>
      <c r="AU304" s="629">
        <f>Table1[[#This Row],[الراتب 2018 + النسبه + الفرق]]-Table1[[#This Row],[راتب ديسمبر 2019]]</f>
        <v>2930</v>
      </c>
      <c r="AV304" s="628">
        <f>Table1[[#This Row],[الزياده]]/Table1[[#This Row],[راتب ديسمبر 2019]]%</f>
        <v>32.304299889746417</v>
      </c>
      <c r="AW304" s="659">
        <f>IF(Table1[[#This Row],[Column4]]&lt;0,0,Table1[[#This Row],[Column4]])</f>
        <v>2141.0400000000009</v>
      </c>
      <c r="AX304" s="611">
        <f>Table1[[#This Row],[الجبر حتي]]-Table1[[#This Row],[رن]]</f>
        <v>0</v>
      </c>
      <c r="AY304" s="611">
        <f>Table1[[#This Row],[الزياده]]+Table1[[#This Row],[التعديل]]+Table1[[#This Row],[جبر الرقم]]</f>
        <v>5071.0400000000009</v>
      </c>
      <c r="AZ304" s="611">
        <f>Table1[[#This Row],[الراتب 2018 + النسبه + الفرق]]+Table1[[#This Row],[جبر الرقم]]+Table1[[#This Row],[التعديل]]</f>
        <v>14141.04</v>
      </c>
      <c r="BA304" s="631">
        <f>Table1[[#This Row],[الزياده النهائيه]]/Table1[[#This Row],[راتب ديسمبر 2019]]%</f>
        <v>55.910033076074981</v>
      </c>
      <c r="BB304" s="612">
        <f>VLOOKUP(Table1[[#This Row],[الرقم الوظيفي]],Table6[],8,)</f>
        <v>9070</v>
      </c>
      <c r="BC304" s="7">
        <v>16000</v>
      </c>
      <c r="BD304" s="7">
        <v>16000</v>
      </c>
      <c r="BE304" s="7">
        <v>16000</v>
      </c>
      <c r="BF304" s="5">
        <f>Table1[[#This Row],[الحد الادني]]-Table1[[#This Row],[الراتب 2018+النسبه]]</f>
        <v>2930</v>
      </c>
      <c r="BG304" s="5">
        <f>Table1[[#This Row],[التعديل حتي]]-Table1[[#This Row],[kkk]]</f>
        <v>2141.0400000000009</v>
      </c>
      <c r="BH304" s="5">
        <v>13858.96</v>
      </c>
      <c r="BI304" s="5"/>
    </row>
    <row r="305" spans="1:61" ht="18.75" customHeight="1">
      <c r="A305" s="602">
        <v>1022</v>
      </c>
      <c r="B305" s="618" t="str">
        <f>VLOOKUP(Table1[[#This Row],[الرقم الوظيفي]],[1]Sheet2!$1:$1048576,2,)</f>
        <v>امال عثمان محمد</v>
      </c>
      <c r="C305" s="599" t="str">
        <f>VLOOKUP(Table1[[#This Row],[الرقم الوظيفي]],[1]Sheet2!$1:$1048576,7,)</f>
        <v>مستشارين</v>
      </c>
      <c r="D305" s="599" t="str">
        <f>VLOOKUP(Table1[[#This Row],[الرقم الوظيفي]],[1]Sheet2!$1:$1048576,8,)</f>
        <v>الماليه</v>
      </c>
      <c r="E305" s="599">
        <f>VLOOKUP(Table1[[#This Row],[الرقم الوظيفي]],[1]Sheet2!$1:$1048576,9,)</f>
        <v>0</v>
      </c>
      <c r="F305" s="599" t="str">
        <f>VLOOKUP(Table1[[#This Row],[الرقم الوظيفي]],[1]Sheet2!$1:$1048576,12,)</f>
        <v>المستشار المالى</v>
      </c>
      <c r="G305" s="599">
        <f>VLOOKUP(Table1[[#This Row],[الرقم الوظيفي]],[1]Sheet2!$1:$1048576,72,)</f>
        <v>0</v>
      </c>
      <c r="H305" s="599">
        <f>VLOOKUP(Table1[[#This Row],[الرقم الوظيفي]],[1]Sheet2!$1:$1048576,71,)</f>
        <v>0</v>
      </c>
      <c r="I305" s="599" t="str">
        <f>VLOOKUP(Table1[[#This Row],[المؤهل الرئيسي]],Table4[],3,)</f>
        <v>H</v>
      </c>
      <c r="J305" s="599" t="s">
        <v>50</v>
      </c>
      <c r="K305" s="615">
        <f>VLOOKUP(Table1[[#This Row],[الرقم الوظيفي]],[1]Sheet2!$1:$1048576,13,)</f>
        <v>39173</v>
      </c>
      <c r="L305" s="615">
        <v>43830</v>
      </c>
      <c r="M305" s="599">
        <f>DATEDIF(Table1[[#This Row],[تاريخ التعيين]],Table1[[#This Row],[اخر العام]],"y")</f>
        <v>12</v>
      </c>
      <c r="N305" s="599">
        <f>DATEDIF(Table1[[#This Row],[تاريخ التعيين]],Table1[[#This Row],[اخر العام]],"ym")</f>
        <v>8</v>
      </c>
      <c r="O305" s="610">
        <f>Table1[[#This Row],[سنوات الخدمه]]*1+Table1[[#This Row],[الشهور اقل من سنه]]*0.08</f>
        <v>12.64</v>
      </c>
      <c r="P305" s="616">
        <v>35000</v>
      </c>
      <c r="Q305" s="617">
        <v>8148</v>
      </c>
      <c r="R305" s="612"/>
      <c r="S305" s="599"/>
      <c r="T305" s="612"/>
      <c r="U305" s="612"/>
      <c r="V305" s="612"/>
      <c r="W305" s="612"/>
      <c r="X305" s="612"/>
      <c r="Y305" s="612"/>
      <c r="Z305" s="612"/>
      <c r="AA30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5" s="612"/>
      <c r="AC305" s="599"/>
      <c r="AD305" s="612"/>
      <c r="AE305" s="612"/>
      <c r="AF305" s="612"/>
      <c r="AG305" s="612"/>
      <c r="AH305" s="619">
        <f>SUM(Table1[[#This Row],[التقييد  باللوائح و تنفيذالتوجيه]:[اتباع اجراءات السلامه]])</f>
        <v>0</v>
      </c>
      <c r="AI305" s="619">
        <f>Table1[[#This Row],[المجموع]]+Table1[[#This Row],[المجموع2]]</f>
        <v>0</v>
      </c>
      <c r="AJ305" s="612"/>
      <c r="AK305" s="612"/>
      <c r="AL305" s="612"/>
      <c r="AM305" s="612"/>
      <c r="AN305" s="612"/>
      <c r="AO305" s="606">
        <f>Table1[[#This Row],[المجموع 1+2]]*$AO$2</f>
        <v>0</v>
      </c>
      <c r="AP305" s="648">
        <f>Table1[[#This Row],[راتب ديسمبر 2019]]*Table1[[#This Row],[نسبه التقييم الرئيسي 2018]]%</f>
        <v>0</v>
      </c>
      <c r="AQ305" s="627">
        <f>Table1[[#This Row],[مبلغ التقييم النسبي 2018]]+Table1[[#This Row],[راتب ديسمبر 2019]]</f>
        <v>35000</v>
      </c>
      <c r="AR305" s="10">
        <f>IF(Table1[[#This Row],[Column3]]&lt;0,0,Table1[[#This Row],[Column3]])</f>
        <v>45000</v>
      </c>
      <c r="AS305" s="599">
        <f>VLOOKUP(Table1[[#This Row],[درجه التوسيط]],Table10[],3,)</f>
        <v>80000</v>
      </c>
      <c r="AT305" s="608">
        <f>Table1[[#This Row],[الراتب 2018+النسبه]]+Table1[[#This Row],[فروقات الحد الادني]]</f>
        <v>80000</v>
      </c>
      <c r="AU305" s="629">
        <f>Table1[[#This Row],[الراتب 2018 + النسبه + الفرق]]-Table1[[#This Row],[راتب ديسمبر 2019]]</f>
        <v>45000</v>
      </c>
      <c r="AV305" s="628">
        <f>Table1[[#This Row],[الزياده]]/Table1[[#This Row],[راتب ديسمبر 2019]]%</f>
        <v>128.57142857142858</v>
      </c>
      <c r="AW305" s="659">
        <f>IF(Table1[[#This Row],[Column4]]&lt;0,0,Table1[[#This Row],[Column4]])</f>
        <v>0</v>
      </c>
      <c r="AX305" s="611">
        <f>Table1[[#This Row],[الجبر حتي]]-Table1[[#This Row],[رن]]</f>
        <v>0</v>
      </c>
      <c r="AY305" s="611">
        <f>Table1[[#This Row],[الزياده]]+Table1[[#This Row],[التعديل]]+Table1[[#This Row],[جبر الرقم]]</f>
        <v>45000</v>
      </c>
      <c r="AZ305" s="611">
        <f>Table1[[#This Row],[الراتب 2018 + النسبه + الفرق]]+Table1[[#This Row],[جبر الرقم]]+Table1[[#This Row],[التعديل]]</f>
        <v>80000</v>
      </c>
      <c r="BA305" s="631">
        <f>Table1[[#This Row],[الزياده النهائيه]]/Table1[[#This Row],[راتب ديسمبر 2019]]%</f>
        <v>128.57142857142858</v>
      </c>
      <c r="BB305" s="612">
        <f>VLOOKUP(Table1[[#This Row],[الرقم الوظيفي]],Table6[],8,)</f>
        <v>35000</v>
      </c>
      <c r="BC305" s="7">
        <v>65000</v>
      </c>
      <c r="BD305" s="7">
        <v>65000</v>
      </c>
      <c r="BE305" s="7">
        <v>65000</v>
      </c>
      <c r="BF305" s="5">
        <f>Table1[[#This Row],[الحد الادني]]-Table1[[#This Row],[الراتب 2018+النسبه]]</f>
        <v>45000</v>
      </c>
      <c r="BG305" s="5">
        <f>Table1[[#This Row],[التعديل حتي]]-Table1[[#This Row],[kkk]]</f>
        <v>0</v>
      </c>
      <c r="BH305" s="5">
        <v>65000</v>
      </c>
      <c r="BI305" s="5"/>
    </row>
    <row r="306" spans="1:61" ht="18.75" customHeight="1">
      <c r="A306" s="602">
        <v>4</v>
      </c>
      <c r="B306" s="618" t="str">
        <f>VLOOKUP(Table1[[#This Row],[الرقم الوظيفي]],[1]Sheet2!$1:$1048576,2,)</f>
        <v>عبدالمنعم موسي ادريس الياس</v>
      </c>
      <c r="C306" s="599" t="str">
        <f>VLOOKUP(Table1[[#This Row],[الرقم الوظيفي]],[1]Sheet2!$1:$1048576,7,)</f>
        <v>م الاداره</v>
      </c>
      <c r="D306" s="599" t="str">
        <f>VLOOKUP(Table1[[#This Row],[الرقم الوظيفي]],[1]Sheet2!$1:$1048576,8,)</f>
        <v>الاداره</v>
      </c>
      <c r="E306" s="599">
        <f>VLOOKUP(Table1[[#This Row],[الرقم الوظيفي]],[1]Sheet2!$1:$1048576,9,)</f>
        <v>0</v>
      </c>
      <c r="F306" s="599">
        <f>VLOOKUP(Table1[[#This Row],[الرقم الوظيفي]],[1]Sheet2!$1:$1048576,12,)</f>
        <v>0</v>
      </c>
      <c r="G306" s="599">
        <f>VLOOKUP(Table1[[#This Row],[الرقم الوظيفي]],[1]Sheet2!$1:$1048576,72,)</f>
        <v>0</v>
      </c>
      <c r="H306" s="599">
        <f>VLOOKUP(Table1[[#This Row],[الرقم الوظيفي]],[1]Sheet2!$1:$1048576,71,)</f>
        <v>0</v>
      </c>
      <c r="I306" s="599" t="str">
        <f>VLOOKUP(Table1[[#This Row],[المؤهل الرئيسي]],Table4[],3,)</f>
        <v>H</v>
      </c>
      <c r="J306" s="599" t="s">
        <v>53</v>
      </c>
      <c r="K306" s="615">
        <f>VLOOKUP(Table1[[#This Row],[الرقم الوظيفي]],[1]Sheet2!$1:$1048576,13,)</f>
        <v>39063</v>
      </c>
      <c r="L306" s="615">
        <v>43830</v>
      </c>
      <c r="M306" s="599">
        <f>DATEDIF(Table1[[#This Row],[تاريخ التعيين]],Table1[[#This Row],[اخر العام]],"y")</f>
        <v>13</v>
      </c>
      <c r="N306" s="599">
        <f>DATEDIF(Table1[[#This Row],[تاريخ التعيين]],Table1[[#This Row],[اخر العام]],"ym")</f>
        <v>0</v>
      </c>
      <c r="O306" s="610">
        <f>Table1[[#This Row],[سنوات الخدمه]]*1+Table1[[#This Row],[الشهور اقل من سنه]]*0.08</f>
        <v>13</v>
      </c>
      <c r="P306" s="616">
        <v>34960</v>
      </c>
      <c r="Q306" s="617">
        <v>8390.4</v>
      </c>
      <c r="R306" s="612"/>
      <c r="S306" s="599"/>
      <c r="T306" s="612"/>
      <c r="U306" s="612"/>
      <c r="V306" s="612"/>
      <c r="W306" s="612"/>
      <c r="X306" s="612"/>
      <c r="Y306" s="612"/>
      <c r="Z306" s="612"/>
      <c r="AA30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6" s="612"/>
      <c r="AC306" s="599"/>
      <c r="AD306" s="612"/>
      <c r="AE306" s="612"/>
      <c r="AF306" s="612"/>
      <c r="AG306" s="612"/>
      <c r="AH306" s="619">
        <f>SUM(Table1[[#This Row],[التقييد  باللوائح و تنفيذالتوجيه]:[اتباع اجراءات السلامه]])</f>
        <v>0</v>
      </c>
      <c r="AI306" s="619">
        <f>Table1[[#This Row],[المجموع]]+Table1[[#This Row],[المجموع2]]</f>
        <v>0</v>
      </c>
      <c r="AJ306" s="612"/>
      <c r="AK306" s="612"/>
      <c r="AL306" s="612"/>
      <c r="AM306" s="612"/>
      <c r="AN306" s="612"/>
      <c r="AO306" s="606">
        <f>Table1[[#This Row],[المجموع 1+2]]*$AO$2</f>
        <v>0</v>
      </c>
      <c r="AP306" s="648">
        <f>Table1[[#This Row],[راتب ديسمبر 2019]]*Table1[[#This Row],[نسبه التقييم الرئيسي 2018]]%</f>
        <v>0</v>
      </c>
      <c r="AQ306" s="627">
        <f>Table1[[#This Row],[مبلغ التقييم النسبي 2018]]+Table1[[#This Row],[راتب ديسمبر 2019]]</f>
        <v>34960</v>
      </c>
      <c r="AR306" s="10">
        <f>IF(Table1[[#This Row],[Column3]]&lt;0,0,Table1[[#This Row],[Column3]])</f>
        <v>40040</v>
      </c>
      <c r="AS306" s="599">
        <f>VLOOKUP(Table1[[#This Row],[درجه التوسيط]],Table10[],3,)</f>
        <v>75000</v>
      </c>
      <c r="AT306" s="608">
        <f>Table1[[#This Row],[الراتب 2018+النسبه]]+Table1[[#This Row],[فروقات الحد الادني]]</f>
        <v>75000</v>
      </c>
      <c r="AU306" s="629">
        <f>Table1[[#This Row],[الراتب 2018 + النسبه + الفرق]]-Table1[[#This Row],[راتب ديسمبر 2019]]</f>
        <v>40040</v>
      </c>
      <c r="AV306" s="628">
        <f>Table1[[#This Row],[الزياده]]/Table1[[#This Row],[راتب ديسمبر 2019]]%</f>
        <v>114.53089244851257</v>
      </c>
      <c r="AW306" s="659">
        <f>IF(Table1[[#This Row],[Column4]]&lt;0,0,Table1[[#This Row],[Column4]])</f>
        <v>0</v>
      </c>
      <c r="AX306" s="611">
        <f>Table1[[#This Row],[الجبر حتي]]-Table1[[#This Row],[رن]]</f>
        <v>0</v>
      </c>
      <c r="AY306" s="611">
        <f>Table1[[#This Row],[الزياده]]+Table1[[#This Row],[التعديل]]+Table1[[#This Row],[جبر الرقم]]</f>
        <v>40040</v>
      </c>
      <c r="AZ306" s="611">
        <f>Table1[[#This Row],[الراتب 2018 + النسبه + الفرق]]+Table1[[#This Row],[جبر الرقم]]+Table1[[#This Row],[التعديل]]</f>
        <v>75000</v>
      </c>
      <c r="BA306" s="631">
        <f>Table1[[#This Row],[الزياده النهائيه]]/Table1[[#This Row],[راتب ديسمبر 2019]]%</f>
        <v>114.53089244851257</v>
      </c>
      <c r="BB306" s="612">
        <f>VLOOKUP(Table1[[#This Row],[الرقم الوظيفي]],Table6[],8,)</f>
        <v>34960</v>
      </c>
      <c r="BC306" s="7"/>
      <c r="BD306" s="7">
        <v>50000</v>
      </c>
      <c r="BE306" s="7">
        <v>50000</v>
      </c>
      <c r="BF306" s="5">
        <f>Table1[[#This Row],[الحد الادني]]-Table1[[#This Row],[الراتب 2018+النسبه]]</f>
        <v>40040</v>
      </c>
      <c r="BG306" s="5">
        <f>Table1[[#This Row],[التعديل حتي]]-Table1[[#This Row],[kkk]]</f>
        <v>-50000</v>
      </c>
      <c r="BH306" s="5">
        <v>50000</v>
      </c>
      <c r="BI306" s="5"/>
    </row>
    <row r="307" spans="1:61" ht="18.75" customHeight="1">
      <c r="A307" s="602">
        <v>13</v>
      </c>
      <c r="B307" s="618" t="str">
        <f>VLOOKUP(Table1[[#This Row],[الرقم الوظيفي]],[1]Sheet2!$1:$1048576,2,)</f>
        <v>فارس حمدان عبدالله فارس</v>
      </c>
      <c r="C307" s="599" t="str">
        <f>VLOOKUP(Table1[[#This Row],[الرقم الوظيفي]],[1]Sheet2!$1:$1048576,7,)</f>
        <v>المصنع</v>
      </c>
      <c r="D307" s="599" t="str">
        <f>VLOOKUP(Table1[[#This Row],[الرقم الوظيفي]],[1]Sheet2!$1:$1048576,8,)</f>
        <v>الامن و الحركه</v>
      </c>
      <c r="E307" s="599" t="str">
        <f>VLOOKUP(Table1[[#This Row],[الرقم الوظيفي]],[1]Sheet2!$1:$1048576,9,)</f>
        <v xml:space="preserve">مدير قسم </v>
      </c>
      <c r="F307" s="599" t="str">
        <f>VLOOKUP(Table1[[#This Row],[الرقم الوظيفي]],[1]Sheet2!$1:$1048576,12,)</f>
        <v>مدير الامن و الحركه</v>
      </c>
      <c r="G307" s="599" t="str">
        <f>VLOOKUP(Table1[[#This Row],[الرقم الوظيفي]],[1]Sheet2!$1:$1048576,72,)</f>
        <v>شهاده ثانويه</v>
      </c>
      <c r="H307" s="599">
        <f>VLOOKUP(Table1[[#This Row],[الرقم الوظيفي]],[1]Sheet2!$1:$1048576,71,)</f>
        <v>0</v>
      </c>
      <c r="I307" s="599" t="str">
        <f>VLOOKUP(Table1[[#This Row],[المؤهل الرئيسي]],Table4[],3,)</f>
        <v>F</v>
      </c>
      <c r="J307" s="599" t="s">
        <v>493</v>
      </c>
      <c r="K307" s="615">
        <f>VLOOKUP(Table1[[#This Row],[الرقم الوظيفي]],[1]Sheet2!$1:$1048576,13,)</f>
        <v>39091</v>
      </c>
      <c r="L307" s="615">
        <v>43830</v>
      </c>
      <c r="M307" s="599">
        <f>DATEDIF(Table1[[#This Row],[تاريخ التعيين]],Table1[[#This Row],[اخر العام]],"y")</f>
        <v>12</v>
      </c>
      <c r="N307" s="599">
        <f>DATEDIF(Table1[[#This Row],[تاريخ التعيين]],Table1[[#This Row],[اخر العام]],"ym")</f>
        <v>11</v>
      </c>
      <c r="O307" s="610">
        <f>Table1[[#This Row],[سنوات الخدمه]]*1+Table1[[#This Row],[الشهور اقل من سنه]]*0.08</f>
        <v>12.88</v>
      </c>
      <c r="P307" s="616">
        <v>7230</v>
      </c>
      <c r="Q307" s="617">
        <v>1717.848</v>
      </c>
      <c r="R307" s="612"/>
      <c r="S307" s="599"/>
      <c r="T307" s="612"/>
      <c r="U307" s="612"/>
      <c r="V307" s="612"/>
      <c r="W307" s="612"/>
      <c r="X307" s="612"/>
      <c r="Y307" s="612"/>
      <c r="Z307" s="612"/>
      <c r="AA30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7" s="612"/>
      <c r="AC307" s="599"/>
      <c r="AD307" s="612"/>
      <c r="AE307" s="612"/>
      <c r="AF307" s="612"/>
      <c r="AG307" s="612"/>
      <c r="AH307" s="619">
        <f>SUM(Table1[[#This Row],[التقييد  باللوائح و تنفيذالتوجيه]:[اتباع اجراءات السلامه]])</f>
        <v>0</v>
      </c>
      <c r="AI307" s="619">
        <f>Table1[[#This Row],[المجموع]]+Table1[[#This Row],[المجموع2]]</f>
        <v>0</v>
      </c>
      <c r="AJ307" s="612"/>
      <c r="AK307" s="612"/>
      <c r="AL307" s="612"/>
      <c r="AM307" s="612"/>
      <c r="AN307" s="612"/>
      <c r="AO307" s="606">
        <f>Table1[[#This Row],[المجموع 1+2]]*$AO$2</f>
        <v>0</v>
      </c>
      <c r="AP307" s="648">
        <f>Table1[[#This Row],[راتب ديسمبر 2019]]*Table1[[#This Row],[نسبه التقييم الرئيسي 2018]]%</f>
        <v>0</v>
      </c>
      <c r="AQ307" s="627">
        <f>Table1[[#This Row],[مبلغ التقييم النسبي 2018]]+Table1[[#This Row],[راتب ديسمبر 2019]]</f>
        <v>7230</v>
      </c>
      <c r="AR307" s="10">
        <f>IF(Table1[[#This Row],[Column3]]&lt;0,0,Table1[[#This Row],[Column3]])</f>
        <v>12770</v>
      </c>
      <c r="AS307" s="599">
        <f>VLOOKUP(Table1[[#This Row],[درجه التوسيط]],Table10[],3,)</f>
        <v>20000</v>
      </c>
      <c r="AT307" s="608">
        <f>Table1[[#This Row],[الراتب 2018+النسبه]]+Table1[[#This Row],[فروقات الحد الادني]]</f>
        <v>20000</v>
      </c>
      <c r="AU307" s="629">
        <f>Table1[[#This Row],[الراتب 2018 + النسبه + الفرق]]-Table1[[#This Row],[راتب ديسمبر 2019]]</f>
        <v>12770</v>
      </c>
      <c r="AV307" s="628">
        <f>Table1[[#This Row],[الزياده]]/Table1[[#This Row],[راتب ديسمبر 2019]]%</f>
        <v>176.62517289073307</v>
      </c>
      <c r="AW307" s="659">
        <f>IF(Table1[[#This Row],[Column4]]&lt;0,0,Table1[[#This Row],[Column4]])</f>
        <v>0</v>
      </c>
      <c r="AX307" s="611">
        <f>Table1[[#This Row],[الجبر حتي]]-Table1[[#This Row],[رن]]</f>
        <v>0</v>
      </c>
      <c r="AY307" s="611">
        <f>Table1[[#This Row],[الزياده]]+Table1[[#This Row],[التعديل]]+Table1[[#This Row],[جبر الرقم]]</f>
        <v>12770</v>
      </c>
      <c r="AZ307" s="611">
        <f>Table1[[#This Row],[الراتب 2018 + النسبه + الفرق]]+Table1[[#This Row],[جبر الرقم]]+Table1[[#This Row],[التعديل]]</f>
        <v>20000</v>
      </c>
      <c r="BA307" s="631">
        <f>Table1[[#This Row],[الزياده النهائيه]]/Table1[[#This Row],[راتب ديسمبر 2019]]%</f>
        <v>176.62517289073307</v>
      </c>
      <c r="BB307" s="612">
        <f>VLOOKUP(Table1[[#This Row],[الرقم الوظيفي]],Table6[],8,)</f>
        <v>7230</v>
      </c>
      <c r="BC307" s="7"/>
      <c r="BD307" s="7">
        <v>15000</v>
      </c>
      <c r="BE307" s="7">
        <v>15000</v>
      </c>
      <c r="BF307" s="5">
        <f>Table1[[#This Row],[الحد الادني]]-Table1[[#This Row],[الراتب 2018+النسبه]]</f>
        <v>12770</v>
      </c>
      <c r="BG307" s="5">
        <f>Table1[[#This Row],[التعديل حتي]]-Table1[[#This Row],[kkk]]</f>
        <v>-15000</v>
      </c>
      <c r="BH307" s="5">
        <v>15000</v>
      </c>
      <c r="BI307" s="5"/>
    </row>
    <row r="308" spans="1:61" ht="18.75" customHeight="1">
      <c r="A308" s="602">
        <v>1070</v>
      </c>
      <c r="B308" s="618" t="str">
        <f>VLOOKUP(Table1[[#This Row],[الرقم الوظيفي]],[1]Sheet2!$1:$1048576,2,)</f>
        <v>عبدالرحيم موسى ادم محمد</v>
      </c>
      <c r="C308" s="599" t="str">
        <f>VLOOKUP(Table1[[#This Row],[الرقم الوظيفي]],[1]Sheet2!$1:$1048576,7,)</f>
        <v>المصنع</v>
      </c>
      <c r="D308" s="599" t="str">
        <f>VLOOKUP(Table1[[#This Row],[الرقم الوظيفي]],[1]Sheet2!$1:$1048576,8,)</f>
        <v>الخدمات</v>
      </c>
      <c r="E308" s="599">
        <f>VLOOKUP(Table1[[#This Row],[الرقم الوظيفي]],[1]Sheet2!$1:$1048576,9,)</f>
        <v>0</v>
      </c>
      <c r="F308" s="599" t="str">
        <f>VLOOKUP(Table1[[#This Row],[الرقم الوظيفي]],[1]Sheet2!$1:$1048576,12,)</f>
        <v>فنى سباكة</v>
      </c>
      <c r="G308" s="599" t="str">
        <f>VLOOKUP(Table1[[#This Row],[الرقم الوظيفي]],[1]Sheet2!$1:$1048576,72,)</f>
        <v>تدريب مهني</v>
      </c>
      <c r="H308" s="599" t="str">
        <f>VLOOKUP(Table1[[#This Row],[الرقم الوظيفي]],[1]Sheet2!$1:$1048576,71,)</f>
        <v>برادة مواسير</v>
      </c>
      <c r="I308" s="599" t="str">
        <f>VLOOKUP(Table1[[#This Row],[المؤهل الرئيسي]],Table4[],3,)</f>
        <v>F</v>
      </c>
      <c r="J308" s="599" t="s">
        <v>923</v>
      </c>
      <c r="K308" s="615">
        <f>VLOOKUP(Table1[[#This Row],[الرقم الوظيفي]],[1]Sheet2!$1:$1048576,13,)</f>
        <v>43356</v>
      </c>
      <c r="L308" s="615">
        <v>43830</v>
      </c>
      <c r="M308" s="599">
        <f>DATEDIF(Table1[[#This Row],[تاريخ التعيين]],Table1[[#This Row],[اخر العام]],"y")</f>
        <v>1</v>
      </c>
      <c r="N308" s="599">
        <f>DATEDIF(Table1[[#This Row],[تاريخ التعيين]],Table1[[#This Row],[اخر العام]],"ym")</f>
        <v>3</v>
      </c>
      <c r="O308" s="610">
        <f>Table1[[#This Row],[سنوات الخدمه]]*1+Table1[[#This Row],[الشهور اقل من سنه]]*0.08</f>
        <v>1.24</v>
      </c>
      <c r="P308" s="616">
        <v>4500</v>
      </c>
      <c r="Q308" s="617">
        <v>21.6</v>
      </c>
      <c r="R308" s="612"/>
      <c r="S308" s="599"/>
      <c r="T308" s="612"/>
      <c r="U308" s="612"/>
      <c r="V308" s="612"/>
      <c r="W308" s="612"/>
      <c r="X308" s="612"/>
      <c r="Y308" s="612"/>
      <c r="Z308" s="612"/>
      <c r="AA30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8" s="612"/>
      <c r="AC308" s="599"/>
      <c r="AD308" s="612"/>
      <c r="AE308" s="612"/>
      <c r="AF308" s="612"/>
      <c r="AG308" s="612"/>
      <c r="AH308" s="619">
        <f>SUM(Table1[[#This Row],[التقييد  باللوائح و تنفيذالتوجيه]:[اتباع اجراءات السلامه]])</f>
        <v>0</v>
      </c>
      <c r="AI308" s="619">
        <f>Table1[[#This Row],[المجموع]]+Table1[[#This Row],[المجموع2]]</f>
        <v>0</v>
      </c>
      <c r="AJ308" s="612"/>
      <c r="AK308" s="612"/>
      <c r="AL308" s="612"/>
      <c r="AM308" s="612"/>
      <c r="AN308" s="612"/>
      <c r="AO308" s="606">
        <f>Table1[[#This Row],[المجموع 1+2]]*$AO$2</f>
        <v>0</v>
      </c>
      <c r="AP308" s="648">
        <f>Table1[[#This Row],[راتب ديسمبر 2019]]*Table1[[#This Row],[نسبه التقييم الرئيسي 2018]]%</f>
        <v>0</v>
      </c>
      <c r="AQ308" s="627">
        <f>Table1[[#This Row],[مبلغ التقييم النسبي 2018]]+Table1[[#This Row],[راتب ديسمبر 2019]]</f>
        <v>4500</v>
      </c>
      <c r="AR308" s="10">
        <f>IF(Table1[[#This Row],[Column3]]&lt;0,0,Table1[[#This Row],[Column3]])</f>
        <v>5500</v>
      </c>
      <c r="AS308" s="599">
        <f>VLOOKUP(Table1[[#This Row],[درجه التوسيط]],Table10[],3,)</f>
        <v>10000</v>
      </c>
      <c r="AT308" s="608">
        <f>Table1[[#This Row],[الراتب 2018+النسبه]]+Table1[[#This Row],[فروقات الحد الادني]]</f>
        <v>10000</v>
      </c>
      <c r="AU308" s="629">
        <f>Table1[[#This Row],[الراتب 2018 + النسبه + الفرق]]-Table1[[#This Row],[راتب ديسمبر 2019]]</f>
        <v>5500</v>
      </c>
      <c r="AV308" s="628">
        <f>Table1[[#This Row],[الزياده]]/Table1[[#This Row],[راتب ديسمبر 2019]]%</f>
        <v>122.22222222222223</v>
      </c>
      <c r="AW308" s="659">
        <f>IF(Table1[[#This Row],[Column4]]&lt;0,0,Table1[[#This Row],[Column4]])</f>
        <v>0</v>
      </c>
      <c r="AX308" s="611">
        <f>Table1[[#This Row],[الجبر حتي]]-Table1[[#This Row],[رن]]</f>
        <v>4</v>
      </c>
      <c r="AY308" s="611">
        <f>Table1[[#This Row],[الزياده]]+Table1[[#This Row],[التعديل]]+Table1[[#This Row],[جبر الرقم]]</f>
        <v>5504</v>
      </c>
      <c r="AZ308" s="611">
        <f>Table1[[#This Row],[الراتب 2018 + النسبه + الفرق]]+Table1[[#This Row],[جبر الرقم]]+Table1[[#This Row],[التعديل]]</f>
        <v>10004</v>
      </c>
      <c r="BA308" s="631">
        <f>Table1[[#This Row],[الزياده النهائيه]]/Table1[[#This Row],[راتب ديسمبر 2019]]%</f>
        <v>122.31111111111112</v>
      </c>
      <c r="BB308" s="612">
        <f>VLOOKUP(Table1[[#This Row],[الرقم الوظيفي]],Table6[],8,)</f>
        <v>4500</v>
      </c>
      <c r="BC308" s="7"/>
      <c r="BD308" s="7">
        <v>6880</v>
      </c>
      <c r="BE308" s="7">
        <v>6876</v>
      </c>
      <c r="BF308" s="5">
        <f>Table1[[#This Row],[الحد الادني]]-Table1[[#This Row],[الراتب 2018+النسبه]]</f>
        <v>5500</v>
      </c>
      <c r="BG308" s="5">
        <f>Table1[[#This Row],[التعديل حتي]]-Table1[[#This Row],[kkk]]</f>
        <v>-6876</v>
      </c>
      <c r="BH308" s="5">
        <v>6876</v>
      </c>
      <c r="BI308" s="5"/>
    </row>
    <row r="309" spans="1:61" ht="18.75" customHeight="1">
      <c r="A309" s="602">
        <v>125</v>
      </c>
      <c r="B309" s="618" t="str">
        <f>VLOOKUP(Table1[[#This Row],[الرقم الوظيفي]],[1]Sheet2!$1:$1048576,2,)</f>
        <v>هشام بشري محمد احمد</v>
      </c>
      <c r="C309" s="599" t="str">
        <f>VLOOKUP(Table1[[#This Row],[الرقم الوظيفي]],[1]Sheet2!$1:$1048576,7,)</f>
        <v>المصنع</v>
      </c>
      <c r="D309" s="599" t="str">
        <f>VLOOKUP(Table1[[#This Row],[الرقم الوظيفي]],[1]Sheet2!$1:$1048576,8,)</f>
        <v>الانتاج</v>
      </c>
      <c r="E309" s="599">
        <f>VLOOKUP(Table1[[#This Row],[الرقم الوظيفي]],[1]Sheet2!$1:$1048576,9,)</f>
        <v>0</v>
      </c>
      <c r="F309" s="599" t="str">
        <f>VLOOKUP(Table1[[#This Row],[الرقم الوظيفي]],[1]Sheet2!$1:$1048576,12,)</f>
        <v>عامل</v>
      </c>
      <c r="G309" s="599" t="str">
        <f>VLOOKUP(Table1[[#This Row],[الرقم الوظيفي]],[1]Sheet2!$1:$1048576,72,)</f>
        <v>بكلاريوس</v>
      </c>
      <c r="H309" s="599" t="str">
        <f>VLOOKUP(Table1[[#This Row],[الرقم الوظيفي]],[1]Sheet2!$1:$1048576,71,)</f>
        <v>المحاسبة</v>
      </c>
      <c r="I309" s="599" t="str">
        <f>VLOOKUP(Table1[[#This Row],[المؤهل الرئيسي]],Table4[],3,)</f>
        <v>C</v>
      </c>
      <c r="J309" s="599" t="s">
        <v>42</v>
      </c>
      <c r="K309" s="615">
        <f>VLOOKUP(Table1[[#This Row],[الرقم الوظيفي]],[1]Sheet2!$1:$1048576,13,)</f>
        <v>43359</v>
      </c>
      <c r="L309" s="615">
        <v>43830</v>
      </c>
      <c r="M309" s="599">
        <f>DATEDIF(Table1[[#This Row],[تاريخ التعيين]],Table1[[#This Row],[اخر العام]],"y")</f>
        <v>1</v>
      </c>
      <c r="N309" s="599">
        <f>DATEDIF(Table1[[#This Row],[تاريخ التعيين]],Table1[[#This Row],[اخر العام]],"ym")</f>
        <v>3</v>
      </c>
      <c r="O309" s="610">
        <f>Table1[[#This Row],[سنوات الخدمه]]*1+Table1[[#This Row],[الشهور اقل من سنه]]*0.08</f>
        <v>1.24</v>
      </c>
      <c r="P309" s="616">
        <v>3000</v>
      </c>
      <c r="Q309" s="617">
        <v>14.4</v>
      </c>
      <c r="R309" s="612"/>
      <c r="S309" s="599"/>
      <c r="T309" s="612"/>
      <c r="U309" s="612"/>
      <c r="V309" s="612"/>
      <c r="W309" s="612"/>
      <c r="X309" s="612"/>
      <c r="Y309" s="612"/>
      <c r="Z309" s="612"/>
      <c r="AA30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09" s="612"/>
      <c r="AC309" s="599"/>
      <c r="AD309" s="612"/>
      <c r="AE309" s="612"/>
      <c r="AF309" s="612"/>
      <c r="AG309" s="612"/>
      <c r="AH309" s="619">
        <f>SUM(Table1[[#This Row],[التقييد  باللوائح و تنفيذالتوجيه]:[اتباع اجراءات السلامه]])</f>
        <v>0</v>
      </c>
      <c r="AI309" s="619">
        <f>Table1[[#This Row],[المجموع]]+Table1[[#This Row],[المجموع2]]</f>
        <v>0</v>
      </c>
      <c r="AJ309" s="612"/>
      <c r="AK309" s="612"/>
      <c r="AL309" s="612"/>
      <c r="AM309" s="612"/>
      <c r="AN309" s="612"/>
      <c r="AO309" s="606">
        <f>Table1[[#This Row],[المجموع 1+2]]*$AO$2</f>
        <v>0</v>
      </c>
      <c r="AP309" s="648">
        <f>Table1[[#This Row],[راتب ديسمبر 2019]]*Table1[[#This Row],[نسبه التقييم الرئيسي 2018]]%</f>
        <v>0</v>
      </c>
      <c r="AQ309" s="627">
        <f>Table1[[#This Row],[مبلغ التقييم النسبي 2018]]+Table1[[#This Row],[راتب ديسمبر 2019]]</f>
        <v>3000</v>
      </c>
      <c r="AR309" s="10">
        <f>IF(Table1[[#This Row],[Column3]]&lt;0,0,Table1[[#This Row],[Column3]])</f>
        <v>2000</v>
      </c>
      <c r="AS309" s="599">
        <f>VLOOKUP(Table1[[#This Row],[درجه التوسيط]],Table10[],3,)</f>
        <v>5000</v>
      </c>
      <c r="AT309" s="608">
        <f>Table1[[#This Row],[الراتب 2018+النسبه]]+Table1[[#This Row],[فروقات الحد الادني]]</f>
        <v>5000</v>
      </c>
      <c r="AU309" s="629">
        <f>Table1[[#This Row],[الراتب 2018 + النسبه + الفرق]]-Table1[[#This Row],[راتب ديسمبر 2019]]</f>
        <v>2000</v>
      </c>
      <c r="AV309" s="628">
        <f>Table1[[#This Row],[الزياده]]/Table1[[#This Row],[راتب ديسمبر 2019]]%</f>
        <v>66.666666666666671</v>
      </c>
      <c r="AW309" s="659">
        <f>IF(Table1[[#This Row],[Column4]]&lt;0,0,Table1[[#This Row],[Column4]])</f>
        <v>0</v>
      </c>
      <c r="AX309" s="611">
        <f>Table1[[#This Row],[الجبر حتي]]-Table1[[#This Row],[رن]]</f>
        <v>0</v>
      </c>
      <c r="AY309" s="611">
        <f>Table1[[#This Row],[الزياده]]+Table1[[#This Row],[التعديل]]+Table1[[#This Row],[جبر الرقم]]</f>
        <v>2000</v>
      </c>
      <c r="AZ309" s="611">
        <f>Table1[[#This Row],[الراتب 2018 + النسبه + الفرق]]+Table1[[#This Row],[جبر الرقم]]+Table1[[#This Row],[التعديل]]</f>
        <v>5000</v>
      </c>
      <c r="BA309" s="631">
        <f>Table1[[#This Row],[الزياده النهائيه]]/Table1[[#This Row],[راتب ديسمبر 2019]]%</f>
        <v>66.666666666666671</v>
      </c>
      <c r="BB309" s="612">
        <f>VLOOKUP(Table1[[#This Row],[الرقم الوظيفي]],Table6[],8,)</f>
        <v>3000</v>
      </c>
      <c r="BC309" s="7"/>
      <c r="BD309" s="7">
        <v>4620</v>
      </c>
      <c r="BE309" s="7">
        <v>4620</v>
      </c>
      <c r="BF309" s="5">
        <f>Table1[[#This Row],[الحد الادني]]-Table1[[#This Row],[الراتب 2018+النسبه]]</f>
        <v>2000</v>
      </c>
      <c r="BG309" s="5">
        <f>Table1[[#This Row],[التعديل حتي]]-Table1[[#This Row],[kkk]]</f>
        <v>-4620</v>
      </c>
      <c r="BH309" s="5">
        <v>4620</v>
      </c>
      <c r="BI309" s="5"/>
    </row>
    <row r="310" spans="1:61" ht="18.75" customHeight="1">
      <c r="A310" s="602">
        <v>827</v>
      </c>
      <c r="B310" s="618" t="str">
        <f>VLOOKUP(Table1[[#This Row],[الرقم الوظيفي]],[1]Sheet2!$1:$1048576,2,)</f>
        <v>انور سليمان ادم محمد</v>
      </c>
      <c r="C310" s="599" t="str">
        <f>VLOOKUP(Table1[[#This Row],[الرقم الوظيفي]],[1]Sheet2!$1:$1048576,7,)</f>
        <v>المصنع</v>
      </c>
      <c r="D310" s="599" t="str">
        <f>VLOOKUP(Table1[[#This Row],[الرقم الوظيفي]],[1]Sheet2!$1:$1048576,8,)</f>
        <v>الانتاج</v>
      </c>
      <c r="E310" s="599">
        <f>VLOOKUP(Table1[[#This Row],[الرقم الوظيفي]],[1]Sheet2!$1:$1048576,9,)</f>
        <v>0</v>
      </c>
      <c r="F310" s="599" t="str">
        <f>VLOOKUP(Table1[[#This Row],[الرقم الوظيفي]],[1]Sheet2!$1:$1048576,12,)</f>
        <v>عامل</v>
      </c>
      <c r="G310" s="599" t="str">
        <f>VLOOKUP(Table1[[#This Row],[الرقم الوظيفي]],[1]Sheet2!$1:$1048576,72,)</f>
        <v>شهاده ثانويه</v>
      </c>
      <c r="H310" s="599">
        <f>VLOOKUP(Table1[[#This Row],[الرقم الوظيفي]],[1]Sheet2!$1:$1048576,71,)</f>
        <v>0</v>
      </c>
      <c r="I310" s="599" t="str">
        <f>VLOOKUP(Table1[[#This Row],[المؤهل الرئيسي]],Table4[],3,)</f>
        <v>F</v>
      </c>
      <c r="J310" s="599" t="s">
        <v>926</v>
      </c>
      <c r="K310" s="615">
        <f>VLOOKUP(Table1[[#This Row],[الرقم الوظيفي]],[1]Sheet2!$1:$1048576,13,)</f>
        <v>43359</v>
      </c>
      <c r="L310" s="615">
        <v>43830</v>
      </c>
      <c r="M310" s="599">
        <f>DATEDIF(Table1[[#This Row],[تاريخ التعيين]],Table1[[#This Row],[اخر العام]],"y")</f>
        <v>1</v>
      </c>
      <c r="N310" s="599">
        <f>DATEDIF(Table1[[#This Row],[تاريخ التعيين]],Table1[[#This Row],[اخر العام]],"ym")</f>
        <v>3</v>
      </c>
      <c r="O310" s="610">
        <f>Table1[[#This Row],[سنوات الخدمه]]*1+Table1[[#This Row],[الشهور اقل من سنه]]*0.08</f>
        <v>1.24</v>
      </c>
      <c r="P310" s="616">
        <v>3000</v>
      </c>
      <c r="Q310" s="617">
        <v>14.4</v>
      </c>
      <c r="R310" s="612"/>
      <c r="S310" s="599"/>
      <c r="T310" s="612"/>
      <c r="U310" s="612"/>
      <c r="V310" s="612"/>
      <c r="W310" s="612"/>
      <c r="X310" s="612"/>
      <c r="Y310" s="612"/>
      <c r="Z310" s="612"/>
      <c r="AA31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0" s="612"/>
      <c r="AC310" s="599"/>
      <c r="AD310" s="612"/>
      <c r="AE310" s="612"/>
      <c r="AF310" s="612"/>
      <c r="AG310" s="612"/>
      <c r="AH310" s="619">
        <f>SUM(Table1[[#This Row],[التقييد  باللوائح و تنفيذالتوجيه]:[اتباع اجراءات السلامه]])</f>
        <v>0</v>
      </c>
      <c r="AI310" s="619">
        <f>Table1[[#This Row],[المجموع]]+Table1[[#This Row],[المجموع2]]</f>
        <v>0</v>
      </c>
      <c r="AJ310" s="612"/>
      <c r="AK310" s="612"/>
      <c r="AL310" s="612"/>
      <c r="AM310" s="612"/>
      <c r="AN310" s="612"/>
      <c r="AO310" s="606">
        <f>Table1[[#This Row],[المجموع 1+2]]*$AO$2</f>
        <v>0</v>
      </c>
      <c r="AP310" s="648">
        <f>Table1[[#This Row],[راتب ديسمبر 2019]]*Table1[[#This Row],[نسبه التقييم الرئيسي 2018]]%</f>
        <v>0</v>
      </c>
      <c r="AQ310" s="627">
        <f>Table1[[#This Row],[مبلغ التقييم النسبي 2018]]+Table1[[#This Row],[راتب ديسمبر 2019]]</f>
        <v>3000</v>
      </c>
      <c r="AR310" s="10">
        <f>IF(Table1[[#This Row],[Column3]]&lt;0,0,Table1[[#This Row],[Column3]])</f>
        <v>5000</v>
      </c>
      <c r="AS310" s="599">
        <f>VLOOKUP(Table1[[#This Row],[درجه التوسيط]],Table10[],3,)</f>
        <v>8000</v>
      </c>
      <c r="AT310" s="608">
        <f>Table1[[#This Row],[الراتب 2018+النسبه]]+Table1[[#This Row],[فروقات الحد الادني]]</f>
        <v>8000</v>
      </c>
      <c r="AU310" s="629">
        <f>Table1[[#This Row],[الراتب 2018 + النسبه + الفرق]]-Table1[[#This Row],[راتب ديسمبر 2019]]</f>
        <v>5000</v>
      </c>
      <c r="AV310" s="628">
        <f>Table1[[#This Row],[الزياده]]/Table1[[#This Row],[راتب ديسمبر 2019]]%</f>
        <v>166.66666666666666</v>
      </c>
      <c r="AW310" s="659">
        <f>IF(Table1[[#This Row],[Column4]]&lt;0,0,Table1[[#This Row],[Column4]])</f>
        <v>0</v>
      </c>
      <c r="AX310" s="611">
        <f>Table1[[#This Row],[الجبر حتي]]-Table1[[#This Row],[رن]]</f>
        <v>0</v>
      </c>
      <c r="AY310" s="611">
        <f>Table1[[#This Row],[الزياده]]+Table1[[#This Row],[التعديل]]+Table1[[#This Row],[جبر الرقم]]</f>
        <v>5000</v>
      </c>
      <c r="AZ310" s="611">
        <f>Table1[[#This Row],[الراتب 2018 + النسبه + الفرق]]+Table1[[#This Row],[جبر الرقم]]+Table1[[#This Row],[التعديل]]</f>
        <v>8000</v>
      </c>
      <c r="BA310" s="631">
        <f>Table1[[#This Row],[الزياده النهائيه]]/Table1[[#This Row],[راتب ديسمبر 2019]]%</f>
        <v>166.66666666666666</v>
      </c>
      <c r="BB310" s="612">
        <f>VLOOKUP(Table1[[#This Row],[الرقم الوظيفي]],Table6[],8,)</f>
        <v>3000</v>
      </c>
      <c r="BC310" s="7"/>
      <c r="BD310" s="7">
        <v>5500</v>
      </c>
      <c r="BE310" s="7">
        <v>5500</v>
      </c>
      <c r="BF310" s="5">
        <f>Table1[[#This Row],[الحد الادني]]-Table1[[#This Row],[الراتب 2018+النسبه]]</f>
        <v>5000</v>
      </c>
      <c r="BG310" s="5">
        <f>Table1[[#This Row],[التعديل حتي]]-Table1[[#This Row],[kkk]]</f>
        <v>-5500</v>
      </c>
      <c r="BH310" s="5">
        <v>5500</v>
      </c>
      <c r="BI310" s="5"/>
    </row>
    <row r="311" spans="1:61" ht="18.75" customHeight="1">
      <c r="A311" s="602">
        <v>0</v>
      </c>
      <c r="B311" s="618" t="e">
        <f>VLOOKUP(Table1[[#This Row],[الرقم الوظيفي]],[1]Sheet2!$1:$1048576,2,)</f>
        <v>#N/A</v>
      </c>
      <c r="C311" s="599" t="e">
        <f>VLOOKUP(Table1[[#This Row],[الرقم الوظيفي]],[1]Sheet2!$1:$1048576,7,)</f>
        <v>#N/A</v>
      </c>
      <c r="D311" s="599" t="e">
        <f>VLOOKUP(Table1[[#This Row],[الرقم الوظيفي]],[1]Sheet2!$1:$1048576,8,)</f>
        <v>#N/A</v>
      </c>
      <c r="E311" s="599" t="e">
        <f>VLOOKUP(Table1[[#This Row],[الرقم الوظيفي]],[1]Sheet2!$1:$1048576,9,)</f>
        <v>#N/A</v>
      </c>
      <c r="F311" s="599" t="e">
        <f>VLOOKUP(Table1[[#This Row],[الرقم الوظيفي]],[1]Sheet2!$1:$1048576,12,)</f>
        <v>#N/A</v>
      </c>
      <c r="G311" s="599" t="e">
        <f>VLOOKUP(Table1[[#This Row],[الرقم الوظيفي]],[1]Sheet2!$1:$1048576,72,)</f>
        <v>#N/A</v>
      </c>
      <c r="H311" s="599" t="e">
        <f>VLOOKUP(Table1[[#This Row],[الرقم الوظيفي]],[1]Sheet2!$1:$1048576,71,)</f>
        <v>#N/A</v>
      </c>
      <c r="I311" s="599" t="e">
        <f>VLOOKUP(Table1[[#This Row],[المؤهل الرئيسي]],Table4[],3,)</f>
        <v>#N/A</v>
      </c>
      <c r="J311" s="599"/>
      <c r="K311" s="615" t="e">
        <f>VLOOKUP(Table1[[#This Row],[الرقم الوظيفي]],[1]Sheet2!$1:$1048576,13,)</f>
        <v>#N/A</v>
      </c>
      <c r="L311" s="615">
        <v>43830</v>
      </c>
      <c r="M311" s="599" t="e">
        <f>DATEDIF(Table1[[#This Row],[تاريخ التعيين]],Table1[[#This Row],[اخر العام]],"y")</f>
        <v>#N/A</v>
      </c>
      <c r="N311" s="599" t="e">
        <f>DATEDIF(Table1[[#This Row],[تاريخ التعيين]],Table1[[#This Row],[اخر العام]],"ym")</f>
        <v>#N/A</v>
      </c>
      <c r="O311" s="610" t="e">
        <f>Table1[[#This Row],[سنوات الخدمه]]*1+Table1[[#This Row],[الشهور اقل من سنه]]*0.08</f>
        <v>#N/A</v>
      </c>
      <c r="P311" s="616">
        <f>VLOOKUP(Table1[[#This Row],[الرقم الوظيفي]],Table6[],8,)</f>
        <v>0</v>
      </c>
      <c r="Q311" s="617" t="e">
        <f>Table1[[#This Row],[راتب ديسمبر 2019]]*Table1[[#This Row],[نسبه سنين الخدمه]]%</f>
        <v>#N/A</v>
      </c>
      <c r="R311" s="612"/>
      <c r="S311" s="599"/>
      <c r="T311" s="612"/>
      <c r="U311" s="612"/>
      <c r="V311" s="612"/>
      <c r="W311" s="612"/>
      <c r="X311" s="612"/>
      <c r="Y311" s="612"/>
      <c r="Z311" s="612"/>
      <c r="AA31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1" s="612"/>
      <c r="AC311" s="599"/>
      <c r="AD311" s="612"/>
      <c r="AE311" s="612"/>
      <c r="AF311" s="612"/>
      <c r="AG311" s="612"/>
      <c r="AH311" s="619">
        <f>SUM(Table1[[#This Row],[التقييد  باللوائح و تنفيذالتوجيه]:[اتباع اجراءات السلامه]])</f>
        <v>0</v>
      </c>
      <c r="AI311" s="619">
        <f>Table1[[#This Row],[المجموع]]+Table1[[#This Row],[المجموع2]]</f>
        <v>0</v>
      </c>
      <c r="AJ311" s="612"/>
      <c r="AK311" s="612"/>
      <c r="AL311" s="612"/>
      <c r="AM311" s="612"/>
      <c r="AN311" s="612"/>
      <c r="AO311" s="606">
        <f>Table1[[#This Row],[المجموع 1+2]]*$AO$2</f>
        <v>0</v>
      </c>
      <c r="AP311" s="648">
        <f>Table1[[#This Row],[راتب ديسمبر 2019]]*Table1[[#This Row],[نسبه التقييم الرئيسي 2018]]%</f>
        <v>0</v>
      </c>
      <c r="AQ311" s="627">
        <f>Table1[[#This Row],[مبلغ التقييم النسبي 2018]]+Table1[[#This Row],[راتب ديسمبر 2019]]</f>
        <v>0</v>
      </c>
      <c r="AR311" s="10" t="e">
        <f>IF(Table1[[#This Row],[Column3]]&lt;0,0,Table1[[#This Row],[Column3]])</f>
        <v>#N/A</v>
      </c>
      <c r="AS311" s="599" t="e">
        <f>VLOOKUP(Table1[[#This Row],[درجه التوسيط]],Table10[],3,)</f>
        <v>#N/A</v>
      </c>
      <c r="AT311" s="608" t="e">
        <f>Table1[[#This Row],[الراتب 2018+النسبه]]+Table1[[#This Row],[فروقات الحد الادني]]</f>
        <v>#N/A</v>
      </c>
      <c r="AU311" s="629" t="e">
        <f>Table1[[#This Row],[الراتب 2018 + النسبه + الفرق]]-Table1[[#This Row],[راتب ديسمبر 2019]]</f>
        <v>#N/A</v>
      </c>
      <c r="AV311" s="628" t="e">
        <f>Table1[[#This Row],[الزياده]]/Table1[[#This Row],[راتب ديسمبر 2019]]%</f>
        <v>#N/A</v>
      </c>
      <c r="AW311" s="659" t="e">
        <f>IF(Table1[[#This Row],[Column4]]&lt;0,0,Table1[[#This Row],[Column4]])</f>
        <v>#N/A</v>
      </c>
      <c r="AX311" s="611" t="e">
        <f>Table1[[#This Row],[الجبر حتي]]-Table1[[#This Row],[رن]]</f>
        <v>#N/A</v>
      </c>
      <c r="AY311" s="611" t="e">
        <f>Table1[[#This Row],[الزياده]]+Table1[[#This Row],[التعديل]]+Table1[[#This Row],[جبر الرقم]]</f>
        <v>#N/A</v>
      </c>
      <c r="AZ311" s="611" t="e">
        <f>Table1[[#This Row],[الراتب 2018 + النسبه + الفرق]]+Table1[[#This Row],[جبر الرقم]]+Table1[[#This Row],[التعديل]]</f>
        <v>#N/A</v>
      </c>
      <c r="BA311" s="631" t="e">
        <f>Table1[[#This Row],[الزياده النهائيه]]/Table1[[#This Row],[راتب ديسمبر 2019]]%</f>
        <v>#N/A</v>
      </c>
      <c r="BB311" s="612">
        <f>VLOOKUP(Table1[[#This Row],[الرقم الوظيفي]],Table6[],8,)</f>
        <v>0</v>
      </c>
      <c r="BC311" s="7"/>
      <c r="BD311" s="7" t="e">
        <v>#N/A</v>
      </c>
      <c r="BE311" s="7" t="e">
        <v>#N/A</v>
      </c>
      <c r="BF311" s="5" t="e">
        <f>Table1[[#This Row],[الحد الادني]]-Table1[[#This Row],[الراتب 2018+النسبه]]</f>
        <v>#N/A</v>
      </c>
      <c r="BG311" s="5" t="e">
        <f>Table1[[#This Row],[التعديل حتي]]-Table1[[#This Row],[kkk]]</f>
        <v>#N/A</v>
      </c>
      <c r="BH311" s="5" t="e">
        <v>#N/A</v>
      </c>
      <c r="BI311" s="5"/>
    </row>
    <row r="312" spans="1:61" ht="18.75" customHeight="1">
      <c r="A312" s="602" t="s">
        <v>882</v>
      </c>
      <c r="B312" s="618" t="e">
        <f>VLOOKUP(Table1[[#This Row],[الرقم الوظيفي]],[1]Sheet2!$1:$1048576,2,)</f>
        <v>#N/A</v>
      </c>
      <c r="C312" s="599" t="e">
        <f>VLOOKUP(Table1[[#This Row],[الرقم الوظيفي]],[1]Sheet2!$1:$1048576,7,)</f>
        <v>#N/A</v>
      </c>
      <c r="D312" s="599" t="e">
        <f>VLOOKUP(Table1[[#This Row],[الرقم الوظيفي]],[1]Sheet2!$1:$1048576,8,)</f>
        <v>#N/A</v>
      </c>
      <c r="E312" s="599" t="e">
        <f>VLOOKUP(Table1[[#This Row],[الرقم الوظيفي]],[1]Sheet2!$1:$1048576,9,)</f>
        <v>#N/A</v>
      </c>
      <c r="F312" s="599" t="e">
        <f>VLOOKUP(Table1[[#This Row],[الرقم الوظيفي]],[1]Sheet2!$1:$1048576,12,)</f>
        <v>#N/A</v>
      </c>
      <c r="G312" s="599" t="e">
        <f>VLOOKUP(Table1[[#This Row],[الرقم الوظيفي]],[1]Sheet2!$1:$1048576,72,)</f>
        <v>#N/A</v>
      </c>
      <c r="H312" s="599" t="e">
        <f>VLOOKUP(Table1[[#This Row],[الرقم الوظيفي]],[1]Sheet2!$1:$1048576,71,)</f>
        <v>#N/A</v>
      </c>
      <c r="I312" s="599" t="e">
        <f>VLOOKUP(Table1[[#This Row],[المؤهل الرئيسي]],Table4[],3,)</f>
        <v>#N/A</v>
      </c>
      <c r="J312" s="599"/>
      <c r="K312" s="615" t="e">
        <f>VLOOKUP(Table1[[#This Row],[الرقم الوظيفي]],[1]Sheet2!$1:$1048576,13,)</f>
        <v>#N/A</v>
      </c>
      <c r="L312" s="615">
        <v>43830</v>
      </c>
      <c r="M312" s="599" t="e">
        <f>DATEDIF(Table1[[#This Row],[تاريخ التعيين]],Table1[[#This Row],[اخر العام]],"y")</f>
        <v>#N/A</v>
      </c>
      <c r="N312" s="599" t="e">
        <f>DATEDIF(Table1[[#This Row],[تاريخ التعيين]],Table1[[#This Row],[اخر العام]],"ym")</f>
        <v>#N/A</v>
      </c>
      <c r="O312" s="610" t="e">
        <f>Table1[[#This Row],[سنوات الخدمه]]*1+Table1[[#This Row],[الشهور اقل من سنه]]*0.08</f>
        <v>#N/A</v>
      </c>
      <c r="P312" s="610">
        <f>VLOOKUP(Table1[[#This Row],[الرقم الوظيفي]],Table6[],8,)</f>
        <v>40000</v>
      </c>
      <c r="Q312" s="620" t="e">
        <f>Table1[[#This Row],[راتب ديسمبر 2019]]*Table1[[#This Row],[نسبه سنين الخدمه]]%</f>
        <v>#N/A</v>
      </c>
      <c r="R312" s="612"/>
      <c r="S312" s="599"/>
      <c r="T312" s="612"/>
      <c r="U312" s="612"/>
      <c r="V312" s="612"/>
      <c r="W312" s="612"/>
      <c r="X312" s="612"/>
      <c r="Y312" s="612"/>
      <c r="Z312" s="612"/>
      <c r="AA31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2" s="612"/>
      <c r="AC312" s="599"/>
      <c r="AD312" s="612"/>
      <c r="AE312" s="612"/>
      <c r="AF312" s="612"/>
      <c r="AG312" s="612"/>
      <c r="AH312" s="619">
        <f>SUM(Table1[[#This Row],[التقييد  باللوائح و تنفيذالتوجيه]:[اتباع اجراءات السلامه]])</f>
        <v>0</v>
      </c>
      <c r="AI312" s="619">
        <f>Table1[[#This Row],[المجموع]]+Table1[[#This Row],[المجموع2]]</f>
        <v>0</v>
      </c>
      <c r="AJ312" s="612"/>
      <c r="AK312" s="612"/>
      <c r="AL312" s="612"/>
      <c r="AM312" s="612"/>
      <c r="AN312" s="612"/>
      <c r="AO312" s="606">
        <f>Table1[[#This Row],[المجموع 1+2]]*$AO$2</f>
        <v>0</v>
      </c>
      <c r="AP312" s="648">
        <f>Table1[[#This Row],[راتب ديسمبر 2019]]*Table1[[#This Row],[نسبه التقييم الرئيسي 2018]]%</f>
        <v>0</v>
      </c>
      <c r="AQ312" s="627">
        <f>Table1[[#This Row],[مبلغ التقييم النسبي 2018]]+Table1[[#This Row],[راتب ديسمبر 2019]]</f>
        <v>40000</v>
      </c>
      <c r="AR312" s="10" t="e">
        <f>IF(Table1[[#This Row],[Column3]]&lt;0,0,Table1[[#This Row],[Column3]])</f>
        <v>#N/A</v>
      </c>
      <c r="AS312" s="599" t="e">
        <f>VLOOKUP(Table1[[#This Row],[درجه التوسيط]],Table10[],3,)</f>
        <v>#N/A</v>
      </c>
      <c r="AT312" s="608" t="e">
        <f>Table1[[#This Row],[الراتب 2018+النسبه]]+Table1[[#This Row],[فروقات الحد الادني]]</f>
        <v>#N/A</v>
      </c>
      <c r="AU312" s="629" t="e">
        <f>Table1[[#This Row],[الراتب 2018 + النسبه + الفرق]]-Table1[[#This Row],[راتب ديسمبر 2019]]</f>
        <v>#N/A</v>
      </c>
      <c r="AV312" s="628" t="e">
        <f>Table1[[#This Row],[الزياده]]/Table1[[#This Row],[راتب ديسمبر 2019]]%</f>
        <v>#N/A</v>
      </c>
      <c r="AW312" s="659" t="e">
        <f>IF(Table1[[#This Row],[Column4]]&lt;0,0,Table1[[#This Row],[Column4]])</f>
        <v>#N/A</v>
      </c>
      <c r="AX312" s="611" t="e">
        <f>Table1[[#This Row],[الجبر حتي]]-Table1[[#This Row],[رن]]</f>
        <v>#N/A</v>
      </c>
      <c r="AY312" s="611" t="e">
        <f>Table1[[#This Row],[الزياده]]+Table1[[#This Row],[التعديل]]+Table1[[#This Row],[جبر الرقم]]</f>
        <v>#N/A</v>
      </c>
      <c r="AZ312" s="611" t="e">
        <f>Table1[[#This Row],[الراتب 2018 + النسبه + الفرق]]+Table1[[#This Row],[جبر الرقم]]+Table1[[#This Row],[التعديل]]</f>
        <v>#N/A</v>
      </c>
      <c r="BA312" s="631" t="e">
        <f>Table1[[#This Row],[الزياده النهائيه]]/Table1[[#This Row],[راتب ديسمبر 2019]]%</f>
        <v>#N/A</v>
      </c>
      <c r="BB312" s="612">
        <f>VLOOKUP(Table1[[#This Row],[الرقم الوظيفي]],Table6[],8,)</f>
        <v>40000</v>
      </c>
      <c r="BC312" s="7"/>
      <c r="BD312" s="7" t="e">
        <v>#N/A</v>
      </c>
      <c r="BE312" s="7" t="e">
        <v>#N/A</v>
      </c>
      <c r="BF312" s="5" t="e">
        <f>Table1[[#This Row],[الحد الادني]]-Table1[[#This Row],[الراتب 2018+النسبه]]</f>
        <v>#N/A</v>
      </c>
      <c r="BG312" s="5" t="e">
        <f>Table1[[#This Row],[التعديل حتي]]-Table1[[#This Row],[kkk]]</f>
        <v>#N/A</v>
      </c>
      <c r="BH312" s="5" t="e">
        <v>#N/A</v>
      </c>
      <c r="BI312" s="5"/>
    </row>
    <row r="313" spans="1:61" ht="18.75" customHeight="1">
      <c r="A313" s="602" t="s">
        <v>883</v>
      </c>
      <c r="B313" s="618" t="e">
        <f>VLOOKUP(Table1[[#This Row],[الرقم الوظيفي]],[1]Sheet2!$1:$1048576,2,)</f>
        <v>#N/A</v>
      </c>
      <c r="C313" s="599" t="e">
        <f>VLOOKUP(Table1[[#This Row],[الرقم الوظيفي]],[1]Sheet2!$1:$1048576,7,)</f>
        <v>#N/A</v>
      </c>
      <c r="D313" s="599" t="e">
        <f>VLOOKUP(Table1[[#This Row],[الرقم الوظيفي]],[1]Sheet2!$1:$1048576,8,)</f>
        <v>#N/A</v>
      </c>
      <c r="E313" s="599" t="e">
        <f>VLOOKUP(Table1[[#This Row],[الرقم الوظيفي]],[1]Sheet2!$1:$1048576,9,)</f>
        <v>#N/A</v>
      </c>
      <c r="F313" s="599" t="e">
        <f>VLOOKUP(Table1[[#This Row],[الرقم الوظيفي]],[1]Sheet2!$1:$1048576,12,)</f>
        <v>#N/A</v>
      </c>
      <c r="G313" s="599" t="e">
        <f>VLOOKUP(Table1[[#This Row],[الرقم الوظيفي]],[1]Sheet2!$1:$1048576,72,)</f>
        <v>#N/A</v>
      </c>
      <c r="H313" s="599" t="e">
        <f>VLOOKUP(Table1[[#This Row],[الرقم الوظيفي]],[1]Sheet2!$1:$1048576,71,)</f>
        <v>#N/A</v>
      </c>
      <c r="I313" s="599" t="e">
        <f>VLOOKUP(Table1[[#This Row],[المؤهل الرئيسي]],Table4[],3,)</f>
        <v>#N/A</v>
      </c>
      <c r="J313" s="599"/>
      <c r="K313" s="615" t="e">
        <f>VLOOKUP(Table1[[#This Row],[الرقم الوظيفي]],[1]Sheet2!$1:$1048576,13,)</f>
        <v>#N/A</v>
      </c>
      <c r="L313" s="615">
        <v>43830</v>
      </c>
      <c r="M313" s="599" t="e">
        <f>DATEDIF(Table1[[#This Row],[تاريخ التعيين]],Table1[[#This Row],[اخر العام]],"y")</f>
        <v>#N/A</v>
      </c>
      <c r="N313" s="599" t="e">
        <f>DATEDIF(Table1[[#This Row],[تاريخ التعيين]],Table1[[#This Row],[اخر العام]],"ym")</f>
        <v>#N/A</v>
      </c>
      <c r="O313" s="610" t="e">
        <f>Table1[[#This Row],[سنوات الخدمه]]*1+Table1[[#This Row],[الشهور اقل من سنه]]*0.08</f>
        <v>#N/A</v>
      </c>
      <c r="P313" s="610">
        <f>VLOOKUP(Table1[[#This Row],[الرقم الوظيفي]],Table6[],8,)</f>
        <v>10000</v>
      </c>
      <c r="Q313" s="620" t="e">
        <f>Table1[[#This Row],[راتب ديسمبر 2019]]*Table1[[#This Row],[نسبه سنين الخدمه]]%</f>
        <v>#N/A</v>
      </c>
      <c r="R313" s="612"/>
      <c r="S313" s="599"/>
      <c r="T313" s="612"/>
      <c r="U313" s="612"/>
      <c r="V313" s="612"/>
      <c r="W313" s="612"/>
      <c r="X313" s="612"/>
      <c r="Y313" s="612"/>
      <c r="Z313" s="612"/>
      <c r="AA31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3" s="612"/>
      <c r="AC313" s="599"/>
      <c r="AD313" s="612"/>
      <c r="AE313" s="612"/>
      <c r="AF313" s="612"/>
      <c r="AG313" s="612"/>
      <c r="AH313" s="619">
        <f>SUM(Table1[[#This Row],[التقييد  باللوائح و تنفيذالتوجيه]:[اتباع اجراءات السلامه]])</f>
        <v>0</v>
      </c>
      <c r="AI313" s="619">
        <f>Table1[[#This Row],[المجموع]]+Table1[[#This Row],[المجموع2]]</f>
        <v>0</v>
      </c>
      <c r="AJ313" s="612"/>
      <c r="AK313" s="612"/>
      <c r="AL313" s="612"/>
      <c r="AM313" s="612"/>
      <c r="AN313" s="612"/>
      <c r="AO313" s="606">
        <f>Table1[[#This Row],[المجموع 1+2]]*$AO$2</f>
        <v>0</v>
      </c>
      <c r="AP313" s="648">
        <f>Table1[[#This Row],[راتب ديسمبر 2019]]*Table1[[#This Row],[نسبه التقييم الرئيسي 2018]]%</f>
        <v>0</v>
      </c>
      <c r="AQ313" s="627">
        <f>Table1[[#This Row],[مبلغ التقييم النسبي 2018]]+Table1[[#This Row],[راتب ديسمبر 2019]]</f>
        <v>10000</v>
      </c>
      <c r="AR313" s="10" t="e">
        <f>IF(Table1[[#This Row],[Column3]]&lt;0,0,Table1[[#This Row],[Column3]])</f>
        <v>#N/A</v>
      </c>
      <c r="AS313" s="599" t="e">
        <f>VLOOKUP(Table1[[#This Row],[درجه التوسيط]],Table10[],3,)</f>
        <v>#N/A</v>
      </c>
      <c r="AT313" s="608" t="e">
        <f>Table1[[#This Row],[الراتب 2018+النسبه]]+Table1[[#This Row],[فروقات الحد الادني]]</f>
        <v>#N/A</v>
      </c>
      <c r="AU313" s="629" t="e">
        <f>Table1[[#This Row],[الراتب 2018 + النسبه + الفرق]]-Table1[[#This Row],[راتب ديسمبر 2019]]</f>
        <v>#N/A</v>
      </c>
      <c r="AV313" s="628" t="e">
        <f>Table1[[#This Row],[الزياده]]/Table1[[#This Row],[راتب ديسمبر 2019]]%</f>
        <v>#N/A</v>
      </c>
      <c r="AW313" s="659" t="e">
        <f>IF(Table1[[#This Row],[Column4]]&lt;0,0,Table1[[#This Row],[Column4]])</f>
        <v>#N/A</v>
      </c>
      <c r="AX313" s="611" t="e">
        <f>Table1[[#This Row],[الجبر حتي]]-Table1[[#This Row],[رن]]</f>
        <v>#N/A</v>
      </c>
      <c r="AY313" s="611" t="e">
        <f>Table1[[#This Row],[الزياده]]+Table1[[#This Row],[التعديل]]+Table1[[#This Row],[جبر الرقم]]</f>
        <v>#N/A</v>
      </c>
      <c r="AZ313" s="611" t="e">
        <f>Table1[[#This Row],[الراتب 2018 + النسبه + الفرق]]+Table1[[#This Row],[جبر الرقم]]+Table1[[#This Row],[التعديل]]</f>
        <v>#N/A</v>
      </c>
      <c r="BA313" s="631" t="e">
        <f>Table1[[#This Row],[الزياده النهائيه]]/Table1[[#This Row],[راتب ديسمبر 2019]]%</f>
        <v>#N/A</v>
      </c>
      <c r="BB313" s="612">
        <f>VLOOKUP(Table1[[#This Row],[الرقم الوظيفي]],Table6[],8,)</f>
        <v>10000</v>
      </c>
      <c r="BC313" s="7"/>
      <c r="BD313" s="7" t="e">
        <v>#N/A</v>
      </c>
      <c r="BE313" s="7" t="e">
        <v>#N/A</v>
      </c>
      <c r="BF313" s="5" t="e">
        <f>Table1[[#This Row],[الحد الادني]]-Table1[[#This Row],[الراتب 2018+النسبه]]</f>
        <v>#N/A</v>
      </c>
      <c r="BG313" s="5" t="e">
        <f>Table1[[#This Row],[التعديل حتي]]-Table1[[#This Row],[kkk]]</f>
        <v>#N/A</v>
      </c>
      <c r="BH313" s="5" t="e">
        <v>#N/A</v>
      </c>
      <c r="BI313" s="5"/>
    </row>
    <row r="314" spans="1:61" ht="18.75" customHeight="1">
      <c r="A314" s="602" t="s">
        <v>884</v>
      </c>
      <c r="B314" s="618" t="e">
        <f>VLOOKUP(Table1[[#This Row],[الرقم الوظيفي]],[1]Sheet2!$1:$1048576,2,)</f>
        <v>#N/A</v>
      </c>
      <c r="C314" s="599" t="e">
        <f>VLOOKUP(Table1[[#This Row],[الرقم الوظيفي]],[1]Sheet2!$1:$1048576,7,)</f>
        <v>#N/A</v>
      </c>
      <c r="D314" s="599" t="e">
        <f>VLOOKUP(Table1[[#This Row],[الرقم الوظيفي]],[1]Sheet2!$1:$1048576,8,)</f>
        <v>#N/A</v>
      </c>
      <c r="E314" s="599" t="e">
        <f>VLOOKUP(Table1[[#This Row],[الرقم الوظيفي]],[1]Sheet2!$1:$1048576,9,)</f>
        <v>#N/A</v>
      </c>
      <c r="F314" s="599" t="e">
        <f>VLOOKUP(Table1[[#This Row],[الرقم الوظيفي]],[1]Sheet2!$1:$1048576,12,)</f>
        <v>#N/A</v>
      </c>
      <c r="G314" s="599" t="e">
        <f>VLOOKUP(Table1[[#This Row],[الرقم الوظيفي]],[1]Sheet2!$1:$1048576,72,)</f>
        <v>#N/A</v>
      </c>
      <c r="H314" s="599" t="e">
        <f>VLOOKUP(Table1[[#This Row],[الرقم الوظيفي]],[1]Sheet2!$1:$1048576,71,)</f>
        <v>#N/A</v>
      </c>
      <c r="I314" s="599" t="e">
        <f>VLOOKUP(Table1[[#This Row],[المؤهل الرئيسي]],Table4[],3,)</f>
        <v>#N/A</v>
      </c>
      <c r="J314" s="599"/>
      <c r="K314" s="615" t="e">
        <f>VLOOKUP(Table1[[#This Row],[الرقم الوظيفي]],[1]Sheet2!$1:$1048576,13,)</f>
        <v>#N/A</v>
      </c>
      <c r="L314" s="615">
        <v>43830</v>
      </c>
      <c r="M314" s="599" t="e">
        <f>DATEDIF(Table1[[#This Row],[تاريخ التعيين]],Table1[[#This Row],[اخر العام]],"y")</f>
        <v>#N/A</v>
      </c>
      <c r="N314" s="599" t="e">
        <f>DATEDIF(Table1[[#This Row],[تاريخ التعيين]],Table1[[#This Row],[اخر العام]],"ym")</f>
        <v>#N/A</v>
      </c>
      <c r="O314" s="610" t="e">
        <f>Table1[[#This Row],[سنوات الخدمه]]*1+Table1[[#This Row],[الشهور اقل من سنه]]*0.08</f>
        <v>#N/A</v>
      </c>
      <c r="P314" s="610">
        <f>VLOOKUP(Table1[[#This Row],[الرقم الوظيفي]],Table6[],8,)</f>
        <v>12000</v>
      </c>
      <c r="Q314" s="620" t="e">
        <f>Table1[[#This Row],[راتب ديسمبر 2019]]*Table1[[#This Row],[نسبه سنين الخدمه]]%</f>
        <v>#N/A</v>
      </c>
      <c r="R314" s="612"/>
      <c r="S314" s="599"/>
      <c r="T314" s="612"/>
      <c r="U314" s="612"/>
      <c r="V314" s="612"/>
      <c r="W314" s="612"/>
      <c r="X314" s="612"/>
      <c r="Y314" s="612"/>
      <c r="Z314" s="612"/>
      <c r="AA31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4" s="612"/>
      <c r="AC314" s="599"/>
      <c r="AD314" s="612"/>
      <c r="AE314" s="612"/>
      <c r="AF314" s="612"/>
      <c r="AG314" s="612"/>
      <c r="AH314" s="619">
        <f>SUM(Table1[[#This Row],[التقييد  باللوائح و تنفيذالتوجيه]:[اتباع اجراءات السلامه]])</f>
        <v>0</v>
      </c>
      <c r="AI314" s="619">
        <f>Table1[[#This Row],[المجموع]]+Table1[[#This Row],[المجموع2]]</f>
        <v>0</v>
      </c>
      <c r="AJ314" s="612"/>
      <c r="AK314" s="612"/>
      <c r="AL314" s="612"/>
      <c r="AM314" s="612"/>
      <c r="AN314" s="612"/>
      <c r="AO314" s="606">
        <f>Table1[[#This Row],[المجموع 1+2]]*$AO$2</f>
        <v>0</v>
      </c>
      <c r="AP314" s="648">
        <f>Table1[[#This Row],[راتب ديسمبر 2019]]*Table1[[#This Row],[نسبه التقييم الرئيسي 2018]]%</f>
        <v>0</v>
      </c>
      <c r="AQ314" s="627">
        <f>Table1[[#This Row],[مبلغ التقييم النسبي 2018]]+Table1[[#This Row],[راتب ديسمبر 2019]]</f>
        <v>12000</v>
      </c>
      <c r="AR314" s="10" t="e">
        <f>IF(Table1[[#This Row],[Column3]]&lt;0,0,Table1[[#This Row],[Column3]])</f>
        <v>#N/A</v>
      </c>
      <c r="AS314" s="599" t="e">
        <f>VLOOKUP(Table1[[#This Row],[درجه التوسيط]],Table10[],3,)</f>
        <v>#N/A</v>
      </c>
      <c r="AT314" s="608" t="e">
        <f>Table1[[#This Row],[الراتب 2018+النسبه]]+Table1[[#This Row],[فروقات الحد الادني]]</f>
        <v>#N/A</v>
      </c>
      <c r="AU314" s="629" t="e">
        <f>Table1[[#This Row],[الراتب 2018 + النسبه + الفرق]]-Table1[[#This Row],[راتب ديسمبر 2019]]</f>
        <v>#N/A</v>
      </c>
      <c r="AV314" s="628" t="e">
        <f>Table1[[#This Row],[الزياده]]/Table1[[#This Row],[راتب ديسمبر 2019]]%</f>
        <v>#N/A</v>
      </c>
      <c r="AW314" s="659" t="e">
        <f>IF(Table1[[#This Row],[Column4]]&lt;0,0,Table1[[#This Row],[Column4]])</f>
        <v>#N/A</v>
      </c>
      <c r="AX314" s="611" t="e">
        <f>Table1[[#This Row],[الجبر حتي]]-Table1[[#This Row],[رن]]</f>
        <v>#N/A</v>
      </c>
      <c r="AY314" s="611" t="e">
        <f>Table1[[#This Row],[الزياده]]+Table1[[#This Row],[التعديل]]+Table1[[#This Row],[جبر الرقم]]</f>
        <v>#N/A</v>
      </c>
      <c r="AZ314" s="611" t="e">
        <f>Table1[[#This Row],[الراتب 2018 + النسبه + الفرق]]+Table1[[#This Row],[جبر الرقم]]+Table1[[#This Row],[التعديل]]</f>
        <v>#N/A</v>
      </c>
      <c r="BA314" s="631" t="e">
        <f>Table1[[#This Row],[الزياده النهائيه]]/Table1[[#This Row],[راتب ديسمبر 2019]]%</f>
        <v>#N/A</v>
      </c>
      <c r="BB314" s="612">
        <f>VLOOKUP(Table1[[#This Row],[الرقم الوظيفي]],Table6[],8,)</f>
        <v>12000</v>
      </c>
      <c r="BC314" s="7"/>
      <c r="BD314" s="7" t="e">
        <v>#N/A</v>
      </c>
      <c r="BE314" s="7" t="e">
        <v>#N/A</v>
      </c>
      <c r="BF314" s="5" t="e">
        <f>Table1[[#This Row],[الحد الادني]]-Table1[[#This Row],[الراتب 2018+النسبه]]</f>
        <v>#N/A</v>
      </c>
      <c r="BG314" s="5" t="e">
        <f>Table1[[#This Row],[التعديل حتي]]-Table1[[#This Row],[kkk]]</f>
        <v>#N/A</v>
      </c>
      <c r="BH314" s="5" t="e">
        <v>#N/A</v>
      </c>
      <c r="BI314" s="5"/>
    </row>
    <row r="315" spans="1:61" ht="18.75" customHeight="1">
      <c r="A315" s="602" t="s">
        <v>885</v>
      </c>
      <c r="B315" s="618" t="e">
        <f>VLOOKUP(Table1[[#This Row],[الرقم الوظيفي]],[1]Sheet2!$1:$1048576,2,)</f>
        <v>#N/A</v>
      </c>
      <c r="C315" s="599" t="e">
        <f>VLOOKUP(Table1[[#This Row],[الرقم الوظيفي]],[1]Sheet2!$1:$1048576,7,)</f>
        <v>#N/A</v>
      </c>
      <c r="D315" s="599" t="e">
        <f>VLOOKUP(Table1[[#This Row],[الرقم الوظيفي]],[1]Sheet2!$1:$1048576,8,)</f>
        <v>#N/A</v>
      </c>
      <c r="E315" s="599" t="e">
        <f>VLOOKUP(Table1[[#This Row],[الرقم الوظيفي]],[1]Sheet2!$1:$1048576,9,)</f>
        <v>#N/A</v>
      </c>
      <c r="F315" s="599" t="e">
        <f>VLOOKUP(Table1[[#This Row],[الرقم الوظيفي]],[1]Sheet2!$1:$1048576,12,)</f>
        <v>#N/A</v>
      </c>
      <c r="G315" s="599" t="e">
        <f>VLOOKUP(Table1[[#This Row],[الرقم الوظيفي]],[1]Sheet2!$1:$1048576,72,)</f>
        <v>#N/A</v>
      </c>
      <c r="H315" s="599" t="e">
        <f>VLOOKUP(Table1[[#This Row],[الرقم الوظيفي]],[1]Sheet2!$1:$1048576,71,)</f>
        <v>#N/A</v>
      </c>
      <c r="I315" s="599" t="e">
        <f>VLOOKUP(Table1[[#This Row],[المؤهل الرئيسي]],Table4[],3,)</f>
        <v>#N/A</v>
      </c>
      <c r="J315" s="599"/>
      <c r="K315" s="615" t="e">
        <f>VLOOKUP(Table1[[#This Row],[الرقم الوظيفي]],[1]Sheet2!$1:$1048576,13,)</f>
        <v>#N/A</v>
      </c>
      <c r="L315" s="615">
        <v>43830</v>
      </c>
      <c r="M315" s="599" t="e">
        <f>DATEDIF(Table1[[#This Row],[تاريخ التعيين]],Table1[[#This Row],[اخر العام]],"y")</f>
        <v>#N/A</v>
      </c>
      <c r="N315" s="599" t="e">
        <f>DATEDIF(Table1[[#This Row],[تاريخ التعيين]],Table1[[#This Row],[اخر العام]],"ym")</f>
        <v>#N/A</v>
      </c>
      <c r="O315" s="610" t="e">
        <f>Table1[[#This Row],[سنوات الخدمه]]*1+Table1[[#This Row],[الشهور اقل من سنه]]*0.08</f>
        <v>#N/A</v>
      </c>
      <c r="P315" s="610">
        <f>VLOOKUP(Table1[[#This Row],[الرقم الوظيفي]],Table6[],8,)</f>
        <v>10000</v>
      </c>
      <c r="Q315" s="620" t="e">
        <f>Table1[[#This Row],[راتب ديسمبر 2019]]*Table1[[#This Row],[نسبه سنين الخدمه]]%</f>
        <v>#N/A</v>
      </c>
      <c r="R315" s="612"/>
      <c r="S315" s="599"/>
      <c r="T315" s="612"/>
      <c r="U315" s="612"/>
      <c r="V315" s="612"/>
      <c r="W315" s="612"/>
      <c r="X315" s="612"/>
      <c r="Y315" s="612"/>
      <c r="Z315" s="612"/>
      <c r="AA31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5" s="612"/>
      <c r="AC315" s="599"/>
      <c r="AD315" s="612"/>
      <c r="AE315" s="612"/>
      <c r="AF315" s="612"/>
      <c r="AG315" s="612"/>
      <c r="AH315" s="619">
        <f>SUM(Table1[[#This Row],[التقييد  باللوائح و تنفيذالتوجيه]:[اتباع اجراءات السلامه]])</f>
        <v>0</v>
      </c>
      <c r="AI315" s="619">
        <f>Table1[[#This Row],[المجموع]]+Table1[[#This Row],[المجموع2]]</f>
        <v>0</v>
      </c>
      <c r="AJ315" s="612"/>
      <c r="AK315" s="612"/>
      <c r="AL315" s="612"/>
      <c r="AM315" s="612"/>
      <c r="AN315" s="612"/>
      <c r="AO315" s="606">
        <f>Table1[[#This Row],[المجموع 1+2]]*$AO$2</f>
        <v>0</v>
      </c>
      <c r="AP315" s="648">
        <f>Table1[[#This Row],[راتب ديسمبر 2019]]*Table1[[#This Row],[نسبه التقييم الرئيسي 2018]]%</f>
        <v>0</v>
      </c>
      <c r="AQ315" s="627">
        <f>Table1[[#This Row],[مبلغ التقييم النسبي 2018]]+Table1[[#This Row],[راتب ديسمبر 2019]]</f>
        <v>10000</v>
      </c>
      <c r="AR315" s="10" t="e">
        <f>IF(Table1[[#This Row],[Column3]]&lt;0,0,Table1[[#This Row],[Column3]])</f>
        <v>#N/A</v>
      </c>
      <c r="AS315" s="599" t="e">
        <f>VLOOKUP(Table1[[#This Row],[درجه التوسيط]],Table10[],3,)</f>
        <v>#N/A</v>
      </c>
      <c r="AT315" s="608" t="e">
        <f>Table1[[#This Row],[الراتب 2018+النسبه]]+Table1[[#This Row],[فروقات الحد الادني]]</f>
        <v>#N/A</v>
      </c>
      <c r="AU315" s="629" t="e">
        <f>Table1[[#This Row],[الراتب 2018 + النسبه + الفرق]]-Table1[[#This Row],[راتب ديسمبر 2019]]</f>
        <v>#N/A</v>
      </c>
      <c r="AV315" s="628" t="e">
        <f>Table1[[#This Row],[الزياده]]/Table1[[#This Row],[راتب ديسمبر 2019]]%</f>
        <v>#N/A</v>
      </c>
      <c r="AW315" s="659" t="e">
        <f>IF(Table1[[#This Row],[Column4]]&lt;0,0,Table1[[#This Row],[Column4]])</f>
        <v>#N/A</v>
      </c>
      <c r="AX315" s="611" t="e">
        <f>Table1[[#This Row],[الجبر حتي]]-Table1[[#This Row],[رن]]</f>
        <v>#N/A</v>
      </c>
      <c r="AY315" s="611" t="e">
        <f>Table1[[#This Row],[الزياده]]+Table1[[#This Row],[التعديل]]+Table1[[#This Row],[جبر الرقم]]</f>
        <v>#N/A</v>
      </c>
      <c r="AZ315" s="611" t="e">
        <f>Table1[[#This Row],[الراتب 2018 + النسبه + الفرق]]+Table1[[#This Row],[جبر الرقم]]+Table1[[#This Row],[التعديل]]</f>
        <v>#N/A</v>
      </c>
      <c r="BA315" s="631" t="e">
        <f>Table1[[#This Row],[الزياده النهائيه]]/Table1[[#This Row],[راتب ديسمبر 2019]]%</f>
        <v>#N/A</v>
      </c>
      <c r="BB315" s="612">
        <f>VLOOKUP(Table1[[#This Row],[الرقم الوظيفي]],Table6[],8,)</f>
        <v>10000</v>
      </c>
      <c r="BC315" s="7"/>
      <c r="BD315" s="7" t="e">
        <v>#N/A</v>
      </c>
      <c r="BE315" s="7" t="e">
        <v>#N/A</v>
      </c>
      <c r="BF315" s="5" t="e">
        <f>Table1[[#This Row],[الحد الادني]]-Table1[[#This Row],[الراتب 2018+النسبه]]</f>
        <v>#N/A</v>
      </c>
      <c r="BG315" s="5" t="e">
        <f>Table1[[#This Row],[التعديل حتي]]-Table1[[#This Row],[kkk]]</f>
        <v>#N/A</v>
      </c>
      <c r="BH315" s="5" t="e">
        <v>#N/A</v>
      </c>
      <c r="BI315" s="5"/>
    </row>
    <row r="316" spans="1:61" ht="18.75" customHeight="1">
      <c r="A316" s="602" t="s">
        <v>897</v>
      </c>
      <c r="B316" s="618" t="e">
        <f>VLOOKUP(Table1[[#This Row],[الرقم الوظيفي]],[1]Sheet2!$1:$1048576,2,)</f>
        <v>#N/A</v>
      </c>
      <c r="C316" s="599" t="e">
        <f>VLOOKUP(Table1[[#This Row],[الرقم الوظيفي]],[1]Sheet2!$1:$1048576,7,)</f>
        <v>#N/A</v>
      </c>
      <c r="D316" s="599" t="e">
        <f>VLOOKUP(Table1[[#This Row],[الرقم الوظيفي]],[1]Sheet2!$1:$1048576,8,)</f>
        <v>#N/A</v>
      </c>
      <c r="E316" s="599" t="e">
        <f>VLOOKUP(Table1[[#This Row],[الرقم الوظيفي]],[1]Sheet2!$1:$1048576,9,)</f>
        <v>#N/A</v>
      </c>
      <c r="F316" s="599" t="e">
        <f>VLOOKUP(Table1[[#This Row],[الرقم الوظيفي]],[1]Sheet2!$1:$1048576,12,)</f>
        <v>#N/A</v>
      </c>
      <c r="G316" s="599" t="e">
        <f>VLOOKUP(Table1[[#This Row],[الرقم الوظيفي]],[1]Sheet2!$1:$1048576,72,)</f>
        <v>#N/A</v>
      </c>
      <c r="H316" s="599" t="e">
        <f>VLOOKUP(Table1[[#This Row],[الرقم الوظيفي]],[1]Sheet2!$1:$1048576,71,)</f>
        <v>#N/A</v>
      </c>
      <c r="I316" s="599" t="e">
        <f>VLOOKUP(Table1[[#This Row],[المؤهل الرئيسي]],Table4[],3,)</f>
        <v>#N/A</v>
      </c>
      <c r="J316" s="599"/>
      <c r="K316" s="615" t="e">
        <f>VLOOKUP(Table1[[#This Row],[الرقم الوظيفي]],[1]Sheet2!$1:$1048576,13,)</f>
        <v>#N/A</v>
      </c>
      <c r="L316" s="615">
        <v>43830</v>
      </c>
      <c r="M316" s="599" t="e">
        <f>DATEDIF(Table1[[#This Row],[تاريخ التعيين]],Table1[[#This Row],[اخر العام]],"y")</f>
        <v>#N/A</v>
      </c>
      <c r="N316" s="599" t="e">
        <f>DATEDIF(Table1[[#This Row],[تاريخ التعيين]],Table1[[#This Row],[اخر العام]],"ym")</f>
        <v>#N/A</v>
      </c>
      <c r="O316" s="610" t="e">
        <f>Table1[[#This Row],[سنوات الخدمه]]*1+Table1[[#This Row],[الشهور اقل من سنه]]*0.08</f>
        <v>#N/A</v>
      </c>
      <c r="P316" s="610">
        <f>VLOOKUP(Table1[[#This Row],[الرقم الوظيفي]],Table6[],8,)</f>
        <v>12000</v>
      </c>
      <c r="Q316" s="620" t="e">
        <f>Table1[[#This Row],[راتب ديسمبر 2019]]*Table1[[#This Row],[نسبه سنين الخدمه]]%</f>
        <v>#N/A</v>
      </c>
      <c r="R316" s="612"/>
      <c r="S316" s="599"/>
      <c r="T316" s="612"/>
      <c r="U316" s="612"/>
      <c r="V316" s="612"/>
      <c r="W316" s="612"/>
      <c r="X316" s="612"/>
      <c r="Y316" s="612"/>
      <c r="Z316" s="612"/>
      <c r="AA31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6" s="612"/>
      <c r="AC316" s="599"/>
      <c r="AD316" s="612"/>
      <c r="AE316" s="612"/>
      <c r="AF316" s="612"/>
      <c r="AG316" s="612"/>
      <c r="AH316" s="619">
        <f>SUM(Table1[[#This Row],[التقييد  باللوائح و تنفيذالتوجيه]:[اتباع اجراءات السلامه]])</f>
        <v>0</v>
      </c>
      <c r="AI316" s="619">
        <f>Table1[[#This Row],[المجموع]]+Table1[[#This Row],[المجموع2]]</f>
        <v>0</v>
      </c>
      <c r="AJ316" s="612"/>
      <c r="AK316" s="612"/>
      <c r="AL316" s="612"/>
      <c r="AM316" s="612"/>
      <c r="AN316" s="612"/>
      <c r="AO316" s="606">
        <f>Table1[[#This Row],[المجموع 1+2]]*$AO$2</f>
        <v>0</v>
      </c>
      <c r="AP316" s="648">
        <f>Table1[[#This Row],[راتب ديسمبر 2019]]*Table1[[#This Row],[نسبه التقييم الرئيسي 2018]]%</f>
        <v>0</v>
      </c>
      <c r="AQ316" s="627">
        <f>Table1[[#This Row],[مبلغ التقييم النسبي 2018]]+Table1[[#This Row],[راتب ديسمبر 2019]]</f>
        <v>12000</v>
      </c>
      <c r="AR316" s="10" t="e">
        <f>IF(Table1[[#This Row],[Column3]]&lt;0,0,Table1[[#This Row],[Column3]])</f>
        <v>#N/A</v>
      </c>
      <c r="AS316" s="599" t="e">
        <f>VLOOKUP(Table1[[#This Row],[درجه التوسيط]],Table10[],3,)</f>
        <v>#N/A</v>
      </c>
      <c r="AT316" s="608" t="e">
        <f>Table1[[#This Row],[الراتب 2018+النسبه]]+Table1[[#This Row],[فروقات الحد الادني]]</f>
        <v>#N/A</v>
      </c>
      <c r="AU316" s="629" t="e">
        <f>Table1[[#This Row],[الراتب 2018 + النسبه + الفرق]]-Table1[[#This Row],[راتب ديسمبر 2019]]</f>
        <v>#N/A</v>
      </c>
      <c r="AV316" s="628" t="e">
        <f>Table1[[#This Row],[الزياده]]/Table1[[#This Row],[راتب ديسمبر 2019]]%</f>
        <v>#N/A</v>
      </c>
      <c r="AW316" s="659" t="e">
        <f>IF(Table1[[#This Row],[Column4]]&lt;0,0,Table1[[#This Row],[Column4]])</f>
        <v>#N/A</v>
      </c>
      <c r="AX316" s="611" t="e">
        <f>Table1[[#This Row],[الجبر حتي]]-Table1[[#This Row],[رن]]</f>
        <v>#N/A</v>
      </c>
      <c r="AY316" s="611" t="e">
        <f>Table1[[#This Row],[الزياده]]+Table1[[#This Row],[التعديل]]+Table1[[#This Row],[جبر الرقم]]</f>
        <v>#N/A</v>
      </c>
      <c r="AZ316" s="611" t="e">
        <f>Table1[[#This Row],[الراتب 2018 + النسبه + الفرق]]+Table1[[#This Row],[جبر الرقم]]+Table1[[#This Row],[التعديل]]</f>
        <v>#N/A</v>
      </c>
      <c r="BA316" s="631" t="e">
        <f>Table1[[#This Row],[الزياده النهائيه]]/Table1[[#This Row],[راتب ديسمبر 2019]]%</f>
        <v>#N/A</v>
      </c>
      <c r="BB316" s="612">
        <f>VLOOKUP(Table1[[#This Row],[الرقم الوظيفي]],Table6[],8,)</f>
        <v>12000</v>
      </c>
      <c r="BC316" s="7"/>
      <c r="BD316" s="7" t="e">
        <v>#N/A</v>
      </c>
      <c r="BE316" s="7" t="e">
        <v>#N/A</v>
      </c>
      <c r="BF316" s="5" t="e">
        <f>Table1[[#This Row],[الحد الادني]]-Table1[[#This Row],[الراتب 2018+النسبه]]</f>
        <v>#N/A</v>
      </c>
      <c r="BG316" s="5" t="e">
        <f>Table1[[#This Row],[التعديل حتي]]-Table1[[#This Row],[kkk]]</f>
        <v>#N/A</v>
      </c>
      <c r="BH316" s="5" t="e">
        <v>#N/A</v>
      </c>
      <c r="BI316" s="5"/>
    </row>
    <row r="317" spans="1:61" ht="18.75" customHeight="1">
      <c r="A317" s="602" t="s">
        <v>898</v>
      </c>
      <c r="B317" s="618" t="e">
        <f>VLOOKUP(Table1[[#This Row],[الرقم الوظيفي]],[1]Sheet2!$1:$1048576,2,)</f>
        <v>#N/A</v>
      </c>
      <c r="C317" s="599" t="e">
        <f>VLOOKUP(Table1[[#This Row],[الرقم الوظيفي]],[1]Sheet2!$1:$1048576,7,)</f>
        <v>#N/A</v>
      </c>
      <c r="D317" s="599" t="e">
        <f>VLOOKUP(Table1[[#This Row],[الرقم الوظيفي]],[1]Sheet2!$1:$1048576,8,)</f>
        <v>#N/A</v>
      </c>
      <c r="E317" s="599" t="e">
        <f>VLOOKUP(Table1[[#This Row],[الرقم الوظيفي]],[1]Sheet2!$1:$1048576,9,)</f>
        <v>#N/A</v>
      </c>
      <c r="F317" s="599" t="e">
        <f>VLOOKUP(Table1[[#This Row],[الرقم الوظيفي]],[1]Sheet2!$1:$1048576,12,)</f>
        <v>#N/A</v>
      </c>
      <c r="G317" s="599" t="e">
        <f>VLOOKUP(Table1[[#This Row],[الرقم الوظيفي]],[1]Sheet2!$1:$1048576,72,)</f>
        <v>#N/A</v>
      </c>
      <c r="H317" s="599" t="e">
        <f>VLOOKUP(Table1[[#This Row],[الرقم الوظيفي]],[1]Sheet2!$1:$1048576,71,)</f>
        <v>#N/A</v>
      </c>
      <c r="I317" s="599" t="e">
        <f>VLOOKUP(Table1[[#This Row],[المؤهل الرئيسي]],Table4[],3,)</f>
        <v>#N/A</v>
      </c>
      <c r="J317" s="599"/>
      <c r="K317" s="615" t="e">
        <f>VLOOKUP(Table1[[#This Row],[الرقم الوظيفي]],[1]Sheet2!$1:$1048576,13,)</f>
        <v>#N/A</v>
      </c>
      <c r="L317" s="615">
        <v>43830</v>
      </c>
      <c r="M317" s="599" t="e">
        <f>DATEDIF(Table1[[#This Row],[تاريخ التعيين]],Table1[[#This Row],[اخر العام]],"y")</f>
        <v>#N/A</v>
      </c>
      <c r="N317" s="599" t="e">
        <f>DATEDIF(Table1[[#This Row],[تاريخ التعيين]],Table1[[#This Row],[اخر العام]],"ym")</f>
        <v>#N/A</v>
      </c>
      <c r="O317" s="610" t="e">
        <f>Table1[[#This Row],[سنوات الخدمه]]*1+Table1[[#This Row],[الشهور اقل من سنه]]*0.08</f>
        <v>#N/A</v>
      </c>
      <c r="P317" s="610">
        <f>VLOOKUP(Table1[[#This Row],[الرقم الوظيفي]],Table6[],8,)</f>
        <v>7000</v>
      </c>
      <c r="Q317" s="620" t="e">
        <f>Table1[[#This Row],[راتب ديسمبر 2019]]*Table1[[#This Row],[نسبه سنين الخدمه]]%</f>
        <v>#N/A</v>
      </c>
      <c r="R317" s="612"/>
      <c r="S317" s="599"/>
      <c r="T317" s="612"/>
      <c r="U317" s="612"/>
      <c r="V317" s="612"/>
      <c r="W317" s="612"/>
      <c r="X317" s="612"/>
      <c r="Y317" s="612"/>
      <c r="Z317" s="612"/>
      <c r="AA31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7" s="612"/>
      <c r="AC317" s="599"/>
      <c r="AD317" s="612"/>
      <c r="AE317" s="612"/>
      <c r="AF317" s="612"/>
      <c r="AG317" s="612"/>
      <c r="AH317" s="619">
        <f>SUM(Table1[[#This Row],[التقييد  باللوائح و تنفيذالتوجيه]:[اتباع اجراءات السلامه]])</f>
        <v>0</v>
      </c>
      <c r="AI317" s="619">
        <f>Table1[[#This Row],[المجموع]]+Table1[[#This Row],[المجموع2]]</f>
        <v>0</v>
      </c>
      <c r="AJ317" s="612"/>
      <c r="AK317" s="612"/>
      <c r="AL317" s="612"/>
      <c r="AM317" s="612"/>
      <c r="AN317" s="612"/>
      <c r="AO317" s="606">
        <f>Table1[[#This Row],[المجموع 1+2]]*$AO$2</f>
        <v>0</v>
      </c>
      <c r="AP317" s="648">
        <f>Table1[[#This Row],[راتب ديسمبر 2019]]*Table1[[#This Row],[نسبه التقييم الرئيسي 2018]]%</f>
        <v>0</v>
      </c>
      <c r="AQ317" s="627">
        <f>Table1[[#This Row],[مبلغ التقييم النسبي 2018]]+Table1[[#This Row],[راتب ديسمبر 2019]]</f>
        <v>7000</v>
      </c>
      <c r="AR317" s="10" t="e">
        <f>IF(Table1[[#This Row],[Column3]]&lt;0,0,Table1[[#This Row],[Column3]])</f>
        <v>#N/A</v>
      </c>
      <c r="AS317" s="599" t="e">
        <f>VLOOKUP(Table1[[#This Row],[درجه التوسيط]],Table10[],3,)</f>
        <v>#N/A</v>
      </c>
      <c r="AT317" s="608" t="e">
        <f>Table1[[#This Row],[الراتب 2018+النسبه]]+Table1[[#This Row],[فروقات الحد الادني]]</f>
        <v>#N/A</v>
      </c>
      <c r="AU317" s="629" t="e">
        <f>Table1[[#This Row],[الراتب 2018 + النسبه + الفرق]]-Table1[[#This Row],[راتب ديسمبر 2019]]</f>
        <v>#N/A</v>
      </c>
      <c r="AV317" s="628" t="e">
        <f>Table1[[#This Row],[الزياده]]/Table1[[#This Row],[راتب ديسمبر 2019]]%</f>
        <v>#N/A</v>
      </c>
      <c r="AW317" s="659" t="e">
        <f>IF(Table1[[#This Row],[Column4]]&lt;0,0,Table1[[#This Row],[Column4]])</f>
        <v>#N/A</v>
      </c>
      <c r="AX317" s="611" t="e">
        <f>Table1[[#This Row],[الجبر حتي]]-Table1[[#This Row],[رن]]</f>
        <v>#N/A</v>
      </c>
      <c r="AY317" s="611" t="e">
        <f>Table1[[#This Row],[الزياده]]+Table1[[#This Row],[التعديل]]+Table1[[#This Row],[جبر الرقم]]</f>
        <v>#N/A</v>
      </c>
      <c r="AZ317" s="611" t="e">
        <f>Table1[[#This Row],[الراتب 2018 + النسبه + الفرق]]+Table1[[#This Row],[جبر الرقم]]+Table1[[#This Row],[التعديل]]</f>
        <v>#N/A</v>
      </c>
      <c r="BA317" s="631" t="e">
        <f>Table1[[#This Row],[الزياده النهائيه]]/Table1[[#This Row],[راتب ديسمبر 2019]]%</f>
        <v>#N/A</v>
      </c>
      <c r="BB317" s="612">
        <f>VLOOKUP(Table1[[#This Row],[الرقم الوظيفي]],Table6[],8,)</f>
        <v>7000</v>
      </c>
      <c r="BC317" s="7"/>
      <c r="BD317" s="7" t="e">
        <v>#N/A</v>
      </c>
      <c r="BE317" s="7" t="e">
        <v>#N/A</v>
      </c>
      <c r="BF317" s="5" t="e">
        <f>Table1[[#This Row],[الحد الادني]]-Table1[[#This Row],[الراتب 2018+النسبه]]</f>
        <v>#N/A</v>
      </c>
      <c r="BG317" s="5" t="e">
        <f>Table1[[#This Row],[التعديل حتي]]-Table1[[#This Row],[kkk]]</f>
        <v>#N/A</v>
      </c>
      <c r="BH317" s="5" t="e">
        <v>#N/A</v>
      </c>
      <c r="BI317" s="5"/>
    </row>
    <row r="318" spans="1:61" ht="18.75" customHeight="1">
      <c r="A318" s="602" t="s">
        <v>899</v>
      </c>
      <c r="B318" s="618" t="e">
        <f>VLOOKUP(Table1[[#This Row],[الرقم الوظيفي]],[1]Sheet2!$1:$1048576,2,)</f>
        <v>#N/A</v>
      </c>
      <c r="C318" s="599" t="e">
        <f>VLOOKUP(Table1[[#This Row],[الرقم الوظيفي]],[1]Sheet2!$1:$1048576,7,)</f>
        <v>#N/A</v>
      </c>
      <c r="D318" s="599" t="e">
        <f>VLOOKUP(Table1[[#This Row],[الرقم الوظيفي]],[1]Sheet2!$1:$1048576,8,)</f>
        <v>#N/A</v>
      </c>
      <c r="E318" s="599" t="e">
        <f>VLOOKUP(Table1[[#This Row],[الرقم الوظيفي]],[1]Sheet2!$1:$1048576,9,)</f>
        <v>#N/A</v>
      </c>
      <c r="F318" s="599" t="e">
        <f>VLOOKUP(Table1[[#This Row],[الرقم الوظيفي]],[1]Sheet2!$1:$1048576,12,)</f>
        <v>#N/A</v>
      </c>
      <c r="G318" s="599" t="e">
        <f>VLOOKUP(Table1[[#This Row],[الرقم الوظيفي]],[1]Sheet2!$1:$1048576,72,)</f>
        <v>#N/A</v>
      </c>
      <c r="H318" s="599" t="e">
        <f>VLOOKUP(Table1[[#This Row],[الرقم الوظيفي]],[1]Sheet2!$1:$1048576,71,)</f>
        <v>#N/A</v>
      </c>
      <c r="I318" s="599" t="e">
        <f>VLOOKUP(Table1[[#This Row],[المؤهل الرئيسي]],Table4[],3,)</f>
        <v>#N/A</v>
      </c>
      <c r="J318" s="599"/>
      <c r="K318" s="615" t="e">
        <f>VLOOKUP(Table1[[#This Row],[الرقم الوظيفي]],[1]Sheet2!$1:$1048576,13,)</f>
        <v>#N/A</v>
      </c>
      <c r="L318" s="615">
        <v>43830</v>
      </c>
      <c r="M318" s="599" t="e">
        <f>DATEDIF(Table1[[#This Row],[تاريخ التعيين]],Table1[[#This Row],[اخر العام]],"y")</f>
        <v>#N/A</v>
      </c>
      <c r="N318" s="599" t="e">
        <f>DATEDIF(Table1[[#This Row],[تاريخ التعيين]],Table1[[#This Row],[اخر العام]],"ym")</f>
        <v>#N/A</v>
      </c>
      <c r="O318" s="610" t="e">
        <f>Table1[[#This Row],[سنوات الخدمه]]*1+Table1[[#This Row],[الشهور اقل من سنه]]*0.08</f>
        <v>#N/A</v>
      </c>
      <c r="P318" s="610">
        <f>VLOOKUP(Table1[[#This Row],[الرقم الوظيفي]],Table6[],8,)</f>
        <v>9000</v>
      </c>
      <c r="Q318" s="620" t="e">
        <f>Table1[[#This Row],[راتب ديسمبر 2019]]*Table1[[#This Row],[نسبه سنين الخدمه]]%</f>
        <v>#N/A</v>
      </c>
      <c r="R318" s="612"/>
      <c r="S318" s="599"/>
      <c r="T318" s="612"/>
      <c r="U318" s="612"/>
      <c r="V318" s="612"/>
      <c r="W318" s="612"/>
      <c r="X318" s="612"/>
      <c r="Y318" s="612"/>
      <c r="Z318" s="612"/>
      <c r="AA31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8" s="612"/>
      <c r="AC318" s="599"/>
      <c r="AD318" s="612"/>
      <c r="AE318" s="612"/>
      <c r="AF318" s="612"/>
      <c r="AG318" s="612"/>
      <c r="AH318" s="619">
        <f>SUM(Table1[[#This Row],[التقييد  باللوائح و تنفيذالتوجيه]:[اتباع اجراءات السلامه]])</f>
        <v>0</v>
      </c>
      <c r="AI318" s="619">
        <f>Table1[[#This Row],[المجموع]]+Table1[[#This Row],[المجموع2]]</f>
        <v>0</v>
      </c>
      <c r="AJ318" s="612"/>
      <c r="AK318" s="612"/>
      <c r="AL318" s="612"/>
      <c r="AM318" s="612"/>
      <c r="AN318" s="612"/>
      <c r="AO318" s="606">
        <f>Table1[[#This Row],[المجموع 1+2]]*$AO$2</f>
        <v>0</v>
      </c>
      <c r="AP318" s="648">
        <f>Table1[[#This Row],[راتب ديسمبر 2019]]*Table1[[#This Row],[نسبه التقييم الرئيسي 2018]]%</f>
        <v>0</v>
      </c>
      <c r="AQ318" s="627">
        <f>Table1[[#This Row],[مبلغ التقييم النسبي 2018]]+Table1[[#This Row],[راتب ديسمبر 2019]]</f>
        <v>9000</v>
      </c>
      <c r="AR318" s="10" t="e">
        <f>IF(Table1[[#This Row],[Column3]]&lt;0,0,Table1[[#This Row],[Column3]])</f>
        <v>#N/A</v>
      </c>
      <c r="AS318" s="599" t="e">
        <f>VLOOKUP(Table1[[#This Row],[درجه التوسيط]],Table10[],3,)</f>
        <v>#N/A</v>
      </c>
      <c r="AT318" s="608" t="e">
        <f>Table1[[#This Row],[الراتب 2018+النسبه]]+Table1[[#This Row],[فروقات الحد الادني]]</f>
        <v>#N/A</v>
      </c>
      <c r="AU318" s="629" t="e">
        <f>Table1[[#This Row],[الراتب 2018 + النسبه + الفرق]]-Table1[[#This Row],[راتب ديسمبر 2019]]</f>
        <v>#N/A</v>
      </c>
      <c r="AV318" s="628" t="e">
        <f>Table1[[#This Row],[الزياده]]/Table1[[#This Row],[راتب ديسمبر 2019]]%</f>
        <v>#N/A</v>
      </c>
      <c r="AW318" s="659" t="e">
        <f>IF(Table1[[#This Row],[Column4]]&lt;0,0,Table1[[#This Row],[Column4]])</f>
        <v>#N/A</v>
      </c>
      <c r="AX318" s="611" t="e">
        <f>Table1[[#This Row],[الجبر حتي]]-Table1[[#This Row],[رن]]</f>
        <v>#N/A</v>
      </c>
      <c r="AY318" s="611" t="e">
        <f>Table1[[#This Row],[الزياده]]+Table1[[#This Row],[التعديل]]+Table1[[#This Row],[جبر الرقم]]</f>
        <v>#N/A</v>
      </c>
      <c r="AZ318" s="611" t="e">
        <f>Table1[[#This Row],[الراتب 2018 + النسبه + الفرق]]+Table1[[#This Row],[جبر الرقم]]+Table1[[#This Row],[التعديل]]</f>
        <v>#N/A</v>
      </c>
      <c r="BA318" s="631" t="e">
        <f>Table1[[#This Row],[الزياده النهائيه]]/Table1[[#This Row],[راتب ديسمبر 2019]]%</f>
        <v>#N/A</v>
      </c>
      <c r="BB318" s="612">
        <f>VLOOKUP(Table1[[#This Row],[الرقم الوظيفي]],Table6[],8,)</f>
        <v>9000</v>
      </c>
      <c r="BC318" s="7"/>
      <c r="BD318" s="7" t="e">
        <v>#N/A</v>
      </c>
      <c r="BE318" s="7" t="e">
        <v>#N/A</v>
      </c>
      <c r="BF318" s="5" t="e">
        <f>Table1[[#This Row],[الحد الادني]]-Table1[[#This Row],[الراتب 2018+النسبه]]</f>
        <v>#N/A</v>
      </c>
      <c r="BG318" s="5" t="e">
        <f>Table1[[#This Row],[التعديل حتي]]-Table1[[#This Row],[kkk]]</f>
        <v>#N/A</v>
      </c>
      <c r="BH318" s="5" t="e">
        <v>#N/A</v>
      </c>
      <c r="BI318" s="5"/>
    </row>
    <row r="319" spans="1:61" ht="18.75" customHeight="1">
      <c r="A319" s="602" t="s">
        <v>900</v>
      </c>
      <c r="B319" s="618" t="e">
        <f>VLOOKUP(Table1[[#This Row],[الرقم الوظيفي]],[1]Sheet2!$1:$1048576,2,)</f>
        <v>#N/A</v>
      </c>
      <c r="C319" s="599" t="e">
        <f>VLOOKUP(Table1[[#This Row],[الرقم الوظيفي]],[1]Sheet2!$1:$1048576,7,)</f>
        <v>#N/A</v>
      </c>
      <c r="D319" s="599" t="e">
        <f>VLOOKUP(Table1[[#This Row],[الرقم الوظيفي]],[1]Sheet2!$1:$1048576,8,)</f>
        <v>#N/A</v>
      </c>
      <c r="E319" s="599" t="e">
        <f>VLOOKUP(Table1[[#This Row],[الرقم الوظيفي]],[1]Sheet2!$1:$1048576,9,)</f>
        <v>#N/A</v>
      </c>
      <c r="F319" s="599" t="e">
        <f>VLOOKUP(Table1[[#This Row],[الرقم الوظيفي]],[1]Sheet2!$1:$1048576,12,)</f>
        <v>#N/A</v>
      </c>
      <c r="G319" s="599" t="e">
        <f>VLOOKUP(Table1[[#This Row],[الرقم الوظيفي]],[1]Sheet2!$1:$1048576,72,)</f>
        <v>#N/A</v>
      </c>
      <c r="H319" s="599" t="e">
        <f>VLOOKUP(Table1[[#This Row],[الرقم الوظيفي]],[1]Sheet2!$1:$1048576,71,)</f>
        <v>#N/A</v>
      </c>
      <c r="I319" s="599" t="e">
        <f>VLOOKUP(Table1[[#This Row],[المؤهل الرئيسي]],Table4[],3,)</f>
        <v>#N/A</v>
      </c>
      <c r="J319" s="599"/>
      <c r="K319" s="615" t="e">
        <f>VLOOKUP(Table1[[#This Row],[الرقم الوظيفي]],[1]Sheet2!$1:$1048576,13,)</f>
        <v>#N/A</v>
      </c>
      <c r="L319" s="615">
        <v>43830</v>
      </c>
      <c r="M319" s="599" t="e">
        <f>DATEDIF(Table1[[#This Row],[تاريخ التعيين]],Table1[[#This Row],[اخر العام]],"y")</f>
        <v>#N/A</v>
      </c>
      <c r="N319" s="599" t="e">
        <f>DATEDIF(Table1[[#This Row],[تاريخ التعيين]],Table1[[#This Row],[اخر العام]],"ym")</f>
        <v>#N/A</v>
      </c>
      <c r="O319" s="610" t="e">
        <f>Table1[[#This Row],[سنوات الخدمه]]*1+Table1[[#This Row],[الشهور اقل من سنه]]*0.08</f>
        <v>#N/A</v>
      </c>
      <c r="P319" s="610">
        <f>VLOOKUP(Table1[[#This Row],[الرقم الوظيفي]],Table6[],8,)</f>
        <v>5500</v>
      </c>
      <c r="Q319" s="620" t="e">
        <f>Table1[[#This Row],[راتب ديسمبر 2019]]*Table1[[#This Row],[نسبه سنين الخدمه]]%</f>
        <v>#N/A</v>
      </c>
      <c r="R319" s="612"/>
      <c r="S319" s="599"/>
      <c r="T319" s="612"/>
      <c r="U319" s="612"/>
      <c r="V319" s="612"/>
      <c r="W319" s="612"/>
      <c r="X319" s="612"/>
      <c r="Y319" s="612"/>
      <c r="Z319" s="612"/>
      <c r="AA31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19" s="612"/>
      <c r="AC319" s="599"/>
      <c r="AD319" s="612"/>
      <c r="AE319" s="612"/>
      <c r="AF319" s="612"/>
      <c r="AG319" s="612"/>
      <c r="AH319" s="619">
        <f>SUM(Table1[[#This Row],[التقييد  باللوائح و تنفيذالتوجيه]:[اتباع اجراءات السلامه]])</f>
        <v>0</v>
      </c>
      <c r="AI319" s="619">
        <f>Table1[[#This Row],[المجموع]]+Table1[[#This Row],[المجموع2]]</f>
        <v>0</v>
      </c>
      <c r="AJ319" s="612"/>
      <c r="AK319" s="612"/>
      <c r="AL319" s="612"/>
      <c r="AM319" s="612"/>
      <c r="AN319" s="612"/>
      <c r="AO319" s="606">
        <f>Table1[[#This Row],[المجموع 1+2]]*$AO$2</f>
        <v>0</v>
      </c>
      <c r="AP319" s="648">
        <f>Table1[[#This Row],[راتب ديسمبر 2019]]*Table1[[#This Row],[نسبه التقييم الرئيسي 2018]]%</f>
        <v>0</v>
      </c>
      <c r="AQ319" s="627">
        <f>Table1[[#This Row],[مبلغ التقييم النسبي 2018]]+Table1[[#This Row],[راتب ديسمبر 2019]]</f>
        <v>5500</v>
      </c>
      <c r="AR319" s="10" t="e">
        <f>IF(Table1[[#This Row],[Column3]]&lt;0,0,Table1[[#This Row],[Column3]])</f>
        <v>#N/A</v>
      </c>
      <c r="AS319" s="599" t="e">
        <f>VLOOKUP(Table1[[#This Row],[درجه التوسيط]],Table10[],3,)</f>
        <v>#N/A</v>
      </c>
      <c r="AT319" s="608" t="e">
        <f>Table1[[#This Row],[الراتب 2018+النسبه]]+Table1[[#This Row],[فروقات الحد الادني]]</f>
        <v>#N/A</v>
      </c>
      <c r="AU319" s="629" t="e">
        <f>Table1[[#This Row],[الراتب 2018 + النسبه + الفرق]]-Table1[[#This Row],[راتب ديسمبر 2019]]</f>
        <v>#N/A</v>
      </c>
      <c r="AV319" s="628" t="e">
        <f>Table1[[#This Row],[الزياده]]/Table1[[#This Row],[راتب ديسمبر 2019]]%</f>
        <v>#N/A</v>
      </c>
      <c r="AW319" s="659" t="e">
        <f>IF(Table1[[#This Row],[Column4]]&lt;0,0,Table1[[#This Row],[Column4]])</f>
        <v>#N/A</v>
      </c>
      <c r="AX319" s="611" t="e">
        <f>Table1[[#This Row],[الجبر حتي]]-Table1[[#This Row],[رن]]</f>
        <v>#N/A</v>
      </c>
      <c r="AY319" s="611" t="e">
        <f>Table1[[#This Row],[الزياده]]+Table1[[#This Row],[التعديل]]+Table1[[#This Row],[جبر الرقم]]</f>
        <v>#N/A</v>
      </c>
      <c r="AZ319" s="611" t="e">
        <f>Table1[[#This Row],[الراتب 2018 + النسبه + الفرق]]+Table1[[#This Row],[جبر الرقم]]+Table1[[#This Row],[التعديل]]</f>
        <v>#N/A</v>
      </c>
      <c r="BA319" s="631" t="e">
        <f>Table1[[#This Row],[الزياده النهائيه]]/Table1[[#This Row],[راتب ديسمبر 2019]]%</f>
        <v>#N/A</v>
      </c>
      <c r="BB319" s="612">
        <f>VLOOKUP(Table1[[#This Row],[الرقم الوظيفي]],Table6[],8,)</f>
        <v>5500</v>
      </c>
      <c r="BC319" s="7"/>
      <c r="BD319" s="7" t="e">
        <v>#N/A</v>
      </c>
      <c r="BE319" s="7" t="e">
        <v>#N/A</v>
      </c>
      <c r="BF319" s="5" t="e">
        <f>Table1[[#This Row],[الحد الادني]]-Table1[[#This Row],[الراتب 2018+النسبه]]</f>
        <v>#N/A</v>
      </c>
      <c r="BG319" s="5" t="e">
        <f>Table1[[#This Row],[التعديل حتي]]-Table1[[#This Row],[kkk]]</f>
        <v>#N/A</v>
      </c>
      <c r="BH319" s="5" t="e">
        <v>#N/A</v>
      </c>
      <c r="BI319" s="5"/>
    </row>
    <row r="320" spans="1:61" ht="18.75" customHeight="1">
      <c r="A320" s="604" t="s">
        <v>901</v>
      </c>
      <c r="B320" s="618" t="e">
        <f>VLOOKUP(Table1[[#This Row],[الرقم الوظيفي]],[1]Sheet2!$1:$1048576,2,)</f>
        <v>#N/A</v>
      </c>
      <c r="C320" s="599" t="e">
        <f>VLOOKUP(Table1[[#This Row],[الرقم الوظيفي]],[1]Sheet2!$1:$1048576,7,)</f>
        <v>#N/A</v>
      </c>
      <c r="D320" s="599" t="e">
        <f>VLOOKUP(Table1[[#This Row],[الرقم الوظيفي]],[1]Sheet2!$1:$1048576,8,)</f>
        <v>#N/A</v>
      </c>
      <c r="E320" s="599" t="e">
        <f>VLOOKUP(Table1[[#This Row],[الرقم الوظيفي]],[1]Sheet2!$1:$1048576,9,)</f>
        <v>#N/A</v>
      </c>
      <c r="F320" s="599" t="e">
        <f>VLOOKUP(Table1[[#This Row],[الرقم الوظيفي]],[1]Sheet2!$1:$1048576,12,)</f>
        <v>#N/A</v>
      </c>
      <c r="G320" s="599" t="e">
        <f>VLOOKUP(Table1[[#This Row],[الرقم الوظيفي]],[1]Sheet2!$1:$1048576,72,)</f>
        <v>#N/A</v>
      </c>
      <c r="H320" s="599" t="e">
        <f>VLOOKUP(Table1[[#This Row],[الرقم الوظيفي]],[1]Sheet2!$1:$1048576,71,)</f>
        <v>#N/A</v>
      </c>
      <c r="I320" s="599" t="e">
        <f>VLOOKUP(Table1[[#This Row],[المؤهل الرئيسي]],Table4[],3,)</f>
        <v>#N/A</v>
      </c>
      <c r="J320" s="599"/>
      <c r="K320" s="615" t="e">
        <f>VLOOKUP(Table1[[#This Row],[الرقم الوظيفي]],[1]Sheet2!$1:$1048576,13,)</f>
        <v>#N/A</v>
      </c>
      <c r="L320" s="615">
        <v>43830</v>
      </c>
      <c r="M320" s="599" t="e">
        <f>DATEDIF(Table1[[#This Row],[تاريخ التعيين]],Table1[[#This Row],[اخر العام]],"y")</f>
        <v>#N/A</v>
      </c>
      <c r="N320" s="599" t="e">
        <f>DATEDIF(Table1[[#This Row],[تاريخ التعيين]],Table1[[#This Row],[اخر العام]],"ym")</f>
        <v>#N/A</v>
      </c>
      <c r="O320" s="610" t="e">
        <f>Table1[[#This Row],[سنوات الخدمه]]*1+Table1[[#This Row],[الشهور اقل من سنه]]*0.08</f>
        <v>#N/A</v>
      </c>
      <c r="P320" s="610">
        <f>VLOOKUP(Table1[[#This Row],[الرقم الوظيفي]],Table6[],8,)</f>
        <v>4000</v>
      </c>
      <c r="Q320" s="620" t="e">
        <f>Table1[[#This Row],[راتب ديسمبر 2019]]*Table1[[#This Row],[نسبه سنين الخدمه]]%</f>
        <v>#N/A</v>
      </c>
      <c r="R320" s="612"/>
      <c r="S320" s="599"/>
      <c r="T320" s="612"/>
      <c r="U320" s="612"/>
      <c r="V320" s="612"/>
      <c r="W320" s="612"/>
      <c r="X320" s="612"/>
      <c r="Y320" s="612"/>
      <c r="Z320" s="612"/>
      <c r="AA32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0" s="612"/>
      <c r="AC320" s="599"/>
      <c r="AD320" s="612"/>
      <c r="AE320" s="612"/>
      <c r="AF320" s="612"/>
      <c r="AG320" s="612"/>
      <c r="AH320" s="619">
        <f>SUM(Table1[[#This Row],[التقييد  باللوائح و تنفيذالتوجيه]:[اتباع اجراءات السلامه]])</f>
        <v>0</v>
      </c>
      <c r="AI320" s="619">
        <f>Table1[[#This Row],[المجموع]]+Table1[[#This Row],[المجموع2]]</f>
        <v>0</v>
      </c>
      <c r="AJ320" s="612"/>
      <c r="AK320" s="612"/>
      <c r="AL320" s="612"/>
      <c r="AM320" s="612"/>
      <c r="AN320" s="612"/>
      <c r="AO320" s="606">
        <f>Table1[[#This Row],[المجموع 1+2]]*$AO$2</f>
        <v>0</v>
      </c>
      <c r="AP320" s="648">
        <f>Table1[[#This Row],[راتب ديسمبر 2019]]*Table1[[#This Row],[نسبه التقييم الرئيسي 2018]]%</f>
        <v>0</v>
      </c>
      <c r="AQ320" s="627">
        <f>Table1[[#This Row],[مبلغ التقييم النسبي 2018]]+Table1[[#This Row],[راتب ديسمبر 2019]]</f>
        <v>4000</v>
      </c>
      <c r="AR320" s="10" t="e">
        <f>IF(Table1[[#This Row],[Column3]]&lt;0,0,Table1[[#This Row],[Column3]])</f>
        <v>#N/A</v>
      </c>
      <c r="AS320" s="599" t="e">
        <f>VLOOKUP(Table1[[#This Row],[درجه التوسيط]],Table10[],3,)</f>
        <v>#N/A</v>
      </c>
      <c r="AT320" s="608" t="e">
        <f>Table1[[#This Row],[الراتب 2018+النسبه]]+Table1[[#This Row],[فروقات الحد الادني]]</f>
        <v>#N/A</v>
      </c>
      <c r="AU320" s="629" t="e">
        <f>Table1[[#This Row],[الراتب 2018 + النسبه + الفرق]]-Table1[[#This Row],[راتب ديسمبر 2019]]</f>
        <v>#N/A</v>
      </c>
      <c r="AV320" s="628" t="e">
        <f>Table1[[#This Row],[الزياده]]/Table1[[#This Row],[راتب ديسمبر 2019]]%</f>
        <v>#N/A</v>
      </c>
      <c r="AW320" s="659" t="e">
        <f>IF(Table1[[#This Row],[Column4]]&lt;0,0,Table1[[#This Row],[Column4]])</f>
        <v>#N/A</v>
      </c>
      <c r="AX320" s="611" t="e">
        <f>Table1[[#This Row],[الجبر حتي]]-Table1[[#This Row],[رن]]</f>
        <v>#N/A</v>
      </c>
      <c r="AY320" s="611" t="e">
        <f>Table1[[#This Row],[الزياده]]+Table1[[#This Row],[التعديل]]+Table1[[#This Row],[جبر الرقم]]</f>
        <v>#N/A</v>
      </c>
      <c r="AZ320" s="611" t="e">
        <f>Table1[[#This Row],[الراتب 2018 + النسبه + الفرق]]+Table1[[#This Row],[جبر الرقم]]+Table1[[#This Row],[التعديل]]</f>
        <v>#N/A</v>
      </c>
      <c r="BA320" s="631" t="e">
        <f>Table1[[#This Row],[الزياده النهائيه]]/Table1[[#This Row],[راتب ديسمبر 2019]]%</f>
        <v>#N/A</v>
      </c>
      <c r="BB320" s="612">
        <f>VLOOKUP(Table1[[#This Row],[الرقم الوظيفي]],Table6[],8,)</f>
        <v>4000</v>
      </c>
      <c r="BC320" s="7"/>
      <c r="BD320" s="7" t="e">
        <v>#N/A</v>
      </c>
      <c r="BE320" s="7" t="e">
        <v>#N/A</v>
      </c>
      <c r="BF320" s="5" t="e">
        <f>Table1[[#This Row],[الحد الادني]]-Table1[[#This Row],[الراتب 2018+النسبه]]</f>
        <v>#N/A</v>
      </c>
      <c r="BG320" s="5" t="e">
        <f>Table1[[#This Row],[التعديل حتي]]-Table1[[#This Row],[kkk]]</f>
        <v>#N/A</v>
      </c>
      <c r="BH320" s="5" t="e">
        <v>#N/A</v>
      </c>
      <c r="BI320" s="5"/>
    </row>
    <row r="321" spans="1:61" ht="18.75" customHeight="1">
      <c r="A321" s="604" t="s">
        <v>902</v>
      </c>
      <c r="B321" s="618" t="e">
        <f>VLOOKUP(Table1[[#This Row],[الرقم الوظيفي]],[1]Sheet2!$1:$1048576,2,)</f>
        <v>#N/A</v>
      </c>
      <c r="C321" s="599" t="e">
        <f>VLOOKUP(Table1[[#This Row],[الرقم الوظيفي]],[1]Sheet2!$1:$1048576,7,)</f>
        <v>#N/A</v>
      </c>
      <c r="D321" s="599" t="e">
        <f>VLOOKUP(Table1[[#This Row],[الرقم الوظيفي]],[1]Sheet2!$1:$1048576,8,)</f>
        <v>#N/A</v>
      </c>
      <c r="E321" s="599" t="e">
        <f>VLOOKUP(Table1[[#This Row],[الرقم الوظيفي]],[1]Sheet2!$1:$1048576,9,)</f>
        <v>#N/A</v>
      </c>
      <c r="F321" s="599" t="e">
        <f>VLOOKUP(Table1[[#This Row],[الرقم الوظيفي]],[1]Sheet2!$1:$1048576,12,)</f>
        <v>#N/A</v>
      </c>
      <c r="G321" s="599" t="e">
        <f>VLOOKUP(Table1[[#This Row],[الرقم الوظيفي]],[1]Sheet2!$1:$1048576,72,)</f>
        <v>#N/A</v>
      </c>
      <c r="H321" s="599" t="e">
        <f>VLOOKUP(Table1[[#This Row],[الرقم الوظيفي]],[1]Sheet2!$1:$1048576,71,)</f>
        <v>#N/A</v>
      </c>
      <c r="I321" s="599" t="e">
        <f>VLOOKUP(Table1[[#This Row],[المؤهل الرئيسي]],Table4[],3,)</f>
        <v>#N/A</v>
      </c>
      <c r="J321" s="599"/>
      <c r="K321" s="615" t="e">
        <f>VLOOKUP(Table1[[#This Row],[الرقم الوظيفي]],[1]Sheet2!$1:$1048576,13,)</f>
        <v>#N/A</v>
      </c>
      <c r="L321" s="615">
        <v>43830</v>
      </c>
      <c r="M321" s="599" t="e">
        <f>DATEDIF(Table1[[#This Row],[تاريخ التعيين]],Table1[[#This Row],[اخر العام]],"y")</f>
        <v>#N/A</v>
      </c>
      <c r="N321" s="599" t="e">
        <f>DATEDIF(Table1[[#This Row],[تاريخ التعيين]],Table1[[#This Row],[اخر العام]],"ym")</f>
        <v>#N/A</v>
      </c>
      <c r="O321" s="610" t="e">
        <f>Table1[[#This Row],[سنوات الخدمه]]*1+Table1[[#This Row],[الشهور اقل من سنه]]*0.08</f>
        <v>#N/A</v>
      </c>
      <c r="P321" s="610">
        <f>VLOOKUP(Table1[[#This Row],[الرقم الوظيفي]],Table6[],8,)</f>
        <v>7000</v>
      </c>
      <c r="Q321" s="620" t="e">
        <f>Table1[[#This Row],[راتب ديسمبر 2019]]*Table1[[#This Row],[نسبه سنين الخدمه]]%</f>
        <v>#N/A</v>
      </c>
      <c r="R321" s="612"/>
      <c r="S321" s="599"/>
      <c r="T321" s="612"/>
      <c r="U321" s="612"/>
      <c r="V321" s="612"/>
      <c r="W321" s="612"/>
      <c r="X321" s="612"/>
      <c r="Y321" s="612"/>
      <c r="Z321" s="612"/>
      <c r="AA32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1" s="612"/>
      <c r="AC321" s="599"/>
      <c r="AD321" s="612"/>
      <c r="AE321" s="612"/>
      <c r="AF321" s="612"/>
      <c r="AG321" s="612"/>
      <c r="AH321" s="619">
        <f>SUM(Table1[[#This Row],[التقييد  باللوائح و تنفيذالتوجيه]:[اتباع اجراءات السلامه]])</f>
        <v>0</v>
      </c>
      <c r="AI321" s="619">
        <f>Table1[[#This Row],[المجموع]]+Table1[[#This Row],[المجموع2]]</f>
        <v>0</v>
      </c>
      <c r="AJ321" s="612"/>
      <c r="AK321" s="612"/>
      <c r="AL321" s="612"/>
      <c r="AM321" s="612"/>
      <c r="AN321" s="612"/>
      <c r="AO321" s="606">
        <f>Table1[[#This Row],[المجموع 1+2]]*$AO$2</f>
        <v>0</v>
      </c>
      <c r="AP321" s="648">
        <f>Table1[[#This Row],[راتب ديسمبر 2019]]*Table1[[#This Row],[نسبه التقييم الرئيسي 2018]]%</f>
        <v>0</v>
      </c>
      <c r="AQ321" s="627">
        <f>Table1[[#This Row],[مبلغ التقييم النسبي 2018]]+Table1[[#This Row],[راتب ديسمبر 2019]]</f>
        <v>7000</v>
      </c>
      <c r="AR321" s="10" t="e">
        <f>IF(Table1[[#This Row],[Column3]]&lt;0,0,Table1[[#This Row],[Column3]])</f>
        <v>#N/A</v>
      </c>
      <c r="AS321" s="599" t="e">
        <f>VLOOKUP(Table1[[#This Row],[درجه التوسيط]],Table10[],3,)</f>
        <v>#N/A</v>
      </c>
      <c r="AT321" s="608" t="e">
        <f>Table1[[#This Row],[الراتب 2018+النسبه]]+Table1[[#This Row],[فروقات الحد الادني]]</f>
        <v>#N/A</v>
      </c>
      <c r="AU321" s="629" t="e">
        <f>Table1[[#This Row],[الراتب 2018 + النسبه + الفرق]]-Table1[[#This Row],[راتب ديسمبر 2019]]</f>
        <v>#N/A</v>
      </c>
      <c r="AV321" s="628" t="e">
        <f>Table1[[#This Row],[الزياده]]/Table1[[#This Row],[راتب ديسمبر 2019]]%</f>
        <v>#N/A</v>
      </c>
      <c r="AW321" s="659" t="e">
        <f>IF(Table1[[#This Row],[Column4]]&lt;0,0,Table1[[#This Row],[Column4]])</f>
        <v>#N/A</v>
      </c>
      <c r="AX321" s="611" t="e">
        <f>Table1[[#This Row],[الجبر حتي]]-Table1[[#This Row],[رن]]</f>
        <v>#N/A</v>
      </c>
      <c r="AY321" s="611" t="e">
        <f>Table1[[#This Row],[الزياده]]+Table1[[#This Row],[التعديل]]+Table1[[#This Row],[جبر الرقم]]</f>
        <v>#N/A</v>
      </c>
      <c r="AZ321" s="611" t="e">
        <f>Table1[[#This Row],[الراتب 2018 + النسبه + الفرق]]+Table1[[#This Row],[جبر الرقم]]+Table1[[#This Row],[التعديل]]</f>
        <v>#N/A</v>
      </c>
      <c r="BA321" s="631" t="e">
        <f>Table1[[#This Row],[الزياده النهائيه]]/Table1[[#This Row],[راتب ديسمبر 2019]]%</f>
        <v>#N/A</v>
      </c>
      <c r="BB321" s="612">
        <f>VLOOKUP(Table1[[#This Row],[الرقم الوظيفي]],Table6[],8,)</f>
        <v>7000</v>
      </c>
      <c r="BC321" s="7"/>
      <c r="BD321" s="7" t="e">
        <v>#N/A</v>
      </c>
      <c r="BE321" s="7" t="e">
        <v>#N/A</v>
      </c>
      <c r="BF321" s="5" t="e">
        <f>Table1[[#This Row],[الحد الادني]]-Table1[[#This Row],[الراتب 2018+النسبه]]</f>
        <v>#N/A</v>
      </c>
      <c r="BG321" s="5" t="e">
        <f>Table1[[#This Row],[التعديل حتي]]-Table1[[#This Row],[kkk]]</f>
        <v>#N/A</v>
      </c>
      <c r="BH321" s="5" t="e">
        <v>#N/A</v>
      </c>
      <c r="BI321" s="5"/>
    </row>
    <row r="322" spans="1:61" ht="18.75" customHeight="1">
      <c r="A322" s="604">
        <v>1074</v>
      </c>
      <c r="B322" s="618" t="str">
        <f>VLOOKUP(Table1[[#This Row],[الرقم الوظيفي]],[1]Sheet2!$1:$1048576,2,)</f>
        <v>جعفر الزاكى عبدالرحيم احمد</v>
      </c>
      <c r="C322" s="599" t="str">
        <f>VLOOKUP(Table1[[#This Row],[الرقم الوظيفي]],[1]Sheet2!$1:$1048576,7,)</f>
        <v>المصنع</v>
      </c>
      <c r="D322" s="599" t="str">
        <f>VLOOKUP(Table1[[#This Row],[الرقم الوظيفي]],[1]Sheet2!$1:$1048576,8,)</f>
        <v>الانتاج</v>
      </c>
      <c r="E322" s="599">
        <f>VLOOKUP(Table1[[#This Row],[الرقم الوظيفي]],[1]Sheet2!$1:$1048576,9,)</f>
        <v>0</v>
      </c>
      <c r="F322" s="599" t="str">
        <f>VLOOKUP(Table1[[#This Row],[الرقم الوظيفي]],[1]Sheet2!$1:$1048576,12,)</f>
        <v>عامل</v>
      </c>
      <c r="G322" s="599" t="str">
        <f>VLOOKUP(Table1[[#This Row],[الرقم الوظيفي]],[1]Sheet2!$1:$1048576,72,)</f>
        <v>بكلاريوس الشرف</v>
      </c>
      <c r="H322" s="599" t="str">
        <f>VLOOKUP(Table1[[#This Row],[الرقم الوظيفي]],[1]Sheet2!$1:$1048576,71,)</f>
        <v>محاسبة</v>
      </c>
      <c r="I322" s="599" t="str">
        <f>VLOOKUP(Table1[[#This Row],[المؤهل الرئيسي]],Table4[],3,)</f>
        <v>C</v>
      </c>
      <c r="J322" s="599" t="s">
        <v>929</v>
      </c>
      <c r="K322" s="615">
        <f>VLOOKUP(Table1[[#This Row],[الرقم الوظيفي]],[1]Sheet2!$1:$1048576,13,)</f>
        <v>43414</v>
      </c>
      <c r="L322" s="615">
        <v>43830</v>
      </c>
      <c r="M322" s="599">
        <f>DATEDIF(Table1[[#This Row],[تاريخ التعيين]],Table1[[#This Row],[اخر العام]],"y")</f>
        <v>1</v>
      </c>
      <c r="N322" s="599">
        <f>DATEDIF(Table1[[#This Row],[تاريخ التعيين]],Table1[[#This Row],[اخر العام]],"ym")</f>
        <v>1</v>
      </c>
      <c r="O322" s="610">
        <f>Table1[[#This Row],[سنوات الخدمه]]*1+Table1[[#This Row],[الشهور اقل من سنه]]*0.08</f>
        <v>1.08</v>
      </c>
      <c r="P322" s="616">
        <v>2750</v>
      </c>
      <c r="Q322" s="617">
        <v>4.4000000000000004</v>
      </c>
      <c r="R322" s="612"/>
      <c r="S322" s="599"/>
      <c r="T322" s="612"/>
      <c r="U322" s="612"/>
      <c r="V322" s="612"/>
      <c r="W322" s="612"/>
      <c r="X322" s="612"/>
      <c r="Y322" s="612"/>
      <c r="Z322" s="612"/>
      <c r="AA32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2" s="612"/>
      <c r="AC322" s="599"/>
      <c r="AD322" s="612"/>
      <c r="AE322" s="612"/>
      <c r="AF322" s="612"/>
      <c r="AG322" s="612"/>
      <c r="AH322" s="619">
        <f>SUM(Table1[[#This Row],[التقييد  باللوائح و تنفيذالتوجيه]:[اتباع اجراءات السلامه]])</f>
        <v>0</v>
      </c>
      <c r="AI322" s="619">
        <f>Table1[[#This Row],[المجموع]]+Table1[[#This Row],[المجموع2]]</f>
        <v>0</v>
      </c>
      <c r="AJ322" s="612"/>
      <c r="AK322" s="612"/>
      <c r="AL322" s="612"/>
      <c r="AM322" s="612"/>
      <c r="AN322" s="612"/>
      <c r="AO322" s="606">
        <f>Table1[[#This Row],[المجموع 1+2]]*$AO$2</f>
        <v>0</v>
      </c>
      <c r="AP322" s="648">
        <f>Table1[[#This Row],[راتب ديسمبر 2019]]*Table1[[#This Row],[نسبه التقييم الرئيسي 2018]]%</f>
        <v>0</v>
      </c>
      <c r="AQ322" s="627">
        <f>Table1[[#This Row],[مبلغ التقييم النسبي 2018]]+Table1[[#This Row],[راتب ديسمبر 2019]]</f>
        <v>2750</v>
      </c>
      <c r="AR322" s="10">
        <f>IF(Table1[[#This Row],[Column3]]&lt;0,0,Table1[[#This Row],[Column3]])</f>
        <v>3250</v>
      </c>
      <c r="AS322" s="599">
        <f>VLOOKUP(Table1[[#This Row],[درجه التوسيط]],Table10[],3,)</f>
        <v>6000</v>
      </c>
      <c r="AT322" s="608">
        <f>Table1[[#This Row],[الراتب 2018+النسبه]]+Table1[[#This Row],[فروقات الحد الادني]]</f>
        <v>6000</v>
      </c>
      <c r="AU322" s="629">
        <f>Table1[[#This Row],[الراتب 2018 + النسبه + الفرق]]-Table1[[#This Row],[راتب ديسمبر 2019]]</f>
        <v>3250</v>
      </c>
      <c r="AV322" s="628">
        <f>Table1[[#This Row],[الزياده]]/Table1[[#This Row],[راتب ديسمبر 2019]]%</f>
        <v>118.18181818181819</v>
      </c>
      <c r="AW322" s="659">
        <f>IF(Table1[[#This Row],[Column4]]&lt;0,0,Table1[[#This Row],[Column4]])</f>
        <v>0</v>
      </c>
      <c r="AX322" s="611">
        <f>Table1[[#This Row],[الجبر حتي]]-Table1[[#This Row],[رن]]</f>
        <v>0</v>
      </c>
      <c r="AY322" s="611">
        <f>Table1[[#This Row],[الزياده]]+Table1[[#This Row],[التعديل]]+Table1[[#This Row],[جبر الرقم]]</f>
        <v>3250</v>
      </c>
      <c r="AZ322" s="611">
        <f>Table1[[#This Row],[الراتب 2018 + النسبه + الفرق]]+Table1[[#This Row],[جبر الرقم]]+Table1[[#This Row],[التعديل]]</f>
        <v>6000</v>
      </c>
      <c r="BA322" s="631">
        <f>Table1[[#This Row],[الزياده النهائيه]]/Table1[[#This Row],[راتب ديسمبر 2019]]%</f>
        <v>118.18181818181819</v>
      </c>
      <c r="BB322" s="612">
        <f>VLOOKUP(Table1[[#This Row],[الرقم الوظيفي]],Table6[],8,)</f>
        <v>2750</v>
      </c>
      <c r="BC322" s="7"/>
      <c r="BD322" s="7">
        <v>4500</v>
      </c>
      <c r="BE322" s="7">
        <v>4500</v>
      </c>
      <c r="BF322" s="5">
        <f>Table1[[#This Row],[الحد الادني]]-Table1[[#This Row],[الراتب 2018+النسبه]]</f>
        <v>3250</v>
      </c>
      <c r="BG322" s="5">
        <f>Table1[[#This Row],[التعديل حتي]]-Table1[[#This Row],[kkk]]</f>
        <v>-4500</v>
      </c>
      <c r="BH322" s="5">
        <v>4500</v>
      </c>
      <c r="BI322" s="5"/>
    </row>
    <row r="323" spans="1:61" ht="18.75" customHeight="1">
      <c r="A323" s="604">
        <v>1075</v>
      </c>
      <c r="B323" s="618" t="str">
        <f>VLOOKUP(Table1[[#This Row],[الرقم الوظيفي]],[1]Sheet2!$1:$1048576,2,)</f>
        <v>حسن سليمان محمد نور</v>
      </c>
      <c r="C323" s="599" t="str">
        <f>VLOOKUP(Table1[[#This Row],[الرقم الوظيفي]],[1]Sheet2!$1:$1048576,7,)</f>
        <v>المصنع</v>
      </c>
      <c r="D323" s="599" t="str">
        <f>VLOOKUP(Table1[[#This Row],[الرقم الوظيفي]],[1]Sheet2!$1:$1048576,8,)</f>
        <v>الانتاج</v>
      </c>
      <c r="E323" s="599">
        <f>VLOOKUP(Table1[[#This Row],[الرقم الوظيفي]],[1]Sheet2!$1:$1048576,9,)</f>
        <v>0</v>
      </c>
      <c r="F323" s="599" t="str">
        <f>VLOOKUP(Table1[[#This Row],[الرقم الوظيفي]],[1]Sheet2!$1:$1048576,12,)</f>
        <v>عامل</v>
      </c>
      <c r="G323" s="599" t="str">
        <f>VLOOKUP(Table1[[#This Row],[الرقم الوظيفي]],[1]Sheet2!$1:$1048576,72,)</f>
        <v>دبلوم تقني</v>
      </c>
      <c r="H323" s="599" t="str">
        <f>VLOOKUP(Table1[[#This Row],[الرقم الوظيفي]],[1]Sheet2!$1:$1048576,71,)</f>
        <v>التأمين</v>
      </c>
      <c r="I323" s="599" t="str">
        <f>VLOOKUP(Table1[[#This Row],[المؤهل الرئيسي]],Table4[],3,)</f>
        <v>D</v>
      </c>
      <c r="J323" s="599" t="s">
        <v>929</v>
      </c>
      <c r="K323" s="615">
        <f>VLOOKUP(Table1[[#This Row],[الرقم الوظيفي]],[1]Sheet2!$1:$1048576,13,)</f>
        <v>43414</v>
      </c>
      <c r="L323" s="615">
        <v>43830</v>
      </c>
      <c r="M323" s="599">
        <f>DATEDIF(Table1[[#This Row],[تاريخ التعيين]],Table1[[#This Row],[اخر العام]],"y")</f>
        <v>1</v>
      </c>
      <c r="N323" s="599">
        <f>DATEDIF(Table1[[#This Row],[تاريخ التعيين]],Table1[[#This Row],[اخر العام]],"ym")</f>
        <v>1</v>
      </c>
      <c r="O323" s="610">
        <f>Table1[[#This Row],[سنوات الخدمه]]*1+Table1[[#This Row],[الشهور اقل من سنه]]*0.08</f>
        <v>1.08</v>
      </c>
      <c r="P323" s="616">
        <v>2750</v>
      </c>
      <c r="Q323" s="617">
        <v>4.4000000000000004</v>
      </c>
      <c r="R323" s="612"/>
      <c r="S323" s="599"/>
      <c r="T323" s="612"/>
      <c r="U323" s="612"/>
      <c r="V323" s="612"/>
      <c r="W323" s="612"/>
      <c r="X323" s="612"/>
      <c r="Y323" s="612"/>
      <c r="Z323" s="612"/>
      <c r="AA32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3" s="612"/>
      <c r="AC323" s="599"/>
      <c r="AD323" s="612"/>
      <c r="AE323" s="612"/>
      <c r="AF323" s="612"/>
      <c r="AG323" s="612"/>
      <c r="AH323" s="619">
        <f>SUM(Table1[[#This Row],[التقييد  باللوائح و تنفيذالتوجيه]:[اتباع اجراءات السلامه]])</f>
        <v>0</v>
      </c>
      <c r="AI323" s="619">
        <f>Table1[[#This Row],[المجموع]]+Table1[[#This Row],[المجموع2]]</f>
        <v>0</v>
      </c>
      <c r="AJ323" s="612"/>
      <c r="AK323" s="612"/>
      <c r="AL323" s="612"/>
      <c r="AM323" s="612"/>
      <c r="AN323" s="612"/>
      <c r="AO323" s="606">
        <f>Table1[[#This Row],[المجموع 1+2]]*$AO$2</f>
        <v>0</v>
      </c>
      <c r="AP323" s="648">
        <f>Table1[[#This Row],[راتب ديسمبر 2019]]*Table1[[#This Row],[نسبه التقييم الرئيسي 2018]]%</f>
        <v>0</v>
      </c>
      <c r="AQ323" s="627">
        <f>Table1[[#This Row],[مبلغ التقييم النسبي 2018]]+Table1[[#This Row],[راتب ديسمبر 2019]]</f>
        <v>2750</v>
      </c>
      <c r="AR323" s="10">
        <f>IF(Table1[[#This Row],[Column3]]&lt;0,0,Table1[[#This Row],[Column3]])</f>
        <v>3250</v>
      </c>
      <c r="AS323" s="599">
        <f>VLOOKUP(Table1[[#This Row],[درجه التوسيط]],Table10[],3,)</f>
        <v>6000</v>
      </c>
      <c r="AT323" s="608">
        <f>Table1[[#This Row],[الراتب 2018+النسبه]]+Table1[[#This Row],[فروقات الحد الادني]]</f>
        <v>6000</v>
      </c>
      <c r="AU323" s="629">
        <f>Table1[[#This Row],[الراتب 2018 + النسبه + الفرق]]-Table1[[#This Row],[راتب ديسمبر 2019]]</f>
        <v>3250</v>
      </c>
      <c r="AV323" s="628">
        <f>Table1[[#This Row],[الزياده]]/Table1[[#This Row],[راتب ديسمبر 2019]]%</f>
        <v>118.18181818181819</v>
      </c>
      <c r="AW323" s="659">
        <f>IF(Table1[[#This Row],[Column4]]&lt;0,0,Table1[[#This Row],[Column4]])</f>
        <v>0</v>
      </c>
      <c r="AX323" s="611">
        <f>Table1[[#This Row],[الجبر حتي]]-Table1[[#This Row],[رن]]</f>
        <v>0</v>
      </c>
      <c r="AY323" s="611">
        <f>Table1[[#This Row],[الزياده]]+Table1[[#This Row],[التعديل]]+Table1[[#This Row],[جبر الرقم]]</f>
        <v>3250</v>
      </c>
      <c r="AZ323" s="611">
        <f>Table1[[#This Row],[الراتب 2018 + النسبه + الفرق]]+Table1[[#This Row],[جبر الرقم]]+Table1[[#This Row],[التعديل]]</f>
        <v>6000</v>
      </c>
      <c r="BA323" s="631">
        <f>Table1[[#This Row],[الزياده النهائيه]]/Table1[[#This Row],[راتب ديسمبر 2019]]%</f>
        <v>118.18181818181819</v>
      </c>
      <c r="BB323" s="612">
        <f>VLOOKUP(Table1[[#This Row],[الرقم الوظيفي]],Table6[],8,)</f>
        <v>2750</v>
      </c>
      <c r="BC323" s="7"/>
      <c r="BD323" s="7">
        <v>4500</v>
      </c>
      <c r="BE323" s="7">
        <v>4500</v>
      </c>
      <c r="BF323" s="5">
        <f>Table1[[#This Row],[الحد الادني]]-Table1[[#This Row],[الراتب 2018+النسبه]]</f>
        <v>3250</v>
      </c>
      <c r="BG323" s="5">
        <f>Table1[[#This Row],[التعديل حتي]]-Table1[[#This Row],[kkk]]</f>
        <v>-4500</v>
      </c>
      <c r="BH323" s="5">
        <v>4500</v>
      </c>
      <c r="BI323" s="5"/>
    </row>
    <row r="324" spans="1:61" ht="18.75" customHeight="1">
      <c r="A324" s="604">
        <v>1076</v>
      </c>
      <c r="B324" s="618" t="str">
        <f>VLOOKUP(Table1[[#This Row],[الرقم الوظيفي]],[1]Sheet2!$1:$1048576,2,)</f>
        <v>محمد حوى النبى الفضل بابكر</v>
      </c>
      <c r="C324" s="599" t="str">
        <f>VLOOKUP(Table1[[#This Row],[الرقم الوظيفي]],[1]Sheet2!$1:$1048576,7,)</f>
        <v>المصنع</v>
      </c>
      <c r="D324" s="599" t="str">
        <f>VLOOKUP(Table1[[#This Row],[الرقم الوظيفي]],[1]Sheet2!$1:$1048576,8,)</f>
        <v>الانتاج</v>
      </c>
      <c r="E324" s="599">
        <f>VLOOKUP(Table1[[#This Row],[الرقم الوظيفي]],[1]Sheet2!$1:$1048576,9,)</f>
        <v>0</v>
      </c>
      <c r="F324" s="599" t="str">
        <f>VLOOKUP(Table1[[#This Row],[الرقم الوظيفي]],[1]Sheet2!$1:$1048576,12,)</f>
        <v>عامل</v>
      </c>
      <c r="G324" s="599">
        <f>VLOOKUP(Table1[[#This Row],[الرقم الوظيفي]],[1]Sheet2!$1:$1048576,72,)</f>
        <v>0</v>
      </c>
      <c r="H324" s="599">
        <f>VLOOKUP(Table1[[#This Row],[الرقم الوظيفي]],[1]Sheet2!$1:$1048576,71,)</f>
        <v>0</v>
      </c>
      <c r="I324" s="599" t="str">
        <f>VLOOKUP(Table1[[#This Row],[المؤهل الرئيسي]],Table4[],3,)</f>
        <v>H</v>
      </c>
      <c r="J324" s="599" t="s">
        <v>929</v>
      </c>
      <c r="K324" s="615">
        <f>VLOOKUP(Table1[[#This Row],[الرقم الوظيفي]],[1]Sheet2!$1:$1048576,13,)</f>
        <v>43416</v>
      </c>
      <c r="L324" s="615">
        <v>43830</v>
      </c>
      <c r="M324" s="599">
        <f>DATEDIF(Table1[[#This Row],[تاريخ التعيين]],Table1[[#This Row],[اخر العام]],"y")</f>
        <v>1</v>
      </c>
      <c r="N324" s="599">
        <f>DATEDIF(Table1[[#This Row],[تاريخ التعيين]],Table1[[#This Row],[اخر العام]],"ym")</f>
        <v>1</v>
      </c>
      <c r="O324" s="610">
        <f>Table1[[#This Row],[سنوات الخدمه]]*1+Table1[[#This Row],[الشهور اقل من سنه]]*0.08</f>
        <v>1.08</v>
      </c>
      <c r="P324" s="616">
        <v>2750</v>
      </c>
      <c r="Q324" s="617">
        <v>4.4000000000000004</v>
      </c>
      <c r="R324" s="612"/>
      <c r="S324" s="599"/>
      <c r="T324" s="612"/>
      <c r="U324" s="612"/>
      <c r="V324" s="612"/>
      <c r="W324" s="612"/>
      <c r="X324" s="612"/>
      <c r="Y324" s="612"/>
      <c r="Z324" s="612"/>
      <c r="AA32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4" s="612"/>
      <c r="AC324" s="599"/>
      <c r="AD324" s="612"/>
      <c r="AE324" s="612"/>
      <c r="AF324" s="612"/>
      <c r="AG324" s="612"/>
      <c r="AH324" s="619">
        <f>SUM(Table1[[#This Row],[التقييد  باللوائح و تنفيذالتوجيه]:[اتباع اجراءات السلامه]])</f>
        <v>0</v>
      </c>
      <c r="AI324" s="619">
        <f>Table1[[#This Row],[المجموع]]+Table1[[#This Row],[المجموع2]]</f>
        <v>0</v>
      </c>
      <c r="AJ324" s="612"/>
      <c r="AK324" s="612"/>
      <c r="AL324" s="612"/>
      <c r="AM324" s="612"/>
      <c r="AN324" s="612"/>
      <c r="AO324" s="606">
        <f>Table1[[#This Row],[المجموع 1+2]]*$AO$2</f>
        <v>0</v>
      </c>
      <c r="AP324" s="648">
        <f>Table1[[#This Row],[راتب ديسمبر 2019]]*Table1[[#This Row],[نسبه التقييم الرئيسي 2018]]%</f>
        <v>0</v>
      </c>
      <c r="AQ324" s="627">
        <f>Table1[[#This Row],[مبلغ التقييم النسبي 2018]]+Table1[[#This Row],[راتب ديسمبر 2019]]</f>
        <v>2750</v>
      </c>
      <c r="AR324" s="10">
        <f>IF(Table1[[#This Row],[Column3]]&lt;0,0,Table1[[#This Row],[Column3]])</f>
        <v>3250</v>
      </c>
      <c r="AS324" s="599">
        <f>VLOOKUP(Table1[[#This Row],[درجه التوسيط]],Table10[],3,)</f>
        <v>6000</v>
      </c>
      <c r="AT324" s="608">
        <f>Table1[[#This Row],[الراتب 2018+النسبه]]+Table1[[#This Row],[فروقات الحد الادني]]</f>
        <v>6000</v>
      </c>
      <c r="AU324" s="629">
        <f>Table1[[#This Row],[الراتب 2018 + النسبه + الفرق]]-Table1[[#This Row],[راتب ديسمبر 2019]]</f>
        <v>3250</v>
      </c>
      <c r="AV324" s="628">
        <f>Table1[[#This Row],[الزياده]]/Table1[[#This Row],[راتب ديسمبر 2019]]%</f>
        <v>118.18181818181819</v>
      </c>
      <c r="AW324" s="659">
        <f>IF(Table1[[#This Row],[Column4]]&lt;0,0,Table1[[#This Row],[Column4]])</f>
        <v>0</v>
      </c>
      <c r="AX324" s="611">
        <f>Table1[[#This Row],[الجبر حتي]]-Table1[[#This Row],[رن]]</f>
        <v>0</v>
      </c>
      <c r="AY324" s="611">
        <f>Table1[[#This Row],[الزياده]]+Table1[[#This Row],[التعديل]]+Table1[[#This Row],[جبر الرقم]]</f>
        <v>3250</v>
      </c>
      <c r="AZ324" s="611">
        <f>Table1[[#This Row],[الراتب 2018 + النسبه + الفرق]]+Table1[[#This Row],[جبر الرقم]]+Table1[[#This Row],[التعديل]]</f>
        <v>6000</v>
      </c>
      <c r="BA324" s="631">
        <f>Table1[[#This Row],[الزياده النهائيه]]/Table1[[#This Row],[راتب ديسمبر 2019]]%</f>
        <v>118.18181818181819</v>
      </c>
      <c r="BB324" s="612">
        <f>VLOOKUP(Table1[[#This Row],[الرقم الوظيفي]],Table6[],8,)</f>
        <v>2750</v>
      </c>
      <c r="BC324" s="7"/>
      <c r="BD324" s="7">
        <v>4500</v>
      </c>
      <c r="BE324" s="7">
        <v>4500</v>
      </c>
      <c r="BF324" s="5">
        <f>Table1[[#This Row],[الحد الادني]]-Table1[[#This Row],[الراتب 2018+النسبه]]</f>
        <v>3250</v>
      </c>
      <c r="BG324" s="5">
        <f>Table1[[#This Row],[التعديل حتي]]-Table1[[#This Row],[kkk]]</f>
        <v>-4500</v>
      </c>
      <c r="BH324" s="5">
        <v>4500</v>
      </c>
      <c r="BI324" s="5"/>
    </row>
    <row r="325" spans="1:61" ht="18.75" customHeight="1">
      <c r="A325" s="604">
        <v>1078</v>
      </c>
      <c r="B325" s="618" t="str">
        <f>VLOOKUP(Table1[[#This Row],[الرقم الوظيفي]],[1]Sheet2!$1:$1048576,2,)</f>
        <v>تقوى إدريس كورى تيه</v>
      </c>
      <c r="C325" s="599" t="str">
        <f>VLOOKUP(Table1[[#This Row],[الرقم الوظيفي]],[1]Sheet2!$1:$1048576,7,)</f>
        <v>السودانى الايطالى</v>
      </c>
      <c r="D325" s="599">
        <f>VLOOKUP(Table1[[#This Row],[الرقم الوظيفي]],[1]Sheet2!$1:$1048576,8,)</f>
        <v>0</v>
      </c>
      <c r="E325" s="599">
        <f>VLOOKUP(Table1[[#This Row],[الرقم الوظيفي]],[1]Sheet2!$1:$1048576,9,)</f>
        <v>0</v>
      </c>
      <c r="F325" s="599" t="str">
        <f>VLOOKUP(Table1[[#This Row],[الرقم الوظيفي]],[1]Sheet2!$1:$1048576,12,)</f>
        <v>عامل</v>
      </c>
      <c r="G325" s="599">
        <f>VLOOKUP(Table1[[#This Row],[الرقم الوظيفي]],[1]Sheet2!$1:$1048576,72,)</f>
        <v>0</v>
      </c>
      <c r="H325" s="599">
        <f>VLOOKUP(Table1[[#This Row],[الرقم الوظيفي]],[1]Sheet2!$1:$1048576,71,)</f>
        <v>0</v>
      </c>
      <c r="I325" s="599" t="str">
        <f>VLOOKUP(Table1[[#This Row],[المؤهل الرئيسي]],Table4[],3,)</f>
        <v>H</v>
      </c>
      <c r="J325" s="599" t="s">
        <v>929</v>
      </c>
      <c r="K325" s="615">
        <f>VLOOKUP(Table1[[#This Row],[الرقم الوظيفي]],[1]Sheet2!$1:$1048576,13,)</f>
        <v>43408</v>
      </c>
      <c r="L325" s="615">
        <v>43830</v>
      </c>
      <c r="M325" s="599">
        <f>DATEDIF(Table1[[#This Row],[تاريخ التعيين]],Table1[[#This Row],[اخر العام]],"y")</f>
        <v>1</v>
      </c>
      <c r="N325" s="599">
        <f>DATEDIF(Table1[[#This Row],[تاريخ التعيين]],Table1[[#This Row],[اخر العام]],"ym")</f>
        <v>1</v>
      </c>
      <c r="O325" s="610">
        <f>Table1[[#This Row],[سنوات الخدمه]]*1+Table1[[#This Row],[الشهور اقل من سنه]]*0.08</f>
        <v>1.08</v>
      </c>
      <c r="P325" s="616">
        <v>2750</v>
      </c>
      <c r="Q325" s="617">
        <v>4.4000000000000004</v>
      </c>
      <c r="R325" s="612"/>
      <c r="S325" s="599"/>
      <c r="T325" s="612"/>
      <c r="U325" s="612"/>
      <c r="V325" s="612"/>
      <c r="W325" s="612"/>
      <c r="X325" s="612"/>
      <c r="Y325" s="612"/>
      <c r="Z325" s="612"/>
      <c r="AA32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5" s="612"/>
      <c r="AC325" s="599"/>
      <c r="AD325" s="612"/>
      <c r="AE325" s="612"/>
      <c r="AF325" s="612"/>
      <c r="AG325" s="612"/>
      <c r="AH325" s="619">
        <f>SUM(Table1[[#This Row],[التقييد  باللوائح و تنفيذالتوجيه]:[اتباع اجراءات السلامه]])</f>
        <v>0</v>
      </c>
      <c r="AI325" s="619">
        <f>Table1[[#This Row],[المجموع]]+Table1[[#This Row],[المجموع2]]</f>
        <v>0</v>
      </c>
      <c r="AJ325" s="612">
        <v>9</v>
      </c>
      <c r="AK325" s="612"/>
      <c r="AL325" s="612"/>
      <c r="AM325" s="612"/>
      <c r="AN325" s="612"/>
      <c r="AO325" s="606">
        <f>Table1[[#This Row],[المجموع 1+2]]*$AO$2</f>
        <v>0</v>
      </c>
      <c r="AP325" s="648">
        <f>Table1[[#This Row],[راتب ديسمبر 2019]]*Table1[[#This Row],[نسبه التقييم الرئيسي 2018]]%</f>
        <v>0</v>
      </c>
      <c r="AQ325" s="627">
        <f>Table1[[#This Row],[مبلغ التقييم النسبي 2018]]+Table1[[#This Row],[راتب ديسمبر 2019]]</f>
        <v>2750</v>
      </c>
      <c r="AR325" s="10">
        <f>IF(Table1[[#This Row],[Column3]]&lt;0,0,Table1[[#This Row],[Column3]])</f>
        <v>3250</v>
      </c>
      <c r="AS325" s="599">
        <f>VLOOKUP(Table1[[#This Row],[درجه التوسيط]],Table10[],3,)</f>
        <v>6000</v>
      </c>
      <c r="AT325" s="608">
        <f>Table1[[#This Row],[الراتب 2018+النسبه]]+Table1[[#This Row],[فروقات الحد الادني]]</f>
        <v>6000</v>
      </c>
      <c r="AU325" s="629">
        <f>Table1[[#This Row],[الراتب 2018 + النسبه + الفرق]]-Table1[[#This Row],[راتب ديسمبر 2019]]</f>
        <v>3250</v>
      </c>
      <c r="AV325" s="628">
        <f>Table1[[#This Row],[الزياده]]/Table1[[#This Row],[راتب ديسمبر 2019]]%</f>
        <v>118.18181818181819</v>
      </c>
      <c r="AW325" s="659">
        <f>IF(Table1[[#This Row],[Column4]]&lt;0,0,Table1[[#This Row],[Column4]])</f>
        <v>0</v>
      </c>
      <c r="AX325" s="611">
        <f>Table1[[#This Row],[الجبر حتي]]-Table1[[#This Row],[رن]]</f>
        <v>0</v>
      </c>
      <c r="AY325" s="611">
        <f>Table1[[#This Row],[الزياده]]+Table1[[#This Row],[التعديل]]+Table1[[#This Row],[جبر الرقم]]</f>
        <v>3250</v>
      </c>
      <c r="AZ325" s="611">
        <f>Table1[[#This Row],[الراتب 2018 + النسبه + الفرق]]+Table1[[#This Row],[جبر الرقم]]+Table1[[#This Row],[التعديل]]</f>
        <v>6000</v>
      </c>
      <c r="BA325" s="631">
        <f>Table1[[#This Row],[الزياده النهائيه]]/Table1[[#This Row],[راتب ديسمبر 2019]]%</f>
        <v>118.18181818181819</v>
      </c>
      <c r="BB325" s="612">
        <f>VLOOKUP(Table1[[#This Row],[الرقم الوظيفي]],Table6[],8,)</f>
        <v>2750</v>
      </c>
      <c r="BC325" s="7"/>
      <c r="BD325" s="7">
        <v>4500</v>
      </c>
      <c r="BE325" s="7">
        <v>4500</v>
      </c>
      <c r="BF325" s="5">
        <f>Table1[[#This Row],[الحد الادني]]-Table1[[#This Row],[الراتب 2018+النسبه]]</f>
        <v>3250</v>
      </c>
      <c r="BG325" s="5">
        <f>Table1[[#This Row],[التعديل حتي]]-Table1[[#This Row],[kkk]]</f>
        <v>-4500</v>
      </c>
      <c r="BH325" s="5">
        <v>4500</v>
      </c>
      <c r="BI325" s="5"/>
    </row>
    <row r="326" spans="1:61" ht="18.75" customHeight="1">
      <c r="A326" s="604">
        <v>12</v>
      </c>
      <c r="B326" s="618" t="str">
        <f>VLOOKUP(Table1[[#This Row],[الرقم الوظيفي]],[1]Sheet2!$1:$1048576,2,)</f>
        <v>قاسم عبدالرازق عثمان مرزوق</v>
      </c>
      <c r="C326" s="599" t="str">
        <f>VLOOKUP(Table1[[#This Row],[الرقم الوظيفي]],[1]Sheet2!$1:$1048576,7,)</f>
        <v>المصنع</v>
      </c>
      <c r="D326" s="599" t="str">
        <f>VLOOKUP(Table1[[#This Row],[الرقم الوظيفي]],[1]Sheet2!$1:$1048576,8,)</f>
        <v>الامن و الحركه</v>
      </c>
      <c r="E326" s="599" t="str">
        <f>VLOOKUP(Table1[[#This Row],[الرقم الوظيفي]],[1]Sheet2!$1:$1048576,9,)</f>
        <v>الامن</v>
      </c>
      <c r="F326" s="599" t="str">
        <f>VLOOKUP(Table1[[#This Row],[الرقم الوظيفي]],[1]Sheet2!$1:$1048576,12,)</f>
        <v>فرد امن</v>
      </c>
      <c r="G326" s="599">
        <f>VLOOKUP(Table1[[#This Row],[الرقم الوظيفي]],[1]Sheet2!$1:$1048576,72,)</f>
        <v>0</v>
      </c>
      <c r="H326" s="599">
        <f>VLOOKUP(Table1[[#This Row],[الرقم الوظيفي]],[1]Sheet2!$1:$1048576,71,)</f>
        <v>0</v>
      </c>
      <c r="I326" s="599" t="str">
        <f>VLOOKUP(Table1[[#This Row],[المؤهل الرئيسي]],Table4[],3,)</f>
        <v>H</v>
      </c>
      <c r="J326" s="599" t="s">
        <v>928</v>
      </c>
      <c r="K326" s="615">
        <f>VLOOKUP(Table1[[#This Row],[الرقم الوظيفي]],[1]Sheet2!$1:$1048576,13,)</f>
        <v>43425</v>
      </c>
      <c r="L326" s="615">
        <v>43830</v>
      </c>
      <c r="M326" s="599">
        <f>DATEDIF(Table1[[#This Row],[تاريخ التعيين]],Table1[[#This Row],[اخر العام]],"y")</f>
        <v>1</v>
      </c>
      <c r="N326" s="599">
        <f>DATEDIF(Table1[[#This Row],[تاريخ التعيين]],Table1[[#This Row],[اخر العام]],"ym")</f>
        <v>1</v>
      </c>
      <c r="O326" s="610">
        <f>Table1[[#This Row],[سنوات الخدمه]]*1+Table1[[#This Row],[الشهور اقل من سنه]]*0.08</f>
        <v>1.08</v>
      </c>
      <c r="P326" s="616">
        <v>4490</v>
      </c>
      <c r="Q326" s="617">
        <v>7.1840000000000002</v>
      </c>
      <c r="R326" s="612"/>
      <c r="S326" s="599"/>
      <c r="T326" s="612"/>
      <c r="U326" s="612"/>
      <c r="V326" s="612"/>
      <c r="W326" s="612"/>
      <c r="X326" s="612"/>
      <c r="Y326" s="612"/>
      <c r="Z326" s="612"/>
      <c r="AA32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6" s="612"/>
      <c r="AC326" s="599"/>
      <c r="AD326" s="612"/>
      <c r="AE326" s="612"/>
      <c r="AF326" s="612"/>
      <c r="AG326" s="612"/>
      <c r="AH326" s="619">
        <f>SUM(Table1[[#This Row],[التقييد  باللوائح و تنفيذالتوجيه]:[اتباع اجراءات السلامه]])</f>
        <v>0</v>
      </c>
      <c r="AI326" s="619">
        <f>Table1[[#This Row],[المجموع]]+Table1[[#This Row],[المجموع2]]</f>
        <v>0</v>
      </c>
      <c r="AJ326" s="612"/>
      <c r="AK326" s="612"/>
      <c r="AL326" s="612"/>
      <c r="AM326" s="612"/>
      <c r="AN326" s="612"/>
      <c r="AO326" s="606">
        <f>Table1[[#This Row],[المجموع 1+2]]*$AO$2</f>
        <v>0</v>
      </c>
      <c r="AP326" s="648">
        <f>Table1[[#This Row],[راتب ديسمبر 2019]]*Table1[[#This Row],[نسبه التقييم الرئيسي 2018]]%</f>
        <v>0</v>
      </c>
      <c r="AQ326" s="627">
        <f>Table1[[#This Row],[مبلغ التقييم النسبي 2018]]+Table1[[#This Row],[راتب ديسمبر 2019]]</f>
        <v>4490</v>
      </c>
      <c r="AR326" s="10">
        <f>IF(Table1[[#This Row],[Column3]]&lt;0,0,Table1[[#This Row],[Column3]])</f>
        <v>2510</v>
      </c>
      <c r="AS326" s="599">
        <f>VLOOKUP(Table1[[#This Row],[درجه التوسيط]],Table10[],3,)</f>
        <v>7000</v>
      </c>
      <c r="AT326" s="608">
        <f>Table1[[#This Row],[الراتب 2018+النسبه]]+Table1[[#This Row],[فروقات الحد الادني]]</f>
        <v>7000</v>
      </c>
      <c r="AU326" s="629">
        <f>Table1[[#This Row],[الراتب 2018 + النسبه + الفرق]]-Table1[[#This Row],[راتب ديسمبر 2019]]</f>
        <v>2510</v>
      </c>
      <c r="AV326" s="628">
        <f>Table1[[#This Row],[الزياده]]/Table1[[#This Row],[راتب ديسمبر 2019]]%</f>
        <v>55.902004454342986</v>
      </c>
      <c r="AW326" s="659">
        <f>IF(Table1[[#This Row],[Column4]]&lt;0,0,Table1[[#This Row],[Column4]])</f>
        <v>0</v>
      </c>
      <c r="AX326" s="611">
        <f>Table1[[#This Row],[الجبر حتي]]-Table1[[#This Row],[رن]]</f>
        <v>7.0399999999999636</v>
      </c>
      <c r="AY326" s="611">
        <f>Table1[[#This Row],[الزياده]]+Table1[[#This Row],[التعديل]]+Table1[[#This Row],[جبر الرقم]]</f>
        <v>2517.04</v>
      </c>
      <c r="AZ326" s="611">
        <f>Table1[[#This Row],[الراتب 2018 + النسبه + الفرق]]+Table1[[#This Row],[جبر الرقم]]+Table1[[#This Row],[التعديل]]</f>
        <v>7007.04</v>
      </c>
      <c r="BA326" s="631">
        <f>Table1[[#This Row],[الزياده النهائيه]]/Table1[[#This Row],[راتب ديسمبر 2019]]%</f>
        <v>56.05879732739421</v>
      </c>
      <c r="BB326" s="612">
        <f>VLOOKUP(Table1[[#This Row],[الرقم الوظيفي]],Table6[],8,)</f>
        <v>4490</v>
      </c>
      <c r="BC326" s="7"/>
      <c r="BD326" s="7">
        <v>6760</v>
      </c>
      <c r="BE326" s="7">
        <v>6752.96</v>
      </c>
      <c r="BF326" s="5">
        <f>Table1[[#This Row],[الحد الادني]]-Table1[[#This Row],[الراتب 2018+النسبه]]</f>
        <v>2510</v>
      </c>
      <c r="BG326" s="5">
        <f>Table1[[#This Row],[التعديل حتي]]-Table1[[#This Row],[kkk]]</f>
        <v>-6752.96</v>
      </c>
      <c r="BH326" s="5">
        <v>6752.96</v>
      </c>
      <c r="BI326" s="5"/>
    </row>
    <row r="327" spans="1:61" ht="18.75" customHeight="1">
      <c r="A327" s="604">
        <v>46</v>
      </c>
      <c r="B327" s="618" t="str">
        <f>VLOOKUP(Table1[[#This Row],[الرقم الوظيفي]],[1]Sheet2!$1:$1048576,2,)</f>
        <v>السر على النذير عبدالعليم</v>
      </c>
      <c r="C327" s="599" t="str">
        <f>VLOOKUP(Table1[[#This Row],[الرقم الوظيفي]],[1]Sheet2!$1:$1048576,7,)</f>
        <v>المصنع</v>
      </c>
      <c r="D327" s="599" t="str">
        <f>VLOOKUP(Table1[[#This Row],[الرقم الوظيفي]],[1]Sheet2!$1:$1048576,8,)</f>
        <v>الوحده العلاجيه</v>
      </c>
      <c r="E327" s="599">
        <f>VLOOKUP(Table1[[#This Row],[الرقم الوظيفي]],[1]Sheet2!$1:$1048576,9,)</f>
        <v>0</v>
      </c>
      <c r="F327" s="599" t="str">
        <f>VLOOKUP(Table1[[#This Row],[الرقم الوظيفي]],[1]Sheet2!$1:$1048576,12,)</f>
        <v>مسئول الوحدة الصحية</v>
      </c>
      <c r="G327" s="599" t="str">
        <f>VLOOKUP(Table1[[#This Row],[الرقم الوظيفي]],[1]Sheet2!$1:$1048576,72,)</f>
        <v>شهاده دورة تدريب</v>
      </c>
      <c r="H327" s="599" t="str">
        <f>VLOOKUP(Table1[[#This Row],[الرقم الوظيفي]],[1]Sheet2!$1:$1048576,71,)</f>
        <v>تمريض</v>
      </c>
      <c r="I327" s="599" t="str">
        <f>VLOOKUP(Table1[[#This Row],[المؤهل الرئيسي]],Table4[],3,)</f>
        <v>F</v>
      </c>
      <c r="J327" s="599" t="s">
        <v>922</v>
      </c>
      <c r="K327" s="615">
        <f>VLOOKUP(Table1[[#This Row],[الرقم الوظيفي]],[1]Sheet2!$1:$1048576,13,)</f>
        <v>43428</v>
      </c>
      <c r="L327" s="615">
        <v>43830</v>
      </c>
      <c r="M327" s="599">
        <f>DATEDIF(Table1[[#This Row],[تاريخ التعيين]],Table1[[#This Row],[اخر العام]],"y")</f>
        <v>1</v>
      </c>
      <c r="N327" s="599">
        <f>DATEDIF(Table1[[#This Row],[تاريخ التعيين]],Table1[[#This Row],[اخر العام]],"ym")</f>
        <v>1</v>
      </c>
      <c r="O327" s="610">
        <f>Table1[[#This Row],[سنوات الخدمه]]*1+Table1[[#This Row],[الشهور اقل من سنه]]*0.08</f>
        <v>1.08</v>
      </c>
      <c r="P327" s="616">
        <v>4220</v>
      </c>
      <c r="Q327" s="617">
        <v>6.7519999999999998</v>
      </c>
      <c r="R327" s="612"/>
      <c r="S327" s="599"/>
      <c r="T327" s="612"/>
      <c r="U327" s="612"/>
      <c r="V327" s="612"/>
      <c r="W327" s="612"/>
      <c r="X327" s="612"/>
      <c r="Y327" s="612"/>
      <c r="Z327" s="612"/>
      <c r="AA32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7" s="612"/>
      <c r="AC327" s="599"/>
      <c r="AD327" s="612"/>
      <c r="AE327" s="612"/>
      <c r="AF327" s="612"/>
      <c r="AG327" s="612"/>
      <c r="AH327" s="619">
        <f>SUM(Table1[[#This Row],[التقييد  باللوائح و تنفيذالتوجيه]:[اتباع اجراءات السلامه]])</f>
        <v>0</v>
      </c>
      <c r="AI327" s="619">
        <f>Table1[[#This Row],[المجموع]]+Table1[[#This Row],[المجموع2]]</f>
        <v>0</v>
      </c>
      <c r="AJ327" s="612"/>
      <c r="AK327" s="612"/>
      <c r="AL327" s="612"/>
      <c r="AM327" s="612"/>
      <c r="AN327" s="612"/>
      <c r="AO327" s="606">
        <f>Table1[[#This Row],[المجموع 1+2]]*$AO$2</f>
        <v>0</v>
      </c>
      <c r="AP327" s="648">
        <f>Table1[[#This Row],[راتب ديسمبر 2019]]*Table1[[#This Row],[نسبه التقييم الرئيسي 2018]]%</f>
        <v>0</v>
      </c>
      <c r="AQ327" s="627">
        <f>Table1[[#This Row],[مبلغ التقييم النسبي 2018]]+Table1[[#This Row],[راتب ديسمبر 2019]]</f>
        <v>4220</v>
      </c>
      <c r="AR327" s="10">
        <f>IF(Table1[[#This Row],[Column3]]&lt;0,0,Table1[[#This Row],[Column3]])</f>
        <v>6780</v>
      </c>
      <c r="AS327" s="599">
        <f>VLOOKUP(Table1[[#This Row],[درجه التوسيط]],Table10[],3,)</f>
        <v>11000</v>
      </c>
      <c r="AT327" s="608">
        <f>Table1[[#This Row],[الراتب 2018+النسبه]]+Table1[[#This Row],[فروقات الحد الادني]]</f>
        <v>11000</v>
      </c>
      <c r="AU327" s="629">
        <f>Table1[[#This Row],[الراتب 2018 + النسبه + الفرق]]-Table1[[#This Row],[راتب ديسمبر 2019]]</f>
        <v>6780</v>
      </c>
      <c r="AV327" s="628">
        <f>Table1[[#This Row],[الزياده]]/Table1[[#This Row],[راتب ديسمبر 2019]]%</f>
        <v>160.66350710900474</v>
      </c>
      <c r="AW327" s="659">
        <f>IF(Table1[[#This Row],[Column4]]&lt;0,0,Table1[[#This Row],[Column4]])</f>
        <v>0</v>
      </c>
      <c r="AX327" s="611">
        <f>Table1[[#This Row],[الجبر حتي]]-Table1[[#This Row],[رن]]</f>
        <v>0</v>
      </c>
      <c r="AY327" s="611">
        <f>Table1[[#This Row],[الزياده]]+Table1[[#This Row],[التعديل]]+Table1[[#This Row],[جبر الرقم]]</f>
        <v>6780</v>
      </c>
      <c r="AZ327" s="611">
        <f>Table1[[#This Row],[الراتب 2018 + النسبه + الفرق]]+Table1[[#This Row],[جبر الرقم]]+Table1[[#This Row],[التعديل]]</f>
        <v>11000</v>
      </c>
      <c r="BA327" s="631">
        <f>Table1[[#This Row],[الزياده النهائيه]]/Table1[[#This Row],[راتب ديسمبر 2019]]%</f>
        <v>160.66350710900474</v>
      </c>
      <c r="BB327" s="612">
        <f>VLOOKUP(Table1[[#This Row],[الرقم الوظيفي]],Table6[],8,)</f>
        <v>4220</v>
      </c>
      <c r="BC327" s="7"/>
      <c r="BD327" s="7">
        <v>7000</v>
      </c>
      <c r="BE327" s="7">
        <v>7000</v>
      </c>
      <c r="BF327" s="5">
        <f>Table1[[#This Row],[الحد الادني]]-Table1[[#This Row],[الراتب 2018+النسبه]]</f>
        <v>6780</v>
      </c>
      <c r="BG327" s="5">
        <f>Table1[[#This Row],[التعديل حتي]]-Table1[[#This Row],[kkk]]</f>
        <v>-7000</v>
      </c>
      <c r="BH327" s="5">
        <v>7000</v>
      </c>
      <c r="BI327" s="5"/>
    </row>
    <row r="328" spans="1:61" ht="18.75" customHeight="1">
      <c r="A328" s="604">
        <v>1079</v>
      </c>
      <c r="B328" s="618" t="str">
        <f>VLOOKUP(Table1[[#This Row],[الرقم الوظيفي]],[1]Sheet2!$1:$1048576,2,)</f>
        <v>سامى عبدالله ادم محمد</v>
      </c>
      <c r="C328" s="599" t="str">
        <f>VLOOKUP(Table1[[#This Row],[الرقم الوظيفي]],[1]Sheet2!$1:$1048576,7,)</f>
        <v>المصنع</v>
      </c>
      <c r="D328" s="599" t="str">
        <f>VLOOKUP(Table1[[#This Row],[الرقم الوظيفي]],[1]Sheet2!$1:$1048576,8,)</f>
        <v>الانتاج</v>
      </c>
      <c r="E328" s="599">
        <f>VLOOKUP(Table1[[#This Row],[الرقم الوظيفي]],[1]Sheet2!$1:$1048576,9,)</f>
        <v>0</v>
      </c>
      <c r="F328" s="599" t="str">
        <f>VLOOKUP(Table1[[#This Row],[الرقم الوظيفي]],[1]Sheet2!$1:$1048576,12,)</f>
        <v>حداد</v>
      </c>
      <c r="G328" s="599" t="str">
        <f>VLOOKUP(Table1[[#This Row],[الرقم الوظيفي]],[1]Sheet2!$1:$1048576,72,)</f>
        <v>تدريب مهني</v>
      </c>
      <c r="H328" s="599" t="str">
        <f>VLOOKUP(Table1[[#This Row],[الرقم الوظيفي]],[1]Sheet2!$1:$1048576,71,)</f>
        <v>لحام وتوضيب</v>
      </c>
      <c r="I328" s="599" t="str">
        <f>VLOOKUP(Table1[[#This Row],[المؤهل الرئيسي]],Table4[],3,)</f>
        <v>F</v>
      </c>
      <c r="J328" s="599" t="s">
        <v>929</v>
      </c>
      <c r="K328" s="615">
        <f>VLOOKUP(Table1[[#This Row],[الرقم الوظيفي]],[1]Sheet2!$1:$1048576,13,)</f>
        <v>43435</v>
      </c>
      <c r="L328" s="615">
        <v>43830</v>
      </c>
      <c r="M328" s="599">
        <f>DATEDIF(Table1[[#This Row],[تاريخ التعيين]],Table1[[#This Row],[اخر العام]],"y")</f>
        <v>1</v>
      </c>
      <c r="N328" s="599">
        <f>DATEDIF(Table1[[#This Row],[تاريخ التعيين]],Table1[[#This Row],[اخر العام]],"ym")</f>
        <v>0</v>
      </c>
      <c r="O328" s="610">
        <f>Table1[[#This Row],[سنوات الخدمه]]*1+Table1[[#This Row],[الشهور اقل من سنه]]*0.08</f>
        <v>1</v>
      </c>
      <c r="P328" s="616">
        <v>4000</v>
      </c>
      <c r="Q328" s="617">
        <v>0</v>
      </c>
      <c r="R328" s="612"/>
      <c r="S328" s="599"/>
      <c r="T328" s="612"/>
      <c r="U328" s="612"/>
      <c r="V328" s="612"/>
      <c r="W328" s="612"/>
      <c r="X328" s="612"/>
      <c r="Y328" s="612"/>
      <c r="Z328" s="612"/>
      <c r="AA32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8" s="612"/>
      <c r="AC328" s="599"/>
      <c r="AD328" s="612"/>
      <c r="AE328" s="612"/>
      <c r="AF328" s="612"/>
      <c r="AG328" s="612"/>
      <c r="AH328" s="619">
        <f>SUM(Table1[[#This Row],[التقييد  باللوائح و تنفيذالتوجيه]:[اتباع اجراءات السلامه]])</f>
        <v>0</v>
      </c>
      <c r="AI328" s="619">
        <f>Table1[[#This Row],[المجموع]]+Table1[[#This Row],[المجموع2]]</f>
        <v>0</v>
      </c>
      <c r="AJ328" s="612"/>
      <c r="AK328" s="612"/>
      <c r="AL328" s="612"/>
      <c r="AM328" s="612"/>
      <c r="AN328" s="612"/>
      <c r="AO328" s="606">
        <f>Table1[[#This Row],[المجموع 1+2]]*$AO$2</f>
        <v>0</v>
      </c>
      <c r="AP328" s="648">
        <f>Table1[[#This Row],[راتب ديسمبر 2019]]*Table1[[#This Row],[نسبه التقييم الرئيسي 2018]]%</f>
        <v>0</v>
      </c>
      <c r="AQ328" s="627">
        <f>Table1[[#This Row],[مبلغ التقييم النسبي 2018]]+Table1[[#This Row],[راتب ديسمبر 2019]]</f>
        <v>4000</v>
      </c>
      <c r="AR328" s="10">
        <f>IF(Table1[[#This Row],[Column3]]&lt;0,0,Table1[[#This Row],[Column3]])</f>
        <v>2000</v>
      </c>
      <c r="AS328" s="599">
        <f>VLOOKUP(Table1[[#This Row],[درجه التوسيط]],Table10[],3,)</f>
        <v>6000</v>
      </c>
      <c r="AT328" s="608">
        <f>Table1[[#This Row],[الراتب 2018+النسبه]]+Table1[[#This Row],[فروقات الحد الادني]]</f>
        <v>6000</v>
      </c>
      <c r="AU328" s="629">
        <f>Table1[[#This Row],[الراتب 2018 + النسبه + الفرق]]-Table1[[#This Row],[راتب ديسمبر 2019]]</f>
        <v>2000</v>
      </c>
      <c r="AV328" s="628">
        <f>Table1[[#This Row],[الزياده]]/Table1[[#This Row],[راتب ديسمبر 2019]]%</f>
        <v>50</v>
      </c>
      <c r="AW328" s="659">
        <f>IF(Table1[[#This Row],[Column4]]&lt;0,0,Table1[[#This Row],[Column4]])</f>
        <v>0</v>
      </c>
      <c r="AX328" s="611">
        <f>Table1[[#This Row],[الجبر حتي]]-Table1[[#This Row],[رن]]</f>
        <v>2</v>
      </c>
      <c r="AY328" s="611">
        <f>Table1[[#This Row],[الزياده]]+Table1[[#This Row],[التعديل]]+Table1[[#This Row],[جبر الرقم]]</f>
        <v>2002</v>
      </c>
      <c r="AZ328" s="611">
        <f>Table1[[#This Row],[الراتب 2018 + النسبه + الفرق]]+Table1[[#This Row],[جبر الرقم]]+Table1[[#This Row],[التعديل]]</f>
        <v>6002</v>
      </c>
      <c r="BA328" s="631">
        <f>Table1[[#This Row],[الزياده النهائيه]]/Table1[[#This Row],[راتب ديسمبر 2019]]%</f>
        <v>50.05</v>
      </c>
      <c r="BB328" s="612">
        <f>VLOOKUP(Table1[[#This Row],[الرقم الوظيفي]],Table6[],8,)</f>
        <v>4000</v>
      </c>
      <c r="BC328" s="7"/>
      <c r="BD328" s="7">
        <v>6330</v>
      </c>
      <c r="BE328" s="7">
        <v>6328</v>
      </c>
      <c r="BF328" s="5">
        <f>Table1[[#This Row],[الحد الادني]]-Table1[[#This Row],[الراتب 2018+النسبه]]</f>
        <v>2000</v>
      </c>
      <c r="BG328" s="5">
        <f>Table1[[#This Row],[التعديل حتي]]-Table1[[#This Row],[kkk]]</f>
        <v>-6328</v>
      </c>
      <c r="BH328" s="5">
        <v>6328</v>
      </c>
      <c r="BI328" s="5"/>
    </row>
    <row r="329" spans="1:61" ht="18.75" customHeight="1">
      <c r="A329" s="604">
        <v>1080</v>
      </c>
      <c r="B329" s="618" t="str">
        <f>VLOOKUP(Table1[[#This Row],[الرقم الوظيفي]],[1]Sheet2!$1:$1048576,2,)</f>
        <v>ناجى عبدالله محمد على صالح</v>
      </c>
      <c r="C329" s="599" t="str">
        <f>VLOOKUP(Table1[[#This Row],[الرقم الوظيفي]],[1]Sheet2!$1:$1048576,7,)</f>
        <v>المصنع</v>
      </c>
      <c r="D329" s="599" t="str">
        <f>VLOOKUP(Table1[[#This Row],[الرقم الوظيفي]],[1]Sheet2!$1:$1048576,8,)</f>
        <v>الانتاج</v>
      </c>
      <c r="E329" s="599">
        <f>VLOOKUP(Table1[[#This Row],[الرقم الوظيفي]],[1]Sheet2!$1:$1048576,9,)</f>
        <v>0</v>
      </c>
      <c r="F329" s="599" t="str">
        <f>VLOOKUP(Table1[[#This Row],[الرقم الوظيفي]],[1]Sheet2!$1:$1048576,12,)</f>
        <v>عامل</v>
      </c>
      <c r="G329" s="599">
        <f>VLOOKUP(Table1[[#This Row],[الرقم الوظيفي]],[1]Sheet2!$1:$1048576,72,)</f>
        <v>0</v>
      </c>
      <c r="H329" s="599">
        <f>VLOOKUP(Table1[[#This Row],[الرقم الوظيفي]],[1]Sheet2!$1:$1048576,71,)</f>
        <v>0</v>
      </c>
      <c r="I329" s="599" t="str">
        <f>VLOOKUP(Table1[[#This Row],[المؤهل الرئيسي]],Table4[],3,)</f>
        <v>H</v>
      </c>
      <c r="J329" s="599" t="s">
        <v>42</v>
      </c>
      <c r="K329" s="615">
        <f>VLOOKUP(Table1[[#This Row],[الرقم الوظيفي]],[1]Sheet2!$1:$1048576,13,)</f>
        <v>43444</v>
      </c>
      <c r="L329" s="615">
        <v>43830</v>
      </c>
      <c r="M329" s="599">
        <f>DATEDIF(Table1[[#This Row],[تاريخ التعيين]],Table1[[#This Row],[اخر العام]],"y")</f>
        <v>1</v>
      </c>
      <c r="N329" s="599">
        <f>DATEDIF(Table1[[#This Row],[تاريخ التعيين]],Table1[[#This Row],[اخر العام]],"ym")</f>
        <v>0</v>
      </c>
      <c r="O329" s="610">
        <f>Table1[[#This Row],[سنوات الخدمه]]*1+Table1[[#This Row],[الشهور اقل من سنه]]*0.08</f>
        <v>1</v>
      </c>
      <c r="P329" s="616">
        <v>2750</v>
      </c>
      <c r="Q329" s="617">
        <v>0</v>
      </c>
      <c r="R329" s="612"/>
      <c r="S329" s="599"/>
      <c r="T329" s="612"/>
      <c r="U329" s="612"/>
      <c r="V329" s="612"/>
      <c r="W329" s="612"/>
      <c r="X329" s="612"/>
      <c r="Y329" s="612"/>
      <c r="Z329" s="612"/>
      <c r="AA32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29" s="612"/>
      <c r="AC329" s="599"/>
      <c r="AD329" s="612"/>
      <c r="AE329" s="612"/>
      <c r="AF329" s="612"/>
      <c r="AG329" s="612"/>
      <c r="AH329" s="619">
        <f>SUM(Table1[[#This Row],[التقييد  باللوائح و تنفيذالتوجيه]:[اتباع اجراءات السلامه]])</f>
        <v>0</v>
      </c>
      <c r="AI329" s="619">
        <f>Table1[[#This Row],[المجموع]]+Table1[[#This Row],[المجموع2]]</f>
        <v>0</v>
      </c>
      <c r="AJ329" s="612"/>
      <c r="AK329" s="612"/>
      <c r="AL329" s="612"/>
      <c r="AM329" s="612"/>
      <c r="AN329" s="612"/>
      <c r="AO329" s="606">
        <f>Table1[[#This Row],[المجموع 1+2]]*$AO$2</f>
        <v>0</v>
      </c>
      <c r="AP329" s="648">
        <f>Table1[[#This Row],[راتب ديسمبر 2019]]*Table1[[#This Row],[نسبه التقييم الرئيسي 2018]]%</f>
        <v>0</v>
      </c>
      <c r="AQ329" s="627">
        <f>Table1[[#This Row],[مبلغ التقييم النسبي 2018]]+Table1[[#This Row],[راتب ديسمبر 2019]]</f>
        <v>2750</v>
      </c>
      <c r="AR329" s="10">
        <f>IF(Table1[[#This Row],[Column3]]&lt;0,0,Table1[[#This Row],[Column3]])</f>
        <v>2250</v>
      </c>
      <c r="AS329" s="599">
        <f>VLOOKUP(Table1[[#This Row],[درجه التوسيط]],Table10[],3,)</f>
        <v>5000</v>
      </c>
      <c r="AT329" s="608">
        <f>Table1[[#This Row],[الراتب 2018+النسبه]]+Table1[[#This Row],[فروقات الحد الادني]]</f>
        <v>5000</v>
      </c>
      <c r="AU329" s="629">
        <f>Table1[[#This Row],[الراتب 2018 + النسبه + الفرق]]-Table1[[#This Row],[راتب ديسمبر 2019]]</f>
        <v>2250</v>
      </c>
      <c r="AV329" s="628">
        <f>Table1[[#This Row],[الزياده]]/Table1[[#This Row],[راتب ديسمبر 2019]]%</f>
        <v>81.818181818181813</v>
      </c>
      <c r="AW329" s="659">
        <f>IF(Table1[[#This Row],[Column4]]&lt;0,0,Table1[[#This Row],[Column4]])</f>
        <v>0</v>
      </c>
      <c r="AX329" s="611">
        <f>Table1[[#This Row],[الجبر حتي]]-Table1[[#This Row],[رن]]</f>
        <v>5</v>
      </c>
      <c r="AY329" s="611">
        <f>Table1[[#This Row],[الزياده]]+Table1[[#This Row],[التعديل]]+Table1[[#This Row],[جبر الرقم]]</f>
        <v>2255</v>
      </c>
      <c r="AZ329" s="611">
        <f>Table1[[#This Row],[الراتب 2018 + النسبه + الفرق]]+Table1[[#This Row],[جبر الرقم]]+Table1[[#This Row],[التعديل]]</f>
        <v>5005</v>
      </c>
      <c r="BA329" s="631">
        <f>Table1[[#This Row],[الزياده النهائيه]]/Table1[[#This Row],[راتب ديسمبر 2019]]%</f>
        <v>82</v>
      </c>
      <c r="BB329" s="612">
        <f>VLOOKUP(Table1[[#This Row],[الرقم الوظيفي]],Table6[],8,)</f>
        <v>2750</v>
      </c>
      <c r="BC329" s="7"/>
      <c r="BD329" s="7">
        <v>4240</v>
      </c>
      <c r="BE329" s="7">
        <v>4235</v>
      </c>
      <c r="BF329" s="5">
        <f>Table1[[#This Row],[الحد الادني]]-Table1[[#This Row],[الراتب 2018+النسبه]]</f>
        <v>2250</v>
      </c>
      <c r="BG329" s="5">
        <f>Table1[[#This Row],[التعديل حتي]]-Table1[[#This Row],[kkk]]</f>
        <v>-4235</v>
      </c>
      <c r="BH329" s="5">
        <v>4235</v>
      </c>
      <c r="BI329" s="5"/>
    </row>
    <row r="330" spans="1:61" ht="18.75" customHeight="1">
      <c r="A330" s="621">
        <v>1081</v>
      </c>
      <c r="B330" s="618" t="str">
        <f>VLOOKUP(Table1[[#This Row],[الرقم الوظيفي]],[1]Sheet2!$1:$1048576,2,)</f>
        <v>نعمات عبدالرحيم محمد عثمان عبدالعزيز</v>
      </c>
      <c r="C330" s="599" t="str">
        <f>VLOOKUP(Table1[[#This Row],[الرقم الوظيفي]],[1]Sheet2!$1:$1048576,7,)</f>
        <v>السودانى الايطالى</v>
      </c>
      <c r="D330" s="599">
        <f>VLOOKUP(Table1[[#This Row],[الرقم الوظيفي]],[1]Sheet2!$1:$1048576,8,)</f>
        <v>0</v>
      </c>
      <c r="E330" s="599">
        <f>VLOOKUP(Table1[[#This Row],[الرقم الوظيفي]],[1]Sheet2!$1:$1048576,9,)</f>
        <v>0</v>
      </c>
      <c r="F330" s="599" t="str">
        <f>VLOOKUP(Table1[[#This Row],[الرقم الوظيفي]],[1]Sheet2!$1:$1048576,12,)</f>
        <v>سكرتيرة</v>
      </c>
      <c r="G330" s="599" t="str">
        <f>VLOOKUP(Table1[[#This Row],[الرقم الوظيفي]],[1]Sheet2!$1:$1048576,72,)</f>
        <v>شهاده ثانويه</v>
      </c>
      <c r="H330" s="599">
        <f>VLOOKUP(Table1[[#This Row],[الرقم الوظيفي]],[1]Sheet2!$1:$1048576,71,)</f>
        <v>0</v>
      </c>
      <c r="I330" s="599" t="str">
        <f>VLOOKUP(Table1[[#This Row],[المؤهل الرئيسي]],Table4[],3,)</f>
        <v>F</v>
      </c>
      <c r="J330" s="599" t="s">
        <v>926</v>
      </c>
      <c r="K330" s="615">
        <f>VLOOKUP(Table1[[#This Row],[الرقم الوظيفي]],[1]Sheet2!$1:$1048576,13,)</f>
        <v>43435</v>
      </c>
      <c r="L330" s="615">
        <v>43830</v>
      </c>
      <c r="M330" s="599">
        <f>DATEDIF(Table1[[#This Row],[تاريخ التعيين]],Table1[[#This Row],[اخر العام]],"y")</f>
        <v>1</v>
      </c>
      <c r="N330" s="599">
        <f>DATEDIF(Table1[[#This Row],[تاريخ التعيين]],Table1[[#This Row],[اخر العام]],"ym")</f>
        <v>0</v>
      </c>
      <c r="O330" s="610">
        <f>Table1[[#This Row],[سنوات الخدمه]]*1+Table1[[#This Row],[الشهور اقل من سنه]]*0.08</f>
        <v>1</v>
      </c>
      <c r="P330" s="616">
        <v>4000</v>
      </c>
      <c r="Q330" s="617">
        <v>0</v>
      </c>
      <c r="R330" s="612"/>
      <c r="S330" s="599"/>
      <c r="T330" s="612"/>
      <c r="U330" s="612"/>
      <c r="V330" s="612"/>
      <c r="W330" s="612"/>
      <c r="X330" s="612"/>
      <c r="Y330" s="612"/>
      <c r="Z330" s="612"/>
      <c r="AA33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0" s="612"/>
      <c r="AC330" s="599"/>
      <c r="AD330" s="612"/>
      <c r="AE330" s="612"/>
      <c r="AF330" s="612"/>
      <c r="AG330" s="612"/>
      <c r="AH330" s="619">
        <f>SUM(Table1[[#This Row],[التقييد  باللوائح و تنفيذالتوجيه]:[اتباع اجراءات السلامه]])</f>
        <v>0</v>
      </c>
      <c r="AI330" s="619">
        <f>Table1[[#This Row],[المجموع]]+Table1[[#This Row],[المجموع2]]</f>
        <v>0</v>
      </c>
      <c r="AJ330" s="612">
        <v>7</v>
      </c>
      <c r="AK330" s="612"/>
      <c r="AL330" s="612"/>
      <c r="AM330" s="612"/>
      <c r="AN330" s="612"/>
      <c r="AO330" s="606">
        <f>Table1[[#This Row],[المجموع 1+2]]*$AO$2</f>
        <v>0</v>
      </c>
      <c r="AP330" s="648">
        <f>Table1[[#This Row],[راتب ديسمبر 2019]]*Table1[[#This Row],[نسبه التقييم الرئيسي 2018]]%</f>
        <v>0</v>
      </c>
      <c r="AQ330" s="627">
        <f>Table1[[#This Row],[مبلغ التقييم النسبي 2018]]+Table1[[#This Row],[راتب ديسمبر 2019]]</f>
        <v>4000</v>
      </c>
      <c r="AR330" s="10">
        <f>IF(Table1[[#This Row],[Column3]]&lt;0,0,Table1[[#This Row],[Column3]])</f>
        <v>4000</v>
      </c>
      <c r="AS330" s="599">
        <f>VLOOKUP(Table1[[#This Row],[درجه التوسيط]],Table10[],3,)</f>
        <v>8000</v>
      </c>
      <c r="AT330" s="608">
        <f>Table1[[#This Row],[الراتب 2018+النسبه]]+Table1[[#This Row],[فروقات الحد الادني]]</f>
        <v>8000</v>
      </c>
      <c r="AU330" s="629">
        <f>Table1[[#This Row],[الراتب 2018 + النسبه + الفرق]]-Table1[[#This Row],[راتب ديسمبر 2019]]</f>
        <v>4000</v>
      </c>
      <c r="AV330" s="628">
        <f>Table1[[#This Row],[الزياده]]/Table1[[#This Row],[راتب ديسمبر 2019]]%</f>
        <v>100</v>
      </c>
      <c r="AW330" s="659">
        <f>IF(Table1[[#This Row],[Column4]]&lt;0,0,Table1[[#This Row],[Column4]])</f>
        <v>0</v>
      </c>
      <c r="AX330" s="611">
        <f>Table1[[#This Row],[الجبر حتي]]-Table1[[#This Row],[رن]]</f>
        <v>6</v>
      </c>
      <c r="AY330" s="611">
        <f>Table1[[#This Row],[الزياده]]+Table1[[#This Row],[التعديل]]+Table1[[#This Row],[جبر الرقم]]</f>
        <v>4006</v>
      </c>
      <c r="AZ330" s="611">
        <f>Table1[[#This Row],[الراتب 2018 + النسبه + الفرق]]+Table1[[#This Row],[جبر الرقم]]+Table1[[#This Row],[التعديل]]</f>
        <v>8006</v>
      </c>
      <c r="BA330" s="631">
        <f>Table1[[#This Row],[الزياده النهائيه]]/Table1[[#This Row],[راتب ديسمبر 2019]]%</f>
        <v>100.15</v>
      </c>
      <c r="BB330" s="612">
        <f>VLOOKUP(Table1[[#This Row],[الرقم الوظيفي]],Table6[],8,)</f>
        <v>4000</v>
      </c>
      <c r="BC330" s="7"/>
      <c r="BD330" s="7">
        <v>6190</v>
      </c>
      <c r="BE330" s="7">
        <v>6184</v>
      </c>
      <c r="BF330" s="5">
        <f>Table1[[#This Row],[الحد الادني]]-Table1[[#This Row],[الراتب 2018+النسبه]]</f>
        <v>4000</v>
      </c>
      <c r="BG330" s="5">
        <f>Table1[[#This Row],[التعديل حتي]]-Table1[[#This Row],[kkk]]</f>
        <v>-6184</v>
      </c>
      <c r="BH330" s="5">
        <v>6184</v>
      </c>
      <c r="BI330" s="5"/>
    </row>
    <row r="331" spans="1:61" ht="18.75" customHeight="1">
      <c r="A331" s="602">
        <v>1082</v>
      </c>
      <c r="B331" s="618" t="str">
        <f>VLOOKUP(Table1[[#This Row],[الرقم الوظيفي]],[1]Sheet2!$1:$1048576,2,)</f>
        <v>احمد عبدالوهاب صالح داؤود</v>
      </c>
      <c r="C331" s="599" t="str">
        <f>VLOOKUP(Table1[[#This Row],[الرقم الوظيفي]],[1]Sheet2!$1:$1048576,7,)</f>
        <v>الرئاسه</v>
      </c>
      <c r="D331" s="599" t="str">
        <f>VLOOKUP(Table1[[#This Row],[الرقم الوظيفي]],[1]Sheet2!$1:$1048576,8,)</f>
        <v>الماليه</v>
      </c>
      <c r="E331" s="599">
        <f>VLOOKUP(Table1[[#This Row],[الرقم الوظيفي]],[1]Sheet2!$1:$1048576,9,)</f>
        <v>0</v>
      </c>
      <c r="F331" s="599" t="str">
        <f>VLOOKUP(Table1[[#This Row],[الرقم الوظيفي]],[1]Sheet2!$1:$1048576,12,)</f>
        <v>محاسب</v>
      </c>
      <c r="G331" s="599" t="str">
        <f>VLOOKUP(Table1[[#This Row],[الرقم الوظيفي]],[1]Sheet2!$1:$1048576,72,)</f>
        <v>بكلاريوس</v>
      </c>
      <c r="H331" s="599" t="str">
        <f>VLOOKUP(Table1[[#This Row],[الرقم الوظيفي]],[1]Sheet2!$1:$1048576,71,)</f>
        <v>الدراسات المصرفية والمالية</v>
      </c>
      <c r="I331" s="599" t="str">
        <f>VLOOKUP(Table1[[#This Row],[المؤهل الرئيسي]],Table4[],3,)</f>
        <v>C</v>
      </c>
      <c r="J331" s="599" t="s">
        <v>922</v>
      </c>
      <c r="K331" s="615">
        <f>VLOOKUP(Table1[[#This Row],[الرقم الوظيفي]],[1]Sheet2!$1:$1048576,13,)</f>
        <v>43444</v>
      </c>
      <c r="L331" s="615">
        <v>43830</v>
      </c>
      <c r="M331" s="599">
        <f>DATEDIF(Table1[[#This Row],[تاريخ التعيين]],Table1[[#This Row],[اخر العام]],"y")</f>
        <v>1</v>
      </c>
      <c r="N331" s="599">
        <f>DATEDIF(Table1[[#This Row],[تاريخ التعيين]],Table1[[#This Row],[اخر العام]],"ym")</f>
        <v>0</v>
      </c>
      <c r="O331" s="610">
        <f>Table1[[#This Row],[سنوات الخدمه]]*1+Table1[[#This Row],[الشهور اقل من سنه]]*0.08</f>
        <v>1</v>
      </c>
      <c r="P331" s="616">
        <v>4500</v>
      </c>
      <c r="Q331" s="617">
        <v>0</v>
      </c>
      <c r="R331" s="612"/>
      <c r="S331" s="599"/>
      <c r="T331" s="612"/>
      <c r="U331" s="612"/>
      <c r="V331" s="612"/>
      <c r="W331" s="612"/>
      <c r="X331" s="612"/>
      <c r="Y331" s="612"/>
      <c r="Z331" s="612"/>
      <c r="AA33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1" s="612"/>
      <c r="AC331" s="599"/>
      <c r="AD331" s="612"/>
      <c r="AE331" s="612"/>
      <c r="AF331" s="612"/>
      <c r="AG331" s="612"/>
      <c r="AH331" s="619">
        <f>SUM(Table1[[#This Row],[التقييد  باللوائح و تنفيذالتوجيه]:[اتباع اجراءات السلامه]])</f>
        <v>0</v>
      </c>
      <c r="AI331" s="619">
        <f>Table1[[#This Row],[المجموع]]+Table1[[#This Row],[المجموع2]]</f>
        <v>0</v>
      </c>
      <c r="AJ331" s="612">
        <v>6</v>
      </c>
      <c r="AK331" s="612"/>
      <c r="AL331" s="612"/>
      <c r="AM331" s="612">
        <v>6</v>
      </c>
      <c r="AN331" s="612"/>
      <c r="AO331" s="606">
        <f>Table1[[#This Row],[المجموع 1+2]]*$AO$2</f>
        <v>0</v>
      </c>
      <c r="AP331" s="648">
        <f>Table1[[#This Row],[راتب ديسمبر 2019]]*Table1[[#This Row],[نسبه التقييم الرئيسي 2018]]%</f>
        <v>0</v>
      </c>
      <c r="AQ331" s="627">
        <f>Table1[[#This Row],[مبلغ التقييم النسبي 2018]]+Table1[[#This Row],[راتب ديسمبر 2019]]</f>
        <v>4500</v>
      </c>
      <c r="AR331" s="10">
        <f>IF(Table1[[#This Row],[Column3]]&lt;0,0,Table1[[#This Row],[Column3]])</f>
        <v>6500</v>
      </c>
      <c r="AS331" s="599">
        <f>VLOOKUP(Table1[[#This Row],[درجه التوسيط]],Table10[],3,)</f>
        <v>11000</v>
      </c>
      <c r="AT331" s="608">
        <f>Table1[[#This Row],[الراتب 2018+النسبه]]+Table1[[#This Row],[فروقات الحد الادني]]</f>
        <v>11000</v>
      </c>
      <c r="AU331" s="629">
        <f>Table1[[#This Row],[الراتب 2018 + النسبه + الفرق]]-Table1[[#This Row],[راتب ديسمبر 2019]]</f>
        <v>6500</v>
      </c>
      <c r="AV331" s="628">
        <f>Table1[[#This Row],[الزياده]]/Table1[[#This Row],[راتب ديسمبر 2019]]%</f>
        <v>144.44444444444446</v>
      </c>
      <c r="AW331" s="659">
        <f>IF(Table1[[#This Row],[Column4]]&lt;0,0,Table1[[#This Row],[Column4]])</f>
        <v>0</v>
      </c>
      <c r="AX331" s="611">
        <f>Table1[[#This Row],[الجبر حتي]]-Table1[[#This Row],[رن]]</f>
        <v>0</v>
      </c>
      <c r="AY331" s="611">
        <f>Table1[[#This Row],[الزياده]]+Table1[[#This Row],[التعديل]]+Table1[[#This Row],[جبر الرقم]]</f>
        <v>6500</v>
      </c>
      <c r="AZ331" s="611">
        <f>Table1[[#This Row],[الراتب 2018 + النسبه + الفرق]]+Table1[[#This Row],[جبر الرقم]]+Table1[[#This Row],[التعديل]]</f>
        <v>11000</v>
      </c>
      <c r="BA331" s="631">
        <f>Table1[[#This Row],[الزياده النهائيه]]/Table1[[#This Row],[راتب ديسمبر 2019]]%</f>
        <v>144.44444444444446</v>
      </c>
      <c r="BB331" s="612">
        <f>VLOOKUP(Table1[[#This Row],[الرقم الوظيفي]],Table6[],8,)</f>
        <v>4500</v>
      </c>
      <c r="BC331" s="7"/>
      <c r="BD331" s="7">
        <v>7000</v>
      </c>
      <c r="BE331" s="7">
        <v>7000</v>
      </c>
      <c r="BF331" s="5">
        <f>Table1[[#This Row],[الحد الادني]]-Table1[[#This Row],[الراتب 2018+النسبه]]</f>
        <v>6500</v>
      </c>
      <c r="BG331" s="5">
        <f>Table1[[#This Row],[التعديل حتي]]-Table1[[#This Row],[kkk]]</f>
        <v>-7000</v>
      </c>
      <c r="BH331" s="5">
        <v>7000</v>
      </c>
      <c r="BI331" s="5"/>
    </row>
    <row r="332" spans="1:61" ht="18.75" customHeight="1">
      <c r="A332" s="602">
        <v>1083</v>
      </c>
      <c r="B332" s="618" t="str">
        <f>VLOOKUP(Table1[[#This Row],[الرقم الوظيفي]],[1]Sheet2!$1:$1048576,2,)</f>
        <v>عبدالرحمن ابراهيم سنهورى الامين</v>
      </c>
      <c r="C332" s="599" t="str">
        <f>VLOOKUP(Table1[[#This Row],[الرقم الوظيفي]],[1]Sheet2!$1:$1048576,7,)</f>
        <v>السودانى الايطالى</v>
      </c>
      <c r="D332" s="599" t="str">
        <f>VLOOKUP(Table1[[#This Row],[الرقم الوظيفي]],[1]Sheet2!$1:$1048576,8,)</f>
        <v>الماليه</v>
      </c>
      <c r="E332" s="599">
        <f>VLOOKUP(Table1[[#This Row],[الرقم الوظيفي]],[1]Sheet2!$1:$1048576,9,)</f>
        <v>0</v>
      </c>
      <c r="F332" s="599" t="str">
        <f>VLOOKUP(Table1[[#This Row],[الرقم الوظيفي]],[1]Sheet2!$1:$1048576,12,)</f>
        <v>مديرمالى</v>
      </c>
      <c r="G332" s="599" t="str">
        <f>VLOOKUP(Table1[[#This Row],[الرقم الوظيفي]],[1]Sheet2!$1:$1048576,72,)</f>
        <v>دبلوم (معاهد)</v>
      </c>
      <c r="H332" s="599" t="str">
        <f>VLOOKUP(Table1[[#This Row],[الرقم الوظيفي]],[1]Sheet2!$1:$1048576,71,)</f>
        <v>محاسبة مالية</v>
      </c>
      <c r="I332" s="599" t="str">
        <f>VLOOKUP(Table1[[#This Row],[المؤهل الرئيسي]],Table4[],3,)</f>
        <v>E</v>
      </c>
      <c r="J332" s="599" t="s">
        <v>922</v>
      </c>
      <c r="K332" s="615">
        <f>VLOOKUP(Table1[[#This Row],[الرقم الوظيفي]],[1]Sheet2!$1:$1048576,13,)</f>
        <v>43435</v>
      </c>
      <c r="L332" s="615">
        <v>43830</v>
      </c>
      <c r="M332" s="599">
        <f>DATEDIF(Table1[[#This Row],[تاريخ التعيين]],Table1[[#This Row],[اخر العام]],"y")</f>
        <v>1</v>
      </c>
      <c r="N332" s="599">
        <f>DATEDIF(Table1[[#This Row],[تاريخ التعيين]],Table1[[#This Row],[اخر العام]],"ym")</f>
        <v>0</v>
      </c>
      <c r="O332" s="610">
        <f>Table1[[#This Row],[سنوات الخدمه]]*1+Table1[[#This Row],[الشهور اقل من سنه]]*0.08</f>
        <v>1</v>
      </c>
      <c r="P332" s="616">
        <v>10000</v>
      </c>
      <c r="Q332" s="617">
        <v>0</v>
      </c>
      <c r="R332" s="612"/>
      <c r="S332" s="599"/>
      <c r="T332" s="612"/>
      <c r="U332" s="612"/>
      <c r="V332" s="612"/>
      <c r="W332" s="612"/>
      <c r="X332" s="612"/>
      <c r="Y332" s="612"/>
      <c r="Z332" s="612"/>
      <c r="AA33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2" s="612"/>
      <c r="AC332" s="599"/>
      <c r="AD332" s="612"/>
      <c r="AE332" s="612"/>
      <c r="AF332" s="612"/>
      <c r="AG332" s="612"/>
      <c r="AH332" s="619">
        <f>SUM(Table1[[#This Row],[التقييد  باللوائح و تنفيذالتوجيه]:[اتباع اجراءات السلامه]])</f>
        <v>0</v>
      </c>
      <c r="AI332" s="619">
        <f>Table1[[#This Row],[المجموع]]+Table1[[#This Row],[المجموع2]]</f>
        <v>0</v>
      </c>
      <c r="AJ332" s="612">
        <v>9</v>
      </c>
      <c r="AK332" s="612"/>
      <c r="AL332" s="612"/>
      <c r="AM332" s="612"/>
      <c r="AN332" s="612"/>
      <c r="AO332" s="606">
        <f>Table1[[#This Row],[المجموع 1+2]]*$AO$2</f>
        <v>0</v>
      </c>
      <c r="AP332" s="648">
        <f>Table1[[#This Row],[راتب ديسمبر 2019]]*Table1[[#This Row],[نسبه التقييم الرئيسي 2018]]%</f>
        <v>0</v>
      </c>
      <c r="AQ332" s="627">
        <f>Table1[[#This Row],[مبلغ التقييم النسبي 2018]]+Table1[[#This Row],[راتب ديسمبر 2019]]</f>
        <v>10000</v>
      </c>
      <c r="AR332" s="10">
        <f>IF(Table1[[#This Row],[Column3]]&lt;0,0,Table1[[#This Row],[Column3]])</f>
        <v>1000</v>
      </c>
      <c r="AS332" s="599">
        <f>VLOOKUP(Table1[[#This Row],[درجه التوسيط]],Table10[],3,)</f>
        <v>11000</v>
      </c>
      <c r="AT332" s="608">
        <f>Table1[[#This Row],[الراتب 2018+النسبه]]+Table1[[#This Row],[فروقات الحد الادني]]</f>
        <v>11000</v>
      </c>
      <c r="AU332" s="629">
        <f>Table1[[#This Row],[الراتب 2018 + النسبه + الفرق]]-Table1[[#This Row],[راتب ديسمبر 2019]]</f>
        <v>1000</v>
      </c>
      <c r="AV332" s="628">
        <f>Table1[[#This Row],[الزياده]]/Table1[[#This Row],[راتب ديسمبر 2019]]%</f>
        <v>10</v>
      </c>
      <c r="AW332" s="659">
        <f>IF(Table1[[#This Row],[Column4]]&lt;0,0,Table1[[#This Row],[Column4]])</f>
        <v>0</v>
      </c>
      <c r="AX332" s="611">
        <f>Table1[[#This Row],[الجبر حتي]]-Table1[[#This Row],[رن]]</f>
        <v>0</v>
      </c>
      <c r="AY332" s="611">
        <f>Table1[[#This Row],[الزياده]]+Table1[[#This Row],[التعديل]]+Table1[[#This Row],[جبر الرقم]]</f>
        <v>1000</v>
      </c>
      <c r="AZ332" s="611">
        <f>Table1[[#This Row],[الراتب 2018 + النسبه + الفرق]]+Table1[[#This Row],[جبر الرقم]]+Table1[[#This Row],[التعديل]]</f>
        <v>11000</v>
      </c>
      <c r="BA332" s="631">
        <f>Table1[[#This Row],[الزياده النهائيه]]/Table1[[#This Row],[راتب ديسمبر 2019]]%</f>
        <v>10</v>
      </c>
      <c r="BB332" s="612">
        <f>VLOOKUP(Table1[[#This Row],[الرقم الوظيفي]],Table6[],8,)</f>
        <v>10000</v>
      </c>
      <c r="BC332" s="7"/>
      <c r="BD332" s="7">
        <v>12040</v>
      </c>
      <c r="BE332" s="7">
        <v>12040</v>
      </c>
      <c r="BF332" s="5">
        <f>Table1[[#This Row],[الحد الادني]]-Table1[[#This Row],[الراتب 2018+النسبه]]</f>
        <v>1000</v>
      </c>
      <c r="BG332" s="5">
        <f>Table1[[#This Row],[التعديل حتي]]-Table1[[#This Row],[kkk]]</f>
        <v>-12040</v>
      </c>
      <c r="BH332" s="5">
        <v>12040</v>
      </c>
      <c r="BI332" s="5"/>
    </row>
    <row r="333" spans="1:61" ht="18.75" customHeight="1">
      <c r="A333" s="602">
        <v>1077</v>
      </c>
      <c r="B333" s="618" t="str">
        <f>VLOOKUP(Table1[[#This Row],[الرقم الوظيفي]],[1]Sheet2!$1:$1048576,2,)</f>
        <v>عمادالدين بله محمد ادم</v>
      </c>
      <c r="C333" s="599" t="str">
        <f>VLOOKUP(Table1[[#This Row],[الرقم الوظيفي]],[1]Sheet2!$1:$1048576,7,)</f>
        <v>التعدين</v>
      </c>
      <c r="D333" s="599">
        <f>VLOOKUP(Table1[[#This Row],[الرقم الوظيفي]],[1]Sheet2!$1:$1048576,8,)</f>
        <v>0</v>
      </c>
      <c r="E333" s="599">
        <f>VLOOKUP(Table1[[#This Row],[الرقم الوظيفي]],[1]Sheet2!$1:$1048576,9,)</f>
        <v>0</v>
      </c>
      <c r="F333" s="599" t="str">
        <f>VLOOKUP(Table1[[#This Row],[الرقم الوظيفي]],[1]Sheet2!$1:$1048576,12,)</f>
        <v>محاسب</v>
      </c>
      <c r="G333" s="599" t="str">
        <f>VLOOKUP(Table1[[#This Row],[الرقم الوظيفي]],[1]Sheet2!$1:$1048576,72,)</f>
        <v>شهاده ثانويه</v>
      </c>
      <c r="H333" s="599">
        <f>VLOOKUP(Table1[[#This Row],[الرقم الوظيفي]],[1]Sheet2!$1:$1048576,71,)</f>
        <v>0</v>
      </c>
      <c r="I333" s="599" t="str">
        <f>VLOOKUP(Table1[[#This Row],[المؤهل الرئيسي]],Table4[],3,)</f>
        <v>F</v>
      </c>
      <c r="J333" s="599" t="s">
        <v>922</v>
      </c>
      <c r="K333" s="615">
        <f>VLOOKUP(Table1[[#This Row],[الرقم الوظيفي]],[1]Sheet2!$1:$1048576,13,)</f>
        <v>43435</v>
      </c>
      <c r="L333" s="615">
        <v>43830</v>
      </c>
      <c r="M333" s="599">
        <f>DATEDIF(Table1[[#This Row],[تاريخ التعيين]],Table1[[#This Row],[اخر العام]],"y")</f>
        <v>1</v>
      </c>
      <c r="N333" s="599">
        <f>DATEDIF(Table1[[#This Row],[تاريخ التعيين]],Table1[[#This Row],[اخر العام]],"ym")</f>
        <v>0</v>
      </c>
      <c r="O333" s="610">
        <f>Table1[[#This Row],[سنوات الخدمه]]*1+Table1[[#This Row],[الشهور اقل من سنه]]*0.08</f>
        <v>1</v>
      </c>
      <c r="P333" s="616">
        <v>6000</v>
      </c>
      <c r="Q333" s="617">
        <v>0</v>
      </c>
      <c r="R333" s="612"/>
      <c r="S333" s="599"/>
      <c r="T333" s="612"/>
      <c r="U333" s="612"/>
      <c r="V333" s="612"/>
      <c r="W333" s="612"/>
      <c r="X333" s="612"/>
      <c r="Y333" s="612"/>
      <c r="Z333" s="612"/>
      <c r="AA33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3" s="612"/>
      <c r="AC333" s="599"/>
      <c r="AD333" s="612"/>
      <c r="AE333" s="612"/>
      <c r="AF333" s="612"/>
      <c r="AG333" s="612"/>
      <c r="AH333" s="619">
        <f>SUM(Table1[[#This Row],[التقييد  باللوائح و تنفيذالتوجيه]:[اتباع اجراءات السلامه]])</f>
        <v>0</v>
      </c>
      <c r="AI333" s="619">
        <f>Table1[[#This Row],[المجموع]]+Table1[[#This Row],[المجموع2]]</f>
        <v>0</v>
      </c>
      <c r="AJ333" s="612"/>
      <c r="AK333" s="612"/>
      <c r="AL333" s="612"/>
      <c r="AM333" s="612"/>
      <c r="AN333" s="612"/>
      <c r="AO333" s="606">
        <f>Table1[[#This Row],[المجموع 1+2]]*$AO$2</f>
        <v>0</v>
      </c>
      <c r="AP333" s="648">
        <f>Table1[[#This Row],[راتب ديسمبر 2019]]*Table1[[#This Row],[نسبه التقييم الرئيسي 2018]]%</f>
        <v>0</v>
      </c>
      <c r="AQ333" s="627">
        <f>Table1[[#This Row],[مبلغ التقييم النسبي 2018]]+Table1[[#This Row],[راتب ديسمبر 2019]]</f>
        <v>6000</v>
      </c>
      <c r="AR333" s="10">
        <f>IF(Table1[[#This Row],[Column3]]&lt;0,0,Table1[[#This Row],[Column3]])</f>
        <v>5000</v>
      </c>
      <c r="AS333" s="599">
        <f>VLOOKUP(Table1[[#This Row],[درجه التوسيط]],Table10[],3,)</f>
        <v>11000</v>
      </c>
      <c r="AT333" s="608">
        <f>Table1[[#This Row],[الراتب 2018+النسبه]]+Table1[[#This Row],[فروقات الحد الادني]]</f>
        <v>11000</v>
      </c>
      <c r="AU333" s="629">
        <f>Table1[[#This Row],[الراتب 2018 + النسبه + الفرق]]-Table1[[#This Row],[راتب ديسمبر 2019]]</f>
        <v>5000</v>
      </c>
      <c r="AV333" s="628">
        <f>Table1[[#This Row],[الزياده]]/Table1[[#This Row],[راتب ديسمبر 2019]]%</f>
        <v>83.333333333333329</v>
      </c>
      <c r="AW333" s="659">
        <f>IF(Table1[[#This Row],[Column4]]&lt;0,0,Table1[[#This Row],[Column4]])</f>
        <v>0</v>
      </c>
      <c r="AX333" s="611">
        <f>Table1[[#This Row],[الجبر حتي]]-Table1[[#This Row],[رن]]</f>
        <v>6</v>
      </c>
      <c r="AY333" s="611">
        <f>Table1[[#This Row],[الزياده]]+Table1[[#This Row],[التعديل]]+Table1[[#This Row],[جبر الرقم]]</f>
        <v>5006</v>
      </c>
      <c r="AZ333" s="611">
        <f>Table1[[#This Row],[الراتب 2018 + النسبه + الفرق]]+Table1[[#This Row],[جبر الرقم]]+Table1[[#This Row],[التعديل]]</f>
        <v>11006</v>
      </c>
      <c r="BA333" s="631">
        <f>Table1[[#This Row],[الزياده النهائيه]]/Table1[[#This Row],[راتب ديسمبر 2019]]%</f>
        <v>83.433333333333337</v>
      </c>
      <c r="BB333" s="612">
        <f>VLOOKUP(Table1[[#This Row],[الرقم الوظيفي]],Table6[],8,)</f>
        <v>6000</v>
      </c>
      <c r="BC333" s="7"/>
      <c r="BD333" s="7">
        <v>8310</v>
      </c>
      <c r="BE333" s="7">
        <v>8304</v>
      </c>
      <c r="BF333" s="5">
        <f>Table1[[#This Row],[الحد الادني]]-Table1[[#This Row],[الراتب 2018+النسبه]]</f>
        <v>5000</v>
      </c>
      <c r="BG333" s="5">
        <f>Table1[[#This Row],[التعديل حتي]]-Table1[[#This Row],[kkk]]</f>
        <v>-8304</v>
      </c>
      <c r="BH333" s="5">
        <v>8304</v>
      </c>
      <c r="BI333" s="5"/>
    </row>
    <row r="334" spans="1:61" ht="18.75" customHeight="1">
      <c r="A334" s="602">
        <v>8091</v>
      </c>
      <c r="B334" s="618" t="str">
        <f>VLOOKUP(Table1[[#This Row],[الرقم الوظيفي]],[1]Sheet2!$1:$1048576,2,)</f>
        <v>محمد سيف الدين محمد حسين</v>
      </c>
      <c r="C334" s="599" t="str">
        <f>VLOOKUP(Table1[[#This Row],[الرقم الوظيفي]],[1]Sheet2!$1:$1048576,7,)</f>
        <v>السودانى الايطالى</v>
      </c>
      <c r="D334" s="599" t="str">
        <f>VLOOKUP(Table1[[#This Row],[الرقم الوظيفي]],[1]Sheet2!$1:$1048576,8,)</f>
        <v>الانتاج</v>
      </c>
      <c r="E334" s="599">
        <f>VLOOKUP(Table1[[#This Row],[الرقم الوظيفي]],[1]Sheet2!$1:$1048576,9,)</f>
        <v>0</v>
      </c>
      <c r="F334" s="599" t="str">
        <f>VLOOKUP(Table1[[#This Row],[الرقم الوظيفي]],[1]Sheet2!$1:$1048576,12,)</f>
        <v>مشغل</v>
      </c>
      <c r="G334" s="599">
        <f>VLOOKUP(Table1[[#This Row],[الرقم الوظيفي]],[1]Sheet2!$1:$1048576,72,)</f>
        <v>0</v>
      </c>
      <c r="H334" s="599">
        <f>VLOOKUP(Table1[[#This Row],[الرقم الوظيفي]],[1]Sheet2!$1:$1048576,71,)</f>
        <v>0</v>
      </c>
      <c r="I334" s="599" t="str">
        <f>VLOOKUP(Table1[[#This Row],[المؤهل الرئيسي]],Table4[],3,)</f>
        <v>H</v>
      </c>
      <c r="J334" s="599" t="s">
        <v>922</v>
      </c>
      <c r="K334" s="615">
        <f>VLOOKUP(Table1[[#This Row],[الرقم الوظيفي]],[1]Sheet2!$1:$1048576,13,)</f>
        <v>0</v>
      </c>
      <c r="L334" s="615">
        <v>43830</v>
      </c>
      <c r="M334" s="599">
        <f>DATEDIF(Table1[[#This Row],[تاريخ التعيين]],Table1[[#This Row],[اخر العام]],"y")</f>
        <v>119</v>
      </c>
      <c r="N334" s="599">
        <f>DATEDIF(Table1[[#This Row],[تاريخ التعيين]],Table1[[#This Row],[اخر العام]],"ym")</f>
        <v>11</v>
      </c>
      <c r="O334" s="610">
        <f>Table1[[#This Row],[سنوات الخدمه]]*1+Table1[[#This Row],[الشهور اقل من سنه]]*0.08</f>
        <v>119.88</v>
      </c>
      <c r="P334" s="616">
        <v>5100</v>
      </c>
      <c r="Q334" s="617">
        <v>12125.76</v>
      </c>
      <c r="R334" s="612"/>
      <c r="S334" s="599"/>
      <c r="T334" s="612"/>
      <c r="U334" s="612"/>
      <c r="V334" s="612"/>
      <c r="W334" s="612"/>
      <c r="X334" s="612"/>
      <c r="Y334" s="612"/>
      <c r="Z334" s="612"/>
      <c r="AA33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4" s="612"/>
      <c r="AC334" s="599"/>
      <c r="AD334" s="612"/>
      <c r="AE334" s="612"/>
      <c r="AF334" s="612"/>
      <c r="AG334" s="612"/>
      <c r="AH334" s="619">
        <f>SUM(Table1[[#This Row],[التقييد  باللوائح و تنفيذالتوجيه]:[اتباع اجراءات السلامه]])</f>
        <v>0</v>
      </c>
      <c r="AI334" s="619">
        <f>Table1[[#This Row],[المجموع]]+Table1[[#This Row],[المجموع2]]</f>
        <v>0</v>
      </c>
      <c r="AJ334" s="612">
        <v>10</v>
      </c>
      <c r="AK334" s="612"/>
      <c r="AL334" s="612"/>
      <c r="AM334" s="612"/>
      <c r="AN334" s="612"/>
      <c r="AO334" s="606">
        <f>Table1[[#This Row],[المجموع 1+2]]*$AO$2</f>
        <v>0</v>
      </c>
      <c r="AP334" s="648">
        <f>Table1[[#This Row],[راتب ديسمبر 2019]]*Table1[[#This Row],[نسبه التقييم الرئيسي 2018]]%</f>
        <v>0</v>
      </c>
      <c r="AQ334" s="627">
        <f>Table1[[#This Row],[مبلغ التقييم النسبي 2018]]+Table1[[#This Row],[راتب ديسمبر 2019]]</f>
        <v>5100</v>
      </c>
      <c r="AR334" s="10">
        <f>IF(Table1[[#This Row],[Column3]]&lt;0,0,Table1[[#This Row],[Column3]])</f>
        <v>5900</v>
      </c>
      <c r="AS334" s="599">
        <f>VLOOKUP(Table1[[#This Row],[درجه التوسيط]],Table10[],3,)</f>
        <v>11000</v>
      </c>
      <c r="AT334" s="608">
        <f>Table1[[#This Row],[الراتب 2018+النسبه]]+Table1[[#This Row],[فروقات الحد الادني]]</f>
        <v>11000</v>
      </c>
      <c r="AU334" s="629">
        <f>Table1[[#This Row],[الراتب 2018 + النسبه + الفرق]]-Table1[[#This Row],[راتب ديسمبر 2019]]</f>
        <v>5900</v>
      </c>
      <c r="AV334" s="628">
        <f>Table1[[#This Row],[الزياده]]/Table1[[#This Row],[راتب ديسمبر 2019]]%</f>
        <v>115.68627450980392</v>
      </c>
      <c r="AW334" s="659">
        <f>IF(Table1[[#This Row],[Column4]]&lt;0,0,Table1[[#This Row],[Column4]])</f>
        <v>0</v>
      </c>
      <c r="AX334" s="611">
        <f>Table1[[#This Row],[الجبر حتي]]-Table1[[#This Row],[رن]]</f>
        <v>0.6000000000003638</v>
      </c>
      <c r="AY334" s="611">
        <f>Table1[[#This Row],[الزياده]]+Table1[[#This Row],[التعديل]]+Table1[[#This Row],[جبر الرقم]]</f>
        <v>5900.6</v>
      </c>
      <c r="AZ334" s="611">
        <f>Table1[[#This Row],[الراتب 2018 + النسبه + الفرق]]+Table1[[#This Row],[جبر الرقم]]+Table1[[#This Row],[التعديل]]</f>
        <v>11000.6</v>
      </c>
      <c r="BA334" s="631">
        <f>Table1[[#This Row],[الزياده النهائيه]]/Table1[[#This Row],[راتب ديسمبر 2019]]%</f>
        <v>115.69803921568628</v>
      </c>
      <c r="BB334" s="612">
        <f>VLOOKUP(Table1[[#This Row],[الرقم الوظيفي]],Table6[],8,)</f>
        <v>5100</v>
      </c>
      <c r="BC334" s="7"/>
      <c r="BD334" s="7">
        <v>8130</v>
      </c>
      <c r="BE334" s="7">
        <v>8129.4</v>
      </c>
      <c r="BF334" s="5">
        <f>Table1[[#This Row],[الحد الادني]]-Table1[[#This Row],[الراتب 2018+النسبه]]</f>
        <v>5900</v>
      </c>
      <c r="BG334" s="5">
        <f>Table1[[#This Row],[التعديل حتي]]-Table1[[#This Row],[kkk]]</f>
        <v>-8129.4</v>
      </c>
      <c r="BH334" s="5">
        <v>8129.4</v>
      </c>
      <c r="BI334" s="5"/>
    </row>
    <row r="335" spans="1:61" ht="18.75" customHeight="1">
      <c r="A335" s="602">
        <v>8092</v>
      </c>
      <c r="B335" s="618" t="str">
        <f>VLOOKUP(Table1[[#This Row],[الرقم الوظيفي]],[1]Sheet2!$1:$1048576,2,)</f>
        <v>عماد السنوسي محمد احمد</v>
      </c>
      <c r="C335" s="599" t="str">
        <f>VLOOKUP(Table1[[#This Row],[الرقم الوظيفي]],[1]Sheet2!$1:$1048576,7,)</f>
        <v>السودانى الايطالى</v>
      </c>
      <c r="D335" s="599" t="str">
        <f>VLOOKUP(Table1[[#This Row],[الرقم الوظيفي]],[1]Sheet2!$1:$1048576,8,)</f>
        <v>الانتاج</v>
      </c>
      <c r="E335" s="599">
        <f>VLOOKUP(Table1[[#This Row],[الرقم الوظيفي]],[1]Sheet2!$1:$1048576,9,)</f>
        <v>0</v>
      </c>
      <c r="F335" s="599" t="str">
        <f>VLOOKUP(Table1[[#This Row],[الرقم الوظيفي]],[1]Sheet2!$1:$1048576,12,)</f>
        <v>مشغل</v>
      </c>
      <c r="G335" s="599">
        <f>VLOOKUP(Table1[[#This Row],[الرقم الوظيفي]],[1]Sheet2!$1:$1048576,72,)</f>
        <v>0</v>
      </c>
      <c r="H335" s="599">
        <f>VLOOKUP(Table1[[#This Row],[الرقم الوظيفي]],[1]Sheet2!$1:$1048576,71,)</f>
        <v>0</v>
      </c>
      <c r="I335" s="599" t="str">
        <f>VLOOKUP(Table1[[#This Row],[المؤهل الرئيسي]],Table4[],3,)</f>
        <v>H</v>
      </c>
      <c r="J335" s="599" t="s">
        <v>923</v>
      </c>
      <c r="K335" s="615">
        <f>VLOOKUP(Table1[[#This Row],[الرقم الوظيفي]],[1]Sheet2!$1:$1048576,13,)</f>
        <v>42435</v>
      </c>
      <c r="L335" s="615">
        <v>43830</v>
      </c>
      <c r="M335" s="599">
        <f>DATEDIF(Table1[[#This Row],[تاريخ التعيين]],Table1[[#This Row],[اخر العام]],"y")</f>
        <v>3</v>
      </c>
      <c r="N335" s="599">
        <f>DATEDIF(Table1[[#This Row],[تاريخ التعيين]],Table1[[#This Row],[اخر العام]],"ym")</f>
        <v>9</v>
      </c>
      <c r="O335" s="610">
        <f>Table1[[#This Row],[سنوات الخدمه]]*1+Table1[[#This Row],[الشهور اقل من سنه]]*0.08</f>
        <v>3.7199999999999998</v>
      </c>
      <c r="P335" s="616">
        <v>5100</v>
      </c>
      <c r="Q335" s="617">
        <v>277.44</v>
      </c>
      <c r="R335" s="612"/>
      <c r="S335" s="599"/>
      <c r="T335" s="612"/>
      <c r="U335" s="612"/>
      <c r="V335" s="612"/>
      <c r="W335" s="612"/>
      <c r="X335" s="612"/>
      <c r="Y335" s="612"/>
      <c r="Z335" s="612"/>
      <c r="AA33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5" s="612"/>
      <c r="AC335" s="599"/>
      <c r="AD335" s="612"/>
      <c r="AE335" s="612"/>
      <c r="AF335" s="612"/>
      <c r="AG335" s="612"/>
      <c r="AH335" s="619">
        <f>SUM(Table1[[#This Row],[التقييد  باللوائح و تنفيذالتوجيه]:[اتباع اجراءات السلامه]])</f>
        <v>0</v>
      </c>
      <c r="AI335" s="619">
        <f>Table1[[#This Row],[المجموع]]+Table1[[#This Row],[المجموع2]]</f>
        <v>0</v>
      </c>
      <c r="AJ335" s="612">
        <v>6</v>
      </c>
      <c r="AK335" s="612"/>
      <c r="AL335" s="612"/>
      <c r="AM335" s="612"/>
      <c r="AN335" s="612"/>
      <c r="AO335" s="606">
        <f>Table1[[#This Row],[المجموع 1+2]]*$AO$2</f>
        <v>0</v>
      </c>
      <c r="AP335" s="648">
        <f>Table1[[#This Row],[راتب ديسمبر 2019]]*Table1[[#This Row],[نسبه التقييم الرئيسي 2018]]%</f>
        <v>0</v>
      </c>
      <c r="AQ335" s="627">
        <f>Table1[[#This Row],[مبلغ التقييم النسبي 2018]]+Table1[[#This Row],[راتب ديسمبر 2019]]</f>
        <v>5100</v>
      </c>
      <c r="AR335" s="10">
        <f>IF(Table1[[#This Row],[Column3]]&lt;0,0,Table1[[#This Row],[Column3]])</f>
        <v>4900</v>
      </c>
      <c r="AS335" s="599">
        <f>VLOOKUP(Table1[[#This Row],[درجه التوسيط]],Table10[],3,)</f>
        <v>10000</v>
      </c>
      <c r="AT335" s="608">
        <f>Table1[[#This Row],[الراتب 2018+النسبه]]+Table1[[#This Row],[فروقات الحد الادني]]</f>
        <v>10000</v>
      </c>
      <c r="AU335" s="629">
        <f>Table1[[#This Row],[الراتب 2018 + النسبه + الفرق]]-Table1[[#This Row],[راتب ديسمبر 2019]]</f>
        <v>4900</v>
      </c>
      <c r="AV335" s="628">
        <f>Table1[[#This Row],[الزياده]]/Table1[[#This Row],[راتب ديسمبر 2019]]%</f>
        <v>96.078431372549019</v>
      </c>
      <c r="AW335" s="659">
        <f>IF(Table1[[#This Row],[Column4]]&lt;0,0,Table1[[#This Row],[Column4]])</f>
        <v>0</v>
      </c>
      <c r="AX335" s="611">
        <f>Table1[[#This Row],[الجبر حتي]]-Table1[[#This Row],[رن]]</f>
        <v>1</v>
      </c>
      <c r="AY335" s="611">
        <f>Table1[[#This Row],[الزياده]]+Table1[[#This Row],[التعديل]]+Table1[[#This Row],[جبر الرقم]]</f>
        <v>4901</v>
      </c>
      <c r="AZ335" s="611">
        <f>Table1[[#This Row],[الراتب 2018 + النسبه + الفرق]]+Table1[[#This Row],[جبر الرقم]]+Table1[[#This Row],[التعديل]]</f>
        <v>10001</v>
      </c>
      <c r="BA335" s="631">
        <f>Table1[[#This Row],[الزياده النهائيه]]/Table1[[#This Row],[راتب ديسمبر 2019]]%</f>
        <v>96.098039215686271</v>
      </c>
      <c r="BB335" s="612">
        <f>VLOOKUP(Table1[[#This Row],[الرقم الوظيفي]],Table6[],8,)</f>
        <v>5100</v>
      </c>
      <c r="BC335" s="7"/>
      <c r="BD335" s="7">
        <v>7090</v>
      </c>
      <c r="BE335" s="7">
        <v>7089</v>
      </c>
      <c r="BF335" s="5">
        <f>Table1[[#This Row],[الحد الادني]]-Table1[[#This Row],[الراتب 2018+النسبه]]</f>
        <v>4900</v>
      </c>
      <c r="BG335" s="5">
        <f>Table1[[#This Row],[التعديل حتي]]-Table1[[#This Row],[kkk]]</f>
        <v>-7089</v>
      </c>
      <c r="BH335" s="5">
        <v>7089</v>
      </c>
      <c r="BI335" s="5"/>
    </row>
    <row r="336" spans="1:61" ht="18.75" customHeight="1">
      <c r="A336" s="602">
        <v>8081</v>
      </c>
      <c r="B336" s="618" t="str">
        <f>VLOOKUP(Table1[[#This Row],[الرقم الوظيفي]],[1]Sheet2!$1:$1048576,2,)</f>
        <v>خليل فرح احمد محمد</v>
      </c>
      <c r="C336" s="599" t="str">
        <f>VLOOKUP(Table1[[#This Row],[الرقم الوظيفي]],[1]Sheet2!$1:$1048576,7,)</f>
        <v>المصنع</v>
      </c>
      <c r="D336" s="599" t="str">
        <f>VLOOKUP(Table1[[#This Row],[الرقم الوظيفي]],[1]Sheet2!$1:$1048576,8,)</f>
        <v>الانتاج</v>
      </c>
      <c r="E336" s="599" t="str">
        <f>VLOOKUP(Table1[[#This Row],[الرقم الوظيفي]],[1]Sheet2!$1:$1048576,9,)</f>
        <v>المواسير</v>
      </c>
      <c r="F336" s="599" t="str">
        <f>VLOOKUP(Table1[[#This Row],[الرقم الوظيفي]],[1]Sheet2!$1:$1048576,12,)</f>
        <v>مشغل كرين</v>
      </c>
      <c r="G336" s="599">
        <f>VLOOKUP(Table1[[#This Row],[الرقم الوظيفي]],[1]Sheet2!$1:$1048576,72,)</f>
        <v>0</v>
      </c>
      <c r="H336" s="599">
        <f>VLOOKUP(Table1[[#This Row],[الرقم الوظيفي]],[1]Sheet2!$1:$1048576,71,)</f>
        <v>0</v>
      </c>
      <c r="I336" s="599" t="str">
        <f>VLOOKUP(Table1[[#This Row],[المؤهل الرئيسي]],Table4[],3,)</f>
        <v>H</v>
      </c>
      <c r="J336" s="599" t="s">
        <v>928</v>
      </c>
      <c r="K336" s="615">
        <f>VLOOKUP(Table1[[#This Row],[الرقم الوظيفي]],[1]Sheet2!$1:$1048576,13,)</f>
        <v>0</v>
      </c>
      <c r="L336" s="615">
        <v>43830</v>
      </c>
      <c r="M336" s="599">
        <f>DATEDIF(Table1[[#This Row],[تاريخ التعيين]],Table1[[#This Row],[اخر العام]],"y")</f>
        <v>119</v>
      </c>
      <c r="N336" s="599">
        <f>DATEDIF(Table1[[#This Row],[تاريخ التعيين]],Table1[[#This Row],[اخر العام]],"ym")</f>
        <v>11</v>
      </c>
      <c r="O336" s="610">
        <f>Table1[[#This Row],[سنوات الخدمه]]*1+Table1[[#This Row],[الشهور اقل من سنه]]*0.08</f>
        <v>119.88</v>
      </c>
      <c r="P336" s="616">
        <v>4500</v>
      </c>
      <c r="Q336" s="617">
        <v>10699.2</v>
      </c>
      <c r="R336" s="612"/>
      <c r="S336" s="599"/>
      <c r="T336" s="612"/>
      <c r="U336" s="612"/>
      <c r="V336" s="612"/>
      <c r="W336" s="612"/>
      <c r="X336" s="612"/>
      <c r="Y336" s="612"/>
      <c r="Z336" s="612"/>
      <c r="AA33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6" s="612"/>
      <c r="AC336" s="599"/>
      <c r="AD336" s="612"/>
      <c r="AE336" s="612"/>
      <c r="AF336" s="612"/>
      <c r="AG336" s="612"/>
      <c r="AH336" s="619">
        <f>SUM(Table1[[#This Row],[التقييد  باللوائح و تنفيذالتوجيه]:[اتباع اجراءات السلامه]])</f>
        <v>0</v>
      </c>
      <c r="AI336" s="619">
        <f>Table1[[#This Row],[المجموع]]+Table1[[#This Row],[المجموع2]]</f>
        <v>0</v>
      </c>
      <c r="AJ336" s="612"/>
      <c r="AK336" s="612"/>
      <c r="AL336" s="612"/>
      <c r="AM336" s="612"/>
      <c r="AN336" s="612"/>
      <c r="AO336" s="606">
        <f>Table1[[#This Row],[المجموع 1+2]]*$AO$2</f>
        <v>0</v>
      </c>
      <c r="AP336" s="648">
        <f>Table1[[#This Row],[راتب ديسمبر 2019]]*Table1[[#This Row],[نسبه التقييم الرئيسي 2018]]%</f>
        <v>0</v>
      </c>
      <c r="AQ336" s="627">
        <f>Table1[[#This Row],[مبلغ التقييم النسبي 2018]]+Table1[[#This Row],[راتب ديسمبر 2019]]</f>
        <v>4500</v>
      </c>
      <c r="AR336" s="10">
        <f>IF(Table1[[#This Row],[Column3]]&lt;0,0,Table1[[#This Row],[Column3]])</f>
        <v>2500</v>
      </c>
      <c r="AS336" s="599">
        <f>VLOOKUP(Table1[[#This Row],[درجه التوسيط]],Table10[],3,)</f>
        <v>7000</v>
      </c>
      <c r="AT336" s="608">
        <f>Table1[[#This Row],[الراتب 2018+النسبه]]+Table1[[#This Row],[فروقات الحد الادني]]</f>
        <v>7000</v>
      </c>
      <c r="AU336" s="629">
        <f>Table1[[#This Row],[الراتب 2018 + النسبه + الفرق]]-Table1[[#This Row],[راتب ديسمبر 2019]]</f>
        <v>2500</v>
      </c>
      <c r="AV336" s="628">
        <f>Table1[[#This Row],[الزياده]]/Table1[[#This Row],[راتب ديسمبر 2019]]%</f>
        <v>55.555555555555557</v>
      </c>
      <c r="AW336" s="659">
        <f>IF(Table1[[#This Row],[Column4]]&lt;0,0,Table1[[#This Row],[Column4]])</f>
        <v>0</v>
      </c>
      <c r="AX336" s="611">
        <f>Table1[[#This Row],[الجبر حتي]]-Table1[[#This Row],[رن]]</f>
        <v>8</v>
      </c>
      <c r="AY336" s="611">
        <f>Table1[[#This Row],[الزياده]]+Table1[[#This Row],[التعديل]]+Table1[[#This Row],[جبر الرقم]]</f>
        <v>2508</v>
      </c>
      <c r="AZ336" s="611">
        <f>Table1[[#This Row],[الراتب 2018 + النسبه + الفرق]]+Table1[[#This Row],[جبر الرقم]]+Table1[[#This Row],[التعديل]]</f>
        <v>7008</v>
      </c>
      <c r="BA336" s="631">
        <f>Table1[[#This Row],[الزياده النهائيه]]/Table1[[#This Row],[راتب ديسمبر 2019]]%</f>
        <v>55.733333333333334</v>
      </c>
      <c r="BB336" s="612">
        <f>VLOOKUP(Table1[[#This Row],[الرقم الوظيفي]],Table6[],8,)</f>
        <v>4500</v>
      </c>
      <c r="BC336" s="7"/>
      <c r="BD336" s="7">
        <v>6830</v>
      </c>
      <c r="BE336" s="7">
        <v>6822</v>
      </c>
      <c r="BF336" s="5">
        <f>Table1[[#This Row],[الحد الادني]]-Table1[[#This Row],[الراتب 2018+النسبه]]</f>
        <v>2500</v>
      </c>
      <c r="BG336" s="5">
        <f>Table1[[#This Row],[التعديل حتي]]-Table1[[#This Row],[kkk]]</f>
        <v>-6822</v>
      </c>
      <c r="BH336" s="5">
        <v>6822</v>
      </c>
      <c r="BI336" s="5"/>
    </row>
    <row r="337" spans="1:61" ht="18.75" customHeight="1">
      <c r="A337" s="602">
        <v>8093</v>
      </c>
      <c r="B337" s="618" t="str">
        <f>VLOOKUP(Table1[[#This Row],[الرقم الوظيفي]],[1]Sheet2!$1:$1048576,2,)</f>
        <v>حسين حماد فرح الدور موسى</v>
      </c>
      <c r="C337" s="599" t="str">
        <f>VLOOKUP(Table1[[#This Row],[الرقم الوظيفي]],[1]Sheet2!$1:$1048576,7,)</f>
        <v>المصنع</v>
      </c>
      <c r="D337" s="599" t="str">
        <f>VLOOKUP(Table1[[#This Row],[الرقم الوظيفي]],[1]Sheet2!$1:$1048576,8,)</f>
        <v>الاليات</v>
      </c>
      <c r="E337" s="599">
        <f>VLOOKUP(Table1[[#This Row],[الرقم الوظيفي]],[1]Sheet2!$1:$1048576,9,)</f>
        <v>0</v>
      </c>
      <c r="F337" s="599" t="str">
        <f>VLOOKUP(Table1[[#This Row],[الرقم الوظيفي]],[1]Sheet2!$1:$1048576,12,)</f>
        <v>فني اليات</v>
      </c>
      <c r="G337" s="599">
        <f>VLOOKUP(Table1[[#This Row],[الرقم الوظيفي]],[1]Sheet2!$1:$1048576,72,)</f>
        <v>0</v>
      </c>
      <c r="H337" s="599">
        <f>VLOOKUP(Table1[[#This Row],[الرقم الوظيفي]],[1]Sheet2!$1:$1048576,71,)</f>
        <v>0</v>
      </c>
      <c r="I337" s="599" t="str">
        <f>VLOOKUP(Table1[[#This Row],[المؤهل الرئيسي]],Table4[],3,)</f>
        <v>H</v>
      </c>
      <c r="J337" s="599" t="s">
        <v>922</v>
      </c>
      <c r="K337" s="615">
        <f>VLOOKUP(Table1[[#This Row],[الرقم الوظيفي]],[1]Sheet2!$1:$1048576,13,)</f>
        <v>42481</v>
      </c>
      <c r="L337" s="615">
        <v>43830</v>
      </c>
      <c r="M337" s="599">
        <f>DATEDIF(Table1[[#This Row],[تاريخ التعيين]],Table1[[#This Row],[اخر العام]],"y")</f>
        <v>3</v>
      </c>
      <c r="N337" s="599">
        <f>DATEDIF(Table1[[#This Row],[تاريخ التعيين]],Table1[[#This Row],[اخر العام]],"ym")</f>
        <v>8</v>
      </c>
      <c r="O337" s="610">
        <f>Table1[[#This Row],[سنوات الخدمه]]*1+Table1[[#This Row],[الشهور اقل من سنه]]*0.08</f>
        <v>3.64</v>
      </c>
      <c r="P337" s="616">
        <v>5400</v>
      </c>
      <c r="Q337" s="617">
        <v>285.12</v>
      </c>
      <c r="R337" s="612"/>
      <c r="S337" s="599"/>
      <c r="T337" s="612"/>
      <c r="U337" s="612"/>
      <c r="V337" s="612"/>
      <c r="W337" s="612"/>
      <c r="X337" s="612"/>
      <c r="Y337" s="612"/>
      <c r="Z337" s="612"/>
      <c r="AA33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7" s="612"/>
      <c r="AC337" s="599"/>
      <c r="AD337" s="612"/>
      <c r="AE337" s="612"/>
      <c r="AF337" s="612"/>
      <c r="AG337" s="612"/>
      <c r="AH337" s="619">
        <f>SUM(Table1[[#This Row],[التقييد  باللوائح و تنفيذالتوجيه]:[اتباع اجراءات السلامه]])</f>
        <v>0</v>
      </c>
      <c r="AI337" s="619">
        <f>Table1[[#This Row],[المجموع]]+Table1[[#This Row],[المجموع2]]</f>
        <v>0</v>
      </c>
      <c r="AJ337" s="612"/>
      <c r="AK337" s="612"/>
      <c r="AL337" s="612"/>
      <c r="AM337" s="612"/>
      <c r="AN337" s="612"/>
      <c r="AO337" s="606">
        <f>Table1[[#This Row],[المجموع 1+2]]*$AO$2</f>
        <v>0</v>
      </c>
      <c r="AP337" s="648">
        <f>Table1[[#This Row],[راتب ديسمبر 2019]]*Table1[[#This Row],[نسبه التقييم الرئيسي 2018]]%</f>
        <v>0</v>
      </c>
      <c r="AQ337" s="627">
        <f>Table1[[#This Row],[مبلغ التقييم النسبي 2018]]+Table1[[#This Row],[راتب ديسمبر 2019]]</f>
        <v>5400</v>
      </c>
      <c r="AR337" s="10">
        <f>IF(Table1[[#This Row],[Column3]]&lt;0,0,Table1[[#This Row],[Column3]])</f>
        <v>5600</v>
      </c>
      <c r="AS337" s="599">
        <f>VLOOKUP(Table1[[#This Row],[درجه التوسيط]],Table10[],3,)</f>
        <v>11000</v>
      </c>
      <c r="AT337" s="608">
        <f>Table1[[#This Row],[الراتب 2018+النسبه]]+Table1[[#This Row],[فروقات الحد الادني]]</f>
        <v>11000</v>
      </c>
      <c r="AU337" s="629">
        <f>Table1[[#This Row],[الراتب 2018 + النسبه + الفرق]]-Table1[[#This Row],[راتب ديسمبر 2019]]</f>
        <v>5600</v>
      </c>
      <c r="AV337" s="628">
        <f>Table1[[#This Row],[الزياده]]/Table1[[#This Row],[راتب ديسمبر 2019]]%</f>
        <v>103.70370370370371</v>
      </c>
      <c r="AW337" s="659">
        <f>IF(Table1[[#This Row],[Column4]]&lt;0,0,Table1[[#This Row],[Column4]])</f>
        <v>0</v>
      </c>
      <c r="AX337" s="611">
        <f>Table1[[#This Row],[الجبر حتي]]-Table1[[#This Row],[رن]]</f>
        <v>9.6000000000003638</v>
      </c>
      <c r="AY337" s="611">
        <f>Table1[[#This Row],[الزياده]]+Table1[[#This Row],[التعديل]]+Table1[[#This Row],[جبر الرقم]]</f>
        <v>5609.6</v>
      </c>
      <c r="AZ337" s="611">
        <f>Table1[[#This Row],[الراتب 2018 + النسبه + الفرق]]+Table1[[#This Row],[جبر الرقم]]+Table1[[#This Row],[التعديل]]</f>
        <v>11009.6</v>
      </c>
      <c r="BA337" s="631">
        <f>Table1[[#This Row],[الزياده النهائيه]]/Table1[[#This Row],[راتب ديسمبر 2019]]%</f>
        <v>103.88148148148149</v>
      </c>
      <c r="BB337" s="612">
        <f>VLOOKUP(Table1[[#This Row],[الرقم الوظيفي]],Table6[],8,)</f>
        <v>5400</v>
      </c>
      <c r="BC337" s="7"/>
      <c r="BD337" s="7">
        <v>8520</v>
      </c>
      <c r="BE337" s="7">
        <v>8510.4</v>
      </c>
      <c r="BF337" s="5">
        <f>Table1[[#This Row],[الحد الادني]]-Table1[[#This Row],[الراتب 2018+النسبه]]</f>
        <v>5600</v>
      </c>
      <c r="BG337" s="5">
        <f>Table1[[#This Row],[التعديل حتي]]-Table1[[#This Row],[kkk]]</f>
        <v>-8510.4</v>
      </c>
      <c r="BH337" s="5">
        <v>8510.4</v>
      </c>
      <c r="BI337" s="5"/>
    </row>
    <row r="338" spans="1:61" ht="18.75" customHeight="1">
      <c r="A338" s="622">
        <v>8095</v>
      </c>
      <c r="B338" s="618" t="str">
        <f>VLOOKUP(Table1[[#This Row],[الرقم الوظيفي]],[1]Sheet2!$1:$1048576,2,)</f>
        <v>احمد زهير حسن عبدالله</v>
      </c>
      <c r="C338" s="599" t="str">
        <f>VLOOKUP(Table1[[#This Row],[الرقم الوظيفي]],[1]Sheet2!$1:$1048576,7,)</f>
        <v>المصنع</v>
      </c>
      <c r="D338" s="599" t="str">
        <f>VLOOKUP(Table1[[#This Row],[الرقم الوظيفي]],[1]Sheet2!$1:$1048576,8,)</f>
        <v>الانتاج</v>
      </c>
      <c r="E338" s="599" t="str">
        <f>VLOOKUP(Table1[[#This Row],[الرقم الوظيفي]],[1]Sheet2!$1:$1048576,9,)</f>
        <v>الزنك</v>
      </c>
      <c r="F338" s="599" t="str">
        <f>VLOOKUP(Table1[[#This Row],[الرقم الوظيفي]],[1]Sheet2!$1:$1048576,12,)</f>
        <v>مشغل</v>
      </c>
      <c r="G338" s="599">
        <f>VLOOKUP(Table1[[#This Row],[الرقم الوظيفي]],[1]Sheet2!$1:$1048576,72,)</f>
        <v>0</v>
      </c>
      <c r="H338" s="599">
        <f>VLOOKUP(Table1[[#This Row],[الرقم الوظيفي]],[1]Sheet2!$1:$1048576,71,)</f>
        <v>0</v>
      </c>
      <c r="I338" s="599" t="str">
        <f>VLOOKUP(Table1[[#This Row],[المؤهل الرئيسي]],Table4[],3,)</f>
        <v>H</v>
      </c>
      <c r="J338" s="599" t="s">
        <v>925</v>
      </c>
      <c r="K338" s="615">
        <f>VLOOKUP(Table1[[#This Row],[الرقم الوظيفي]],[1]Sheet2!$1:$1048576,13,)</f>
        <v>42497</v>
      </c>
      <c r="L338" s="615">
        <v>43830</v>
      </c>
      <c r="M338" s="599">
        <f>DATEDIF(Table1[[#This Row],[تاريخ التعيين]],Table1[[#This Row],[اخر العام]],"y")</f>
        <v>3</v>
      </c>
      <c r="N338" s="599">
        <f>DATEDIF(Table1[[#This Row],[تاريخ التعيين]],Table1[[#This Row],[اخر العام]],"ym")</f>
        <v>7</v>
      </c>
      <c r="O338" s="610">
        <f>Table1[[#This Row],[سنوات الخدمه]]*1+Table1[[#This Row],[الشهور اقل من سنه]]*0.08</f>
        <v>3.56</v>
      </c>
      <c r="P338" s="616">
        <v>4500</v>
      </c>
      <c r="Q338" s="617">
        <v>230.4</v>
      </c>
      <c r="R338" s="612"/>
      <c r="S338" s="599"/>
      <c r="T338" s="612"/>
      <c r="U338" s="612"/>
      <c r="V338" s="612"/>
      <c r="W338" s="612"/>
      <c r="X338" s="612"/>
      <c r="Y338" s="612"/>
      <c r="Z338" s="612"/>
      <c r="AA33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8" s="612"/>
      <c r="AC338" s="599"/>
      <c r="AD338" s="612"/>
      <c r="AE338" s="612"/>
      <c r="AF338" s="612"/>
      <c r="AG338" s="612"/>
      <c r="AH338" s="619">
        <f>SUM(Table1[[#This Row],[التقييد  باللوائح و تنفيذالتوجيه]:[اتباع اجراءات السلامه]])</f>
        <v>0</v>
      </c>
      <c r="AI338" s="619">
        <f>Table1[[#This Row],[المجموع]]+Table1[[#This Row],[المجموع2]]</f>
        <v>0</v>
      </c>
      <c r="AJ338" s="612"/>
      <c r="AK338" s="612"/>
      <c r="AL338" s="612"/>
      <c r="AM338" s="612"/>
      <c r="AN338" s="612"/>
      <c r="AO338" s="606">
        <f>Table1[[#This Row],[المجموع 1+2]]*$AO$2</f>
        <v>0</v>
      </c>
      <c r="AP338" s="648">
        <f>Table1[[#This Row],[راتب ديسمبر 2019]]*Table1[[#This Row],[نسبه التقييم الرئيسي 2018]]%</f>
        <v>0</v>
      </c>
      <c r="AQ338" s="627">
        <f>Table1[[#This Row],[مبلغ التقييم النسبي 2018]]+Table1[[#This Row],[راتب ديسمبر 2019]]</f>
        <v>4500</v>
      </c>
      <c r="AR338" s="10">
        <f>IF(Table1[[#This Row],[Column3]]&lt;0,0,Table1[[#This Row],[Column3]])</f>
        <v>4500</v>
      </c>
      <c r="AS338" s="599">
        <f>VLOOKUP(Table1[[#This Row],[درجه التوسيط]],Table10[],3,)</f>
        <v>9000</v>
      </c>
      <c r="AT338" s="608">
        <f>Table1[[#This Row],[الراتب 2018+النسبه]]+Table1[[#This Row],[فروقات الحد الادني]]</f>
        <v>9000</v>
      </c>
      <c r="AU338" s="629">
        <f>Table1[[#This Row],[الراتب 2018 + النسبه + الفرق]]-Table1[[#This Row],[راتب ديسمبر 2019]]</f>
        <v>4500</v>
      </c>
      <c r="AV338" s="628">
        <f>Table1[[#This Row],[الزياده]]/Table1[[#This Row],[راتب ديسمبر 2019]]%</f>
        <v>100</v>
      </c>
      <c r="AW338" s="659">
        <f>IF(Table1[[#This Row],[Column4]]&lt;0,0,Table1[[#This Row],[Column4]])</f>
        <v>0</v>
      </c>
      <c r="AX338" s="611">
        <f>Table1[[#This Row],[الجبر حتي]]-Table1[[#This Row],[رن]]</f>
        <v>4</v>
      </c>
      <c r="AY338" s="611">
        <f>Table1[[#This Row],[الزياده]]+Table1[[#This Row],[التعديل]]+Table1[[#This Row],[جبر الرقم]]</f>
        <v>4504</v>
      </c>
      <c r="AZ338" s="611">
        <f>Table1[[#This Row],[الراتب 2018 + النسبه + الفرق]]+Table1[[#This Row],[جبر الرقم]]+Table1[[#This Row],[التعديل]]</f>
        <v>9004</v>
      </c>
      <c r="BA338" s="631">
        <f>Table1[[#This Row],[الزياده النهائيه]]/Table1[[#This Row],[راتب ديسمبر 2019]]%</f>
        <v>100.08888888888889</v>
      </c>
      <c r="BB338" s="612">
        <f>VLOOKUP(Table1[[#This Row],[الرقم الوظيفي]],Table6[],8,)</f>
        <v>4500</v>
      </c>
      <c r="BC338" s="7"/>
      <c r="BD338" s="7">
        <v>6880</v>
      </c>
      <c r="BE338" s="7">
        <v>6876</v>
      </c>
      <c r="BF338" s="5">
        <f>Table1[[#This Row],[الحد الادني]]-Table1[[#This Row],[الراتب 2018+النسبه]]</f>
        <v>4500</v>
      </c>
      <c r="BG338" s="5">
        <f>Table1[[#This Row],[التعديل حتي]]-Table1[[#This Row],[kkk]]</f>
        <v>-6876</v>
      </c>
      <c r="BH338" s="5">
        <v>6876</v>
      </c>
      <c r="BI338" s="5"/>
    </row>
    <row r="339" spans="1:61" ht="18.75" customHeight="1">
      <c r="A339" s="622">
        <v>8094</v>
      </c>
      <c r="B339" s="618" t="str">
        <f>VLOOKUP(Table1[[#This Row],[الرقم الوظيفي]],[1]Sheet2!$1:$1048576,2,)</f>
        <v>حيدر جمال عبد الله</v>
      </c>
      <c r="C339" s="599" t="str">
        <f>VLOOKUP(Table1[[#This Row],[الرقم الوظيفي]],[1]Sheet2!$1:$1048576,7,)</f>
        <v>المصنع</v>
      </c>
      <c r="D339" s="599" t="str">
        <f>VLOOKUP(Table1[[#This Row],[الرقم الوظيفي]],[1]Sheet2!$1:$1048576,8,)</f>
        <v>الانتاج</v>
      </c>
      <c r="E339" s="599" t="str">
        <f>VLOOKUP(Table1[[#This Row],[الرقم الوظيفي]],[1]Sheet2!$1:$1048576,9,)</f>
        <v>المواسير</v>
      </c>
      <c r="F339" s="599" t="str">
        <f>VLOOKUP(Table1[[#This Row],[الرقم الوظيفي]],[1]Sheet2!$1:$1048576,12,)</f>
        <v>مشغل كرين</v>
      </c>
      <c r="G339" s="599">
        <f>VLOOKUP(Table1[[#This Row],[الرقم الوظيفي]],[1]Sheet2!$1:$1048576,72,)</f>
        <v>0</v>
      </c>
      <c r="H339" s="599">
        <f>VLOOKUP(Table1[[#This Row],[الرقم الوظيفي]],[1]Sheet2!$1:$1048576,71,)</f>
        <v>0</v>
      </c>
      <c r="I339" s="599" t="str">
        <f>VLOOKUP(Table1[[#This Row],[المؤهل الرئيسي]],Table4[],3,)</f>
        <v>H</v>
      </c>
      <c r="J339" s="599" t="s">
        <v>925</v>
      </c>
      <c r="K339" s="615">
        <f>VLOOKUP(Table1[[#This Row],[الرقم الوظيفي]],[1]Sheet2!$1:$1048576,13,)</f>
        <v>42493</v>
      </c>
      <c r="L339" s="615">
        <v>43830</v>
      </c>
      <c r="M339" s="599">
        <f>DATEDIF(Table1[[#This Row],[تاريخ التعيين]],Table1[[#This Row],[اخر العام]],"y")</f>
        <v>3</v>
      </c>
      <c r="N339" s="599">
        <f>DATEDIF(Table1[[#This Row],[تاريخ التعيين]],Table1[[#This Row],[اخر العام]],"ym")</f>
        <v>7</v>
      </c>
      <c r="O339" s="610">
        <f>Table1[[#This Row],[سنوات الخدمه]]*1+Table1[[#This Row],[الشهور اقل من سنه]]*0.08</f>
        <v>3.56</v>
      </c>
      <c r="P339" s="616">
        <v>4500</v>
      </c>
      <c r="Q339" s="617">
        <v>230.4</v>
      </c>
      <c r="R339" s="612"/>
      <c r="S339" s="599"/>
      <c r="T339" s="612"/>
      <c r="U339" s="612"/>
      <c r="V339" s="612"/>
      <c r="W339" s="612"/>
      <c r="X339" s="612"/>
      <c r="Y339" s="612"/>
      <c r="Z339" s="612"/>
      <c r="AA33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39" s="612"/>
      <c r="AC339" s="599"/>
      <c r="AD339" s="612"/>
      <c r="AE339" s="612"/>
      <c r="AF339" s="612"/>
      <c r="AG339" s="612"/>
      <c r="AH339" s="619">
        <f>SUM(Table1[[#This Row],[التقييد  باللوائح و تنفيذالتوجيه]:[اتباع اجراءات السلامه]])</f>
        <v>0</v>
      </c>
      <c r="AI339" s="619">
        <f>Table1[[#This Row],[المجموع]]+Table1[[#This Row],[المجموع2]]</f>
        <v>0</v>
      </c>
      <c r="AJ339" s="612"/>
      <c r="AK339" s="612"/>
      <c r="AL339" s="612"/>
      <c r="AM339" s="612"/>
      <c r="AN339" s="612"/>
      <c r="AO339" s="606">
        <f>Table1[[#This Row],[المجموع 1+2]]*$AO$2</f>
        <v>0</v>
      </c>
      <c r="AP339" s="648">
        <f>Table1[[#This Row],[راتب ديسمبر 2019]]*Table1[[#This Row],[نسبه التقييم الرئيسي 2018]]%</f>
        <v>0</v>
      </c>
      <c r="AQ339" s="627">
        <f>Table1[[#This Row],[مبلغ التقييم النسبي 2018]]+Table1[[#This Row],[راتب ديسمبر 2019]]</f>
        <v>4500</v>
      </c>
      <c r="AR339" s="10">
        <f>IF(Table1[[#This Row],[Column3]]&lt;0,0,Table1[[#This Row],[Column3]])</f>
        <v>4500</v>
      </c>
      <c r="AS339" s="599">
        <f>VLOOKUP(Table1[[#This Row],[درجه التوسيط]],Table10[],3,)</f>
        <v>9000</v>
      </c>
      <c r="AT339" s="608">
        <f>Table1[[#This Row],[الراتب 2018+النسبه]]+Table1[[#This Row],[فروقات الحد الادني]]</f>
        <v>9000</v>
      </c>
      <c r="AU339" s="629">
        <f>Table1[[#This Row],[الراتب 2018 + النسبه + الفرق]]-Table1[[#This Row],[راتب ديسمبر 2019]]</f>
        <v>4500</v>
      </c>
      <c r="AV339" s="628">
        <f>Table1[[#This Row],[الزياده]]/Table1[[#This Row],[راتب ديسمبر 2019]]%</f>
        <v>100</v>
      </c>
      <c r="AW339" s="659">
        <f>IF(Table1[[#This Row],[Column4]]&lt;0,0,Table1[[#This Row],[Column4]])</f>
        <v>0</v>
      </c>
      <c r="AX339" s="611">
        <f>Table1[[#This Row],[الجبر حتي]]-Table1[[#This Row],[رن]]</f>
        <v>8</v>
      </c>
      <c r="AY339" s="611">
        <f>Table1[[#This Row],[الزياده]]+Table1[[#This Row],[التعديل]]+Table1[[#This Row],[جبر الرقم]]</f>
        <v>4508</v>
      </c>
      <c r="AZ339" s="611">
        <f>Table1[[#This Row],[الراتب 2018 + النسبه + الفرق]]+Table1[[#This Row],[جبر الرقم]]+Table1[[#This Row],[التعديل]]</f>
        <v>9008</v>
      </c>
      <c r="BA339" s="631">
        <f>Table1[[#This Row],[الزياده النهائيه]]/Table1[[#This Row],[راتب ديسمبر 2019]]%</f>
        <v>100.17777777777778</v>
      </c>
      <c r="BB339" s="612">
        <f>VLOOKUP(Table1[[#This Row],[الرقم الوظيفي]],Table6[],8,)</f>
        <v>4500</v>
      </c>
      <c r="BC339" s="7"/>
      <c r="BD339" s="7">
        <v>7100</v>
      </c>
      <c r="BE339" s="7">
        <v>7092</v>
      </c>
      <c r="BF339" s="5">
        <f>Table1[[#This Row],[الحد الادني]]-Table1[[#This Row],[الراتب 2018+النسبه]]</f>
        <v>4500</v>
      </c>
      <c r="BG339" s="5">
        <f>Table1[[#This Row],[التعديل حتي]]-Table1[[#This Row],[kkk]]</f>
        <v>-7092</v>
      </c>
      <c r="BH339" s="5">
        <v>7092</v>
      </c>
      <c r="BI339" s="5"/>
    </row>
    <row r="340" spans="1:61" ht="18.75" customHeight="1">
      <c r="A340" s="622">
        <v>8100</v>
      </c>
      <c r="B340" s="618" t="str">
        <f>VLOOKUP(Table1[[#This Row],[الرقم الوظيفي]],[1]Sheet2!$1:$1048576,2,)</f>
        <v>الطيب عبدالرحمن جمعه الطيب</v>
      </c>
      <c r="C340" s="599" t="str">
        <f>VLOOKUP(Table1[[#This Row],[الرقم الوظيفي]],[1]Sheet2!$1:$1048576,7,)</f>
        <v>المصنع</v>
      </c>
      <c r="D340" s="599" t="str">
        <f>VLOOKUP(Table1[[#This Row],[الرقم الوظيفي]],[1]Sheet2!$1:$1048576,8,)</f>
        <v>الانتاج</v>
      </c>
      <c r="E340" s="599" t="str">
        <f>VLOOKUP(Table1[[#This Row],[الرقم الوظيفي]],[1]Sheet2!$1:$1048576,9,)</f>
        <v>الاكسبنده</v>
      </c>
      <c r="F340" s="599" t="str">
        <f>VLOOKUP(Table1[[#This Row],[الرقم الوظيفي]],[1]Sheet2!$1:$1048576,12,)</f>
        <v>عامل</v>
      </c>
      <c r="G340" s="599">
        <f>VLOOKUP(Table1[[#This Row],[الرقم الوظيفي]],[1]Sheet2!$1:$1048576,72,)</f>
        <v>0</v>
      </c>
      <c r="H340" s="599">
        <f>VLOOKUP(Table1[[#This Row],[الرقم الوظيفي]],[1]Sheet2!$1:$1048576,71,)</f>
        <v>0</v>
      </c>
      <c r="I340" s="599" t="str">
        <f>VLOOKUP(Table1[[#This Row],[المؤهل الرئيسي]],Table4[],3,)</f>
        <v>H</v>
      </c>
      <c r="J340" s="599" t="s">
        <v>929</v>
      </c>
      <c r="K340" s="615">
        <f>VLOOKUP(Table1[[#This Row],[الرقم الوظيفي]],[1]Sheet2!$1:$1048576,13,)</f>
        <v>42598</v>
      </c>
      <c r="L340" s="615">
        <v>43830</v>
      </c>
      <c r="M340" s="599">
        <f>DATEDIF(Table1[[#This Row],[تاريخ التعيين]],Table1[[#This Row],[اخر العام]],"y")</f>
        <v>3</v>
      </c>
      <c r="N340" s="599">
        <f>DATEDIF(Table1[[#This Row],[تاريخ التعيين]],Table1[[#This Row],[اخر العام]],"ym")</f>
        <v>4</v>
      </c>
      <c r="O340" s="610">
        <f>Table1[[#This Row],[سنوات الخدمه]]*1+Table1[[#This Row],[الشهور اقل من سنه]]*0.08</f>
        <v>3.32</v>
      </c>
      <c r="P340" s="616">
        <v>3750</v>
      </c>
      <c r="Q340" s="617">
        <v>174</v>
      </c>
      <c r="R340" s="612"/>
      <c r="S340" s="599"/>
      <c r="T340" s="612"/>
      <c r="U340" s="612"/>
      <c r="V340" s="612"/>
      <c r="W340" s="612"/>
      <c r="X340" s="612"/>
      <c r="Y340" s="612"/>
      <c r="Z340" s="612"/>
      <c r="AA34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0" s="612"/>
      <c r="AC340" s="599"/>
      <c r="AD340" s="612"/>
      <c r="AE340" s="612"/>
      <c r="AF340" s="612"/>
      <c r="AG340" s="612"/>
      <c r="AH340" s="619">
        <f>SUM(Table1[[#This Row],[التقييد  باللوائح و تنفيذالتوجيه]:[اتباع اجراءات السلامه]])</f>
        <v>0</v>
      </c>
      <c r="AI340" s="619">
        <f>Table1[[#This Row],[المجموع]]+Table1[[#This Row],[المجموع2]]</f>
        <v>0</v>
      </c>
      <c r="AJ340" s="612"/>
      <c r="AK340" s="612"/>
      <c r="AL340" s="612"/>
      <c r="AM340" s="612"/>
      <c r="AN340" s="612"/>
      <c r="AO340" s="606">
        <f>Table1[[#This Row],[المجموع 1+2]]*$AO$2</f>
        <v>0</v>
      </c>
      <c r="AP340" s="648">
        <f>Table1[[#This Row],[راتب ديسمبر 2019]]*Table1[[#This Row],[نسبه التقييم الرئيسي 2018]]%</f>
        <v>0</v>
      </c>
      <c r="AQ340" s="627">
        <f>Table1[[#This Row],[مبلغ التقييم النسبي 2018]]+Table1[[#This Row],[راتب ديسمبر 2019]]</f>
        <v>3750</v>
      </c>
      <c r="AR340" s="10">
        <f>IF(Table1[[#This Row],[Column3]]&lt;0,0,Table1[[#This Row],[Column3]])</f>
        <v>2250</v>
      </c>
      <c r="AS340" s="599">
        <f>VLOOKUP(Table1[[#This Row],[درجه التوسيط]],Table10[],3,)</f>
        <v>6000</v>
      </c>
      <c r="AT340" s="608">
        <f>Table1[[#This Row],[الراتب 2018+النسبه]]+Table1[[#This Row],[فروقات الحد الادني]]</f>
        <v>6000</v>
      </c>
      <c r="AU340" s="629">
        <f>Table1[[#This Row],[الراتب 2018 + النسبه + الفرق]]-Table1[[#This Row],[راتب ديسمبر 2019]]</f>
        <v>2250</v>
      </c>
      <c r="AV340" s="628">
        <f>Table1[[#This Row],[الزياده]]/Table1[[#This Row],[راتب ديسمبر 2019]]%</f>
        <v>60</v>
      </c>
      <c r="AW340" s="659">
        <f>IF(Table1[[#This Row],[Column4]]&lt;0,0,Table1[[#This Row],[Column4]])</f>
        <v>0</v>
      </c>
      <c r="AX340" s="611">
        <f>Table1[[#This Row],[الجبر حتي]]-Table1[[#This Row],[رن]]</f>
        <v>7.5</v>
      </c>
      <c r="AY340" s="611">
        <f>Table1[[#This Row],[الزياده]]+Table1[[#This Row],[التعديل]]+Table1[[#This Row],[جبر الرقم]]</f>
        <v>2257.5</v>
      </c>
      <c r="AZ340" s="611">
        <f>Table1[[#This Row],[الراتب 2018 + النسبه + الفرق]]+Table1[[#This Row],[جبر الرقم]]+Table1[[#This Row],[التعديل]]</f>
        <v>6007.5</v>
      </c>
      <c r="BA340" s="631">
        <f>Table1[[#This Row],[الزياده النهائيه]]/Table1[[#This Row],[راتب ديسمبر 2019]]%</f>
        <v>60.2</v>
      </c>
      <c r="BB340" s="612">
        <f>VLOOKUP(Table1[[#This Row],[الرقم الوظيفي]],Table6[],8,)</f>
        <v>3750</v>
      </c>
      <c r="BC340" s="7"/>
      <c r="BD340" s="7">
        <v>5850</v>
      </c>
      <c r="BE340" s="7">
        <v>5842.5</v>
      </c>
      <c r="BF340" s="5">
        <f>Table1[[#This Row],[الحد الادني]]-Table1[[#This Row],[الراتب 2018+النسبه]]</f>
        <v>2250</v>
      </c>
      <c r="BG340" s="5">
        <f>Table1[[#This Row],[التعديل حتي]]-Table1[[#This Row],[kkk]]</f>
        <v>-5842.5</v>
      </c>
      <c r="BH340" s="5">
        <v>5842.5</v>
      </c>
      <c r="BI340" s="5"/>
    </row>
    <row r="341" spans="1:61" ht="18.75" customHeight="1">
      <c r="A341" s="602">
        <v>8096</v>
      </c>
      <c r="B341" s="618" t="str">
        <f>VLOOKUP(Table1[[#This Row],[الرقم الوظيفي]],[1]Sheet2!$1:$1048576,2,)</f>
        <v>عبدالقادر عبدالدافع كرار عمر</v>
      </c>
      <c r="C341" s="599" t="str">
        <f>VLOOKUP(Table1[[#This Row],[الرقم الوظيفي]],[1]Sheet2!$1:$1048576,7,)</f>
        <v>المصنع</v>
      </c>
      <c r="D341" s="599" t="str">
        <f>VLOOKUP(Table1[[#This Row],[الرقم الوظيفي]],[1]Sheet2!$1:$1048576,8,)</f>
        <v>المستودعات</v>
      </c>
      <c r="E341" s="599">
        <f>VLOOKUP(Table1[[#This Row],[الرقم الوظيفي]],[1]Sheet2!$1:$1048576,9,)</f>
        <v>0</v>
      </c>
      <c r="F341" s="599" t="str">
        <f>VLOOKUP(Table1[[#This Row],[الرقم الوظيفي]],[1]Sheet2!$1:$1048576,12,)</f>
        <v>امين مستودع</v>
      </c>
      <c r="G341" s="599">
        <f>VLOOKUP(Table1[[#This Row],[الرقم الوظيفي]],[1]Sheet2!$1:$1048576,72,)</f>
        <v>0</v>
      </c>
      <c r="H341" s="599">
        <f>VLOOKUP(Table1[[#This Row],[الرقم الوظيفي]],[1]Sheet2!$1:$1048576,71,)</f>
        <v>0</v>
      </c>
      <c r="I341" s="599" t="str">
        <f>VLOOKUP(Table1[[#This Row],[المؤهل الرئيسي]],Table4[],3,)</f>
        <v>H</v>
      </c>
      <c r="J341" s="599" t="s">
        <v>924</v>
      </c>
      <c r="K341" s="615">
        <f>VLOOKUP(Table1[[#This Row],[الرقم الوظيفي]],[1]Sheet2!$1:$1048576,13,)</f>
        <v>42740</v>
      </c>
      <c r="L341" s="615">
        <v>43830</v>
      </c>
      <c r="M341" s="599">
        <f>DATEDIF(Table1[[#This Row],[تاريخ التعيين]],Table1[[#This Row],[اخر العام]],"y")</f>
        <v>2</v>
      </c>
      <c r="N341" s="599">
        <f>DATEDIF(Table1[[#This Row],[تاريخ التعيين]],Table1[[#This Row],[اخر العام]],"ym")</f>
        <v>11</v>
      </c>
      <c r="O341" s="610">
        <f>Table1[[#This Row],[سنوات الخدمه]]*1+Table1[[#This Row],[الشهور اقل من سنه]]*0.08</f>
        <v>2.88</v>
      </c>
      <c r="P341" s="616">
        <v>4500</v>
      </c>
      <c r="Q341" s="617">
        <v>169.2</v>
      </c>
      <c r="R341" s="612"/>
      <c r="S341" s="599"/>
      <c r="T341" s="612"/>
      <c r="U341" s="612"/>
      <c r="V341" s="612"/>
      <c r="W341" s="612"/>
      <c r="X341" s="612"/>
      <c r="Y341" s="612"/>
      <c r="Z341" s="612"/>
      <c r="AA341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1" s="612"/>
      <c r="AC341" s="599"/>
      <c r="AD341" s="612"/>
      <c r="AE341" s="612"/>
      <c r="AF341" s="612"/>
      <c r="AG341" s="612"/>
      <c r="AH341" s="619">
        <f>SUM(Table1[[#This Row],[التقييد  باللوائح و تنفيذالتوجيه]:[اتباع اجراءات السلامه]])</f>
        <v>0</v>
      </c>
      <c r="AI341" s="619">
        <f>Table1[[#This Row],[المجموع]]+Table1[[#This Row],[المجموع2]]</f>
        <v>0</v>
      </c>
      <c r="AJ341" s="612"/>
      <c r="AK341" s="612"/>
      <c r="AL341" s="612"/>
      <c r="AM341" s="612"/>
      <c r="AN341" s="612"/>
      <c r="AO341" s="606">
        <f>Table1[[#This Row],[المجموع 1+2]]*$AO$2</f>
        <v>0</v>
      </c>
      <c r="AP341" s="648">
        <f>Table1[[#This Row],[راتب ديسمبر 2019]]*Table1[[#This Row],[نسبه التقييم الرئيسي 2018]]%</f>
        <v>0</v>
      </c>
      <c r="AQ341" s="627">
        <f>Table1[[#This Row],[مبلغ التقييم النسبي 2018]]+Table1[[#This Row],[راتب ديسمبر 2019]]</f>
        <v>4500</v>
      </c>
      <c r="AR341" s="10">
        <f>IF(Table1[[#This Row],[Column3]]&lt;0,0,Table1[[#This Row],[Column3]])</f>
        <v>4500</v>
      </c>
      <c r="AS341" s="599">
        <f>VLOOKUP(Table1[[#This Row],[درجه التوسيط]],Table10[],3,)</f>
        <v>9000</v>
      </c>
      <c r="AT341" s="608">
        <f>Table1[[#This Row],[الراتب 2018+النسبه]]+Table1[[#This Row],[فروقات الحد الادني]]</f>
        <v>9000</v>
      </c>
      <c r="AU341" s="629">
        <f>Table1[[#This Row],[الراتب 2018 + النسبه + الفرق]]-Table1[[#This Row],[راتب ديسمبر 2019]]</f>
        <v>4500</v>
      </c>
      <c r="AV341" s="628">
        <f>Table1[[#This Row],[الزياده]]/Table1[[#This Row],[راتب ديسمبر 2019]]%</f>
        <v>100</v>
      </c>
      <c r="AW341" s="659">
        <f>IF(Table1[[#This Row],[Column4]]&lt;0,0,Table1[[#This Row],[Column4]])</f>
        <v>0</v>
      </c>
      <c r="AX341" s="611">
        <f>Table1[[#This Row],[الجبر حتي]]-Table1[[#This Row],[رن]]</f>
        <v>8</v>
      </c>
      <c r="AY341" s="611">
        <f>Table1[[#This Row],[الزياده]]+Table1[[#This Row],[التعديل]]+Table1[[#This Row],[جبر الرقم]]</f>
        <v>4508</v>
      </c>
      <c r="AZ341" s="611">
        <f>Table1[[#This Row],[الراتب 2018 + النسبه + الفرق]]+Table1[[#This Row],[جبر الرقم]]+Table1[[#This Row],[التعديل]]</f>
        <v>9008</v>
      </c>
      <c r="BA341" s="631">
        <f>Table1[[#This Row],[الزياده النهائيه]]/Table1[[#This Row],[راتب ديسمبر 2019]]%</f>
        <v>100.17777777777778</v>
      </c>
      <c r="BB341" s="612">
        <f>VLOOKUP(Table1[[#This Row],[الرقم الوظيفي]],Table6[],8,)</f>
        <v>4500</v>
      </c>
      <c r="BC341" s="7"/>
      <c r="BD341" s="7">
        <v>7100</v>
      </c>
      <c r="BE341" s="7">
        <v>7092</v>
      </c>
      <c r="BF341" s="5">
        <f>Table1[[#This Row],[الحد الادني]]-Table1[[#This Row],[الراتب 2018+النسبه]]</f>
        <v>4500</v>
      </c>
      <c r="BG341" s="5">
        <f>Table1[[#This Row],[التعديل حتي]]-Table1[[#This Row],[kkk]]</f>
        <v>-7092</v>
      </c>
      <c r="BH341" s="5">
        <v>7092</v>
      </c>
      <c r="BI341" s="5"/>
    </row>
    <row r="342" spans="1:61" ht="18.75" customHeight="1">
      <c r="A342" s="622">
        <v>8099</v>
      </c>
      <c r="B342" s="618" t="str">
        <f>VLOOKUP(Table1[[#This Row],[الرقم الوظيفي]],[1]Sheet2!$1:$1048576,2,)</f>
        <v>المقداد صالح سليمان حمد</v>
      </c>
      <c r="C342" s="599" t="str">
        <f>VLOOKUP(Table1[[#This Row],[الرقم الوظيفي]],[1]Sheet2!$1:$1048576,7,)</f>
        <v>المصنع</v>
      </c>
      <c r="D342" s="599" t="str">
        <f>VLOOKUP(Table1[[#This Row],[الرقم الوظيفي]],[1]Sheet2!$1:$1048576,8,)</f>
        <v>الموارد البشريه</v>
      </c>
      <c r="E342" s="599">
        <f>VLOOKUP(Table1[[#This Row],[الرقم الوظيفي]],[1]Sheet2!$1:$1048576,9,)</f>
        <v>0</v>
      </c>
      <c r="F342" s="599" t="str">
        <f>VLOOKUP(Table1[[#This Row],[الرقم الوظيفي]],[1]Sheet2!$1:$1048576,12,)</f>
        <v>موظف موارد بشريه</v>
      </c>
      <c r="G342" s="599">
        <f>VLOOKUP(Table1[[#This Row],[الرقم الوظيفي]],[1]Sheet2!$1:$1048576,72,)</f>
        <v>0</v>
      </c>
      <c r="H342" s="599">
        <f>VLOOKUP(Table1[[#This Row],[الرقم الوظيفي]],[1]Sheet2!$1:$1048576,71,)</f>
        <v>0</v>
      </c>
      <c r="I342" s="599" t="str">
        <f>VLOOKUP(Table1[[#This Row],[المؤهل الرئيسي]],Table4[],3,)</f>
        <v>H</v>
      </c>
      <c r="J342" s="599" t="s">
        <v>497</v>
      </c>
      <c r="K342" s="615">
        <f>VLOOKUP(Table1[[#This Row],[الرقم الوظيفي]],[1]Sheet2!$1:$1048576,13,)</f>
        <v>42826</v>
      </c>
      <c r="L342" s="615">
        <v>43830</v>
      </c>
      <c r="M342" s="599">
        <f>DATEDIF(Table1[[#This Row],[تاريخ التعيين]],Table1[[#This Row],[اخر العام]],"y")</f>
        <v>2</v>
      </c>
      <c r="N342" s="599">
        <f>DATEDIF(Table1[[#This Row],[تاريخ التعيين]],Table1[[#This Row],[اخر العام]],"ym")</f>
        <v>8</v>
      </c>
      <c r="O342" s="610">
        <f>Table1[[#This Row],[سنوات الخدمه]]*1+Table1[[#This Row],[الشهور اقل من سنه]]*0.08</f>
        <v>2.64</v>
      </c>
      <c r="P342" s="616">
        <v>4500</v>
      </c>
      <c r="Q342" s="617">
        <v>147.6</v>
      </c>
      <c r="R342" s="612"/>
      <c r="S342" s="599"/>
      <c r="T342" s="612"/>
      <c r="U342" s="612"/>
      <c r="V342" s="612"/>
      <c r="W342" s="612"/>
      <c r="X342" s="612"/>
      <c r="Y342" s="612"/>
      <c r="Z342" s="612"/>
      <c r="AA342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2" s="612"/>
      <c r="AC342" s="599"/>
      <c r="AD342" s="612"/>
      <c r="AE342" s="612"/>
      <c r="AF342" s="612"/>
      <c r="AG342" s="612"/>
      <c r="AH342" s="619">
        <f>SUM(Table1[[#This Row],[التقييد  باللوائح و تنفيذالتوجيه]:[اتباع اجراءات السلامه]])</f>
        <v>0</v>
      </c>
      <c r="AI342" s="619">
        <f>Table1[[#This Row],[المجموع]]+Table1[[#This Row],[المجموع2]]</f>
        <v>0</v>
      </c>
      <c r="AJ342" s="612"/>
      <c r="AK342" s="612"/>
      <c r="AL342" s="612"/>
      <c r="AM342" s="612"/>
      <c r="AN342" s="612"/>
      <c r="AO342" s="606">
        <f>Table1[[#This Row],[المجموع 1+2]]*$AO$2</f>
        <v>0</v>
      </c>
      <c r="AP342" s="648">
        <f>Table1[[#This Row],[راتب ديسمبر 2019]]*Table1[[#This Row],[نسبه التقييم الرئيسي 2018]]%</f>
        <v>0</v>
      </c>
      <c r="AQ342" s="627">
        <f>Table1[[#This Row],[مبلغ التقييم النسبي 2018]]+Table1[[#This Row],[راتب ديسمبر 2019]]</f>
        <v>4500</v>
      </c>
      <c r="AR342" s="10">
        <f>IF(Table1[[#This Row],[Column3]]&lt;0,0,Table1[[#This Row],[Column3]])</f>
        <v>7500</v>
      </c>
      <c r="AS342" s="599">
        <f>VLOOKUP(Table1[[#This Row],[درجه التوسيط]],Table10[],3,)</f>
        <v>12000</v>
      </c>
      <c r="AT342" s="608">
        <f>Table1[[#This Row],[الراتب 2018+النسبه]]+Table1[[#This Row],[فروقات الحد الادني]]</f>
        <v>12000</v>
      </c>
      <c r="AU342" s="629">
        <f>Table1[[#This Row],[الراتب 2018 + النسبه + الفرق]]-Table1[[#This Row],[راتب ديسمبر 2019]]</f>
        <v>7500</v>
      </c>
      <c r="AV342" s="628">
        <f>Table1[[#This Row],[الزياده]]/Table1[[#This Row],[راتب ديسمبر 2019]]%</f>
        <v>166.66666666666666</v>
      </c>
      <c r="AW342" s="659">
        <f>IF(Table1[[#This Row],[Column4]]&lt;0,0,Table1[[#This Row],[Column4]])</f>
        <v>1000</v>
      </c>
      <c r="AX342" s="611">
        <f>Table1[[#This Row],[الجبر حتي]]-Table1[[#This Row],[رن]]</f>
        <v>0</v>
      </c>
      <c r="AY342" s="611">
        <f>Table1[[#This Row],[الزياده]]+Table1[[#This Row],[التعديل]]+Table1[[#This Row],[جبر الرقم]]</f>
        <v>8500</v>
      </c>
      <c r="AZ342" s="611">
        <f>Table1[[#This Row],[الراتب 2018 + النسبه + الفرق]]+Table1[[#This Row],[جبر الرقم]]+Table1[[#This Row],[التعديل]]</f>
        <v>13000</v>
      </c>
      <c r="BA342" s="631">
        <f>Table1[[#This Row],[الزياده النهائيه]]/Table1[[#This Row],[راتب ديسمبر 2019]]%</f>
        <v>188.88888888888889</v>
      </c>
      <c r="BB342" s="612">
        <f>VLOOKUP(Table1[[#This Row],[الرقم الوظيفي]],Table6[],8,)</f>
        <v>4500</v>
      </c>
      <c r="BC342" s="7">
        <v>9000</v>
      </c>
      <c r="BD342" s="7">
        <v>9000</v>
      </c>
      <c r="BE342" s="7">
        <v>9000</v>
      </c>
      <c r="BF342" s="5">
        <f>Table1[[#This Row],[الحد الادني]]-Table1[[#This Row],[الراتب 2018+النسبه]]</f>
        <v>7500</v>
      </c>
      <c r="BG342" s="5">
        <f>Table1[[#This Row],[التعديل حتي]]-Table1[[#This Row],[kkk]]</f>
        <v>1000</v>
      </c>
      <c r="BH342" s="5">
        <v>8000</v>
      </c>
      <c r="BI342" s="5"/>
    </row>
    <row r="343" spans="1:61" ht="18.75" customHeight="1">
      <c r="A343" s="604">
        <v>8102</v>
      </c>
      <c r="B343" s="618" t="str">
        <f>VLOOKUP(Table1[[#This Row],[الرقم الوظيفي]],[1]Sheet2!$1:$1048576,2,)</f>
        <v>عبد الحميد حسن على الطائف</v>
      </c>
      <c r="C343" s="599" t="str">
        <f>VLOOKUP(Table1[[#This Row],[الرقم الوظيفي]],[1]Sheet2!$1:$1048576,7,)</f>
        <v>المصنع</v>
      </c>
      <c r="D343" s="599" t="str">
        <f>VLOOKUP(Table1[[#This Row],[الرقم الوظيفي]],[1]Sheet2!$1:$1048576,8,)</f>
        <v>الانتاج</v>
      </c>
      <c r="E343" s="599" t="str">
        <f>VLOOKUP(Table1[[#This Row],[الرقم الوظيفي]],[1]Sheet2!$1:$1048576,9,)</f>
        <v>الاليات</v>
      </c>
      <c r="F343" s="599" t="str">
        <f>VLOOKUP(Table1[[#This Row],[الرقم الوظيفي]],[1]Sheet2!$1:$1048576,12,)</f>
        <v>سائق رافعة شوكية</v>
      </c>
      <c r="G343" s="599">
        <f>VLOOKUP(Table1[[#This Row],[الرقم الوظيفي]],[1]Sheet2!$1:$1048576,72,)</f>
        <v>0</v>
      </c>
      <c r="H343" s="599">
        <f>VLOOKUP(Table1[[#This Row],[الرقم الوظيفي]],[1]Sheet2!$1:$1048576,71,)</f>
        <v>0</v>
      </c>
      <c r="I343" s="599" t="str">
        <f>VLOOKUP(Table1[[#This Row],[المؤهل الرئيسي]],Table4[],3,)</f>
        <v>H</v>
      </c>
      <c r="J343" s="599" t="s">
        <v>923</v>
      </c>
      <c r="K343" s="615">
        <f>VLOOKUP(Table1[[#This Row],[الرقم الوظيفي]],[1]Sheet2!$1:$1048576,13,)</f>
        <v>42996</v>
      </c>
      <c r="L343" s="615">
        <v>43830</v>
      </c>
      <c r="M343" s="599">
        <f>DATEDIF(Table1[[#This Row],[تاريخ التعيين]],Table1[[#This Row],[اخر العام]],"y")</f>
        <v>2</v>
      </c>
      <c r="N343" s="599">
        <f>DATEDIF(Table1[[#This Row],[تاريخ التعيين]],Table1[[#This Row],[اخر العام]],"ym")</f>
        <v>3</v>
      </c>
      <c r="O343" s="610">
        <f>Table1[[#This Row],[سنوات الخدمه]]*1+Table1[[#This Row],[الشهور اقل من سنه]]*0.08</f>
        <v>2.2400000000000002</v>
      </c>
      <c r="P343" s="616">
        <v>5400</v>
      </c>
      <c r="Q343" s="617">
        <v>133.91999999999999</v>
      </c>
      <c r="R343" s="612"/>
      <c r="S343" s="599"/>
      <c r="T343" s="612"/>
      <c r="U343" s="612"/>
      <c r="V343" s="612"/>
      <c r="W343" s="612"/>
      <c r="X343" s="612"/>
      <c r="Y343" s="612"/>
      <c r="Z343" s="612"/>
      <c r="AA343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3" s="612"/>
      <c r="AC343" s="599"/>
      <c r="AD343" s="612"/>
      <c r="AE343" s="612"/>
      <c r="AF343" s="612"/>
      <c r="AG343" s="612"/>
      <c r="AH343" s="619">
        <f>SUM(Table1[[#This Row],[التقييد  باللوائح و تنفيذالتوجيه]:[اتباع اجراءات السلامه]])</f>
        <v>0</v>
      </c>
      <c r="AI343" s="619">
        <f>Table1[[#This Row],[المجموع]]+Table1[[#This Row],[المجموع2]]</f>
        <v>0</v>
      </c>
      <c r="AJ343" s="612"/>
      <c r="AK343" s="612"/>
      <c r="AL343" s="612"/>
      <c r="AM343" s="612"/>
      <c r="AN343" s="612"/>
      <c r="AO343" s="606">
        <f>Table1[[#This Row],[المجموع 1+2]]*$AO$2</f>
        <v>0</v>
      </c>
      <c r="AP343" s="648">
        <f>Table1[[#This Row],[راتب ديسمبر 2019]]*Table1[[#This Row],[نسبه التقييم الرئيسي 2018]]%</f>
        <v>0</v>
      </c>
      <c r="AQ343" s="627">
        <f>Table1[[#This Row],[مبلغ التقييم النسبي 2018]]+Table1[[#This Row],[راتب ديسمبر 2019]]</f>
        <v>5400</v>
      </c>
      <c r="AR343" s="10">
        <f>IF(Table1[[#This Row],[Column3]]&lt;0,0,Table1[[#This Row],[Column3]])</f>
        <v>4600</v>
      </c>
      <c r="AS343" s="599">
        <f>VLOOKUP(Table1[[#This Row],[درجه التوسيط]],Table10[],3,)</f>
        <v>10000</v>
      </c>
      <c r="AT343" s="608">
        <f>Table1[[#This Row],[الراتب 2018+النسبه]]+Table1[[#This Row],[فروقات الحد الادني]]</f>
        <v>10000</v>
      </c>
      <c r="AU343" s="629">
        <f>Table1[[#This Row],[الراتب 2018 + النسبه + الفرق]]-Table1[[#This Row],[راتب ديسمبر 2019]]</f>
        <v>4600</v>
      </c>
      <c r="AV343" s="628">
        <f>Table1[[#This Row],[الزياده]]/Table1[[#This Row],[راتب ديسمبر 2019]]%</f>
        <v>85.18518518518519</v>
      </c>
      <c r="AW343" s="659">
        <f>IF(Table1[[#This Row],[Column4]]&lt;0,0,Table1[[#This Row],[Column4]])</f>
        <v>0</v>
      </c>
      <c r="AX343" s="611">
        <f>Table1[[#This Row],[الجبر حتي]]-Table1[[#This Row],[رن]]</f>
        <v>1.6000000000003638</v>
      </c>
      <c r="AY343" s="611">
        <f>Table1[[#This Row],[الزياده]]+Table1[[#This Row],[التعديل]]+Table1[[#This Row],[جبر الرقم]]</f>
        <v>4601.6000000000004</v>
      </c>
      <c r="AZ343" s="611">
        <f>Table1[[#This Row],[الراتب 2018 + النسبه + الفرق]]+Table1[[#This Row],[جبر الرقم]]+Table1[[#This Row],[التعديل]]</f>
        <v>10001.6</v>
      </c>
      <c r="BA343" s="631">
        <f>Table1[[#This Row],[الزياده النهائيه]]/Table1[[#This Row],[راتب ديسمبر 2019]]%</f>
        <v>85.214814814814815</v>
      </c>
      <c r="BB343" s="612">
        <f>VLOOKUP(Table1[[#This Row],[الرقم الوظيفي]],Table6[],8,)</f>
        <v>5400</v>
      </c>
      <c r="BC343" s="7"/>
      <c r="BD343" s="7">
        <v>8350</v>
      </c>
      <c r="BE343" s="7">
        <v>8348.4</v>
      </c>
      <c r="BF343" s="5">
        <f>Table1[[#This Row],[الحد الادني]]-Table1[[#This Row],[الراتب 2018+النسبه]]</f>
        <v>4600</v>
      </c>
      <c r="BG343" s="5">
        <f>Table1[[#This Row],[التعديل حتي]]-Table1[[#This Row],[kkk]]</f>
        <v>-8348.4</v>
      </c>
      <c r="BH343" s="5">
        <v>8348.4</v>
      </c>
      <c r="BI343" s="5"/>
    </row>
    <row r="344" spans="1:61" ht="18.75" customHeight="1">
      <c r="A344" s="604">
        <v>8103</v>
      </c>
      <c r="B344" s="618" t="str">
        <f>VLOOKUP(Table1[[#This Row],[الرقم الوظيفي]],[1]Sheet2!$1:$1048576,2,)</f>
        <v>الصادق ضحيه مطر محمد</v>
      </c>
      <c r="C344" s="599" t="str">
        <f>VLOOKUP(Table1[[#This Row],[الرقم الوظيفي]],[1]Sheet2!$1:$1048576,7,)</f>
        <v>المصنع</v>
      </c>
      <c r="D344" s="599" t="str">
        <f>VLOOKUP(Table1[[#This Row],[الرقم الوظيفي]],[1]Sheet2!$1:$1048576,8,)</f>
        <v>الاليات</v>
      </c>
      <c r="E344" s="599">
        <f>VLOOKUP(Table1[[#This Row],[الرقم الوظيفي]],[1]Sheet2!$1:$1048576,9,)</f>
        <v>0</v>
      </c>
      <c r="F344" s="599" t="str">
        <f>VLOOKUP(Table1[[#This Row],[الرقم الوظيفي]],[1]Sheet2!$1:$1048576,12,)</f>
        <v>فنى صيانه + سائق اليات</v>
      </c>
      <c r="G344" s="599">
        <f>VLOOKUP(Table1[[#This Row],[الرقم الوظيفي]],[1]Sheet2!$1:$1048576,72,)</f>
        <v>0</v>
      </c>
      <c r="H344" s="599">
        <f>VLOOKUP(Table1[[#This Row],[الرقم الوظيفي]],[1]Sheet2!$1:$1048576,71,)</f>
        <v>0</v>
      </c>
      <c r="I344" s="599" t="str">
        <f>VLOOKUP(Table1[[#This Row],[المؤهل الرئيسي]],Table4[],3,)</f>
        <v>H</v>
      </c>
      <c r="J344" s="599" t="s">
        <v>923</v>
      </c>
      <c r="K344" s="615">
        <f>VLOOKUP(Table1[[#This Row],[الرقم الوظيفي]],[1]Sheet2!$1:$1048576,13,)</f>
        <v>43102</v>
      </c>
      <c r="L344" s="615">
        <v>43830</v>
      </c>
      <c r="M344" s="599">
        <f>DATEDIF(Table1[[#This Row],[تاريخ التعيين]],Table1[[#This Row],[اخر العام]],"y")</f>
        <v>1</v>
      </c>
      <c r="N344" s="599">
        <f>DATEDIF(Table1[[#This Row],[تاريخ التعيين]],Table1[[#This Row],[اخر العام]],"ym")</f>
        <v>11</v>
      </c>
      <c r="O344" s="610">
        <f>Table1[[#This Row],[سنوات الخدمه]]*1+Table1[[#This Row],[الشهور اقل من سنه]]*0.08</f>
        <v>1.88</v>
      </c>
      <c r="P344" s="616">
        <v>5400</v>
      </c>
      <c r="Q344" s="617">
        <v>95.04</v>
      </c>
      <c r="R344" s="612"/>
      <c r="S344" s="599"/>
      <c r="T344" s="612"/>
      <c r="U344" s="612"/>
      <c r="V344" s="612"/>
      <c r="W344" s="612"/>
      <c r="X344" s="612"/>
      <c r="Y344" s="612"/>
      <c r="Z344" s="612"/>
      <c r="AA344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4" s="612"/>
      <c r="AC344" s="599"/>
      <c r="AD344" s="612"/>
      <c r="AE344" s="612"/>
      <c r="AF344" s="612"/>
      <c r="AG344" s="612"/>
      <c r="AH344" s="619">
        <f>SUM(Table1[[#This Row],[التقييد  باللوائح و تنفيذالتوجيه]:[اتباع اجراءات السلامه]])</f>
        <v>0</v>
      </c>
      <c r="AI344" s="619">
        <f>Table1[[#This Row],[المجموع]]+Table1[[#This Row],[المجموع2]]</f>
        <v>0</v>
      </c>
      <c r="AJ344" s="612"/>
      <c r="AK344" s="612"/>
      <c r="AL344" s="612"/>
      <c r="AM344" s="612"/>
      <c r="AN344" s="612"/>
      <c r="AO344" s="606">
        <f>Table1[[#This Row],[المجموع 1+2]]*$AO$2</f>
        <v>0</v>
      </c>
      <c r="AP344" s="648">
        <f>Table1[[#This Row],[راتب ديسمبر 2019]]*Table1[[#This Row],[نسبه التقييم الرئيسي 2018]]%</f>
        <v>0</v>
      </c>
      <c r="AQ344" s="627">
        <f>Table1[[#This Row],[مبلغ التقييم النسبي 2018]]+Table1[[#This Row],[راتب ديسمبر 2019]]</f>
        <v>5400</v>
      </c>
      <c r="AR344" s="10">
        <f>IF(Table1[[#This Row],[Column3]]&lt;0,0,Table1[[#This Row],[Column3]])</f>
        <v>4600</v>
      </c>
      <c r="AS344" s="599">
        <f>VLOOKUP(Table1[[#This Row],[درجه التوسيط]],Table10[],3,)</f>
        <v>10000</v>
      </c>
      <c r="AT344" s="608">
        <f>Table1[[#This Row],[الراتب 2018+النسبه]]+Table1[[#This Row],[فروقات الحد الادني]]</f>
        <v>10000</v>
      </c>
      <c r="AU344" s="629">
        <f>Table1[[#This Row],[الراتب 2018 + النسبه + الفرق]]-Table1[[#This Row],[راتب ديسمبر 2019]]</f>
        <v>4600</v>
      </c>
      <c r="AV344" s="628">
        <f>Table1[[#This Row],[الزياده]]/Table1[[#This Row],[راتب ديسمبر 2019]]%</f>
        <v>85.18518518518519</v>
      </c>
      <c r="AW344" s="659">
        <f>IF(Table1[[#This Row],[Column4]]&lt;0,0,Table1[[#This Row],[Column4]])</f>
        <v>0</v>
      </c>
      <c r="AX344" s="611">
        <f>Table1[[#This Row],[الجبر حتي]]-Table1[[#This Row],[رن]]</f>
        <v>9.6000000000003638</v>
      </c>
      <c r="AY344" s="611">
        <f>Table1[[#This Row],[الزياده]]+Table1[[#This Row],[التعديل]]+Table1[[#This Row],[جبر الرقم]]</f>
        <v>4609.6000000000004</v>
      </c>
      <c r="AZ344" s="611">
        <f>Table1[[#This Row],[الراتب 2018 + النسبه + الفرق]]+Table1[[#This Row],[جبر الرقم]]+Table1[[#This Row],[التعديل]]</f>
        <v>10009.6</v>
      </c>
      <c r="BA344" s="631">
        <f>Table1[[#This Row],[الزياده النهائيه]]/Table1[[#This Row],[راتب ديسمبر 2019]]%</f>
        <v>85.362962962962968</v>
      </c>
      <c r="BB344" s="612">
        <f>VLOOKUP(Table1[[#This Row],[الرقم الوظيفي]],Table6[],8,)</f>
        <v>5400</v>
      </c>
      <c r="BC344" s="7"/>
      <c r="BD344" s="7">
        <v>8520</v>
      </c>
      <c r="BE344" s="7">
        <v>8510.4</v>
      </c>
      <c r="BF344" s="5">
        <f>Table1[[#This Row],[الحد الادني]]-Table1[[#This Row],[الراتب 2018+النسبه]]</f>
        <v>4600</v>
      </c>
      <c r="BG344" s="5">
        <f>Table1[[#This Row],[التعديل حتي]]-Table1[[#This Row],[kkk]]</f>
        <v>-8510.4</v>
      </c>
      <c r="BH344" s="5">
        <v>8510.4</v>
      </c>
      <c r="BI344" s="5"/>
    </row>
    <row r="345" spans="1:61" ht="18.75" customHeight="1">
      <c r="A345" s="604">
        <v>8104</v>
      </c>
      <c r="B345" s="618" t="str">
        <f>VLOOKUP(Table1[[#This Row],[الرقم الوظيفي]],[1]Sheet2!$1:$1048576,2,)</f>
        <v>بابكر محمد عبد القادر ابراهيم</v>
      </c>
      <c r="C345" s="599" t="str">
        <f>VLOOKUP(Table1[[#This Row],[الرقم الوظيفي]],[1]Sheet2!$1:$1048576,7,)</f>
        <v>المصنع</v>
      </c>
      <c r="D345" s="599" t="str">
        <f>VLOOKUP(Table1[[#This Row],[الرقم الوظيفي]],[1]Sheet2!$1:$1048576,8,)</f>
        <v>الانتاج</v>
      </c>
      <c r="E345" s="599">
        <f>VLOOKUP(Table1[[#This Row],[الرقم الوظيفي]],[1]Sheet2!$1:$1048576,9,)</f>
        <v>0</v>
      </c>
      <c r="F345" s="599" t="str">
        <f>VLOOKUP(Table1[[#This Row],[الرقم الوظيفي]],[1]Sheet2!$1:$1048576,12,)</f>
        <v>عامل</v>
      </c>
      <c r="G345" s="599" t="str">
        <f>VLOOKUP(Table1[[#This Row],[الرقم الوظيفي]],[1]Sheet2!$1:$1048576,72,)</f>
        <v>بكلاريوس الشرف</v>
      </c>
      <c r="H345" s="599" t="str">
        <f>VLOOKUP(Table1[[#This Row],[الرقم الوظيفي]],[1]Sheet2!$1:$1048576,71,)</f>
        <v>هندسة زراعة</v>
      </c>
      <c r="I345" s="599" t="str">
        <f>VLOOKUP(Table1[[#This Row],[المؤهل الرئيسي]],Table4[],3,)</f>
        <v>C</v>
      </c>
      <c r="J345" s="599" t="s">
        <v>929</v>
      </c>
      <c r="K345" s="615">
        <f>VLOOKUP(Table1[[#This Row],[الرقم الوظيفي]],[1]Sheet2!$1:$1048576,13,)</f>
        <v>43103</v>
      </c>
      <c r="L345" s="615">
        <v>43830</v>
      </c>
      <c r="M345" s="599">
        <f>DATEDIF(Table1[[#This Row],[تاريخ التعيين]],Table1[[#This Row],[اخر العام]],"y")</f>
        <v>1</v>
      </c>
      <c r="N345" s="599">
        <f>DATEDIF(Table1[[#This Row],[تاريخ التعيين]],Table1[[#This Row],[اخر العام]],"ym")</f>
        <v>11</v>
      </c>
      <c r="O345" s="610">
        <f>Table1[[#This Row],[سنوات الخدمه]]*1+Table1[[#This Row],[الشهور اقل من سنه]]*0.08</f>
        <v>1.88</v>
      </c>
      <c r="P345" s="616">
        <v>4200</v>
      </c>
      <c r="Q345" s="617">
        <v>73.92</v>
      </c>
      <c r="R345" s="612"/>
      <c r="S345" s="599"/>
      <c r="T345" s="612"/>
      <c r="U345" s="612"/>
      <c r="V345" s="612"/>
      <c r="W345" s="612"/>
      <c r="X345" s="612"/>
      <c r="Y345" s="612"/>
      <c r="Z345" s="612"/>
      <c r="AA345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5" s="612"/>
      <c r="AC345" s="599"/>
      <c r="AD345" s="612"/>
      <c r="AE345" s="612"/>
      <c r="AF345" s="612"/>
      <c r="AG345" s="612"/>
      <c r="AH345" s="619">
        <f>SUM(Table1[[#This Row],[التقييد  باللوائح و تنفيذالتوجيه]:[اتباع اجراءات السلامه]])</f>
        <v>0</v>
      </c>
      <c r="AI345" s="619">
        <f>Table1[[#This Row],[المجموع]]+Table1[[#This Row],[المجموع2]]</f>
        <v>0</v>
      </c>
      <c r="AJ345" s="612"/>
      <c r="AK345" s="612"/>
      <c r="AL345" s="612"/>
      <c r="AM345" s="612"/>
      <c r="AN345" s="612"/>
      <c r="AO345" s="606">
        <f>Table1[[#This Row],[المجموع 1+2]]*$AO$2</f>
        <v>0</v>
      </c>
      <c r="AP345" s="648">
        <f>Table1[[#This Row],[راتب ديسمبر 2019]]*Table1[[#This Row],[نسبه التقييم الرئيسي 2018]]%</f>
        <v>0</v>
      </c>
      <c r="AQ345" s="627">
        <f>Table1[[#This Row],[مبلغ التقييم النسبي 2018]]+Table1[[#This Row],[راتب ديسمبر 2019]]</f>
        <v>4200</v>
      </c>
      <c r="AR345" s="10">
        <f>IF(Table1[[#This Row],[Column3]]&lt;0,0,Table1[[#This Row],[Column3]])</f>
        <v>1800</v>
      </c>
      <c r="AS345" s="599">
        <f>VLOOKUP(Table1[[#This Row],[درجه التوسيط]],Table10[],3,)</f>
        <v>6000</v>
      </c>
      <c r="AT345" s="608">
        <f>Table1[[#This Row],[الراتب 2018+النسبه]]+Table1[[#This Row],[فروقات الحد الادني]]</f>
        <v>6000</v>
      </c>
      <c r="AU345" s="629">
        <f>Table1[[#This Row],[الراتب 2018 + النسبه + الفرق]]-Table1[[#This Row],[راتب ديسمبر 2019]]</f>
        <v>1800</v>
      </c>
      <c r="AV345" s="628">
        <f>Table1[[#This Row],[الزياده]]/Table1[[#This Row],[راتب ديسمبر 2019]]%</f>
        <v>42.857142857142854</v>
      </c>
      <c r="AW345" s="659">
        <f>IF(Table1[[#This Row],[Column4]]&lt;0,0,Table1[[#This Row],[Column4]])</f>
        <v>0</v>
      </c>
      <c r="AX345" s="611">
        <f>Table1[[#This Row],[الجبر حتي]]-Table1[[#This Row],[رن]]</f>
        <v>4</v>
      </c>
      <c r="AY345" s="611">
        <f>Table1[[#This Row],[الزياده]]+Table1[[#This Row],[التعديل]]+Table1[[#This Row],[جبر الرقم]]</f>
        <v>1804</v>
      </c>
      <c r="AZ345" s="611">
        <f>Table1[[#This Row],[الراتب 2018 + النسبه + الفرق]]+Table1[[#This Row],[جبر الرقم]]+Table1[[#This Row],[التعديل]]</f>
        <v>6004</v>
      </c>
      <c r="BA345" s="631">
        <f>Table1[[#This Row],[الزياده النهائيه]]/Table1[[#This Row],[راتب ديسمبر 2019]]%</f>
        <v>42.952380952380949</v>
      </c>
      <c r="BB345" s="612">
        <f>VLOOKUP(Table1[[#This Row],[الرقم الوظيفي]],Table6[],8,)</f>
        <v>4200</v>
      </c>
      <c r="BC345" s="7"/>
      <c r="BD345" s="7">
        <v>6220</v>
      </c>
      <c r="BE345" s="7">
        <v>6216</v>
      </c>
      <c r="BF345" s="5">
        <f>Table1[[#This Row],[الحد الادني]]-Table1[[#This Row],[الراتب 2018+النسبه]]</f>
        <v>1800</v>
      </c>
      <c r="BG345" s="5">
        <f>Table1[[#This Row],[التعديل حتي]]-Table1[[#This Row],[kkk]]</f>
        <v>-6216</v>
      </c>
      <c r="BH345" s="5">
        <v>6216</v>
      </c>
      <c r="BI345" s="5"/>
    </row>
    <row r="346" spans="1:61" ht="18.75" customHeight="1">
      <c r="A346" s="604">
        <v>8105</v>
      </c>
      <c r="B346" s="618" t="str">
        <f>VLOOKUP(Table1[[#This Row],[الرقم الوظيفي]],[1]Sheet2!$1:$1048576,2,)</f>
        <v>محمد فضل طمبل فضل</v>
      </c>
      <c r="C346" s="599" t="str">
        <f>VLOOKUP(Table1[[#This Row],[الرقم الوظيفي]],[1]Sheet2!$1:$1048576,7,)</f>
        <v>المصنع</v>
      </c>
      <c r="D346" s="599" t="str">
        <f>VLOOKUP(Table1[[#This Row],[الرقم الوظيفي]],[1]Sheet2!$1:$1048576,8,)</f>
        <v>الانتاج</v>
      </c>
      <c r="E346" s="599" t="str">
        <f>VLOOKUP(Table1[[#This Row],[الرقم الوظيفي]],[1]Sheet2!$1:$1048576,9,)</f>
        <v>الزنك</v>
      </c>
      <c r="F346" s="599" t="str">
        <f>VLOOKUP(Table1[[#This Row],[الرقم الوظيفي]],[1]Sheet2!$1:$1048576,12,)</f>
        <v>فورمان</v>
      </c>
      <c r="G346" s="599">
        <f>VLOOKUP(Table1[[#This Row],[الرقم الوظيفي]],[1]Sheet2!$1:$1048576,72,)</f>
        <v>0</v>
      </c>
      <c r="H346" s="599">
        <f>VLOOKUP(Table1[[#This Row],[الرقم الوظيفي]],[1]Sheet2!$1:$1048576,71,)</f>
        <v>0</v>
      </c>
      <c r="I346" s="599" t="str">
        <f>VLOOKUP(Table1[[#This Row],[المؤهل الرئيسي]],Table4[],3,)</f>
        <v>H</v>
      </c>
      <c r="J346" s="599" t="s">
        <v>494</v>
      </c>
      <c r="K346" s="615">
        <f>VLOOKUP(Table1[[#This Row],[الرقم الوظيفي]],[1]Sheet2!$1:$1048576,13,)</f>
        <v>43150</v>
      </c>
      <c r="L346" s="615">
        <v>43830</v>
      </c>
      <c r="M346" s="599">
        <f>DATEDIF(Table1[[#This Row],[تاريخ التعيين]],Table1[[#This Row],[اخر العام]],"y")</f>
        <v>1</v>
      </c>
      <c r="N346" s="599">
        <f>DATEDIF(Table1[[#This Row],[تاريخ التعيين]],Table1[[#This Row],[اخر العام]],"ym")</f>
        <v>10</v>
      </c>
      <c r="O346" s="610">
        <f>Table1[[#This Row],[سنوات الخدمه]]*1+Table1[[#This Row],[الشهور اقل من سنه]]*0.08</f>
        <v>1.8</v>
      </c>
      <c r="P346" s="616">
        <v>6000</v>
      </c>
      <c r="Q346" s="617">
        <v>96</v>
      </c>
      <c r="R346" s="612"/>
      <c r="S346" s="599"/>
      <c r="T346" s="612"/>
      <c r="U346" s="612"/>
      <c r="V346" s="612"/>
      <c r="W346" s="612"/>
      <c r="X346" s="612"/>
      <c r="Y346" s="612"/>
      <c r="Z346" s="612"/>
      <c r="AA346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6" s="612"/>
      <c r="AC346" s="599"/>
      <c r="AD346" s="612"/>
      <c r="AE346" s="612"/>
      <c r="AF346" s="612"/>
      <c r="AG346" s="612"/>
      <c r="AH346" s="619">
        <f>SUM(Table1[[#This Row],[التقييد  باللوائح و تنفيذالتوجيه]:[اتباع اجراءات السلامه]])</f>
        <v>0</v>
      </c>
      <c r="AI346" s="619">
        <f>Table1[[#This Row],[المجموع]]+Table1[[#This Row],[المجموع2]]</f>
        <v>0</v>
      </c>
      <c r="AJ346" s="612"/>
      <c r="AK346" s="612"/>
      <c r="AL346" s="612"/>
      <c r="AM346" s="612"/>
      <c r="AN346" s="612"/>
      <c r="AO346" s="606">
        <f>Table1[[#This Row],[المجموع 1+2]]*$AO$2</f>
        <v>0</v>
      </c>
      <c r="AP346" s="648">
        <f>Table1[[#This Row],[راتب ديسمبر 2019]]*Table1[[#This Row],[نسبه التقييم الرئيسي 2018]]%</f>
        <v>0</v>
      </c>
      <c r="AQ346" s="627">
        <f>Table1[[#This Row],[مبلغ التقييم النسبي 2018]]+Table1[[#This Row],[راتب ديسمبر 2019]]</f>
        <v>6000</v>
      </c>
      <c r="AR346" s="611">
        <f>IF(Table1[[#This Row],[Column3]]&lt;0,0,Table1[[#This Row],[Column3]])</f>
        <v>9000</v>
      </c>
      <c r="AS346" s="599">
        <f>VLOOKUP(Table1[[#This Row],[درجه التوسيط]],Table10[],3,)</f>
        <v>15000</v>
      </c>
      <c r="AT346" s="608">
        <f>Table1[[#This Row],[الراتب 2018+النسبه]]+Table1[[#This Row],[فروقات الحد الادني]]</f>
        <v>15000</v>
      </c>
      <c r="AU346" s="629">
        <f>Table1[[#This Row],[الراتب 2018 + النسبه + الفرق]]-Table1[[#This Row],[راتب ديسمبر 2019]]</f>
        <v>9000</v>
      </c>
      <c r="AV346" s="628">
        <f>Table1[[#This Row],[الزياده]]/Table1[[#This Row],[راتب ديسمبر 2019]]%</f>
        <v>150</v>
      </c>
      <c r="AW346" s="659">
        <f>IF(Table1[[#This Row],[Column4]]&lt;0,0,Table1[[#This Row],[Column4]])</f>
        <v>0</v>
      </c>
      <c r="AX346" s="611">
        <f>Table1[[#This Row],[الجبر حتي]]-Table1[[#This Row],[رن]]</f>
        <v>0</v>
      </c>
      <c r="AY346" s="611">
        <f>Table1[[#This Row],[الزياده]]+Table1[[#This Row],[التعديل]]+Table1[[#This Row],[جبر الرقم]]</f>
        <v>9000</v>
      </c>
      <c r="AZ346" s="611">
        <f>Table1[[#This Row],[الراتب 2018 + النسبه + الفرق]]+Table1[[#This Row],[جبر الرقم]]+Table1[[#This Row],[التعديل]]</f>
        <v>15000</v>
      </c>
      <c r="BA346" s="631">
        <f>Table1[[#This Row],[الزياده النهائيه]]/Table1[[#This Row],[راتب ديسمبر 2019]]%</f>
        <v>150</v>
      </c>
      <c r="BB346" s="612">
        <f>VLOOKUP(Table1[[#This Row],[الرقم الوظيفي]],Table6[],8,)</f>
        <v>6000</v>
      </c>
      <c r="BC346" s="7"/>
      <c r="BD346" s="7">
        <v>10000</v>
      </c>
      <c r="BE346" s="7">
        <v>10000</v>
      </c>
      <c r="BF346" s="5">
        <f>Table1[[#This Row],[الحد الادني]]-Table1[[#This Row],[الراتب 2018+النسبه]]</f>
        <v>9000</v>
      </c>
      <c r="BG346" s="5">
        <f>Table1[[#This Row],[التعديل حتي]]-Table1[[#This Row],[kkk]]</f>
        <v>-10000</v>
      </c>
      <c r="BH346" s="5">
        <v>10000</v>
      </c>
      <c r="BI346" s="5"/>
    </row>
    <row r="347" spans="1:61" s="34" customFormat="1" ht="20.5" customHeight="1">
      <c r="A347" s="604">
        <v>8106</v>
      </c>
      <c r="B347" s="618" t="str">
        <f>VLOOKUP(Table1[[#This Row],[الرقم الوظيفي]],[1]Sheet2!$1:$1048576,2,)</f>
        <v>محمد احمد موسى حسن</v>
      </c>
      <c r="C347" s="599" t="str">
        <f>VLOOKUP(Table1[[#This Row],[الرقم الوظيفي]],[1]Sheet2!$1:$1048576,7,)</f>
        <v>المصنع</v>
      </c>
      <c r="D347" s="599" t="str">
        <f>VLOOKUP(Table1[[#This Row],[الرقم الوظيفي]],[1]Sheet2!$1:$1048576,8,)</f>
        <v>الانتاج</v>
      </c>
      <c r="E347" s="599" t="str">
        <f>VLOOKUP(Table1[[#This Row],[الرقم الوظيفي]],[1]Sheet2!$1:$1048576,9,)</f>
        <v>الاكسبنده</v>
      </c>
      <c r="F347" s="599" t="str">
        <f>VLOOKUP(Table1[[#This Row],[الرقم الوظيفي]],[1]Sheet2!$1:$1048576,12,)</f>
        <v>مشغل</v>
      </c>
      <c r="G347" s="599">
        <f>VLOOKUP(Table1[[#This Row],[الرقم الوظيفي]],[1]Sheet2!$1:$1048576,72,)</f>
        <v>0</v>
      </c>
      <c r="H347" s="599">
        <f>VLOOKUP(Table1[[#This Row],[الرقم الوظيفي]],[1]Sheet2!$1:$1048576,71,)</f>
        <v>0</v>
      </c>
      <c r="I347" s="599" t="str">
        <f>VLOOKUP(Table1[[#This Row],[المؤهل الرئيسي]],Table4[],3,)</f>
        <v>H</v>
      </c>
      <c r="J347" s="599" t="s">
        <v>922</v>
      </c>
      <c r="K347" s="615">
        <f>VLOOKUP(Table1[[#This Row],[الرقم الوظيفي]],[1]Sheet2!$1:$1048576,13,)</f>
        <v>43180</v>
      </c>
      <c r="L347" s="615">
        <v>43830</v>
      </c>
      <c r="M347" s="599">
        <f>DATEDIF(Table1[[#This Row],[تاريخ التعيين]],Table1[[#This Row],[اخر العام]],"y")</f>
        <v>1</v>
      </c>
      <c r="N347" s="599">
        <f>DATEDIF(Table1[[#This Row],[تاريخ التعيين]],Table1[[#This Row],[اخر العام]],"ym")</f>
        <v>9</v>
      </c>
      <c r="O347" s="610">
        <f>Table1[[#This Row],[سنوات الخدمه]]*1+Table1[[#This Row],[الشهور اقل من سنه]]*0.08</f>
        <v>1.72</v>
      </c>
      <c r="P347" s="616">
        <v>5100</v>
      </c>
      <c r="Q347" s="617">
        <v>73.44</v>
      </c>
      <c r="R347" s="601"/>
      <c r="S347" s="601"/>
      <c r="T347" s="601"/>
      <c r="U347" s="601"/>
      <c r="V347" s="601"/>
      <c r="W347" s="601"/>
      <c r="X347" s="601"/>
      <c r="Y347" s="601"/>
      <c r="Z347" s="601"/>
      <c r="AA347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7" s="601"/>
      <c r="AC347" s="601"/>
      <c r="AD347" s="601"/>
      <c r="AE347" s="601"/>
      <c r="AF347" s="601"/>
      <c r="AG347" s="601"/>
      <c r="AH347" s="619">
        <f>SUM(Table1[[#This Row],[التقييد  باللوائح و تنفيذالتوجيه]:[اتباع اجراءات السلامه]])</f>
        <v>0</v>
      </c>
      <c r="AI347" s="619">
        <f>Table1[[#This Row],[المجموع]]+Table1[[#This Row],[المجموع2]]</f>
        <v>0</v>
      </c>
      <c r="AJ347" s="601"/>
      <c r="AK347" s="601"/>
      <c r="AL347" s="601"/>
      <c r="AM347" s="601"/>
      <c r="AN347" s="601"/>
      <c r="AO347" s="606">
        <f>Table1[[#This Row],[المجموع 1+2]]*$AO$2</f>
        <v>0</v>
      </c>
      <c r="AP347" s="648">
        <f>Table1[[#This Row],[راتب ديسمبر 2019]]*Table1[[#This Row],[نسبه التقييم الرئيسي 2018]]%</f>
        <v>0</v>
      </c>
      <c r="AQ347" s="627">
        <f>Table1[[#This Row],[مبلغ التقييم النسبي 2018]]+Table1[[#This Row],[راتب ديسمبر 2019]]</f>
        <v>5100</v>
      </c>
      <c r="AR347" s="10">
        <f>IF(Table1[[#This Row],[Column3]]&lt;0,0,Table1[[#This Row],[Column3]])</f>
        <v>5900</v>
      </c>
      <c r="AS347" s="599">
        <f>VLOOKUP(Table1[[#This Row],[درجه التوسيط]],Table10[],3,)</f>
        <v>11000</v>
      </c>
      <c r="AT347" s="608">
        <f>Table1[[#This Row],[الراتب 2018+النسبه]]+Table1[[#This Row],[فروقات الحد الادني]]</f>
        <v>11000</v>
      </c>
      <c r="AU347" s="629">
        <f>Table1[[#This Row],[الراتب 2018 + النسبه + الفرق]]-Table1[[#This Row],[راتب ديسمبر 2019]]</f>
        <v>5900</v>
      </c>
      <c r="AV347" s="628">
        <f>Table1[[#This Row],[الزياده]]/Table1[[#This Row],[راتب ديسمبر 2019]]%</f>
        <v>115.68627450980392</v>
      </c>
      <c r="AW347" s="659">
        <f>IF(Table1[[#This Row],[Column4]]&lt;0,0,Table1[[#This Row],[Column4]])</f>
        <v>0</v>
      </c>
      <c r="AX347" s="611">
        <f>Table1[[#This Row],[الجبر حتي]]-Table1[[#This Row],[رن]]</f>
        <v>1.8000000000001819</v>
      </c>
      <c r="AY347" s="611">
        <f>Table1[[#This Row],[الزياده]]+Table1[[#This Row],[التعديل]]+Table1[[#This Row],[جبر الرقم]]</f>
        <v>5901.8</v>
      </c>
      <c r="AZ347" s="611">
        <f>Table1[[#This Row],[الراتب 2018 + النسبه + الفرق]]+Table1[[#This Row],[جبر الرقم]]+Table1[[#This Row],[التعديل]]</f>
        <v>11001.8</v>
      </c>
      <c r="BA347" s="631">
        <f>Table1[[#This Row],[الزياده النهائيه]]/Table1[[#This Row],[راتب ديسمبر 2019]]%</f>
        <v>115.72156862745098</v>
      </c>
      <c r="BB347" s="601">
        <f>VLOOKUP(Table1[[#This Row],[الرقم الوظيفي]],Table6[],8,)</f>
        <v>5100</v>
      </c>
      <c r="BC347" s="658"/>
      <c r="BD347" s="658">
        <v>8070</v>
      </c>
      <c r="BE347" s="658">
        <v>8068.2</v>
      </c>
      <c r="BF347" s="645">
        <f>Table1[[#This Row],[الحد الادني]]-Table1[[#This Row],[الراتب 2018+النسبه]]</f>
        <v>5900</v>
      </c>
      <c r="BG347" s="645">
        <f>Table1[[#This Row],[التعديل حتي]]-Table1[[#This Row],[kkk]]</f>
        <v>-8068.2</v>
      </c>
      <c r="BH347" s="645">
        <v>8068.2</v>
      </c>
      <c r="BI347" s="645"/>
    </row>
    <row r="348" spans="1:61">
      <c r="A348" s="604">
        <v>8107</v>
      </c>
      <c r="B348" s="618" t="str">
        <f>VLOOKUP(Table1[[#This Row],[الرقم الوظيفي]],[1]Sheet2!$1:$1048576,2,)</f>
        <v>عادل جمال</v>
      </c>
      <c r="C348" s="599" t="str">
        <f>VLOOKUP(Table1[[#This Row],[الرقم الوظيفي]],[1]Sheet2!$1:$1048576,7,)</f>
        <v>المصنع</v>
      </c>
      <c r="D348" s="599" t="str">
        <f>VLOOKUP(Table1[[#This Row],[الرقم الوظيفي]],[1]Sheet2!$1:$1048576,8,)</f>
        <v>الانتاج</v>
      </c>
      <c r="E348" s="599" t="str">
        <f>VLOOKUP(Table1[[#This Row],[الرقم الوظيفي]],[1]Sheet2!$1:$1048576,9,)</f>
        <v>المواسير</v>
      </c>
      <c r="F348" s="599" t="str">
        <f>VLOOKUP(Table1[[#This Row],[الرقم الوظيفي]],[1]Sheet2!$1:$1048576,12,)</f>
        <v>مشغل كرين</v>
      </c>
      <c r="G348" s="599">
        <f>VLOOKUP(Table1[[#This Row],[الرقم الوظيفي]],[1]Sheet2!$1:$1048576,72,)</f>
        <v>0</v>
      </c>
      <c r="H348" s="599">
        <f>VLOOKUP(Table1[[#This Row],[الرقم الوظيفي]],[1]Sheet2!$1:$1048576,71,)</f>
        <v>0</v>
      </c>
      <c r="I348" s="599" t="str">
        <f>VLOOKUP(Table1[[#This Row],[المؤهل الرئيسي]],Table4[],3,)</f>
        <v>H</v>
      </c>
      <c r="J348" s="599" t="s">
        <v>926</v>
      </c>
      <c r="K348" s="615">
        <f>VLOOKUP(Table1[[#This Row],[الرقم الوظيفي]],[1]Sheet2!$1:$1048576,13,)</f>
        <v>43252</v>
      </c>
      <c r="L348" s="615">
        <v>43830</v>
      </c>
      <c r="M348" s="599">
        <f>DATEDIF(Table1[[#This Row],[تاريخ التعيين]],Table1[[#This Row],[اخر العام]],"y")</f>
        <v>1</v>
      </c>
      <c r="N348" s="599">
        <f>DATEDIF(Table1[[#This Row],[تاريخ التعيين]],Table1[[#This Row],[اخر العام]],"ym")</f>
        <v>6</v>
      </c>
      <c r="O348" s="610">
        <f>Table1[[#This Row],[سنوات الخدمه]]*1+Table1[[#This Row],[الشهور اقل من سنه]]*0.08</f>
        <v>1.48</v>
      </c>
      <c r="P348" s="616">
        <v>4500</v>
      </c>
      <c r="Q348" s="617">
        <v>43.2</v>
      </c>
      <c r="R348" s="601"/>
      <c r="S348" s="601"/>
      <c r="T348" s="601"/>
      <c r="U348" s="601"/>
      <c r="V348" s="601"/>
      <c r="W348" s="601"/>
      <c r="X348" s="601"/>
      <c r="Y348" s="601"/>
      <c r="Z348" s="601"/>
      <c r="AA348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8" s="612"/>
      <c r="AC348" s="612"/>
      <c r="AD348" s="612"/>
      <c r="AE348" s="612"/>
      <c r="AF348" s="612"/>
      <c r="AG348" s="612"/>
      <c r="AH348" s="619">
        <f>SUM(Table1[[#This Row],[التقييد  باللوائح و تنفيذالتوجيه]:[اتباع اجراءات السلامه]])</f>
        <v>0</v>
      </c>
      <c r="AI348" s="619">
        <f>Table1[[#This Row],[المجموع]]+Table1[[#This Row],[المجموع2]]</f>
        <v>0</v>
      </c>
      <c r="AJ348" s="601"/>
      <c r="AK348" s="601"/>
      <c r="AL348" s="601"/>
      <c r="AM348" s="601"/>
      <c r="AN348" s="601"/>
      <c r="AO348" s="606">
        <f>Table1[[#This Row],[المجموع 1+2]]*$AO$2</f>
        <v>0</v>
      </c>
      <c r="AP348" s="648">
        <f>Table1[[#This Row],[راتب ديسمبر 2019]]*Table1[[#This Row],[نسبه التقييم الرئيسي 2018]]%</f>
        <v>0</v>
      </c>
      <c r="AQ348" s="627">
        <f>Table1[[#This Row],[مبلغ التقييم النسبي 2018]]+Table1[[#This Row],[راتب ديسمبر 2019]]</f>
        <v>4500</v>
      </c>
      <c r="AR348" s="10">
        <f>IF(Table1[[#This Row],[Column3]]&lt;0,0,Table1[[#This Row],[Column3]])</f>
        <v>3500</v>
      </c>
      <c r="AS348" s="599">
        <f>VLOOKUP(Table1[[#This Row],[درجه التوسيط]],Table10[],3,)</f>
        <v>8000</v>
      </c>
      <c r="AT348" s="608">
        <f>Table1[[#This Row],[الراتب 2018+النسبه]]+Table1[[#This Row],[فروقات الحد الادني]]</f>
        <v>8000</v>
      </c>
      <c r="AU348" s="629">
        <f>Table1[[#This Row],[الراتب 2018 + النسبه + الفرق]]-Table1[[#This Row],[راتب ديسمبر 2019]]</f>
        <v>3500</v>
      </c>
      <c r="AV348" s="628">
        <f>Table1[[#This Row],[الزياده]]/Table1[[#This Row],[راتب ديسمبر 2019]]%</f>
        <v>77.777777777777771</v>
      </c>
      <c r="AW348" s="659">
        <f>IF(Table1[[#This Row],[Column4]]&lt;0,0,Table1[[#This Row],[Column4]])</f>
        <v>0</v>
      </c>
      <c r="AX348" s="611">
        <f>Table1[[#This Row],[الجبر حتي]]-Table1[[#This Row],[رن]]</f>
        <v>8</v>
      </c>
      <c r="AY348" s="611">
        <f>Table1[[#This Row],[الزياده]]+Table1[[#This Row],[التعديل]]+Table1[[#This Row],[جبر الرقم]]</f>
        <v>3508</v>
      </c>
      <c r="AZ348" s="611">
        <f>Table1[[#This Row],[الراتب 2018 + النسبه + الفرق]]+Table1[[#This Row],[جبر الرقم]]+Table1[[#This Row],[التعديل]]</f>
        <v>8008</v>
      </c>
      <c r="BA348" s="631">
        <f>Table1[[#This Row],[الزياده النهائيه]]/Table1[[#This Row],[راتب ديسمبر 2019]]%</f>
        <v>77.955555555555549</v>
      </c>
      <c r="BB348" s="601">
        <f>VLOOKUP(Table1[[#This Row],[الرقم الوظيفي]],Table6[],8,)</f>
        <v>4500</v>
      </c>
      <c r="BC348" s="6"/>
      <c r="BD348" s="658">
        <v>7100</v>
      </c>
      <c r="BE348" s="658">
        <v>7092</v>
      </c>
      <c r="BF348" s="5">
        <f>Table1[[#This Row],[الحد الادني]]-Table1[[#This Row],[الراتب 2018+النسبه]]</f>
        <v>3500</v>
      </c>
      <c r="BG348" s="5">
        <f>Table1[[#This Row],[التعديل حتي]]-Table1[[#This Row],[kkk]]</f>
        <v>-7092</v>
      </c>
      <c r="BH348" s="5">
        <v>7092</v>
      </c>
      <c r="BI348" s="5"/>
    </row>
    <row r="349" spans="1:61">
      <c r="A349" s="604">
        <v>8108</v>
      </c>
      <c r="B349" s="618" t="str">
        <f>VLOOKUP(Table1[[#This Row],[الرقم الوظيفي]],[1]Sheet2!$1:$1048576,2,)</f>
        <v>ابراهيم عوض موسى محمد</v>
      </c>
      <c r="C349" s="599" t="str">
        <f>VLOOKUP(Table1[[#This Row],[الرقم الوظيفي]],[1]Sheet2!$1:$1048576,7,)</f>
        <v>الرئاسه</v>
      </c>
      <c r="D349" s="599">
        <f>VLOOKUP(Table1[[#This Row],[الرقم الوظيفي]],[1]Sheet2!$1:$1048576,8,)</f>
        <v>0</v>
      </c>
      <c r="E349" s="599">
        <f>VLOOKUP(Table1[[#This Row],[الرقم الوظيفي]],[1]Sheet2!$1:$1048576,9,)</f>
        <v>0</v>
      </c>
      <c r="F349" s="599" t="str">
        <f>VLOOKUP(Table1[[#This Row],[الرقم الوظيفي]],[1]Sheet2!$1:$1048576,12,)</f>
        <v>سائق</v>
      </c>
      <c r="G349" s="599">
        <f>VLOOKUP(Table1[[#This Row],[الرقم الوظيفي]],[1]Sheet2!$1:$1048576,72,)</f>
        <v>0</v>
      </c>
      <c r="H349" s="599">
        <f>VLOOKUP(Table1[[#This Row],[الرقم الوظيفي]],[1]Sheet2!$1:$1048576,71,)</f>
        <v>0</v>
      </c>
      <c r="I349" s="599" t="str">
        <f>VLOOKUP(Table1[[#This Row],[المؤهل الرئيسي]],Table4[],3,)</f>
        <v>H</v>
      </c>
      <c r="J349" s="599" t="s">
        <v>924</v>
      </c>
      <c r="K349" s="615">
        <f>VLOOKUP(Table1[[#This Row],[الرقم الوظيفي]],[1]Sheet2!$1:$1048576,13,)</f>
        <v>43389</v>
      </c>
      <c r="L349" s="615">
        <v>43830</v>
      </c>
      <c r="M349" s="599">
        <f>DATEDIF(Table1[[#This Row],[تاريخ التعيين]],Table1[[#This Row],[اخر العام]],"y")</f>
        <v>1</v>
      </c>
      <c r="N349" s="599">
        <f>DATEDIF(Table1[[#This Row],[تاريخ التعيين]],Table1[[#This Row],[اخر العام]],"ym")</f>
        <v>2</v>
      </c>
      <c r="O349" s="610">
        <f>Table1[[#This Row],[سنوات الخدمه]]*1+Table1[[#This Row],[الشهور اقل من سنه]]*0.08</f>
        <v>1.1599999999999999</v>
      </c>
      <c r="P349" s="616">
        <f>VLOOKUP(Table1[[#This Row],[الرقم الوظيفي]],Table6[],8,)</f>
        <v>3600</v>
      </c>
      <c r="Q349" s="617">
        <f>Table1[[#This Row],[راتب ديسمبر 2019]]*Table1[[#This Row],[نسبه سنين الخدمه]]%</f>
        <v>41.76</v>
      </c>
      <c r="R349" s="601"/>
      <c r="S349" s="601"/>
      <c r="T349" s="601"/>
      <c r="U349" s="601"/>
      <c r="V349" s="601"/>
      <c r="W349" s="601"/>
      <c r="X349" s="601"/>
      <c r="Y349" s="601"/>
      <c r="Z349" s="601"/>
      <c r="AA349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49" s="612"/>
      <c r="AC349" s="612"/>
      <c r="AD349" s="612"/>
      <c r="AE349" s="612"/>
      <c r="AF349" s="612"/>
      <c r="AG349" s="612"/>
      <c r="AH349" s="619">
        <f>SUM(Table1[[#This Row],[التقييد  باللوائح و تنفيذالتوجيه]:[اتباع اجراءات السلامه]])</f>
        <v>0</v>
      </c>
      <c r="AI349" s="619">
        <f>Table1[[#This Row],[المجموع]]+Table1[[#This Row],[المجموع2]]</f>
        <v>0</v>
      </c>
      <c r="AJ349" s="601"/>
      <c r="AK349" s="601"/>
      <c r="AL349" s="601"/>
      <c r="AM349" s="601"/>
      <c r="AN349" s="601"/>
      <c r="AO349" s="606">
        <f>Table1[[#This Row],[المجموع 1+2]]*$AO$2</f>
        <v>0</v>
      </c>
      <c r="AP349" s="648">
        <f>Table1[[#This Row],[راتب ديسمبر 2019]]*Table1[[#This Row],[نسبه التقييم الرئيسي 2018]]%</f>
        <v>0</v>
      </c>
      <c r="AQ349" s="627">
        <f>Table1[[#This Row],[مبلغ التقييم النسبي 2018]]+Table1[[#This Row],[راتب ديسمبر 2019]]</f>
        <v>3600</v>
      </c>
      <c r="AR349" s="10">
        <f>IF(Table1[[#This Row],[Column3]]&lt;0,0,Table1[[#This Row],[Column3]])</f>
        <v>5400</v>
      </c>
      <c r="AS349" s="599">
        <f>VLOOKUP(Table1[[#This Row],[درجه التوسيط]],Table10[],3,)</f>
        <v>9000</v>
      </c>
      <c r="AT349" s="608">
        <f>Table1[[#This Row],[الراتب 2018+النسبه]]+Table1[[#This Row],[فروقات الحد الادني]]</f>
        <v>9000</v>
      </c>
      <c r="AU349" s="629">
        <f>Table1[[#This Row],[الراتب 2018 + النسبه + الفرق]]-Table1[[#This Row],[راتب ديسمبر 2019]]</f>
        <v>5400</v>
      </c>
      <c r="AV349" s="628">
        <f>Table1[[#This Row],[الزياده]]/Table1[[#This Row],[راتب ديسمبر 2019]]%</f>
        <v>150</v>
      </c>
      <c r="AW349" s="659">
        <f>IF(Table1[[#This Row],[Column4]]&lt;0,0,Table1[[#This Row],[Column4]])</f>
        <v>0</v>
      </c>
      <c r="AX349" s="611">
        <f>Table1[[#This Row],[الجبر حتي]]-Table1[[#This Row],[رن]]</f>
        <v>0</v>
      </c>
      <c r="AY349" s="611">
        <f>Table1[[#This Row],[الزياده]]+Table1[[#This Row],[التعديل]]+Table1[[#This Row],[جبر الرقم]]</f>
        <v>5400</v>
      </c>
      <c r="AZ349" s="611">
        <f>Table1[[#This Row],[الراتب 2018 + النسبه + الفرق]]+Table1[[#This Row],[جبر الرقم]]+Table1[[#This Row],[التعديل]]</f>
        <v>9000</v>
      </c>
      <c r="BA349" s="631">
        <f>Table1[[#This Row],[الزياده النهائيه]]/Table1[[#This Row],[راتب ديسمبر 2019]]%</f>
        <v>150</v>
      </c>
      <c r="BB349" s="601">
        <f>VLOOKUP(Table1[[#This Row],[الرقم الوظيفي]],Table6[],8,)</f>
        <v>3600</v>
      </c>
      <c r="BC349" s="6"/>
      <c r="BD349" s="658">
        <v>6000</v>
      </c>
      <c r="BE349" s="658">
        <v>6000</v>
      </c>
      <c r="BF349" s="5">
        <f>Table1[[#This Row],[الحد الادني]]-Table1[[#This Row],[الراتب 2018+النسبه]]</f>
        <v>5400</v>
      </c>
      <c r="BG349" s="5">
        <f>Table1[[#This Row],[التعديل حتي]]-Table1[[#This Row],[kkk]]</f>
        <v>-6000</v>
      </c>
      <c r="BH349" s="5">
        <v>6000</v>
      </c>
      <c r="BI349" s="5"/>
    </row>
    <row r="350" spans="1:61">
      <c r="A350" s="604">
        <v>8109</v>
      </c>
      <c r="B350" s="618" t="str">
        <f>VLOOKUP(Table1[[#This Row],[الرقم الوظيفي]],[1]Sheet2!$1:$1048576,2,)</f>
        <v>عبدالرحمن ساكن حسن ابكر</v>
      </c>
      <c r="C350" s="599" t="str">
        <f>VLOOKUP(Table1[[#This Row],[الرقم الوظيفي]],[1]Sheet2!$1:$1048576,7,)</f>
        <v>المصنع</v>
      </c>
      <c r="D350" s="599" t="str">
        <f>VLOOKUP(Table1[[#This Row],[الرقم الوظيفي]],[1]Sheet2!$1:$1048576,8,)</f>
        <v>الانتاج</v>
      </c>
      <c r="E350" s="599" t="str">
        <f>VLOOKUP(Table1[[#This Row],[الرقم الوظيفي]],[1]Sheet2!$1:$1048576,9,)</f>
        <v>الاليات</v>
      </c>
      <c r="F350" s="599" t="str">
        <f>VLOOKUP(Table1[[#This Row],[الرقم الوظيفي]],[1]Sheet2!$1:$1048576,12,)</f>
        <v>سائق اليات</v>
      </c>
      <c r="G350" s="599">
        <f>VLOOKUP(Table1[[#This Row],[الرقم الوظيفي]],[1]Sheet2!$1:$1048576,72,)</f>
        <v>0</v>
      </c>
      <c r="H350" s="599">
        <f>VLOOKUP(Table1[[#This Row],[الرقم الوظيفي]],[1]Sheet2!$1:$1048576,71,)</f>
        <v>0</v>
      </c>
      <c r="I350" s="599" t="str">
        <f>VLOOKUP(Table1[[#This Row],[المؤهل الرئيسي]],Table4[],3,)</f>
        <v>H</v>
      </c>
      <c r="J350" s="599" t="s">
        <v>923</v>
      </c>
      <c r="K350" s="615">
        <f>VLOOKUP(Table1[[#This Row],[الرقم الوظيفي]],[1]Sheet2!$1:$1048576,13,)</f>
        <v>43421</v>
      </c>
      <c r="L350" s="615">
        <v>43830</v>
      </c>
      <c r="M350" s="599">
        <f>DATEDIF(Table1[[#This Row],[تاريخ التعيين]],Table1[[#This Row],[اخر العام]],"y")</f>
        <v>1</v>
      </c>
      <c r="N350" s="599">
        <f>DATEDIF(Table1[[#This Row],[تاريخ التعيين]],Table1[[#This Row],[اخر العام]],"ym")</f>
        <v>1</v>
      </c>
      <c r="O350" s="610">
        <f>Table1[[#This Row],[سنوات الخدمه]]*1+Table1[[#This Row],[الشهور اقل من سنه]]*0.08</f>
        <v>1.08</v>
      </c>
      <c r="P350" s="616">
        <v>5400</v>
      </c>
      <c r="Q350" s="617">
        <v>8.64</v>
      </c>
      <c r="R350" s="601"/>
      <c r="S350" s="601"/>
      <c r="T350" s="601"/>
      <c r="U350" s="601"/>
      <c r="V350" s="601"/>
      <c r="W350" s="601"/>
      <c r="X350" s="601"/>
      <c r="Y350" s="601"/>
      <c r="Z350" s="601"/>
      <c r="AA350" s="619">
        <f>Table1[[#This Row],[إتقان العمل الموكل اليه]]+Table1[[#This Row],[القيام بواجبه دون توجيه]]+Table1[[#This Row],[المحافظه علي اوقات العمل]]+Table1[[#This Row],[القدره علي تدريب غيره]]+Table1[[#This Row],[قابل للتعلم و التطور]]+Table1[[#This Row],[امكانيه تحمل مسؤليات اكبر]]+Table1[[#This Row],[انجاز العمل في الوقت المحدد]]+Table1[[#This Row],[العمل  بروح الفريق الواحد]]+Table1[[#This Row],[تنفيذ التوجيه المباشر]]</f>
        <v>0</v>
      </c>
      <c r="AB350" s="612"/>
      <c r="AC350" s="612"/>
      <c r="AD350" s="612"/>
      <c r="AE350" s="612"/>
      <c r="AF350" s="612"/>
      <c r="AG350" s="612"/>
      <c r="AH350" s="619">
        <f>SUM(Table1[[#This Row],[التقييد  باللوائح و تنفيذالتوجيه]:[اتباع اجراءات السلامه]])</f>
        <v>0</v>
      </c>
      <c r="AI350" s="619">
        <f>Table1[[#This Row],[المجموع]]+Table1[[#This Row],[المجموع2]]</f>
        <v>0</v>
      </c>
      <c r="AJ350" s="601"/>
      <c r="AK350" s="601"/>
      <c r="AL350" s="601"/>
      <c r="AM350" s="601"/>
      <c r="AN350" s="601"/>
      <c r="AO350" s="606">
        <f>Table1[[#This Row],[المجموع 1+2]]*$AO$2</f>
        <v>0</v>
      </c>
      <c r="AP350" s="648">
        <f>Table1[[#This Row],[راتب ديسمبر 2019]]*Table1[[#This Row],[نسبه التقييم الرئيسي 2018]]%</f>
        <v>0</v>
      </c>
      <c r="AQ350" s="627">
        <f>Table1[[#This Row],[مبلغ التقييم النسبي 2018]]+Table1[[#This Row],[راتب ديسمبر 2019]]</f>
        <v>5400</v>
      </c>
      <c r="AR350" s="10">
        <f>IF(Table1[[#This Row],[Column3]]&lt;0,0,Table1[[#This Row],[Column3]])</f>
        <v>4600</v>
      </c>
      <c r="AS350" s="599">
        <f>VLOOKUP(Table1[[#This Row],[درجه التوسيط]],Table10[],3,)</f>
        <v>10000</v>
      </c>
      <c r="AT350" s="608">
        <f>Table1[[#This Row],[الراتب 2018+النسبه]]+Table1[[#This Row],[فروقات الحد الادني]]</f>
        <v>10000</v>
      </c>
      <c r="AU350" s="629">
        <f>Table1[[#This Row],[الراتب 2018 + النسبه + الفرق]]-Table1[[#This Row],[راتب ديسمبر 2019]]</f>
        <v>4600</v>
      </c>
      <c r="AV350" s="628">
        <f>Table1[[#This Row],[الزياده]]/Table1[[#This Row],[راتب ديسمبر 2019]]%</f>
        <v>85.18518518518519</v>
      </c>
      <c r="AW350" s="659">
        <f>IF(Table1[[#This Row],[Column4]]&lt;0,0,Table1[[#This Row],[Column4]])</f>
        <v>0</v>
      </c>
      <c r="AX350" s="611">
        <f>Table1[[#This Row],[الجبر حتي]]-Table1[[#This Row],[رن]]</f>
        <v>9.2000000000007276</v>
      </c>
      <c r="AY350" s="611">
        <f>Table1[[#This Row],[الزياده]]+Table1[[#This Row],[التعديل]]+Table1[[#This Row],[جبر الرقم]]</f>
        <v>4609.2000000000007</v>
      </c>
      <c r="AZ350" s="611">
        <f>Table1[[#This Row],[الراتب 2018 + النسبه + الفرق]]+Table1[[#This Row],[جبر الرقم]]+Table1[[#This Row],[التعديل]]</f>
        <v>10009.200000000001</v>
      </c>
      <c r="BA350" s="631">
        <f>Table1[[#This Row],[الزياده النهائيه]]/Table1[[#This Row],[راتب ديسمبر 2019]]%</f>
        <v>85.355555555555569</v>
      </c>
      <c r="BB350" s="601">
        <f>VLOOKUP(Table1[[#This Row],[الرقم الوظيفي]],Table6[],8,)</f>
        <v>5400</v>
      </c>
      <c r="BC350" s="6"/>
      <c r="BD350" s="658">
        <v>8390</v>
      </c>
      <c r="BE350" s="658">
        <v>8380.7999999999993</v>
      </c>
      <c r="BF350" s="5">
        <f>Table1[[#This Row],[الحد الادني]]-Table1[[#This Row],[الراتب 2018+النسبه]]</f>
        <v>4600</v>
      </c>
      <c r="BG350" s="5">
        <f>Table1[[#This Row],[التعديل حتي]]-Table1[[#This Row],[kkk]]</f>
        <v>-8380.7999999999993</v>
      </c>
      <c r="BH350" s="5">
        <v>8380.7999999999993</v>
      </c>
      <c r="BI350" s="5"/>
    </row>
    <row r="351" spans="1:61" ht="21">
      <c r="A351" s="665">
        <f>SUBTOTAL(102,Table1[الرقم الوظيفي])</f>
        <v>339</v>
      </c>
      <c r="B351" s="666"/>
      <c r="C351" s="666"/>
      <c r="D351" s="666"/>
      <c r="E351" s="666"/>
      <c r="F351" s="666"/>
      <c r="G351" s="666"/>
      <c r="H351" s="666"/>
      <c r="I351" s="666"/>
      <c r="J351" s="666"/>
      <c r="K351" s="667"/>
      <c r="L351" s="667"/>
      <c r="M351" s="668"/>
      <c r="N351" s="668"/>
      <c r="O351" s="669"/>
      <c r="P351" s="670">
        <f>SUBTOTAL(109,Table1[راتب ديسمبر 2019])</f>
        <v>1856020</v>
      </c>
      <c r="Q351" s="671" t="e">
        <f>SUBTOTAL(109,Table1[السنوات على راتب ديسمبر])</f>
        <v>#N/A</v>
      </c>
      <c r="R351" s="666" t="e">
        <f>SUBTOTAL(101,Table1[إتقان العمل الموكل اليه])</f>
        <v>#DIV/0!</v>
      </c>
      <c r="S351" s="666" t="e">
        <f>SUBTOTAL(101,Table1[القيام بواجبه دون توجيه])</f>
        <v>#DIV/0!</v>
      </c>
      <c r="T351" s="666" t="e">
        <f>SUBTOTAL(101,Table1[المحافظه علي اوقات العمل])</f>
        <v>#DIV/0!</v>
      </c>
      <c r="U351" s="666" t="e">
        <f>SUBTOTAL(101,Table1[القدره علي تدريب غيره])</f>
        <v>#DIV/0!</v>
      </c>
      <c r="V351" s="666" t="e">
        <f>SUBTOTAL(101,Table1[قابل للتعلم و التطور])</f>
        <v>#DIV/0!</v>
      </c>
      <c r="W351" s="666" t="e">
        <f>SUBTOTAL(101,Table1[امكانيه تحمل مسؤليات اكبر])</f>
        <v>#DIV/0!</v>
      </c>
      <c r="X351" s="666" t="e">
        <f>SUBTOTAL(101,Table1[انجاز العمل في الوقت المحدد])</f>
        <v>#DIV/0!</v>
      </c>
      <c r="Y351" s="666" t="e">
        <f>SUBTOTAL(101,Table1[العمل  بروح الفريق الواحد])</f>
        <v>#DIV/0!</v>
      </c>
      <c r="Z351" s="666" t="e">
        <f>SUBTOTAL(101,Table1[تنفيذ التوجيه المباشر])</f>
        <v>#DIV/0!</v>
      </c>
      <c r="AA351" s="666">
        <f>SUBTOTAL(101,Table1[المجموع])</f>
        <v>0</v>
      </c>
      <c r="AB351" s="666" t="e">
        <f>SUBTOTAL(101,Table1[التقييد  باللوائح و تنفيذالتوجيه])</f>
        <v>#DIV/0!</v>
      </c>
      <c r="AC351" s="666" t="e">
        <f>SUBTOTAL(101,Table1[الحضور العام])</f>
        <v>#DIV/0!</v>
      </c>
      <c r="AD351" s="666" t="e">
        <f>SUBTOTAL(101,Table1[الانذارات])</f>
        <v>#DIV/0!</v>
      </c>
      <c r="AE351" s="666" t="e">
        <f>SUBTOTAL(101,Table1[الاستيضاحات])</f>
        <v>#DIV/0!</v>
      </c>
      <c r="AF351" s="666" t="e">
        <f>SUBTOTAL(101,Table1[المحافظه علي اوقات العمل2])</f>
        <v>#DIV/0!</v>
      </c>
      <c r="AG351" s="666" t="e">
        <f>SUBTOTAL(101,Table1[اتباع اجراءات السلامه])</f>
        <v>#DIV/0!</v>
      </c>
      <c r="AH351" s="672">
        <f>SUBTOTAL(101,Table1[المجموع2])</f>
        <v>0</v>
      </c>
      <c r="AI351" s="672">
        <f>SUBTOTAL(101,Table1[المجموع 1+2])</f>
        <v>0</v>
      </c>
      <c r="AJ351" s="666">
        <f>SUBTOTAL(101,Table1[مدير القسم المباشر])</f>
        <v>8.8020833333333339</v>
      </c>
      <c r="AK351" s="666"/>
      <c r="AL351" s="666"/>
      <c r="AM351" s="666"/>
      <c r="AN351" s="666"/>
      <c r="AO351" s="673">
        <f>SUBTOTAL(101,Table1[نسبه التقييم الرئيسي 2018])</f>
        <v>1.7241379310344827E-3</v>
      </c>
      <c r="AP351" s="674">
        <f>SUBTOTAL(109,Table1[مبلغ التقييم النسبي 2018])</f>
        <v>0</v>
      </c>
      <c r="AQ351" s="675">
        <f>SUBTOTAL(109,Table1[الراتب 2018+النسبه])</f>
        <v>1856020</v>
      </c>
      <c r="AR351" s="675" t="e">
        <f>SUBTOTAL(109,Table1[فروقات الحد الادني])</f>
        <v>#N/A</v>
      </c>
      <c r="AS351" s="676" t="e">
        <f>SUBTOTAL(101,Table1[الحد الادني])</f>
        <v>#N/A</v>
      </c>
      <c r="AT351" s="677" t="e">
        <f>SUBTOTAL(109,Table1[الراتب 2018 + النسبه + الفرق])</f>
        <v>#N/A</v>
      </c>
      <c r="AU351" s="678" t="e">
        <f>SUBTOTAL(109,Table1[الزياده])</f>
        <v>#N/A</v>
      </c>
      <c r="AV351" s="679" t="e">
        <f>SUBTOTAL(104,Table1[نسبه])</f>
        <v>#N/A</v>
      </c>
      <c r="AW351" s="675" t="e">
        <f>SUBTOTAL(109,Table1[التعديل])</f>
        <v>#N/A</v>
      </c>
      <c r="AX351" s="675" t="e">
        <f>SUBTOTAL(109,Table1[جبر الرقم])</f>
        <v>#N/A</v>
      </c>
      <c r="AY351" s="675" t="e">
        <f>SUBTOTAL(109,Table1[الزياده النهائيه])</f>
        <v>#N/A</v>
      </c>
      <c r="AZ351" s="675" t="e">
        <f>SUBTOTAL(109,Table1[الراتب النهائي])</f>
        <v>#N/A</v>
      </c>
      <c r="BA351" s="680" t="e">
        <f>Table1[[#Totals],[الزياده النهائيه]]/Table1[[#Totals],[راتب ديسمبر 2019]]%</f>
        <v>#N/A</v>
      </c>
      <c r="BB351" s="681">
        <f>SUBTOTAL(109,Table1[راتب ديسمبر])</f>
        <v>1856020</v>
      </c>
      <c r="BC351" s="682"/>
      <c r="BD351" s="682"/>
      <c r="BE351" s="682"/>
      <c r="BF351" s="683"/>
      <c r="BG351" s="683"/>
      <c r="BH351" s="683"/>
    </row>
    <row r="354" spans="41:41">
      <c r="AO354" s="35"/>
    </row>
  </sheetData>
  <conditionalFormatting sqref="AA352:AA1048576 AH4:AH350 AA1:AA350">
    <cfRule type="cellIs" dxfId="390" priority="16" operator="equal">
      <formula>0</formula>
    </cfRule>
  </conditionalFormatting>
  <conditionalFormatting sqref="AO352:AO1048576 AO1:AO350">
    <cfRule type="cellIs" dxfId="389" priority="12" operator="equal">
      <formula>0</formula>
    </cfRule>
    <cfRule type="cellIs" dxfId="388" priority="13" operator="greaterThan">
      <formula>0</formula>
    </cfRule>
  </conditionalFormatting>
  <conditionalFormatting sqref="AI352:AI1048576 AI1:AI350">
    <cfRule type="iconSet" priority="9">
      <iconSet iconSet="4Arrows">
        <cfvo type="percent" val="0"/>
        <cfvo type="percent" val="25"/>
        <cfvo type="percent" val="50"/>
        <cfvo type="percent" val="75"/>
      </iconSet>
    </cfRule>
    <cfRule type="cellIs" dxfId="387" priority="11" operator="equal">
      <formula>0</formula>
    </cfRule>
  </conditionalFormatting>
  <conditionalFormatting sqref="AP348:AR350 AP352:AQ1048576 AP1:AQ350">
    <cfRule type="cellIs" dxfId="386" priority="10" operator="equal">
      <formula>0</formula>
    </cfRule>
  </conditionalFormatting>
  <conditionalFormatting sqref="AA352:AA1048576 AA1:AA350">
    <cfRule type="iconSet" priority="8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AH352:AH1048576 AH1:AH350">
    <cfRule type="iconSet" priority="7">
      <iconSet iconSet="4Arrows">
        <cfvo type="percent" val="0"/>
        <cfvo type="percent" val="25"/>
        <cfvo type="percent" val="50"/>
        <cfvo type="percent" val="75"/>
      </iconSet>
    </cfRule>
  </conditionalFormatting>
  <pageMargins left="0.29166666666666702" right="0.22395833333333301" top="0.34895833333333298" bottom="0.75" header="0.3" footer="0.3"/>
  <pageSetup scale="7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8"/>
  <sheetViews>
    <sheetView rightToLeft="1" topLeftCell="G1" zoomScaleNormal="100" workbookViewId="0">
      <selection activeCell="M23" sqref="M23"/>
    </sheetView>
  </sheetViews>
  <sheetFormatPr defaultRowHeight="14.5"/>
  <cols>
    <col min="1" max="4" width="11" hidden="1" customWidth="1"/>
    <col min="5" max="5" width="1.54296875" hidden="1" customWidth="1"/>
    <col min="6" max="6" width="1.36328125" hidden="1" customWidth="1"/>
    <col min="7" max="7" width="10.26953125" customWidth="1"/>
    <col min="8" max="8" width="12.54296875" bestFit="1" customWidth="1"/>
    <col min="9" max="9" width="14.26953125" customWidth="1"/>
    <col min="10" max="10" width="13.6328125" customWidth="1"/>
    <col min="11" max="11" width="12.453125" customWidth="1"/>
    <col min="12" max="12" width="11.81640625" customWidth="1"/>
    <col min="13" max="13" width="13.54296875" customWidth="1"/>
    <col min="14" max="14" width="13.453125" customWidth="1"/>
    <col min="15" max="15" width="12.453125" customWidth="1"/>
    <col min="16" max="16" width="14.26953125" customWidth="1"/>
  </cols>
  <sheetData>
    <row r="1" spans="1:16" s="3" customFormat="1">
      <c r="A1" s="3" t="s">
        <v>61</v>
      </c>
      <c r="B1" s="3" t="s">
        <v>62</v>
      </c>
      <c r="C1" s="3" t="s">
        <v>57</v>
      </c>
      <c r="D1" s="3" t="s">
        <v>58</v>
      </c>
      <c r="G1" s="632" t="s">
        <v>61</v>
      </c>
      <c r="H1" s="633" t="s">
        <v>62</v>
      </c>
      <c r="I1" s="633" t="s">
        <v>903</v>
      </c>
      <c r="J1" s="633" t="s">
        <v>904</v>
      </c>
      <c r="K1" s="633" t="s">
        <v>905</v>
      </c>
      <c r="L1" s="633" t="s">
        <v>906</v>
      </c>
      <c r="M1" s="633" t="s">
        <v>907</v>
      </c>
      <c r="N1" s="633" t="s">
        <v>908</v>
      </c>
      <c r="O1" s="633" t="s">
        <v>909</v>
      </c>
      <c r="P1" s="634" t="s">
        <v>910</v>
      </c>
    </row>
    <row r="2" spans="1:16">
      <c r="A2" s="4" t="s">
        <v>49</v>
      </c>
      <c r="B2" s="4">
        <v>5000</v>
      </c>
      <c r="G2" s="635" t="s">
        <v>49</v>
      </c>
      <c r="H2" s="636">
        <v>60000</v>
      </c>
      <c r="I2" s="637" t="s">
        <v>29</v>
      </c>
      <c r="J2" s="637"/>
      <c r="K2" s="637"/>
      <c r="L2" s="637"/>
      <c r="M2" s="637"/>
      <c r="N2" s="637"/>
      <c r="O2" s="637"/>
      <c r="P2" s="638"/>
    </row>
    <row r="3" spans="1:16">
      <c r="A3" s="4" t="s">
        <v>50</v>
      </c>
      <c r="B3" s="4">
        <v>5000</v>
      </c>
      <c r="G3" s="635" t="s">
        <v>50</v>
      </c>
      <c r="H3" s="636">
        <v>50000</v>
      </c>
      <c r="I3" s="637" t="s">
        <v>911</v>
      </c>
      <c r="J3" s="637"/>
      <c r="K3" s="637"/>
      <c r="L3" s="637"/>
      <c r="M3" s="637"/>
      <c r="N3" s="637"/>
      <c r="O3" s="637"/>
      <c r="P3" s="638"/>
    </row>
    <row r="4" spans="1:16">
      <c r="A4" s="4" t="s">
        <v>53</v>
      </c>
      <c r="B4" s="4">
        <v>4500</v>
      </c>
      <c r="G4" s="635" t="s">
        <v>53</v>
      </c>
      <c r="H4" s="636">
        <v>35000</v>
      </c>
      <c r="I4" s="637" t="s">
        <v>115</v>
      </c>
      <c r="J4" s="637" t="s">
        <v>912</v>
      </c>
      <c r="K4" s="637"/>
      <c r="L4" s="637"/>
      <c r="M4" s="637"/>
      <c r="N4" s="637"/>
      <c r="O4" s="637"/>
      <c r="P4" s="638"/>
    </row>
    <row r="5" spans="1:16">
      <c r="A5" s="4" t="s">
        <v>59</v>
      </c>
      <c r="B5" s="4">
        <v>4000</v>
      </c>
      <c r="G5" s="635" t="s">
        <v>59</v>
      </c>
      <c r="H5" s="636">
        <v>30000</v>
      </c>
      <c r="I5" s="637" t="s">
        <v>913</v>
      </c>
      <c r="J5" s="637"/>
      <c r="K5" s="637"/>
      <c r="L5" s="637"/>
      <c r="M5" s="637"/>
      <c r="N5" s="637"/>
      <c r="O5" s="637"/>
      <c r="P5" s="638"/>
    </row>
    <row r="6" spans="1:16">
      <c r="A6" s="4" t="s">
        <v>60</v>
      </c>
      <c r="B6" s="4">
        <v>3500</v>
      </c>
      <c r="G6" s="635" t="s">
        <v>60</v>
      </c>
      <c r="H6" s="636">
        <v>25000</v>
      </c>
      <c r="I6" s="637" t="s">
        <v>914</v>
      </c>
      <c r="J6" s="637" t="s">
        <v>915</v>
      </c>
      <c r="K6" s="637" t="s">
        <v>916</v>
      </c>
      <c r="L6" s="637"/>
      <c r="M6" s="637"/>
      <c r="N6" s="637"/>
      <c r="O6" s="637"/>
      <c r="P6" s="638"/>
    </row>
    <row r="7" spans="1:16">
      <c r="A7" s="4" t="s">
        <v>118</v>
      </c>
      <c r="B7" s="4">
        <v>3000</v>
      </c>
      <c r="G7" s="635" t="s">
        <v>118</v>
      </c>
      <c r="H7" s="636">
        <v>20000</v>
      </c>
      <c r="I7" s="637" t="s">
        <v>372</v>
      </c>
      <c r="J7" s="637" t="s">
        <v>917</v>
      </c>
      <c r="K7" s="637"/>
      <c r="L7" s="637"/>
      <c r="M7" s="637"/>
      <c r="N7" s="637"/>
      <c r="O7" s="637"/>
      <c r="P7" s="638"/>
    </row>
    <row r="8" spans="1:16">
      <c r="A8" s="1"/>
      <c r="B8" s="1"/>
      <c r="G8" s="635" t="s">
        <v>492</v>
      </c>
      <c r="H8" s="636">
        <v>15000</v>
      </c>
      <c r="I8" s="637" t="s">
        <v>918</v>
      </c>
      <c r="J8" s="637" t="s">
        <v>919</v>
      </c>
      <c r="K8" s="637" t="s">
        <v>802</v>
      </c>
      <c r="L8" s="637" t="s">
        <v>920</v>
      </c>
      <c r="M8" s="637"/>
      <c r="N8" s="637"/>
      <c r="O8" s="637"/>
      <c r="P8" s="638"/>
    </row>
    <row r="9" spans="1:16">
      <c r="G9" s="635" t="s">
        <v>493</v>
      </c>
      <c r="H9" s="636">
        <v>12500</v>
      </c>
      <c r="I9" s="637"/>
      <c r="J9" s="637"/>
      <c r="K9" s="637" t="s">
        <v>803</v>
      </c>
      <c r="L9" s="637"/>
      <c r="M9" s="46" t="s">
        <v>854</v>
      </c>
      <c r="N9" s="637"/>
      <c r="O9" s="637"/>
      <c r="P9" s="638"/>
    </row>
    <row r="10" spans="1:16">
      <c r="G10" s="635" t="s">
        <v>38</v>
      </c>
      <c r="H10" s="636">
        <v>10000</v>
      </c>
      <c r="I10" s="637"/>
      <c r="J10" s="637"/>
      <c r="K10" s="637" t="s">
        <v>804</v>
      </c>
      <c r="L10" s="637"/>
      <c r="M10" s="46" t="s">
        <v>856</v>
      </c>
      <c r="N10" s="637"/>
      <c r="O10" s="637"/>
      <c r="P10" s="638"/>
    </row>
    <row r="11" spans="1:16" s="3" customFormat="1">
      <c r="A11" s="3" t="s">
        <v>33</v>
      </c>
      <c r="B11" s="3">
        <f>SUBTOTAL(101,Table39[الحد الادني])</f>
        <v>4166.666666666667</v>
      </c>
      <c r="D11" s="3">
        <f>SUBTOTAL(103,Table39[Column4])</f>
        <v>0</v>
      </c>
      <c r="G11" s="635" t="s">
        <v>494</v>
      </c>
      <c r="H11" s="636">
        <v>9000</v>
      </c>
      <c r="I11" s="46" t="s">
        <v>848</v>
      </c>
      <c r="J11" s="637"/>
      <c r="K11" s="637"/>
      <c r="L11" s="637"/>
      <c r="M11" s="637"/>
      <c r="N11" s="46" t="s">
        <v>878</v>
      </c>
      <c r="O11" s="46" t="s">
        <v>857</v>
      </c>
      <c r="P11" s="639" t="s">
        <v>874</v>
      </c>
    </row>
    <row r="12" spans="1:16">
      <c r="G12" s="635" t="s">
        <v>495</v>
      </c>
      <c r="H12" s="636">
        <v>8000</v>
      </c>
      <c r="I12" s="46" t="s">
        <v>849</v>
      </c>
      <c r="J12" s="637" t="s">
        <v>805</v>
      </c>
      <c r="K12" s="637"/>
      <c r="L12" s="637"/>
      <c r="M12" s="637"/>
      <c r="N12" s="46" t="s">
        <v>879</v>
      </c>
      <c r="O12" s="46" t="s">
        <v>858</v>
      </c>
      <c r="P12" s="639" t="s">
        <v>875</v>
      </c>
    </row>
    <row r="13" spans="1:16">
      <c r="G13" s="635" t="s">
        <v>48</v>
      </c>
      <c r="H13" s="636">
        <v>7000</v>
      </c>
      <c r="I13" s="46" t="s">
        <v>850</v>
      </c>
      <c r="J13" s="637" t="s">
        <v>806</v>
      </c>
      <c r="K13" s="637"/>
      <c r="L13" s="640" t="s">
        <v>921</v>
      </c>
      <c r="M13" s="637"/>
      <c r="N13" s="637"/>
      <c r="O13" s="637"/>
      <c r="P13" s="638"/>
    </row>
    <row r="14" spans="1:16">
      <c r="G14" s="635" t="s">
        <v>496</v>
      </c>
      <c r="H14" s="636">
        <v>6500</v>
      </c>
      <c r="I14" s="46" t="s">
        <v>852</v>
      </c>
      <c r="J14" s="637" t="s">
        <v>807</v>
      </c>
      <c r="K14" s="637"/>
      <c r="L14" s="640" t="s">
        <v>921</v>
      </c>
      <c r="M14" s="637"/>
      <c r="N14" s="46" t="s">
        <v>880</v>
      </c>
      <c r="O14" s="46" t="s">
        <v>859</v>
      </c>
      <c r="P14" s="639" t="s">
        <v>876</v>
      </c>
    </row>
    <row r="15" spans="1:16">
      <c r="G15" s="635" t="s">
        <v>497</v>
      </c>
      <c r="H15" s="636">
        <v>6000</v>
      </c>
      <c r="I15" s="637"/>
      <c r="J15" s="637" t="s">
        <v>808</v>
      </c>
      <c r="K15" s="640" t="s">
        <v>809</v>
      </c>
      <c r="L15" s="640" t="s">
        <v>812</v>
      </c>
      <c r="M15" s="637"/>
      <c r="N15" s="637"/>
      <c r="O15" s="637"/>
      <c r="P15" s="638"/>
    </row>
    <row r="16" spans="1:16">
      <c r="G16" s="635" t="s">
        <v>922</v>
      </c>
      <c r="H16" s="636">
        <v>5500</v>
      </c>
      <c r="I16" s="637"/>
      <c r="J16" s="637" t="s">
        <v>839</v>
      </c>
      <c r="K16" s="640" t="s">
        <v>810</v>
      </c>
      <c r="L16" s="640" t="s">
        <v>813</v>
      </c>
      <c r="M16" s="640" t="s">
        <v>814</v>
      </c>
      <c r="N16" s="46" t="s">
        <v>881</v>
      </c>
      <c r="O16" s="46" t="s">
        <v>860</v>
      </c>
      <c r="P16" s="639" t="s">
        <v>877</v>
      </c>
    </row>
    <row r="17" spans="7:16">
      <c r="G17" s="635" t="s">
        <v>923</v>
      </c>
      <c r="H17" s="636">
        <v>5000</v>
      </c>
      <c r="I17" s="637"/>
      <c r="J17" s="637" t="s">
        <v>840</v>
      </c>
      <c r="K17" s="640" t="s">
        <v>811</v>
      </c>
      <c r="L17" s="637"/>
      <c r="M17" s="640" t="s">
        <v>815</v>
      </c>
      <c r="N17" s="637"/>
      <c r="O17" s="637"/>
      <c r="P17" s="638"/>
    </row>
    <row r="18" spans="7:16">
      <c r="G18" s="635" t="s">
        <v>924</v>
      </c>
      <c r="H18" s="636">
        <v>4800</v>
      </c>
      <c r="I18" s="637"/>
      <c r="J18" s="637"/>
      <c r="K18" s="640" t="s">
        <v>844</v>
      </c>
      <c r="L18" s="640"/>
      <c r="M18" s="637"/>
      <c r="N18" s="637"/>
      <c r="O18" s="637"/>
      <c r="P18" s="638"/>
    </row>
    <row r="19" spans="7:16">
      <c r="G19" s="635" t="s">
        <v>925</v>
      </c>
      <c r="H19" s="636">
        <v>4500</v>
      </c>
      <c r="I19" s="637"/>
      <c r="J19" s="637"/>
      <c r="K19" s="637"/>
      <c r="L19" s="637"/>
      <c r="M19" s="640"/>
      <c r="N19" s="637"/>
      <c r="O19" s="637"/>
      <c r="P19" s="638"/>
    </row>
    <row r="20" spans="7:16">
      <c r="G20" s="635" t="s">
        <v>926</v>
      </c>
      <c r="H20" s="636">
        <v>4300</v>
      </c>
      <c r="I20" s="637"/>
      <c r="J20" s="637"/>
      <c r="K20" s="637" t="s">
        <v>927</v>
      </c>
      <c r="L20" s="637"/>
      <c r="M20" s="637"/>
      <c r="N20" s="637"/>
      <c r="O20" s="637"/>
      <c r="P20" s="638"/>
    </row>
    <row r="21" spans="7:16">
      <c r="G21" s="635" t="s">
        <v>928</v>
      </c>
      <c r="H21" s="636">
        <v>4000</v>
      </c>
      <c r="I21" s="637"/>
      <c r="J21" s="637"/>
      <c r="K21" s="637" t="s">
        <v>63</v>
      </c>
      <c r="L21" s="637"/>
      <c r="M21" s="637"/>
      <c r="N21" s="637"/>
      <c r="O21" s="637"/>
      <c r="P21" s="638"/>
    </row>
    <row r="22" spans="7:16">
      <c r="G22" s="635" t="s">
        <v>929</v>
      </c>
      <c r="H22" s="636">
        <v>3750</v>
      </c>
      <c r="I22" s="637"/>
      <c r="J22" s="637"/>
      <c r="K22" s="637" t="s">
        <v>930</v>
      </c>
      <c r="L22" s="637"/>
      <c r="M22" s="637"/>
      <c r="N22" s="637"/>
      <c r="O22" s="637"/>
      <c r="P22" s="638"/>
    </row>
    <row r="23" spans="7:16">
      <c r="G23" s="635" t="s">
        <v>42</v>
      </c>
      <c r="H23" s="636"/>
      <c r="I23" s="637"/>
      <c r="J23" s="637"/>
      <c r="K23" s="637"/>
      <c r="L23" s="637"/>
      <c r="M23" s="637"/>
      <c r="N23" s="637"/>
      <c r="O23" s="637"/>
      <c r="P23" s="638"/>
    </row>
    <row r="24" spans="7:16">
      <c r="G24" s="635" t="s">
        <v>931</v>
      </c>
      <c r="H24" s="636"/>
      <c r="I24" s="637"/>
      <c r="J24" s="637"/>
      <c r="K24" s="637"/>
      <c r="L24" s="637"/>
      <c r="M24" s="637"/>
      <c r="N24" s="637"/>
      <c r="O24" s="637"/>
      <c r="P24" s="638"/>
    </row>
    <row r="25" spans="7:16">
      <c r="G25" s="635" t="s">
        <v>52</v>
      </c>
      <c r="H25" s="636"/>
      <c r="I25" s="637"/>
      <c r="J25" s="637"/>
      <c r="K25" s="637"/>
      <c r="L25" s="637"/>
      <c r="M25" s="637"/>
      <c r="N25" s="637"/>
      <c r="O25" s="637"/>
      <c r="P25" s="638"/>
    </row>
    <row r="26" spans="7:16">
      <c r="G26" s="635" t="s">
        <v>932</v>
      </c>
      <c r="H26" s="636"/>
      <c r="I26" s="637"/>
      <c r="J26" s="637"/>
      <c r="K26" s="637"/>
      <c r="L26" s="637"/>
      <c r="M26" s="637"/>
      <c r="N26" s="637"/>
      <c r="O26" s="637"/>
      <c r="P26" s="638"/>
    </row>
    <row r="27" spans="7:16">
      <c r="G27" s="635" t="s">
        <v>933</v>
      </c>
      <c r="H27" s="636"/>
      <c r="I27" s="637"/>
      <c r="J27" s="637"/>
      <c r="K27" s="637"/>
      <c r="L27" s="637"/>
      <c r="M27" s="637"/>
      <c r="N27" s="637"/>
      <c r="O27" s="637"/>
      <c r="P27" s="638"/>
    </row>
    <row r="28" spans="7:16">
      <c r="G28" s="641" t="s">
        <v>33</v>
      </c>
      <c r="H28" s="642">
        <f>SUBTOTAL(101,Table8[الحد الادني])</f>
        <v>15516.666666666666</v>
      </c>
      <c r="I28" s="642"/>
      <c r="J28" s="642">
        <f>SUBTOTAL(103,Table8[2])</f>
        <v>10</v>
      </c>
      <c r="K28" s="642"/>
      <c r="L28" s="642"/>
      <c r="M28" s="642"/>
      <c r="N28" s="642"/>
      <c r="O28" s="642"/>
      <c r="P28" s="643"/>
    </row>
  </sheetData>
  <pageMargins left="0.7" right="0.7" top="0.75" bottom="0.75" header="0.3" footer="0.3"/>
  <pageSetup scale="95" orientation="landscape" verticalDpi="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7"/>
  <sheetViews>
    <sheetView rightToLeft="1" view="pageLayout" zoomScaleNormal="100" workbookViewId="0">
      <selection activeCell="J7" sqref="J7"/>
    </sheetView>
  </sheetViews>
  <sheetFormatPr defaultRowHeight="14.5"/>
  <cols>
    <col min="1" max="1" width="10.26953125" style="1" customWidth="1"/>
    <col min="2" max="2" width="10.26953125" style="646" customWidth="1"/>
    <col min="3" max="3" width="12.08984375" customWidth="1"/>
    <col min="4" max="4" width="7.54296875" bestFit="1" customWidth="1"/>
    <col min="5" max="5" width="7.54296875" customWidth="1"/>
    <col min="6" max="6" width="25.7265625" bestFit="1" customWidth="1"/>
    <col min="7" max="7" width="14.36328125" bestFit="1" customWidth="1"/>
    <col min="8" max="8" width="25.7265625" bestFit="1" customWidth="1"/>
    <col min="9" max="9" width="15.6328125" bestFit="1" customWidth="1"/>
    <col min="10" max="10" width="15.08984375" bestFit="1" customWidth="1"/>
    <col min="11" max="12" width="11.1796875" bestFit="1" customWidth="1"/>
  </cols>
  <sheetData>
    <row r="1" spans="1:12" s="3" customFormat="1">
      <c r="A1" s="1" t="s">
        <v>934</v>
      </c>
      <c r="B1" s="647" t="s">
        <v>1115</v>
      </c>
      <c r="C1" s="647" t="s">
        <v>1111</v>
      </c>
      <c r="D1" s="647" t="s">
        <v>1116</v>
      </c>
      <c r="E1" s="647" t="s">
        <v>1117</v>
      </c>
      <c r="F1" s="3" t="s">
        <v>5</v>
      </c>
      <c r="G1" s="3" t="s">
        <v>958</v>
      </c>
      <c r="H1" s="3" t="s">
        <v>959</v>
      </c>
      <c r="I1" s="3" t="s">
        <v>960</v>
      </c>
      <c r="J1" s="3" t="s">
        <v>961</v>
      </c>
      <c r="K1" s="3" t="s">
        <v>962</v>
      </c>
      <c r="L1" s="3" t="s">
        <v>963</v>
      </c>
    </row>
    <row r="2" spans="1:12">
      <c r="A2" s="1" t="s">
        <v>49</v>
      </c>
      <c r="B2" s="664">
        <v>80000</v>
      </c>
      <c r="C2" s="684">
        <v>100000</v>
      </c>
      <c r="D2" s="685">
        <f>Table10[[#This Row],[الحد الادني 20]]-Table10[[#This Row],[الحد الادني 19]]</f>
        <v>20000</v>
      </c>
      <c r="E2" s="685">
        <f>Table10[[#This Row],[(+)]]/Table10[[#This Row],[الحد الادني 19]]%</f>
        <v>25</v>
      </c>
      <c r="F2" s="3" t="s">
        <v>30</v>
      </c>
      <c r="G2" s="3"/>
      <c r="H2" s="3"/>
      <c r="I2" s="3"/>
      <c r="J2" s="3"/>
      <c r="K2" s="3"/>
      <c r="L2" s="3"/>
    </row>
    <row r="3" spans="1:12">
      <c r="A3" s="1" t="s">
        <v>50</v>
      </c>
      <c r="B3" s="664">
        <v>65000</v>
      </c>
      <c r="C3" s="684">
        <v>80000</v>
      </c>
      <c r="D3" s="685">
        <f>Table10[[#This Row],[الحد الادني 20]]-Table10[[#This Row],[الحد الادني 19]]</f>
        <v>15000</v>
      </c>
      <c r="E3" s="685">
        <f>Table10[[#This Row],[(+)]]/Table10[[#This Row],[الحد الادني 19]]%</f>
        <v>23.076923076923077</v>
      </c>
      <c r="F3" s="3" t="s">
        <v>29</v>
      </c>
      <c r="G3" s="3"/>
      <c r="H3" s="3"/>
      <c r="I3" s="3"/>
      <c r="J3" s="3"/>
      <c r="K3" s="3"/>
      <c r="L3" s="3"/>
    </row>
    <row r="4" spans="1:12">
      <c r="A4" s="1" t="s">
        <v>53</v>
      </c>
      <c r="B4" s="664">
        <v>65000</v>
      </c>
      <c r="C4" s="684">
        <v>75000</v>
      </c>
      <c r="D4" s="685">
        <f>Table10[[#This Row],[الحد الادني 20]]-Table10[[#This Row],[الحد الادني 19]]</f>
        <v>10000</v>
      </c>
      <c r="E4" s="685">
        <f>Table10[[#This Row],[(+)]]/Table10[[#This Row],[الحد الادني 19]]%</f>
        <v>15.384615384615385</v>
      </c>
      <c r="F4" s="3" t="s">
        <v>953</v>
      </c>
      <c r="G4" s="3" t="s">
        <v>935</v>
      </c>
      <c r="H4" s="3"/>
      <c r="I4" s="3"/>
      <c r="J4" s="3"/>
      <c r="K4" s="3"/>
      <c r="L4" s="3"/>
    </row>
    <row r="5" spans="1:12">
      <c r="A5" s="1" t="s">
        <v>59</v>
      </c>
      <c r="B5" s="664">
        <v>50000</v>
      </c>
      <c r="C5" s="684">
        <v>50000</v>
      </c>
      <c r="D5" s="685">
        <f>Table10[[#This Row],[الحد الادني 20]]-Table10[[#This Row],[الحد الادني 19]]</f>
        <v>0</v>
      </c>
      <c r="E5" s="685">
        <f>Table10[[#This Row],[(+)]]/Table10[[#This Row],[الحد الادني 19]]%</f>
        <v>0</v>
      </c>
      <c r="F5" s="3" t="s">
        <v>911</v>
      </c>
      <c r="G5" s="3"/>
      <c r="H5" s="3"/>
      <c r="I5" s="3"/>
      <c r="J5" s="3"/>
      <c r="K5" s="3"/>
      <c r="L5" s="3"/>
    </row>
    <row r="6" spans="1:12">
      <c r="A6" s="1" t="s">
        <v>60</v>
      </c>
      <c r="B6" s="664">
        <v>30000</v>
      </c>
      <c r="C6" s="684">
        <v>35000</v>
      </c>
      <c r="D6" s="685">
        <f>Table10[[#This Row],[الحد الادني 20]]-Table10[[#This Row],[الحد الادني 19]]</f>
        <v>5000</v>
      </c>
      <c r="E6" s="685">
        <f>Table10[[#This Row],[(+)]]/Table10[[#This Row],[الحد الادني 19]]%</f>
        <v>16.666666666666668</v>
      </c>
      <c r="F6" s="3" t="s">
        <v>911</v>
      </c>
      <c r="G6" s="3" t="s">
        <v>912</v>
      </c>
      <c r="H6" s="3"/>
      <c r="I6" s="3"/>
      <c r="J6" s="3"/>
      <c r="K6" s="3"/>
      <c r="L6" s="3"/>
    </row>
    <row r="7" spans="1:12">
      <c r="A7" s="1" t="s">
        <v>118</v>
      </c>
      <c r="B7" s="664">
        <v>25000</v>
      </c>
      <c r="C7" s="684">
        <v>35000</v>
      </c>
      <c r="D7" s="685">
        <f>Table10[[#This Row],[الحد الادني 20]]-Table10[[#This Row],[الحد الادني 19]]</f>
        <v>10000</v>
      </c>
      <c r="E7" s="685">
        <f>Table10[[#This Row],[(+)]]/Table10[[#This Row],[الحد الادني 19]]%</f>
        <v>40</v>
      </c>
      <c r="F7" s="3" t="s">
        <v>914</v>
      </c>
      <c r="G7" s="3" t="s">
        <v>936</v>
      </c>
      <c r="H7" s="3" t="s">
        <v>28</v>
      </c>
      <c r="I7" s="3" t="s">
        <v>937</v>
      </c>
      <c r="J7" s="3" t="s">
        <v>115</v>
      </c>
      <c r="K7" s="3"/>
      <c r="L7" s="3"/>
    </row>
    <row r="8" spans="1:12">
      <c r="A8" s="1" t="s">
        <v>492</v>
      </c>
      <c r="B8" s="664">
        <v>20000</v>
      </c>
      <c r="C8" s="684">
        <v>30000</v>
      </c>
      <c r="D8" s="685">
        <f>Table10[[#This Row],[الحد الادني 20]]-Table10[[#This Row],[الحد الادني 19]]</f>
        <v>10000</v>
      </c>
      <c r="E8" s="685">
        <f>Table10[[#This Row],[(+)]]/Table10[[#This Row],[الحد الادني 19]]%</f>
        <v>50</v>
      </c>
      <c r="F8" s="3" t="s">
        <v>938</v>
      </c>
      <c r="G8" s="3" t="s">
        <v>105</v>
      </c>
      <c r="H8" s="3" t="s">
        <v>1112</v>
      </c>
      <c r="I8" s="3"/>
      <c r="J8" s="3"/>
      <c r="K8" s="3"/>
      <c r="L8" s="3"/>
    </row>
    <row r="9" spans="1:12">
      <c r="A9" s="1" t="s">
        <v>493</v>
      </c>
      <c r="B9" s="664">
        <v>15000</v>
      </c>
      <c r="C9" s="684">
        <v>20000</v>
      </c>
      <c r="D9" s="685">
        <f>Table10[[#This Row],[الحد الادني 20]]-Table10[[#This Row],[الحد الادني 19]]</f>
        <v>5000</v>
      </c>
      <c r="E9" s="685">
        <f>Table10[[#This Row],[(+)]]/Table10[[#This Row],[الحد الادني 19]]%</f>
        <v>33.333333333333336</v>
      </c>
      <c r="F9" s="3" t="s">
        <v>372</v>
      </c>
      <c r="G9" s="3" t="s">
        <v>940</v>
      </c>
      <c r="H9" s="3"/>
      <c r="I9" s="3"/>
      <c r="J9" s="3"/>
      <c r="K9" s="3"/>
      <c r="L9" s="3"/>
    </row>
    <row r="10" spans="1:12">
      <c r="A10" s="1" t="s">
        <v>38</v>
      </c>
      <c r="B10" s="664">
        <v>12000</v>
      </c>
      <c r="C10" s="684">
        <v>17000</v>
      </c>
      <c r="D10" s="685">
        <f>Table10[[#This Row],[الحد الادني 20]]-Table10[[#This Row],[الحد الادني 19]]</f>
        <v>5000</v>
      </c>
      <c r="E10" s="685">
        <f>Table10[[#This Row],[(+)]]/Table10[[#This Row],[الحد الادني 19]]%</f>
        <v>41.666666666666664</v>
      </c>
      <c r="F10" s="3" t="s">
        <v>370</v>
      </c>
      <c r="G10" s="3" t="s">
        <v>941</v>
      </c>
      <c r="H10" s="3" t="s">
        <v>949</v>
      </c>
      <c r="I10" s="3" t="s">
        <v>943</v>
      </c>
      <c r="J10" s="3"/>
      <c r="K10" s="3"/>
      <c r="L10" s="3"/>
    </row>
    <row r="11" spans="1:12">
      <c r="A11" s="1" t="s">
        <v>494</v>
      </c>
      <c r="B11" s="664">
        <v>10000</v>
      </c>
      <c r="C11" s="684">
        <v>15000</v>
      </c>
      <c r="D11" s="685">
        <f>Table10[[#This Row],[الحد الادني 20]]-Table10[[#This Row],[الحد الادني 19]]</f>
        <v>5000</v>
      </c>
      <c r="E11" s="685">
        <f>Table10[[#This Row],[(+)]]/Table10[[#This Row],[الحد الادني 19]]%</f>
        <v>50</v>
      </c>
      <c r="F11" s="3" t="s">
        <v>939</v>
      </c>
      <c r="G11" s="3" t="s">
        <v>964</v>
      </c>
      <c r="H11" s="3" t="s">
        <v>973</v>
      </c>
      <c r="I11" s="3"/>
      <c r="J11" s="3"/>
      <c r="K11" s="3"/>
      <c r="L11" s="3"/>
    </row>
    <row r="12" spans="1:12">
      <c r="A12" s="1" t="s">
        <v>495</v>
      </c>
      <c r="B12" s="664">
        <v>9500</v>
      </c>
      <c r="C12" s="684">
        <v>14000</v>
      </c>
      <c r="D12" s="685">
        <f>Table10[[#This Row],[الحد الادني 20]]-Table10[[#This Row],[الحد الادني 19]]</f>
        <v>4500</v>
      </c>
      <c r="E12" s="685">
        <f>Table10[[#This Row],[(+)]]/Table10[[#This Row],[الحد الادني 19]]%</f>
        <v>47.368421052631582</v>
      </c>
      <c r="F12" s="3" t="s">
        <v>942</v>
      </c>
      <c r="G12" s="3"/>
      <c r="H12" s="3"/>
      <c r="I12" s="3"/>
      <c r="J12" s="3"/>
      <c r="K12" s="3"/>
      <c r="L12" s="3"/>
    </row>
    <row r="13" spans="1:12">
      <c r="A13" s="1" t="s">
        <v>48</v>
      </c>
      <c r="B13" s="664">
        <v>9000</v>
      </c>
      <c r="C13" s="684">
        <v>13000</v>
      </c>
      <c r="D13" s="685">
        <f>Table10[[#This Row],[الحد الادني 20]]-Table10[[#This Row],[الحد الادني 19]]</f>
        <v>4000</v>
      </c>
      <c r="E13" s="685">
        <f>Table10[[#This Row],[(+)]]/Table10[[#This Row],[الحد الادني 19]]%</f>
        <v>44.444444444444443</v>
      </c>
      <c r="F13" s="3" t="s">
        <v>804</v>
      </c>
      <c r="G13" s="3"/>
      <c r="H13" s="3"/>
      <c r="I13" s="3"/>
      <c r="J13" s="3"/>
      <c r="K13" s="3"/>
      <c r="L13" s="3"/>
    </row>
    <row r="14" spans="1:12">
      <c r="A14" s="1" t="s">
        <v>496</v>
      </c>
      <c r="B14" s="664">
        <v>8500</v>
      </c>
      <c r="C14" s="684">
        <v>12000</v>
      </c>
      <c r="D14" s="685">
        <f>Table10[[#This Row],[الحد الادني 20]]-Table10[[#This Row],[الحد الادني 19]]</f>
        <v>3500</v>
      </c>
      <c r="E14" s="685">
        <f>Table10[[#This Row],[(+)]]/Table10[[#This Row],[الحد الادني 19]]%</f>
        <v>41.176470588235297</v>
      </c>
      <c r="F14" s="3" t="s">
        <v>952</v>
      </c>
      <c r="G14" s="3"/>
      <c r="H14" s="3"/>
      <c r="I14" s="3"/>
      <c r="J14" s="3"/>
      <c r="K14" s="3"/>
      <c r="L14" s="644"/>
    </row>
    <row r="15" spans="1:12">
      <c r="A15" s="1" t="s">
        <v>497</v>
      </c>
      <c r="B15" s="664">
        <v>8000</v>
      </c>
      <c r="C15" s="684">
        <v>12000</v>
      </c>
      <c r="D15" s="685">
        <f>Table10[[#This Row],[الحد الادني 20]]-Table10[[#This Row],[الحد الادني 19]]</f>
        <v>4000</v>
      </c>
      <c r="E15" s="685">
        <f>Table10[[#This Row],[(+)]]/Table10[[#This Row],[الحد الادني 19]]%</f>
        <v>50</v>
      </c>
      <c r="F15" s="3" t="s">
        <v>980</v>
      </c>
      <c r="G15" s="3"/>
      <c r="H15" s="3"/>
      <c r="I15" s="3"/>
      <c r="J15" s="3"/>
      <c r="K15" s="3"/>
      <c r="L15" s="3"/>
    </row>
    <row r="16" spans="1:12">
      <c r="A16" s="1" t="s">
        <v>922</v>
      </c>
      <c r="B16" s="664">
        <v>7000</v>
      </c>
      <c r="C16" s="684">
        <v>11000</v>
      </c>
      <c r="D16" s="685">
        <f>Table10[[#This Row],[الحد الادني 20]]-Table10[[#This Row],[الحد الادني 19]]</f>
        <v>4000</v>
      </c>
      <c r="E16" s="685">
        <f>Table10[[#This Row],[(+)]]/Table10[[#This Row],[الحد الادني 19]]%</f>
        <v>57.142857142857146</v>
      </c>
      <c r="F16" s="3" t="s">
        <v>965</v>
      </c>
      <c r="G16" s="3"/>
      <c r="H16" s="3"/>
      <c r="I16" s="3"/>
      <c r="J16" s="644" t="s">
        <v>969</v>
      </c>
      <c r="K16" s="3"/>
      <c r="L16" s="3"/>
    </row>
    <row r="17" spans="1:12">
      <c r="A17" s="1" t="s">
        <v>923</v>
      </c>
      <c r="B17" s="664">
        <v>6500</v>
      </c>
      <c r="C17" s="684">
        <v>10000</v>
      </c>
      <c r="D17" s="685">
        <f>Table10[[#This Row],[الحد الادني 20]]-Table10[[#This Row],[الحد الادني 19]]</f>
        <v>3500</v>
      </c>
      <c r="E17" s="685">
        <f>Table10[[#This Row],[(+)]]/Table10[[#This Row],[الحد الادني 19]]%</f>
        <v>53.846153846153847</v>
      </c>
      <c r="F17" s="3" t="s">
        <v>966</v>
      </c>
      <c r="G17" s="3"/>
      <c r="H17" s="3"/>
      <c r="I17" s="3"/>
      <c r="J17" s="644" t="s">
        <v>970</v>
      </c>
      <c r="K17" s="3"/>
      <c r="L17" s="3"/>
    </row>
    <row r="18" spans="1:12">
      <c r="A18" s="1" t="s">
        <v>924</v>
      </c>
      <c r="B18" s="664">
        <v>6000</v>
      </c>
      <c r="C18" s="684">
        <v>9000</v>
      </c>
      <c r="D18" s="685">
        <f>Table10[[#This Row],[الحد الادني 20]]-Table10[[#This Row],[الحد الادني 19]]</f>
        <v>3000</v>
      </c>
      <c r="E18" s="685">
        <f>Table10[[#This Row],[(+)]]/Table10[[#This Row],[الحد الادني 19]]%</f>
        <v>50</v>
      </c>
      <c r="F18" s="3" t="s">
        <v>967</v>
      </c>
      <c r="G18" s="3"/>
      <c r="H18" s="3"/>
      <c r="I18" s="3" t="s">
        <v>979</v>
      </c>
      <c r="J18" s="644" t="s">
        <v>971</v>
      </c>
      <c r="K18" s="3"/>
      <c r="L18" s="3"/>
    </row>
    <row r="19" spans="1:12">
      <c r="A19" s="1" t="s">
        <v>925</v>
      </c>
      <c r="B19" s="664">
        <v>6000</v>
      </c>
      <c r="C19" s="684">
        <v>9000</v>
      </c>
      <c r="D19" s="685">
        <f>Table10[[#This Row],[الحد الادني 20]]-Table10[[#This Row],[الحد الادني 19]]</f>
        <v>3000</v>
      </c>
      <c r="E19" s="685">
        <f>Table10[[#This Row],[(+)]]/Table10[[#This Row],[الحد الادني 19]]%</f>
        <v>50</v>
      </c>
      <c r="F19" s="3" t="s">
        <v>948</v>
      </c>
      <c r="G19" s="3"/>
      <c r="H19" s="3"/>
      <c r="I19" s="3"/>
      <c r="J19" s="3"/>
      <c r="K19" s="3" t="s">
        <v>956</v>
      </c>
      <c r="L19" s="3"/>
    </row>
    <row r="20" spans="1:12">
      <c r="A20" s="1" t="s">
        <v>926</v>
      </c>
      <c r="B20" s="664">
        <v>5500</v>
      </c>
      <c r="C20" s="684">
        <v>8000</v>
      </c>
      <c r="D20" s="685">
        <f>Table10[[#This Row],[الحد الادني 20]]-Table10[[#This Row],[الحد الادني 19]]</f>
        <v>2500</v>
      </c>
      <c r="E20" s="685">
        <f>Table10[[#This Row],[(+)]]/Table10[[#This Row],[الحد الادني 19]]%</f>
        <v>45.454545454545453</v>
      </c>
      <c r="F20" s="3" t="s">
        <v>945</v>
      </c>
      <c r="G20" s="3" t="s">
        <v>947</v>
      </c>
      <c r="H20" s="3" t="s">
        <v>968</v>
      </c>
      <c r="I20" s="3" t="s">
        <v>950</v>
      </c>
      <c r="J20" s="644" t="s">
        <v>972</v>
      </c>
      <c r="K20" s="3" t="s">
        <v>957</v>
      </c>
      <c r="L20" s="644" t="s">
        <v>809</v>
      </c>
    </row>
    <row r="21" spans="1:12">
      <c r="A21" s="1" t="s">
        <v>928</v>
      </c>
      <c r="B21" s="664">
        <v>5000</v>
      </c>
      <c r="C21" s="684">
        <v>7000</v>
      </c>
      <c r="D21" s="685">
        <f>Table10[[#This Row],[الحد الادني 20]]-Table10[[#This Row],[الحد الادني 19]]</f>
        <v>2000</v>
      </c>
      <c r="E21" s="685">
        <f>Table10[[#This Row],[(+)]]/Table10[[#This Row],[الحد الادني 19]]%</f>
        <v>40</v>
      </c>
      <c r="F21" s="3" t="s">
        <v>946</v>
      </c>
      <c r="G21" s="3" t="s">
        <v>729</v>
      </c>
      <c r="H21" s="3"/>
      <c r="I21" s="3" t="s">
        <v>951</v>
      </c>
      <c r="J21" s="3"/>
      <c r="K21" s="3"/>
      <c r="L21" s="644" t="s">
        <v>810</v>
      </c>
    </row>
    <row r="22" spans="1:12">
      <c r="A22" s="1" t="s">
        <v>929</v>
      </c>
      <c r="B22" s="664">
        <v>4500</v>
      </c>
      <c r="C22" s="684">
        <v>6000</v>
      </c>
      <c r="D22" s="685">
        <f>Table10[[#This Row],[الحد الادني 20]]-Table10[[#This Row],[الحد الادني 19]]</f>
        <v>1500</v>
      </c>
      <c r="E22" s="685">
        <f>Table10[[#This Row],[(+)]]/Table10[[#This Row],[الحد الادني 19]]%</f>
        <v>33.333333333333336</v>
      </c>
      <c r="F22" s="3" t="s">
        <v>944</v>
      </c>
      <c r="G22" s="3" t="s">
        <v>986</v>
      </c>
      <c r="H22" s="3"/>
      <c r="I22" s="3"/>
      <c r="J22" s="3"/>
      <c r="K22" s="3"/>
      <c r="L22" s="644" t="s">
        <v>811</v>
      </c>
    </row>
    <row r="23" spans="1:12">
      <c r="A23" s="1" t="s">
        <v>42</v>
      </c>
      <c r="B23" s="664">
        <v>4000</v>
      </c>
      <c r="C23" s="684">
        <v>5000</v>
      </c>
      <c r="D23" s="685">
        <f>Table10[[#This Row],[الحد الادني 20]]-Table10[[#This Row],[الحد الادني 19]]</f>
        <v>1000</v>
      </c>
      <c r="E23" s="685">
        <f>Table10[[#This Row],[(+)]]/Table10[[#This Row],[الحد الادني 19]]%</f>
        <v>25</v>
      </c>
      <c r="F23" s="3" t="s">
        <v>63</v>
      </c>
      <c r="G23" s="3"/>
      <c r="H23" s="3"/>
      <c r="I23" s="3"/>
      <c r="J23" s="3"/>
      <c r="K23" s="3"/>
      <c r="L23" s="644" t="s">
        <v>844</v>
      </c>
    </row>
    <row r="24" spans="1:12">
      <c r="A24" s="1" t="s">
        <v>931</v>
      </c>
      <c r="B24" s="664">
        <v>3750</v>
      </c>
      <c r="C24" s="684">
        <v>4500</v>
      </c>
      <c r="D24" s="685">
        <f>Table10[[#This Row],[الحد الادني 20]]-Table10[[#This Row],[الحد الادني 19]]</f>
        <v>750</v>
      </c>
      <c r="E24" s="685">
        <f>Table10[[#This Row],[(+)]]/Table10[[#This Row],[الحد الادني 19]]%</f>
        <v>20</v>
      </c>
      <c r="F24" s="3" t="s">
        <v>930</v>
      </c>
      <c r="G24" s="3"/>
      <c r="H24" s="3"/>
      <c r="I24" s="3"/>
      <c r="J24" s="3"/>
      <c r="K24" s="3"/>
      <c r="L24" s="3"/>
    </row>
    <row r="25" spans="1:12">
      <c r="A25" s="1" t="s">
        <v>52</v>
      </c>
      <c r="B25" s="664">
        <v>1000</v>
      </c>
      <c r="C25" s="684">
        <v>2000</v>
      </c>
      <c r="D25" s="685">
        <f>Table10[[#This Row],[الحد الادني 20]]-Table10[[#This Row],[الحد الادني 19]]</f>
        <v>1000</v>
      </c>
      <c r="E25" s="685">
        <f>Table10[[#This Row],[(+)]]/Table10[[#This Row],[الحد الادني 19]]%</f>
        <v>100</v>
      </c>
      <c r="F25" s="3" t="s">
        <v>1113</v>
      </c>
      <c r="G25" s="3"/>
      <c r="H25" s="3"/>
      <c r="I25" s="3"/>
      <c r="J25" s="3"/>
      <c r="K25" s="3"/>
      <c r="L25" s="3"/>
    </row>
    <row r="26" spans="1:12">
      <c r="A26" s="1" t="s">
        <v>932</v>
      </c>
      <c r="B26" s="664">
        <v>1</v>
      </c>
      <c r="C26" s="684">
        <v>1</v>
      </c>
      <c r="D26" s="685">
        <f>Table10[[#This Row],[الحد الادني 20]]-Table10[[#This Row],[الحد الادني 19]]</f>
        <v>0</v>
      </c>
      <c r="E26" s="685">
        <f>Table10[[#This Row],[(+)]]/Table10[[#This Row],[الحد الادني 19]]%</f>
        <v>0</v>
      </c>
      <c r="F26" s="3"/>
      <c r="G26" s="3"/>
      <c r="H26" s="3"/>
      <c r="I26" s="3"/>
      <c r="J26" s="3"/>
      <c r="K26" s="3"/>
      <c r="L26" s="3"/>
    </row>
    <row r="27" spans="1:12">
      <c r="A27" s="1" t="s">
        <v>933</v>
      </c>
      <c r="B27" s="664">
        <v>1</v>
      </c>
      <c r="C27" s="684">
        <v>1</v>
      </c>
      <c r="D27" s="685">
        <f>Table10[[#This Row],[الحد الادني 20]]-Table10[[#This Row],[الحد الادني 19]]</f>
        <v>0</v>
      </c>
      <c r="E27" s="685">
        <f>Table10[[#This Row],[(+)]]/Table10[[#This Row],[الحد الادني 19]]%</f>
        <v>0</v>
      </c>
      <c r="F27" s="3"/>
      <c r="G27" s="3"/>
      <c r="H27" s="3"/>
      <c r="I27" s="3"/>
      <c r="J27" s="3"/>
      <c r="K27" s="3"/>
      <c r="L27" s="3"/>
    </row>
  </sheetData>
  <pageMargins left="0.23333333333333334" right="0.22777777777777777" top="0.75" bottom="0.75" header="0.3" footer="0.3"/>
  <pageSetup scale="80" orientation="landscape" verticalDpi="0" r:id="rId1"/>
  <headerFooter>
    <oddHeader xml:space="preserve">&amp;Cهيكل الاجور </oddHead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D33"/>
  <sheetViews>
    <sheetView rightToLeft="1" topLeftCell="F25" workbookViewId="0">
      <selection activeCell="R32" sqref="R32"/>
    </sheetView>
  </sheetViews>
  <sheetFormatPr defaultRowHeight="14.5" outlineLevelCol="2"/>
  <cols>
    <col min="1" max="1" width="13.90625" customWidth="1" outlineLevel="1"/>
    <col min="2" max="2" width="10.26953125" style="3" customWidth="1" outlineLevel="1"/>
    <col min="3" max="5" width="8.7265625" customWidth="1" outlineLevel="1"/>
    <col min="6" max="6" width="8.7265625" customWidth="1"/>
    <col min="7" max="9" width="8.7265625" hidden="1" customWidth="1" outlineLevel="2"/>
    <col min="10" max="10" width="10.26953125" customWidth="1" outlineLevel="1" collapsed="1"/>
    <col min="11" max="14" width="10.26953125" customWidth="1" outlineLevel="1"/>
    <col min="15" max="15" width="10.7265625" style="3" customWidth="1"/>
    <col min="16" max="16" width="10.7265625" style="593" customWidth="1" outlineLevel="1"/>
    <col min="17" max="17" width="8.7265625" style="593" customWidth="1" outlineLevel="1"/>
    <col min="18" max="18" width="8.7265625" style="593" customWidth="1"/>
    <col min="19" max="19" width="12.1796875" style="1" customWidth="1" outlineLevel="1"/>
    <col min="20" max="20" width="8.7265625" style="1" customWidth="1" outlineLevel="1"/>
    <col min="21" max="21" width="8.7265625" style="593"/>
    <col min="22" max="22" width="11.453125" style="1" bestFit="1" customWidth="1" outlineLevel="1"/>
    <col min="23" max="23" width="8.7265625" style="1" customWidth="1" outlineLevel="1"/>
    <col min="25" max="25" width="9.54296875" hidden="1" customWidth="1" outlineLevel="1"/>
    <col min="26" max="29" width="8.7265625" hidden="1" customWidth="1" outlineLevel="1"/>
    <col min="30" max="30" width="8.7265625" collapsed="1"/>
  </cols>
  <sheetData>
    <row r="2" spans="1:29" ht="15.5">
      <c r="A2" s="57" t="s">
        <v>54</v>
      </c>
      <c r="B2" s="3" t="s">
        <v>499</v>
      </c>
      <c r="C2" s="3" t="s">
        <v>500</v>
      </c>
      <c r="D2" t="s">
        <v>58</v>
      </c>
      <c r="E2" t="s">
        <v>501</v>
      </c>
      <c r="J2" t="s">
        <v>125</v>
      </c>
      <c r="K2" t="s">
        <v>55</v>
      </c>
      <c r="L2" t="s">
        <v>57</v>
      </c>
      <c r="M2" t="s">
        <v>58</v>
      </c>
      <c r="N2" t="s">
        <v>498</v>
      </c>
      <c r="P2" s="591" t="s">
        <v>846</v>
      </c>
      <c r="Q2" s="592" t="s">
        <v>847</v>
      </c>
    </row>
    <row r="3" spans="1:29" ht="15.5">
      <c r="A3" s="57" t="s">
        <v>478</v>
      </c>
      <c r="B3" s="3" t="s">
        <v>49</v>
      </c>
      <c r="C3" s="3" t="s">
        <v>49</v>
      </c>
      <c r="E3" s="3">
        <v>8000</v>
      </c>
      <c r="J3" t="s">
        <v>502</v>
      </c>
      <c r="P3" s="594"/>
      <c r="Q3" s="595"/>
    </row>
    <row r="4" spans="1:29" ht="15.5">
      <c r="A4" s="57" t="s">
        <v>479</v>
      </c>
      <c r="B4" s="3" t="s">
        <v>50</v>
      </c>
      <c r="C4" s="3" t="s">
        <v>50</v>
      </c>
      <c r="E4" s="3">
        <v>7000</v>
      </c>
      <c r="J4" t="s">
        <v>503</v>
      </c>
      <c r="P4" s="594"/>
      <c r="Q4" s="595"/>
    </row>
    <row r="5" spans="1:29" ht="15.5">
      <c r="A5" s="57" t="s">
        <v>480</v>
      </c>
      <c r="B5" s="3" t="s">
        <v>53</v>
      </c>
      <c r="C5" s="3" t="s">
        <v>53</v>
      </c>
      <c r="E5" s="3">
        <v>6000</v>
      </c>
      <c r="J5" t="s">
        <v>504</v>
      </c>
      <c r="P5" s="596" t="s">
        <v>818</v>
      </c>
      <c r="Q5" s="595" t="s">
        <v>821</v>
      </c>
      <c r="S5" s="1" t="s">
        <v>853</v>
      </c>
      <c r="T5" s="590" t="s">
        <v>821</v>
      </c>
      <c r="V5" s="1" t="s">
        <v>890</v>
      </c>
      <c r="W5" s="1" t="s">
        <v>821</v>
      </c>
      <c r="Y5" s="1" t="s">
        <v>861</v>
      </c>
      <c r="Z5" s="1" t="s">
        <v>821</v>
      </c>
      <c r="AB5" s="1" t="s">
        <v>874</v>
      </c>
      <c r="AC5" s="1" t="s">
        <v>882</v>
      </c>
    </row>
    <row r="6" spans="1:29" ht="15.5">
      <c r="A6" s="57" t="s">
        <v>481</v>
      </c>
      <c r="B6" s="3" t="s">
        <v>59</v>
      </c>
      <c r="C6" s="3" t="s">
        <v>53</v>
      </c>
      <c r="E6" s="3">
        <v>6000</v>
      </c>
      <c r="J6" t="s">
        <v>505</v>
      </c>
      <c r="P6" s="596" t="s">
        <v>819</v>
      </c>
      <c r="Q6" s="595" t="s">
        <v>822</v>
      </c>
      <c r="S6" s="1" t="s">
        <v>854</v>
      </c>
      <c r="T6" s="590" t="s">
        <v>822</v>
      </c>
      <c r="V6" s="1" t="s">
        <v>891</v>
      </c>
      <c r="W6" s="1" t="s">
        <v>822</v>
      </c>
      <c r="Y6" s="1" t="s">
        <v>862</v>
      </c>
      <c r="Z6" s="1" t="s">
        <v>822</v>
      </c>
      <c r="AB6" s="1" t="s">
        <v>875</v>
      </c>
      <c r="AC6" s="1" t="s">
        <v>883</v>
      </c>
    </row>
    <row r="7" spans="1:29" ht="15.5">
      <c r="A7" s="57" t="s">
        <v>482</v>
      </c>
      <c r="B7" s="3" t="s">
        <v>60</v>
      </c>
      <c r="C7" s="3" t="s">
        <v>59</v>
      </c>
      <c r="E7" s="3">
        <v>5500</v>
      </c>
      <c r="J7" t="s">
        <v>506</v>
      </c>
      <c r="P7" s="596" t="s">
        <v>820</v>
      </c>
      <c r="Q7" s="595" t="s">
        <v>823</v>
      </c>
      <c r="S7" s="1" t="s">
        <v>856</v>
      </c>
      <c r="T7" s="590" t="s">
        <v>823</v>
      </c>
      <c r="Y7" s="1" t="s">
        <v>863</v>
      </c>
      <c r="Z7" s="1" t="s">
        <v>823</v>
      </c>
      <c r="AB7" s="1" t="s">
        <v>876</v>
      </c>
      <c r="AC7" s="1" t="s">
        <v>884</v>
      </c>
    </row>
    <row r="8" spans="1:29" ht="15.5">
      <c r="A8" s="57" t="s">
        <v>483</v>
      </c>
      <c r="B8" s="3" t="s">
        <v>118</v>
      </c>
      <c r="C8" s="3" t="s">
        <v>60</v>
      </c>
      <c r="E8" s="3">
        <v>5000</v>
      </c>
      <c r="J8" t="s">
        <v>507</v>
      </c>
      <c r="P8" s="594"/>
      <c r="Q8" s="595"/>
      <c r="T8" s="590"/>
      <c r="AB8" s="1" t="s">
        <v>877</v>
      </c>
      <c r="AC8" s="1" t="s">
        <v>885</v>
      </c>
    </row>
    <row r="9" spans="1:29" ht="15.5">
      <c r="A9" s="57" t="s">
        <v>484</v>
      </c>
      <c r="B9" s="3" t="s">
        <v>492</v>
      </c>
      <c r="C9" s="3" t="s">
        <v>60</v>
      </c>
      <c r="E9" s="3">
        <v>5000</v>
      </c>
      <c r="J9" t="s">
        <v>508</v>
      </c>
      <c r="P9" s="596" t="s">
        <v>802</v>
      </c>
      <c r="Q9" s="595" t="s">
        <v>824</v>
      </c>
      <c r="S9" s="1" t="s">
        <v>848</v>
      </c>
      <c r="T9" s="590" t="s">
        <v>824</v>
      </c>
      <c r="V9" s="1" t="s">
        <v>857</v>
      </c>
      <c r="W9" s="1" t="s">
        <v>824</v>
      </c>
      <c r="Y9" s="1" t="s">
        <v>864</v>
      </c>
      <c r="Z9" s="1" t="s">
        <v>824</v>
      </c>
    </row>
    <row r="10" spans="1:29" ht="15.5">
      <c r="A10" s="57" t="s">
        <v>485</v>
      </c>
      <c r="B10" s="3" t="s">
        <v>493</v>
      </c>
      <c r="C10" s="3" t="s">
        <v>118</v>
      </c>
      <c r="E10" s="3">
        <v>4000</v>
      </c>
      <c r="J10" t="s">
        <v>509</v>
      </c>
      <c r="P10" s="596" t="s">
        <v>803</v>
      </c>
      <c r="Q10" s="595" t="s">
        <v>825</v>
      </c>
      <c r="S10" s="1" t="s">
        <v>849</v>
      </c>
      <c r="T10" s="590" t="s">
        <v>825</v>
      </c>
      <c r="V10" s="1" t="s">
        <v>858</v>
      </c>
      <c r="W10" s="1" t="s">
        <v>825</v>
      </c>
      <c r="Y10" s="1" t="s">
        <v>865</v>
      </c>
      <c r="Z10" s="1" t="s">
        <v>825</v>
      </c>
      <c r="AB10" s="1" t="s">
        <v>878</v>
      </c>
      <c r="AC10" s="1" t="s">
        <v>886</v>
      </c>
    </row>
    <row r="11" spans="1:29" ht="15.5">
      <c r="A11" s="57" t="s">
        <v>486</v>
      </c>
      <c r="B11" s="3" t="s">
        <v>38</v>
      </c>
      <c r="C11" s="3" t="s">
        <v>118</v>
      </c>
      <c r="E11" s="3">
        <v>5000</v>
      </c>
      <c r="P11" s="596" t="s">
        <v>804</v>
      </c>
      <c r="Q11" s="595" t="s">
        <v>826</v>
      </c>
      <c r="S11" s="1" t="s">
        <v>850</v>
      </c>
      <c r="T11" s="590" t="s">
        <v>826</v>
      </c>
      <c r="V11" s="1" t="s">
        <v>859</v>
      </c>
      <c r="W11" s="1" t="s">
        <v>826</v>
      </c>
      <c r="Y11" s="1" t="s">
        <v>866</v>
      </c>
      <c r="Z11" s="1" t="s">
        <v>826</v>
      </c>
      <c r="AB11" s="1" t="s">
        <v>879</v>
      </c>
      <c r="AC11" s="1" t="s">
        <v>887</v>
      </c>
    </row>
    <row r="12" spans="1:29" ht="15.5">
      <c r="A12" s="57" t="s">
        <v>487</v>
      </c>
      <c r="B12" s="3" t="s">
        <v>494</v>
      </c>
      <c r="C12" s="3" t="s">
        <v>118</v>
      </c>
      <c r="E12" s="3">
        <v>4000</v>
      </c>
      <c r="P12" s="594"/>
      <c r="Q12" s="595"/>
      <c r="S12" s="1" t="s">
        <v>852</v>
      </c>
      <c r="T12" s="590" t="s">
        <v>855</v>
      </c>
      <c r="V12" s="1" t="s">
        <v>860</v>
      </c>
      <c r="W12" s="1" t="s">
        <v>855</v>
      </c>
      <c r="Y12" s="1" t="s">
        <v>867</v>
      </c>
      <c r="Z12" s="1" t="s">
        <v>855</v>
      </c>
      <c r="AB12" s="1" t="s">
        <v>880</v>
      </c>
      <c r="AC12" s="1" t="s">
        <v>888</v>
      </c>
    </row>
    <row r="13" spans="1:29" ht="15.5">
      <c r="A13" s="57" t="s">
        <v>488</v>
      </c>
      <c r="B13" s="3" t="s">
        <v>495</v>
      </c>
      <c r="C13" s="3" t="s">
        <v>118</v>
      </c>
      <c r="E13" s="3">
        <v>4000</v>
      </c>
      <c r="P13" s="596" t="s">
        <v>805</v>
      </c>
      <c r="Q13" s="595" t="s">
        <v>827</v>
      </c>
      <c r="AB13" s="1" t="s">
        <v>881</v>
      </c>
      <c r="AC13" s="1" t="s">
        <v>889</v>
      </c>
    </row>
    <row r="14" spans="1:29" ht="15.5">
      <c r="A14" s="57" t="s">
        <v>489</v>
      </c>
      <c r="B14" s="3" t="s">
        <v>48</v>
      </c>
      <c r="C14" s="3" t="s">
        <v>492</v>
      </c>
      <c r="E14" s="3">
        <v>4000</v>
      </c>
      <c r="P14" s="596" t="s">
        <v>806</v>
      </c>
      <c r="Q14" s="595" t="s">
        <v>828</v>
      </c>
      <c r="S14" s="1" t="s">
        <v>812</v>
      </c>
      <c r="T14" s="590" t="s">
        <v>824</v>
      </c>
      <c r="Y14" s="1" t="s">
        <v>868</v>
      </c>
      <c r="Z14" s="1" t="s">
        <v>827</v>
      </c>
    </row>
    <row r="15" spans="1:29" ht="15.5">
      <c r="A15" s="57" t="s">
        <v>490</v>
      </c>
      <c r="B15" s="3" t="s">
        <v>496</v>
      </c>
      <c r="C15" s="3" t="s">
        <v>492</v>
      </c>
      <c r="E15" s="3">
        <v>4000</v>
      </c>
      <c r="P15" s="596" t="s">
        <v>807</v>
      </c>
      <c r="Q15" s="595" t="s">
        <v>829</v>
      </c>
      <c r="S15" s="1" t="s">
        <v>813</v>
      </c>
      <c r="T15" s="590" t="s">
        <v>825</v>
      </c>
      <c r="Y15" s="1" t="s">
        <v>869</v>
      </c>
      <c r="Z15" s="1" t="s">
        <v>828</v>
      </c>
    </row>
    <row r="16" spans="1:29" ht="15.5">
      <c r="A16" s="57" t="s">
        <v>491</v>
      </c>
      <c r="B16" s="3" t="s">
        <v>497</v>
      </c>
      <c r="C16" s="3" t="s">
        <v>492</v>
      </c>
      <c r="E16" s="3">
        <v>4000</v>
      </c>
      <c r="P16" s="596" t="s">
        <v>808</v>
      </c>
      <c r="Q16" s="595" t="s">
        <v>830</v>
      </c>
      <c r="Y16" s="1" t="s">
        <v>870</v>
      </c>
      <c r="Z16" s="1" t="s">
        <v>829</v>
      </c>
    </row>
    <row r="17" spans="1:26" ht="15.5">
      <c r="A17" s="58">
        <v>0</v>
      </c>
      <c r="B17" s="3">
        <v>0</v>
      </c>
      <c r="C17" s="3" t="s">
        <v>493</v>
      </c>
      <c r="E17" s="3">
        <v>4000</v>
      </c>
      <c r="P17" s="596" t="s">
        <v>839</v>
      </c>
      <c r="Q17" s="595" t="s">
        <v>841</v>
      </c>
      <c r="S17" s="1" t="s">
        <v>816</v>
      </c>
      <c r="T17" s="590" t="s">
        <v>827</v>
      </c>
    </row>
    <row r="18" spans="1:26">
      <c r="P18" s="596" t="s">
        <v>840</v>
      </c>
      <c r="Q18" s="595" t="s">
        <v>842</v>
      </c>
      <c r="S18" s="1" t="s">
        <v>817</v>
      </c>
      <c r="T18" s="590" t="s">
        <v>828</v>
      </c>
      <c r="Y18" s="1" t="s">
        <v>871</v>
      </c>
      <c r="Z18" s="1" t="s">
        <v>831</v>
      </c>
    </row>
    <row r="19" spans="1:26">
      <c r="P19" s="594"/>
      <c r="Q19" s="595"/>
      <c r="S19" s="1" t="s">
        <v>851</v>
      </c>
      <c r="T19" s="590" t="s">
        <v>829</v>
      </c>
      <c r="Y19" s="1" t="s">
        <v>872</v>
      </c>
      <c r="Z19" s="1" t="s">
        <v>832</v>
      </c>
    </row>
    <row r="20" spans="1:26">
      <c r="M20" s="3"/>
      <c r="P20" s="596" t="s">
        <v>809</v>
      </c>
      <c r="Q20" s="595" t="s">
        <v>831</v>
      </c>
      <c r="Y20" s="1" t="s">
        <v>873</v>
      </c>
      <c r="Z20" s="1" t="s">
        <v>843</v>
      </c>
    </row>
    <row r="21" spans="1:26">
      <c r="P21" s="596" t="s">
        <v>810</v>
      </c>
      <c r="Q21" s="595" t="s">
        <v>832</v>
      </c>
    </row>
    <row r="22" spans="1:26">
      <c r="P22" s="596" t="s">
        <v>811</v>
      </c>
      <c r="Q22" s="595" t="s">
        <v>843</v>
      </c>
      <c r="Y22" s="1" t="s">
        <v>816</v>
      </c>
      <c r="Z22" s="1" t="s">
        <v>833</v>
      </c>
    </row>
    <row r="23" spans="1:26">
      <c r="M23" s="3"/>
      <c r="P23" s="596" t="s">
        <v>844</v>
      </c>
      <c r="Q23" s="595" t="s">
        <v>845</v>
      </c>
      <c r="Y23" s="1" t="s">
        <v>817</v>
      </c>
      <c r="Z23" s="1" t="s">
        <v>834</v>
      </c>
    </row>
    <row r="24" spans="1:26">
      <c r="P24" s="594"/>
      <c r="Q24" s="595"/>
    </row>
    <row r="25" spans="1:26">
      <c r="P25" s="596" t="s">
        <v>812</v>
      </c>
      <c r="Q25" s="595" t="s">
        <v>833</v>
      </c>
    </row>
    <row r="26" spans="1:26">
      <c r="M26" s="3"/>
      <c r="P26" s="596" t="s">
        <v>813</v>
      </c>
      <c r="Q26" s="595" t="s">
        <v>834</v>
      </c>
    </row>
    <row r="27" spans="1:26">
      <c r="P27" s="594"/>
      <c r="Q27" s="595"/>
    </row>
    <row r="28" spans="1:26">
      <c r="P28" s="596" t="s">
        <v>814</v>
      </c>
      <c r="Q28" s="595" t="s">
        <v>835</v>
      </c>
    </row>
    <row r="29" spans="1:26">
      <c r="P29" s="596" t="s">
        <v>815</v>
      </c>
      <c r="Q29" s="595" t="s">
        <v>836</v>
      </c>
    </row>
    <row r="30" spans="1:26">
      <c r="P30" s="594"/>
      <c r="Q30" s="595"/>
    </row>
    <row r="31" spans="1:26">
      <c r="P31" s="596" t="s">
        <v>816</v>
      </c>
      <c r="Q31" s="595" t="s">
        <v>837</v>
      </c>
    </row>
    <row r="32" spans="1:26">
      <c r="P32" s="596" t="s">
        <v>817</v>
      </c>
      <c r="Q32" s="595" t="s">
        <v>838</v>
      </c>
    </row>
    <row r="33" spans="16:17">
      <c r="P33" s="594"/>
      <c r="Q33" s="595"/>
    </row>
  </sheetData>
  <pageMargins left="0.7" right="0.7" top="0.75" bottom="0.75" header="0.3" footer="0.3"/>
  <pageSetup orientation="landscape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T356"/>
  <sheetViews>
    <sheetView rightToLeft="1" topLeftCell="A16" workbookViewId="0">
      <selection activeCell="E358" sqref="E358"/>
    </sheetView>
  </sheetViews>
  <sheetFormatPr defaultColWidth="6" defaultRowHeight="34.5" customHeight="1" outlineLevelCol="3"/>
  <cols>
    <col min="1" max="1" width="9.1796875" style="516" customWidth="1"/>
    <col min="2" max="2" width="33.453125" style="517" customWidth="1"/>
    <col min="3" max="3" width="13" style="517" customWidth="1"/>
    <col min="4" max="4" width="13" style="516" customWidth="1" outlineLevel="1"/>
    <col min="5" max="5" width="16.453125" style="516" customWidth="1" outlineLevel="1"/>
    <col min="6" max="6" width="16.81640625" style="519" customWidth="1" outlineLevel="1"/>
    <col min="7" max="7" width="18.81640625" style="520" bestFit="1" customWidth="1" outlineLevel="1"/>
    <col min="8" max="8" width="10.7265625" style="521" customWidth="1"/>
    <col min="9" max="9" width="11.1796875" style="521" customWidth="1"/>
    <col min="10" max="10" width="10.1796875" style="522" customWidth="1" outlineLevel="2"/>
    <col min="11" max="11" width="13.453125" style="523" customWidth="1" outlineLevel="2"/>
    <col min="12" max="12" width="14.1796875" style="524" customWidth="1" outlineLevel="2"/>
    <col min="13" max="13" width="11.54296875" style="524" customWidth="1" outlineLevel="2"/>
    <col min="14" max="14" width="10" style="518" customWidth="1" outlineLevel="3"/>
    <col min="15" max="15" width="9.81640625" style="518" customWidth="1" outlineLevel="3"/>
    <col min="16" max="16" width="10.54296875" style="518" customWidth="1" outlineLevel="3"/>
    <col min="17" max="17" width="11.26953125" style="518" customWidth="1" outlineLevel="3"/>
    <col min="18" max="18" width="9.54296875" style="518" customWidth="1" outlineLevel="3"/>
    <col min="19" max="19" width="9.7265625" style="518" customWidth="1" outlineLevel="3"/>
    <col min="20" max="20" width="13.1796875" style="518" customWidth="1" outlineLevel="3"/>
    <col min="21" max="21" width="11.453125" style="518" customWidth="1" outlineLevel="3"/>
    <col min="22" max="22" width="7.1796875" style="518" customWidth="1" outlineLevel="1"/>
    <col min="23" max="23" width="9.54296875" style="518" customWidth="1" outlineLevel="1"/>
    <col min="24" max="24" width="10.26953125" style="518" customWidth="1" outlineLevel="1"/>
    <col min="25" max="25" width="5.7265625" style="516" customWidth="1" outlineLevel="1"/>
    <col min="26" max="26" width="8.7265625" style="525" customWidth="1"/>
    <col min="27" max="27" width="12.81640625" style="499" customWidth="1"/>
    <col min="28" max="28" width="11.26953125" style="526" customWidth="1" outlineLevel="1"/>
    <col min="29" max="29" width="8.54296875" style="527" customWidth="1" outlineLevel="1"/>
    <col min="30" max="30" width="10.453125" style="527" customWidth="1" outlineLevel="1"/>
    <col min="31" max="31" width="11.1796875" style="527" customWidth="1" outlineLevel="1"/>
    <col min="32" max="32" width="7.54296875" style="528" customWidth="1" outlineLevel="1"/>
    <col min="33" max="33" width="13.7265625" style="529" customWidth="1" outlineLevel="1"/>
    <col min="34" max="34" width="11.1796875" style="530" customWidth="1" outlineLevel="1"/>
    <col min="35" max="35" width="13.453125" style="531" customWidth="1" outlineLevel="1"/>
    <col min="36" max="36" width="10.7265625" style="532" customWidth="1" outlineLevel="1"/>
    <col min="37" max="37" width="13" style="533" customWidth="1" outlineLevel="1"/>
    <col min="38" max="38" width="13" style="533" customWidth="1" outlineLevel="2"/>
    <col min="39" max="39" width="8" style="530" customWidth="1" outlineLevel="3"/>
    <col min="40" max="40" width="13" style="2" customWidth="1" outlineLevel="3"/>
    <col min="41" max="41" width="8" style="530" customWidth="1" outlineLevel="1"/>
    <col min="42" max="42" width="17.7265625" style="534" customWidth="1"/>
    <col min="43" max="43" width="22.1796875" style="166" customWidth="1" outlineLevel="1"/>
    <col min="44" max="44" width="19.54296875" style="166" customWidth="1" outlineLevel="1"/>
    <col min="45" max="45" width="11.1796875" style="166" customWidth="1" outlineLevel="2"/>
    <col min="46" max="46" width="34.26953125" style="166" customWidth="1" outlineLevel="2"/>
    <col min="47" max="47" width="31.7265625" style="166" customWidth="1" outlineLevel="2"/>
    <col min="48" max="48" width="34.26953125" style="166" customWidth="1" outlineLevel="2"/>
    <col min="49" max="49" width="32.7265625" style="166" customWidth="1" outlineLevel="2"/>
    <col min="50" max="50" width="33.54296875" style="166" customWidth="1" outlineLevel="3"/>
    <col min="51" max="51" width="33.81640625" style="166" customWidth="1" outlineLevel="3"/>
    <col min="52" max="52" width="36.453125" style="166" customWidth="1" outlineLevel="3"/>
    <col min="53" max="53" width="34.54296875" style="166" customWidth="1" outlineLevel="3"/>
    <col min="54" max="54" width="31.7265625" style="166" customWidth="1" outlineLevel="3"/>
    <col min="55" max="55" width="34.26953125" style="166" customWidth="1" outlineLevel="3"/>
    <col min="56" max="56" width="32.26953125" style="166" customWidth="1" outlineLevel="3"/>
    <col min="57" max="57" width="30.81640625" style="166" customWidth="1" outlineLevel="3"/>
    <col min="58" max="58" width="31.54296875" style="166" customWidth="1" outlineLevel="3"/>
    <col min="59" max="59" width="34.26953125" style="166" customWidth="1" outlineLevel="3"/>
    <col min="60" max="60" width="32.26953125" style="166" customWidth="1" outlineLevel="3"/>
    <col min="61" max="61" width="29.54296875" style="166" customWidth="1" outlineLevel="3"/>
    <col min="62" max="62" width="32" style="166" customWidth="1" outlineLevel="3"/>
    <col min="63" max="63" width="30.54296875" style="166" customWidth="1" outlineLevel="3"/>
    <col min="64" max="64" width="31.26953125" style="166" customWidth="1" outlineLevel="3"/>
    <col min="65" max="65" width="31.54296875" style="166" customWidth="1" outlineLevel="3"/>
    <col min="66" max="66" width="33.81640625" style="166" customWidth="1" outlineLevel="3"/>
    <col min="67" max="67" width="31.54296875" style="166" customWidth="1" outlineLevel="3"/>
    <col min="68" max="68" width="29.26953125" style="166" customWidth="1" outlineLevel="3"/>
    <col min="69" max="69" width="31.54296875" style="166" customWidth="1" outlineLevel="3"/>
    <col min="70" max="70" width="30.1796875" style="166" customWidth="1" outlineLevel="3"/>
    <col min="71" max="71" width="30.81640625" style="166" customWidth="1" outlineLevel="3"/>
    <col min="72" max="76" width="31.81640625" style="166" customWidth="1" outlineLevel="3"/>
    <col min="77" max="77" width="19.1796875" style="166" customWidth="1" outlineLevel="3"/>
    <col min="78" max="79" width="11.1796875" style="166" customWidth="1" outlineLevel="3"/>
    <col min="80" max="80" width="15.1796875" style="166" customWidth="1" outlineLevel="3"/>
    <col min="81" max="81" width="12.453125" style="166" customWidth="1" outlineLevel="3"/>
    <col min="82" max="83" width="11.1796875" style="166" customWidth="1" outlineLevel="3"/>
    <col min="84" max="84" width="16" style="166" customWidth="1" outlineLevel="3"/>
    <col min="85" max="85" width="17.7265625" style="166" customWidth="1" outlineLevel="1"/>
    <col min="86" max="86" width="22.1796875" style="166" customWidth="1" outlineLevel="1"/>
    <col min="87" max="87" width="11.26953125" style="166" customWidth="1" outlineLevel="1"/>
    <col min="88" max="91" width="22.1796875" style="166" customWidth="1" outlineLevel="1"/>
    <col min="92" max="92" width="21.26953125" style="166" customWidth="1" outlineLevel="1"/>
    <col min="93" max="93" width="11.1796875" style="166" customWidth="1" outlineLevel="1"/>
    <col min="94" max="94" width="10.54296875" style="526" customWidth="1" outlineLevel="1"/>
    <col min="95" max="95" width="23.453125" style="535" customWidth="1" outlineLevel="1"/>
    <col min="96" max="96" width="12.7265625" style="499" customWidth="1" outlineLevel="1"/>
    <col min="97" max="97" width="0.1796875" style="166" customWidth="1" outlineLevel="1"/>
    <col min="98" max="98" width="6" style="166" collapsed="1"/>
    <col min="99" max="16384" width="6" style="166"/>
  </cols>
  <sheetData>
    <row r="1" spans="1:97" s="97" customFormat="1" ht="42" customHeight="1" thickTop="1" thickBot="1">
      <c r="A1" s="61" t="s">
        <v>513</v>
      </c>
      <c r="B1" s="62" t="s">
        <v>1</v>
      </c>
      <c r="C1" s="63" t="s">
        <v>2</v>
      </c>
      <c r="D1" s="63" t="s">
        <v>3</v>
      </c>
      <c r="E1" s="63" t="s">
        <v>4</v>
      </c>
      <c r="F1" s="63" t="s">
        <v>5</v>
      </c>
      <c r="G1" s="65" t="s">
        <v>6</v>
      </c>
      <c r="H1" s="66" t="s">
        <v>514</v>
      </c>
      <c r="I1" s="67" t="s">
        <v>515</v>
      </c>
      <c r="J1" s="68" t="s">
        <v>516</v>
      </c>
      <c r="K1" s="68" t="s">
        <v>517</v>
      </c>
      <c r="L1" s="67" t="s">
        <v>518</v>
      </c>
      <c r="M1" s="67" t="s">
        <v>519</v>
      </c>
      <c r="N1" s="69" t="s">
        <v>520</v>
      </c>
      <c r="O1" s="69" t="s">
        <v>521</v>
      </c>
      <c r="P1" s="69" t="s">
        <v>522</v>
      </c>
      <c r="Q1" s="69" t="s">
        <v>523</v>
      </c>
      <c r="R1" s="69" t="s">
        <v>524</v>
      </c>
      <c r="S1" s="69" t="s">
        <v>525</v>
      </c>
      <c r="T1" s="69" t="s">
        <v>526</v>
      </c>
      <c r="U1" s="69" t="s">
        <v>125</v>
      </c>
      <c r="V1" s="70" t="s">
        <v>527</v>
      </c>
      <c r="W1" s="64" t="s">
        <v>528</v>
      </c>
      <c r="X1" s="71" t="s">
        <v>529</v>
      </c>
      <c r="Y1" s="70" t="s">
        <v>530</v>
      </c>
      <c r="Z1" s="72" t="s">
        <v>531</v>
      </c>
      <c r="AA1" s="73" t="s">
        <v>532</v>
      </c>
      <c r="AB1" s="74" t="s">
        <v>533</v>
      </c>
      <c r="AC1" s="75" t="s">
        <v>534</v>
      </c>
      <c r="AD1" s="75" t="s">
        <v>535</v>
      </c>
      <c r="AE1" s="74" t="s">
        <v>536</v>
      </c>
      <c r="AF1" s="76" t="s">
        <v>537</v>
      </c>
      <c r="AG1" s="75" t="s">
        <v>538</v>
      </c>
      <c r="AH1" s="75" t="s">
        <v>539</v>
      </c>
      <c r="AI1" s="77" t="s">
        <v>540</v>
      </c>
      <c r="AJ1" s="78" t="s">
        <v>541</v>
      </c>
      <c r="AK1" s="66" t="s">
        <v>542</v>
      </c>
      <c r="AL1" s="66" t="s">
        <v>543</v>
      </c>
      <c r="AM1" s="79" t="s">
        <v>55</v>
      </c>
      <c r="AN1" s="79" t="s">
        <v>544</v>
      </c>
      <c r="AO1" s="80" t="s">
        <v>545</v>
      </c>
      <c r="AP1" s="73" t="s">
        <v>546</v>
      </c>
      <c r="AQ1" s="81" t="s">
        <v>547</v>
      </c>
      <c r="AR1" s="82" t="s">
        <v>548</v>
      </c>
      <c r="AS1" s="82" t="s">
        <v>549</v>
      </c>
      <c r="AT1" s="83" t="s">
        <v>550</v>
      </c>
      <c r="AU1" s="83" t="s">
        <v>551</v>
      </c>
      <c r="AV1" s="83" t="s">
        <v>552</v>
      </c>
      <c r="AW1" s="83" t="s">
        <v>553</v>
      </c>
      <c r="AX1" s="83" t="s">
        <v>554</v>
      </c>
      <c r="AY1" s="83" t="s">
        <v>555</v>
      </c>
      <c r="AZ1" s="83" t="s">
        <v>556</v>
      </c>
      <c r="BA1" s="83" t="s">
        <v>557</v>
      </c>
      <c r="BB1" s="83" t="s">
        <v>558</v>
      </c>
      <c r="BC1" s="83" t="s">
        <v>559</v>
      </c>
      <c r="BD1" s="83" t="s">
        <v>560</v>
      </c>
      <c r="BE1" s="83" t="s">
        <v>561</v>
      </c>
      <c r="BF1" s="83" t="s">
        <v>562</v>
      </c>
      <c r="BG1" s="83" t="s">
        <v>563</v>
      </c>
      <c r="BH1" s="83" t="s">
        <v>564</v>
      </c>
      <c r="BI1" s="83" t="s">
        <v>565</v>
      </c>
      <c r="BJ1" s="83" t="s">
        <v>566</v>
      </c>
      <c r="BK1" s="83" t="s">
        <v>567</v>
      </c>
      <c r="BL1" s="83" t="s">
        <v>568</v>
      </c>
      <c r="BM1" s="83" t="s">
        <v>569</v>
      </c>
      <c r="BN1" s="83" t="s">
        <v>570</v>
      </c>
      <c r="BO1" s="83" t="s">
        <v>571</v>
      </c>
      <c r="BP1" s="83" t="s">
        <v>572</v>
      </c>
      <c r="BQ1" s="83" t="s">
        <v>573</v>
      </c>
      <c r="BR1" s="83" t="s">
        <v>574</v>
      </c>
      <c r="BS1" s="83" t="s">
        <v>575</v>
      </c>
      <c r="BT1" s="83" t="s">
        <v>576</v>
      </c>
      <c r="BU1" s="83" t="s">
        <v>577</v>
      </c>
      <c r="BV1" s="83" t="s">
        <v>578</v>
      </c>
      <c r="BW1" s="83" t="s">
        <v>579</v>
      </c>
      <c r="BX1" s="84" t="s">
        <v>580</v>
      </c>
      <c r="BY1" s="85" t="s">
        <v>581</v>
      </c>
      <c r="BZ1" s="86" t="s">
        <v>582</v>
      </c>
      <c r="CA1" s="87" t="s">
        <v>583</v>
      </c>
      <c r="CB1" s="88" t="s">
        <v>584</v>
      </c>
      <c r="CC1" s="88" t="s">
        <v>585</v>
      </c>
      <c r="CD1" s="88" t="s">
        <v>586</v>
      </c>
      <c r="CE1" s="88" t="s">
        <v>587</v>
      </c>
      <c r="CF1" s="89" t="s">
        <v>17</v>
      </c>
      <c r="CG1" s="90" t="s">
        <v>588</v>
      </c>
      <c r="CH1" s="90" t="s">
        <v>589</v>
      </c>
      <c r="CI1" s="90" t="s">
        <v>590</v>
      </c>
      <c r="CJ1" s="90" t="s">
        <v>591</v>
      </c>
      <c r="CK1" s="91" t="s">
        <v>592</v>
      </c>
      <c r="CL1" s="91" t="s">
        <v>593</v>
      </c>
      <c r="CM1" s="91" t="s">
        <v>594</v>
      </c>
      <c r="CN1" s="92" t="s">
        <v>595</v>
      </c>
      <c r="CO1" s="92" t="s">
        <v>596</v>
      </c>
      <c r="CP1" s="93" t="s">
        <v>597</v>
      </c>
      <c r="CQ1" s="94" t="s">
        <v>598</v>
      </c>
      <c r="CR1" s="95" t="s">
        <v>532</v>
      </c>
      <c r="CS1" s="96"/>
    </row>
    <row r="2" spans="1:97" s="97" customFormat="1" ht="42" customHeight="1" thickTop="1" thickBot="1">
      <c r="A2" s="571">
        <v>-1</v>
      </c>
      <c r="B2" s="537"/>
      <c r="C2" s="538"/>
      <c r="D2" s="538"/>
      <c r="E2" s="539"/>
      <c r="F2" s="538"/>
      <c r="G2" s="541"/>
      <c r="H2" s="542"/>
      <c r="I2" s="543">
        <f>Table6[[#This Row],[مرتب]]/30</f>
        <v>0</v>
      </c>
      <c r="J2" s="544"/>
      <c r="K2" s="544"/>
      <c r="L2" s="545"/>
      <c r="M2" s="545">
        <f>Table6[[#This Row],[مرتب الضمان]]*17%</f>
        <v>0</v>
      </c>
      <c r="N2" s="546">
        <f>' الشركه 2018'!$H2*35%</f>
        <v>0</v>
      </c>
      <c r="O2" s="546">
        <f>' الشركه 2018'!$H2*32%</f>
        <v>0</v>
      </c>
      <c r="P2" s="546">
        <f>' الشركه 2018'!$H2*12%</f>
        <v>0</v>
      </c>
      <c r="Q2" s="546">
        <f>' الشركه 2018'!$H2*13%</f>
        <v>0</v>
      </c>
      <c r="R2" s="546"/>
      <c r="S2" s="546"/>
      <c r="T2" s="546"/>
      <c r="U2" s="547" t="e">
        <f>VLOOKUP(Table6[[#This Row],[الرقم الوظيفى]],[2]بالخصم!$B$1:$AK$1200,35,)</f>
        <v>#N/A</v>
      </c>
      <c r="V2" s="548"/>
      <c r="W2" s="540"/>
      <c r="X2" s="549"/>
      <c r="Y2" s="550"/>
      <c r="Z2" s="551"/>
      <c r="AA2" s="552"/>
      <c r="AB2" s="553" t="e">
        <f>VLOOKUP(Table6[[#This Row],[الرقم الوظيفى]],[3]!Table25289[#Data],23,)</f>
        <v>#REF!</v>
      </c>
      <c r="AC2" s="554"/>
      <c r="AD2" s="554"/>
      <c r="AE2" s="553" t="e">
        <f>VLOOKUP(Table6[[#This Row],[الرقم الوظيفى]],[3]!Table252894[#Data],22,)</f>
        <v>#REF!</v>
      </c>
      <c r="AF2" s="555"/>
      <c r="AG2" s="554">
        <f>' الشركه 2018'!$W2+' الشركه 2018'!$Z2+' الشركه 2018'!$AA2+' الشركه 2018'!$AC2+' الشركه 2018'!$AD2+' الشركه 2018'!$AF2</f>
        <v>0</v>
      </c>
      <c r="AH2" s="554">
        <f>Table6[[#This Row],[راتب الضمان]]*8%</f>
        <v>0</v>
      </c>
      <c r="AI2" s="556">
        <f>' الشركه 2018'!$H2-' الشركه 2018'!$AG2-' الشركه 2018'!$AH2</f>
        <v>0</v>
      </c>
      <c r="AJ2" s="557">
        <f>' الشركه 2018'!$CF2</f>
        <v>0</v>
      </c>
      <c r="AK2" s="558">
        <f>' الشركه 2018'!$AI2+' الشركه 2018'!$AJ2</f>
        <v>0</v>
      </c>
      <c r="AL2" s="558"/>
      <c r="AM2" s="559"/>
      <c r="AN2" s="559">
        <f>Table6[[#This Row],[اجمالى الاستحقاق]]-Table6[[#This Row],[Column2]]+Table6[[#This Row],[حوافز غير مستقره]]</f>
        <v>0</v>
      </c>
      <c r="AO2" s="559"/>
      <c r="AP2" s="560"/>
      <c r="AQ2" s="561"/>
      <c r="AR2" s="562"/>
      <c r="AS2" s="56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564"/>
      <c r="BZ2" s="565"/>
      <c r="CA2" s="566"/>
      <c r="CB2" s="567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" s="567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" s="567">
        <f>' الشركه 2018'!$H2*67%*1.5*' الشركه 2018'!$CB2/208</f>
        <v>0</v>
      </c>
      <c r="CE2" s="567">
        <f>' الشركه 2018'!$H2*67%*2*' الشركه 2018'!$CC2/208</f>
        <v>0</v>
      </c>
      <c r="CF2" s="568">
        <f>' الشركه 2018'!$CD2+' الشركه 2018'!$CE2</f>
        <v>0</v>
      </c>
      <c r="CG2" s="568"/>
      <c r="CH2" s="568"/>
      <c r="CI2" s="568"/>
      <c r="CJ2" s="568"/>
      <c r="CK2" s="569"/>
      <c r="CL2" s="569"/>
      <c r="CM2" s="569"/>
      <c r="CN2" s="568"/>
      <c r="CO2" s="568"/>
      <c r="CP2" s="570"/>
      <c r="CQ2" s="94" t="e">
        <f>VLOOKUP(Table6[[#This Row],[الرقم الوظيفى]],[4]!Table3[#Data],26,FALSE)</f>
        <v>#REF!</v>
      </c>
      <c r="CR2" s="536"/>
      <c r="CS2" s="96"/>
    </row>
    <row r="3" spans="1:97" s="97" customFormat="1" ht="42" customHeight="1" thickTop="1" thickBot="1">
      <c r="A3" s="571">
        <v>0</v>
      </c>
      <c r="B3" s="537"/>
      <c r="C3" s="538"/>
      <c r="D3" s="538"/>
      <c r="E3" s="539"/>
      <c r="F3" s="538"/>
      <c r="G3" s="541"/>
      <c r="H3" s="542"/>
      <c r="I3" s="543">
        <f>Table6[[#This Row],[مرتب]]/30</f>
        <v>0</v>
      </c>
      <c r="J3" s="544"/>
      <c r="K3" s="544"/>
      <c r="L3" s="545"/>
      <c r="M3" s="545">
        <f>Table6[[#This Row],[مرتب الضمان]]*17%</f>
        <v>0</v>
      </c>
      <c r="N3" s="546">
        <f>' الشركه 2018'!$H3*35%</f>
        <v>0</v>
      </c>
      <c r="O3" s="546">
        <f>' الشركه 2018'!$H3*32%</f>
        <v>0</v>
      </c>
      <c r="P3" s="546">
        <f>' الشركه 2018'!$H3*12%</f>
        <v>0</v>
      </c>
      <c r="Q3" s="546">
        <f>' الشركه 2018'!$H3*13%</f>
        <v>0</v>
      </c>
      <c r="R3" s="546"/>
      <c r="S3" s="546"/>
      <c r="T3" s="546"/>
      <c r="U3" s="547">
        <f>VLOOKUP(Table6[[#This Row],[الرقم الوظيفى]],[2]بالخصم!$B$1:$AK$1200,35,)</f>
        <v>0</v>
      </c>
      <c r="V3" s="548"/>
      <c r="W3" s="540"/>
      <c r="X3" s="549"/>
      <c r="Y3" s="550"/>
      <c r="Z3" s="551"/>
      <c r="AA3" s="552"/>
      <c r="AB3" s="553" t="e">
        <f>VLOOKUP(Table6[[#This Row],[الرقم الوظيفى]],[3]!Table25289[#Data],23,)</f>
        <v>#REF!</v>
      </c>
      <c r="AC3" s="554"/>
      <c r="AD3" s="554"/>
      <c r="AE3" s="553" t="e">
        <f>VLOOKUP(Table6[[#This Row],[الرقم الوظيفى]],[3]!Table252894[#Data],22,)</f>
        <v>#REF!</v>
      </c>
      <c r="AF3" s="555"/>
      <c r="AG3" s="554">
        <f>' الشركه 2018'!$W3+' الشركه 2018'!$Z3+' الشركه 2018'!$AA3+' الشركه 2018'!$AC3+' الشركه 2018'!$AD3+' الشركه 2018'!$AF3</f>
        <v>0</v>
      </c>
      <c r="AH3" s="554">
        <f>Table6[[#This Row],[راتب الضمان]]*8%</f>
        <v>0</v>
      </c>
      <c r="AI3" s="556">
        <f>' الشركه 2018'!$H3-' الشركه 2018'!$AG3-' الشركه 2018'!$AH3</f>
        <v>0</v>
      </c>
      <c r="AJ3" s="557">
        <f>' الشركه 2018'!$CF3</f>
        <v>0</v>
      </c>
      <c r="AK3" s="558">
        <f>' الشركه 2018'!$AI3+' الشركه 2018'!$AJ3</f>
        <v>0</v>
      </c>
      <c r="AL3" s="558"/>
      <c r="AM3" s="559"/>
      <c r="AN3" s="559">
        <f>Table6[[#This Row],[اجمالى الاستحقاق]]-Table6[[#This Row],[Column2]]+Table6[[#This Row],[حوافز غير مستقره]]</f>
        <v>0</v>
      </c>
      <c r="AO3" s="559"/>
      <c r="AP3" s="560"/>
      <c r="AQ3" s="561"/>
      <c r="AR3" s="562"/>
      <c r="AS3" s="56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564"/>
      <c r="BZ3" s="565"/>
      <c r="CA3" s="566"/>
      <c r="CB3" s="567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" s="567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" s="567">
        <f>' الشركه 2018'!$H3*67%*1.5*' الشركه 2018'!$CB3/208</f>
        <v>0</v>
      </c>
      <c r="CE3" s="567">
        <f>' الشركه 2018'!$H3*67%*2*' الشركه 2018'!$CC3/208</f>
        <v>0</v>
      </c>
      <c r="CF3" s="568">
        <f>' الشركه 2018'!$CD3+' الشركه 2018'!$CE3</f>
        <v>0</v>
      </c>
      <c r="CG3" s="568"/>
      <c r="CH3" s="568"/>
      <c r="CI3" s="568"/>
      <c r="CJ3" s="568"/>
      <c r="CK3" s="569"/>
      <c r="CL3" s="569"/>
      <c r="CM3" s="569"/>
      <c r="CN3" s="568"/>
      <c r="CO3" s="568"/>
      <c r="CP3" s="570"/>
      <c r="CQ3" s="94" t="e">
        <f>VLOOKUP(Table6[[#This Row],[الرقم الوظيفى]],[4]!Table3[#Data],26,FALSE)</f>
        <v>#REF!</v>
      </c>
      <c r="CR3" s="536"/>
      <c r="CS3" s="96"/>
    </row>
    <row r="4" spans="1:97" s="140" customFormat="1" ht="28" customHeight="1" thickTop="1" thickBot="1">
      <c r="A4" s="98">
        <v>1</v>
      </c>
      <c r="B4" s="99" t="s">
        <v>91</v>
      </c>
      <c r="C4" s="100" t="s">
        <v>90</v>
      </c>
      <c r="D4" s="101" t="s">
        <v>70</v>
      </c>
      <c r="E4" s="102" t="s">
        <v>70</v>
      </c>
      <c r="F4" s="101" t="s">
        <v>103</v>
      </c>
      <c r="G4" s="104">
        <v>39083</v>
      </c>
      <c r="H4" s="105">
        <v>34960</v>
      </c>
      <c r="I4" s="106">
        <f>Table6[[#This Row],[مرتب]]/30</f>
        <v>1165.3333333333333</v>
      </c>
      <c r="J4" s="107">
        <v>30</v>
      </c>
      <c r="K4" s="107">
        <f t="shared" ref="K4:K67" si="0">L4/30*J4</f>
        <v>34960</v>
      </c>
      <c r="L4" s="108">
        <v>34960</v>
      </c>
      <c r="M4" s="107">
        <f>Table6[[#This Row],[مرتب الضمان]]*17%</f>
        <v>5943.2000000000007</v>
      </c>
      <c r="N4" s="107">
        <f>' الشركه 2018'!$H4*35%</f>
        <v>12236</v>
      </c>
      <c r="O4" s="107">
        <f>' الشركه 2018'!$H4*32%</f>
        <v>11187.2</v>
      </c>
      <c r="P4" s="107">
        <f>' الشركه 2018'!$H4*12%</f>
        <v>4195.2</v>
      </c>
      <c r="Q4" s="107">
        <f>' الشركه 2018'!$H4*13%</f>
        <v>4544.8</v>
      </c>
      <c r="R4" s="107">
        <f>' الشركه 2018'!$H4*6%</f>
        <v>2097.6</v>
      </c>
      <c r="S4" s="107">
        <f>' الشركه 2018'!$H4*2%</f>
        <v>699.2</v>
      </c>
      <c r="T4" s="107">
        <f>' الشركه 2018'!$O4+' الشركه 2018'!$P4+' الشركه 2018'!$Q4+' الشركه 2018'!$R4+' الشركه 2018'!$S4</f>
        <v>22724</v>
      </c>
      <c r="U4" s="109">
        <f>VLOOKUP(Table6[[#This Row],[الرقم الوظيفى]],[2]بالخصم!$B$1:$AK$1200,35,)</f>
        <v>0</v>
      </c>
      <c r="V4" s="110"/>
      <c r="W4" s="111">
        <f>Table6[[#This Row],[عدد ايام الاجازه]]*Table6[[#This Row],[ح راتب اليوم]]</f>
        <v>0</v>
      </c>
      <c r="X4" s="109"/>
      <c r="Y4" s="111"/>
      <c r="Z4" s="111">
        <f>Table6[[#This Row],[عدد ايام الجزاء]]*Table6[[#This Row],[ح راتب اليوم]]</f>
        <v>0</v>
      </c>
      <c r="AA4" s="112">
        <f>Table6[[#This Row],[مرتب]]*50%</f>
        <v>17480</v>
      </c>
      <c r="AB4" s="113" t="e">
        <f>VLOOKUP(Table6[[#This Row],[الرقم الوظيفى]],[3]!Table25289[#Data],23,)</f>
        <v>#REF!</v>
      </c>
      <c r="AC4" s="114">
        <v>1000</v>
      </c>
      <c r="AD4" s="115"/>
      <c r="AE4" s="113" t="e">
        <f>VLOOKUP(Table6[[#This Row],[الرقم الوظيفى]],[3]!Table252894[#Data],22,)</f>
        <v>#REF!</v>
      </c>
      <c r="AF4" s="116"/>
      <c r="AG4" s="111">
        <f>' الشركه 2018'!$W4+' الشركه 2018'!$Z4+' الشركه 2018'!$AA4+' الشركه 2018'!$AC4+' الشركه 2018'!$AD4+' الشركه 2018'!$AF4</f>
        <v>18480</v>
      </c>
      <c r="AH4" s="111">
        <f>Table6[[#This Row],[راتب الضمان]]*8%</f>
        <v>2796.8</v>
      </c>
      <c r="AI4" s="111">
        <f>' الشركه 2018'!$H4-' الشركه 2018'!$AG4-' الشركه 2018'!$AH4</f>
        <v>13683.2</v>
      </c>
      <c r="AJ4" s="111">
        <f>' الشركه 2018'!$CF4</f>
        <v>0</v>
      </c>
      <c r="AK4" s="117">
        <f>' الشركه 2018'!$AI4+' الشركه 2018'!$AJ4</f>
        <v>13683.2</v>
      </c>
      <c r="AL4" s="118"/>
      <c r="AM4" s="119"/>
      <c r="AN4" s="120">
        <f>Table6[[#This Row],[اجمالى الاستحقاق]]-Table6[[#This Row],[Column2]]+Table6[[#This Row],[حوافز غير مستقره]]</f>
        <v>13683.2</v>
      </c>
      <c r="AO4" s="121"/>
      <c r="AP4" s="122"/>
      <c r="AQ4" s="123" t="s">
        <v>70</v>
      </c>
      <c r="AR4" s="124"/>
      <c r="AS4" s="125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126"/>
      <c r="BZ4" s="127"/>
      <c r="CA4" s="128"/>
      <c r="CB4" s="129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" s="131">
        <f>' الشركه 2018'!$H4*67%*1.5*' الشركه 2018'!$CB4/208</f>
        <v>0</v>
      </c>
      <c r="CE4" s="132">
        <f>' الشركه 2018'!$H4*67%*2*' الشركه 2018'!$CC4/208</f>
        <v>0</v>
      </c>
      <c r="CF4" s="133">
        <f>' الشركه 2018'!$CD4+' الشركه 2018'!$CE4</f>
        <v>0</v>
      </c>
      <c r="CG4" s="134" t="s">
        <v>90</v>
      </c>
      <c r="CH4" s="135">
        <f ca="1">SUMIF($C$4:C682,' الشركه 2018'!$CG4,$K$4:K382)</f>
        <v>1150738.3333333333</v>
      </c>
      <c r="CI4" s="135">
        <v>1</v>
      </c>
      <c r="CJ4" s="135">
        <f ca="1">' الشركه 2018'!$CH4*' الشركه 2018'!$CI4</f>
        <v>1150738.3333333333</v>
      </c>
      <c r="CK4" s="135">
        <f ca="1">' الشركه 2018'!$CJ4*8%</f>
        <v>92059.066666666666</v>
      </c>
      <c r="CL4" s="135">
        <f ca="1">' الشركه 2018'!$CJ4*17%</f>
        <v>195625.51666666666</v>
      </c>
      <c r="CM4" s="135">
        <f ca="1">' الشركه 2018'!$CJ4*25%</f>
        <v>287684.58333333331</v>
      </c>
      <c r="CN4" s="135" t="s">
        <v>599</v>
      </c>
      <c r="CO4" s="135" t="s">
        <v>600</v>
      </c>
      <c r="CP4" s="136">
        <v>2000</v>
      </c>
      <c r="CQ4" s="137" t="e">
        <f>VLOOKUP(Table6[[#This Row],[الرقم الوظيفى]],[4]!Table3[#Data],26,FALSE)</f>
        <v>#REF!</v>
      </c>
      <c r="CR4" s="138">
        <v>2000</v>
      </c>
      <c r="CS4" s="139"/>
    </row>
    <row r="5" spans="1:97" ht="28" customHeight="1" thickTop="1" thickBot="1">
      <c r="A5" s="141">
        <v>5</v>
      </c>
      <c r="B5" s="142" t="s">
        <v>386</v>
      </c>
      <c r="C5" s="59" t="s">
        <v>90</v>
      </c>
      <c r="D5" s="143" t="s">
        <v>81</v>
      </c>
      <c r="E5" s="144" t="s">
        <v>601</v>
      </c>
      <c r="F5" s="143" t="s">
        <v>384</v>
      </c>
      <c r="G5" s="145">
        <v>39083</v>
      </c>
      <c r="H5" s="146">
        <v>4830</v>
      </c>
      <c r="I5" s="106">
        <f>Table6[[#This Row],[مرتب]]/30</f>
        <v>161</v>
      </c>
      <c r="J5" s="107">
        <v>30</v>
      </c>
      <c r="K5" s="107">
        <f t="shared" si="0"/>
        <v>4830</v>
      </c>
      <c r="L5" s="108">
        <v>4830</v>
      </c>
      <c r="M5" s="107">
        <f>Table6[[#This Row],[مرتب الضمان]]*17%</f>
        <v>821.1</v>
      </c>
      <c r="N5" s="107">
        <f>' الشركه 2018'!$H5*35%</f>
        <v>1690.5</v>
      </c>
      <c r="O5" s="107">
        <f>' الشركه 2018'!$H5*32%</f>
        <v>1545.6000000000001</v>
      </c>
      <c r="P5" s="107">
        <f>' الشركه 2018'!$H5*12%</f>
        <v>579.6</v>
      </c>
      <c r="Q5" s="107">
        <f>' الشركه 2018'!$H5*13%</f>
        <v>627.9</v>
      </c>
      <c r="R5" s="107">
        <f>' الشركه 2018'!$H5*6%</f>
        <v>289.8</v>
      </c>
      <c r="S5" s="107">
        <f>' الشركه 2018'!$H5*2%</f>
        <v>96.600000000000009</v>
      </c>
      <c r="T5" s="107">
        <f>' الشركه 2018'!$O5+' الشركه 2018'!$P5+' الشركه 2018'!$Q5+' الشركه 2018'!$R5+' الشركه 2018'!$S5</f>
        <v>3139.5000000000005</v>
      </c>
      <c r="U5" s="109">
        <f>VLOOKUP(Table6[[#This Row],[الرقم الوظيفى]],[2]بالخصم!$B$1:$AK$1200,35,)</f>
        <v>0</v>
      </c>
      <c r="V5" s="147"/>
      <c r="W5" s="111">
        <f>Table6[[#This Row],[عدد ايام الاجازه]]*Table6[[#This Row],[ح راتب اليوم]]</f>
        <v>0</v>
      </c>
      <c r="X5" s="148"/>
      <c r="Y5" s="60"/>
      <c r="Z5" s="111">
        <f>Table6[[#This Row],[عدد ايام الجزاء]]*Table6[[#This Row],[ح راتب اليوم]]</f>
        <v>0</v>
      </c>
      <c r="AA5" s="112">
        <f>Table6[[#This Row],[مرتب]]*50%</f>
        <v>2415</v>
      </c>
      <c r="AB5" s="113" t="e">
        <f>VLOOKUP(Table6[[#This Row],[الرقم الوظيفى]],[3]!Table25289[#Data],23,)</f>
        <v>#REF!</v>
      </c>
      <c r="AC5" s="149"/>
      <c r="AD5" s="150"/>
      <c r="AE5" s="113" t="e">
        <f>VLOOKUP(Table6[[#This Row],[الرقم الوظيفى]],[3]!Table252894[#Data],22,)</f>
        <v>#REF!</v>
      </c>
      <c r="AF5" s="151"/>
      <c r="AG5" s="111">
        <f>' الشركه 2018'!$W5+' الشركه 2018'!$Z5+' الشركه 2018'!$AA5+' الشركه 2018'!$AC5+' الشركه 2018'!$AD5+' الشركه 2018'!$AF5</f>
        <v>2415</v>
      </c>
      <c r="AH5" s="111">
        <f>Table6[[#This Row],[راتب الضمان]]*8%</f>
        <v>386.40000000000003</v>
      </c>
      <c r="AI5" s="111">
        <f>' الشركه 2018'!$H5-' الشركه 2018'!$AG5-' الشركه 2018'!$AH5</f>
        <v>2028.6</v>
      </c>
      <c r="AJ5" s="111">
        <f>' الشركه 2018'!$CF5</f>
        <v>0</v>
      </c>
      <c r="AK5" s="117">
        <f>' الشركه 2018'!$AI5+' الشركه 2018'!$AJ5</f>
        <v>2028.6</v>
      </c>
      <c r="AL5" s="152"/>
      <c r="AM5" s="153"/>
      <c r="AN5" s="9">
        <f>Table6[[#This Row],[اجمالى الاستحقاق]]-Table6[[#This Row],[Column2]]+Table6[[#This Row],[حوافز غير مستقره]]</f>
        <v>2028.6</v>
      </c>
      <c r="AO5" s="59"/>
      <c r="AP5" s="154"/>
      <c r="AQ5" s="123" t="s">
        <v>74</v>
      </c>
      <c r="AR5" s="124"/>
      <c r="AS5" s="155"/>
      <c r="AT5" s="156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8"/>
      <c r="BY5" s="157"/>
      <c r="BZ5" s="159"/>
      <c r="CA5" s="160"/>
      <c r="CB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5" s="131">
        <f>' الشركه 2018'!$H5*67%*1.5*' الشركه 2018'!$CB5/208</f>
        <v>0</v>
      </c>
      <c r="CE5" s="132">
        <f>' الشركه 2018'!$H5*67%*2*' الشركه 2018'!$CC5/208</f>
        <v>0</v>
      </c>
      <c r="CF5" s="133">
        <f>' الشركه 2018'!$CD5+' الشركه 2018'!$CE5</f>
        <v>0</v>
      </c>
      <c r="CG5" s="124" t="s">
        <v>137</v>
      </c>
      <c r="CH5" s="135">
        <f ca="1">SUMIF($C$4:C683,' الشركه 2018'!$CG5,$K$4:K383)</f>
        <v>256543.33333333334</v>
      </c>
      <c r="CI5" s="162">
        <v>1</v>
      </c>
      <c r="CJ5" s="162">
        <f ca="1">' الشركه 2018'!$CH5*' الشركه 2018'!$CI5</f>
        <v>256543.33333333334</v>
      </c>
      <c r="CK5" s="162">
        <f ca="1">' الشركه 2018'!$CJ5*8%</f>
        <v>20523.466666666667</v>
      </c>
      <c r="CL5" s="162">
        <f ca="1">' الشركه 2018'!$CJ5*17%</f>
        <v>43612.366666666669</v>
      </c>
      <c r="CM5" s="162">
        <f ca="1">' الشركه 2018'!$CJ5*25%</f>
        <v>64135.833333333336</v>
      </c>
      <c r="CN5" s="162" t="s">
        <v>602</v>
      </c>
      <c r="CO5" s="162" t="s">
        <v>603</v>
      </c>
      <c r="CP5" s="163">
        <v>1000</v>
      </c>
      <c r="CQ5" s="164" t="e">
        <f>VLOOKUP(Table6[[#This Row],[الرقم الوظيفى]],[4]!Table3[#Data],26,FALSE)</f>
        <v>#REF!</v>
      </c>
      <c r="CR5" s="165">
        <v>2000</v>
      </c>
      <c r="CS5" s="124"/>
    </row>
    <row r="6" spans="1:97" ht="28" customHeight="1" thickTop="1" thickBot="1">
      <c r="A6" s="167">
        <v>6</v>
      </c>
      <c r="B6" s="142" t="s">
        <v>385</v>
      </c>
      <c r="C6" s="59" t="s">
        <v>90</v>
      </c>
      <c r="D6" s="143" t="s">
        <v>81</v>
      </c>
      <c r="E6" s="144" t="s">
        <v>601</v>
      </c>
      <c r="F6" s="143" t="s">
        <v>384</v>
      </c>
      <c r="G6" s="145">
        <v>39114</v>
      </c>
      <c r="H6" s="146">
        <v>5130</v>
      </c>
      <c r="I6" s="106">
        <f>Table6[[#This Row],[مرتب]]/30</f>
        <v>171</v>
      </c>
      <c r="J6" s="107">
        <v>30</v>
      </c>
      <c r="K6" s="107">
        <f t="shared" si="0"/>
        <v>5130</v>
      </c>
      <c r="L6" s="108">
        <v>5130</v>
      </c>
      <c r="M6" s="107">
        <f>Table6[[#This Row],[مرتب الضمان]]*17%</f>
        <v>872.1</v>
      </c>
      <c r="N6" s="107">
        <f>' الشركه 2018'!$H6*35%</f>
        <v>1795.4999999999998</v>
      </c>
      <c r="O6" s="107">
        <f>' الشركه 2018'!$H6*32%</f>
        <v>1641.6000000000001</v>
      </c>
      <c r="P6" s="107">
        <f>' الشركه 2018'!$H6*12%</f>
        <v>615.6</v>
      </c>
      <c r="Q6" s="107">
        <f>' الشركه 2018'!$H6*13%</f>
        <v>666.9</v>
      </c>
      <c r="R6" s="107">
        <f>' الشركه 2018'!$H6*6%</f>
        <v>307.8</v>
      </c>
      <c r="S6" s="107">
        <f>' الشركه 2018'!$H6*2%</f>
        <v>102.60000000000001</v>
      </c>
      <c r="T6" s="107">
        <f>' الشركه 2018'!$O6+' الشركه 2018'!$P6+' الشركه 2018'!$Q6+' الشركه 2018'!$R6+' الشركه 2018'!$S6</f>
        <v>3334.5000000000005</v>
      </c>
      <c r="U6" s="109">
        <f>VLOOKUP(Table6[[#This Row],[الرقم الوظيفى]],[2]بالخصم!$B$1:$AK$1200,35,)</f>
        <v>0</v>
      </c>
      <c r="V6" s="147"/>
      <c r="W6" s="111">
        <f>Table6[[#This Row],[عدد ايام الاجازه]]*Table6[[#This Row],[ح راتب اليوم]]</f>
        <v>0</v>
      </c>
      <c r="X6" s="148"/>
      <c r="Y6" s="60"/>
      <c r="Z6" s="111">
        <f>Table6[[#This Row],[عدد ايام الجزاء]]*Table6[[#This Row],[ح راتب اليوم]]</f>
        <v>0</v>
      </c>
      <c r="AA6" s="112">
        <f>Table6[[#This Row],[مرتب]]*50%</f>
        <v>2565</v>
      </c>
      <c r="AB6" s="113" t="e">
        <f>VLOOKUP(Table6[[#This Row],[الرقم الوظيفى]],[3]!Table25289[#Data],23,)</f>
        <v>#REF!</v>
      </c>
      <c r="AC6" s="149"/>
      <c r="AD6" s="168"/>
      <c r="AE6" s="113" t="e">
        <f>VLOOKUP(Table6[[#This Row],[الرقم الوظيفى]],[3]!Table252894[#Data],22,)</f>
        <v>#REF!</v>
      </c>
      <c r="AF6" s="151"/>
      <c r="AG6" s="111">
        <f>' الشركه 2018'!$W6+' الشركه 2018'!$Z6+' الشركه 2018'!$AA6+' الشركه 2018'!$AC6+' الشركه 2018'!$AD6+' الشركه 2018'!$AF6</f>
        <v>2565</v>
      </c>
      <c r="AH6" s="111">
        <f>Table6[[#This Row],[راتب الضمان]]*8%</f>
        <v>410.40000000000003</v>
      </c>
      <c r="AI6" s="111">
        <f>' الشركه 2018'!$H6-' الشركه 2018'!$AG6-' الشركه 2018'!$AH6</f>
        <v>2154.6</v>
      </c>
      <c r="AJ6" s="111">
        <f>' الشركه 2018'!$CF6</f>
        <v>1900.3197115384619</v>
      </c>
      <c r="AK6" s="117">
        <f>' الشركه 2018'!$AI6+' الشركه 2018'!$AJ6</f>
        <v>4054.9197115384618</v>
      </c>
      <c r="AL6" s="152"/>
      <c r="AM6" s="153"/>
      <c r="AN6" s="9">
        <f>Table6[[#This Row],[اجمالى الاستحقاق]]-Table6[[#This Row],[Column2]]+Table6[[#This Row],[حوافز غير مستقره]]</f>
        <v>4054.9197115384618</v>
      </c>
      <c r="AO6" s="59"/>
      <c r="AP6" s="169"/>
      <c r="AQ6" s="123" t="s">
        <v>79</v>
      </c>
      <c r="AR6" s="124"/>
      <c r="AS6" s="155"/>
      <c r="AT6" s="170"/>
      <c r="AU6" s="124"/>
      <c r="AV6" s="124"/>
      <c r="AW6" s="124"/>
      <c r="AX6" s="124"/>
      <c r="AY6" s="124"/>
      <c r="AZ6" s="124"/>
      <c r="BA6" s="124"/>
      <c r="BB6" s="124"/>
      <c r="BC6" s="124">
        <v>23</v>
      </c>
      <c r="BD6" s="124"/>
      <c r="BE6" s="124"/>
      <c r="BF6" s="124"/>
      <c r="BG6" s="124"/>
      <c r="BH6" s="124"/>
      <c r="BI6" s="124"/>
      <c r="BJ6" s="124"/>
      <c r="BK6" s="124"/>
      <c r="BL6" s="124"/>
      <c r="BM6" s="124"/>
      <c r="BN6" s="124"/>
      <c r="BO6" s="124"/>
      <c r="BP6" s="124"/>
      <c r="BQ6" s="124">
        <v>22.5</v>
      </c>
      <c r="BR6" s="124"/>
      <c r="BS6" s="124"/>
      <c r="BT6" s="124">
        <v>8</v>
      </c>
      <c r="BU6" s="124">
        <v>8</v>
      </c>
      <c r="BV6" s="124"/>
      <c r="BW6" s="124"/>
      <c r="BX6" s="124"/>
      <c r="BY6" s="124"/>
      <c r="BZ6" s="171"/>
      <c r="CA6" s="172"/>
      <c r="CB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6" s="130">
        <f>Table6[[#This Row],[Friday, November 23, 2018]]+Table6[[#This Row],[Friday, November 30, 2018]]+Table6[[#This Row],[Friday, December 07, 2018]]+Table6[[#This Row],[Friday, December 14, 2018]]+Table6[[#This Row],[فروقات عطله]]</f>
        <v>45.5</v>
      </c>
      <c r="CD6" s="131">
        <f>' الشركه 2018'!$H6*67%*1.5*' الشركه 2018'!$CB6/208</f>
        <v>396.58846153846156</v>
      </c>
      <c r="CE6" s="132">
        <f>' الشركه 2018'!$H6*67%*2*' الشركه 2018'!$CC6/208</f>
        <v>1503.7312500000003</v>
      </c>
      <c r="CF6" s="133">
        <f>' الشركه 2018'!$CD6+' الشركه 2018'!$CE6</f>
        <v>1900.3197115384619</v>
      </c>
      <c r="CG6" s="124" t="s">
        <v>604</v>
      </c>
      <c r="CH6" s="135">
        <f ca="1">SUMIF($C$4:C684,' الشركه 2018'!$CG6,$K$4:K384)</f>
        <v>37280</v>
      </c>
      <c r="CI6" s="162">
        <v>1</v>
      </c>
      <c r="CJ6" s="162">
        <f ca="1">' الشركه 2018'!$CH6*' الشركه 2018'!$CI6</f>
        <v>37280</v>
      </c>
      <c r="CK6" s="162">
        <f ca="1">' الشركه 2018'!$CJ6*8%</f>
        <v>2982.4</v>
      </c>
      <c r="CL6" s="162">
        <f ca="1">' الشركه 2018'!$CJ6*17%</f>
        <v>6337.6</v>
      </c>
      <c r="CM6" s="162">
        <f ca="1">' الشركه 2018'!$CJ6*25%</f>
        <v>9320</v>
      </c>
      <c r="CN6" s="162" t="s">
        <v>605</v>
      </c>
      <c r="CO6" s="162"/>
      <c r="CP6" s="163">
        <v>1500</v>
      </c>
      <c r="CQ6" s="164" t="e">
        <f>VLOOKUP(Table6[[#This Row],[الرقم الوظيفى]],[4]!Table3[#Data],26,FALSE)</f>
        <v>#REF!</v>
      </c>
      <c r="CR6" s="165">
        <v>2000</v>
      </c>
      <c r="CS6" s="124"/>
    </row>
    <row r="7" spans="1:97" ht="28" customHeight="1" thickTop="1" thickBot="1">
      <c r="A7" s="173">
        <v>8</v>
      </c>
      <c r="B7" s="142" t="s">
        <v>371</v>
      </c>
      <c r="C7" s="59" t="s">
        <v>90</v>
      </c>
      <c r="D7" s="143" t="s">
        <v>81</v>
      </c>
      <c r="E7" s="144" t="s">
        <v>606</v>
      </c>
      <c r="F7" s="143" t="s">
        <v>370</v>
      </c>
      <c r="G7" s="145">
        <v>39130</v>
      </c>
      <c r="H7" s="146">
        <v>6370</v>
      </c>
      <c r="I7" s="106">
        <f>Table6[[#This Row],[مرتب]]/30</f>
        <v>212.33333333333334</v>
      </c>
      <c r="J7" s="107">
        <v>30</v>
      </c>
      <c r="K7" s="107">
        <f t="shared" si="0"/>
        <v>6370</v>
      </c>
      <c r="L7" s="108">
        <v>6370</v>
      </c>
      <c r="M7" s="107">
        <f>Table6[[#This Row],[مرتب الضمان]]*17%</f>
        <v>1082.9000000000001</v>
      </c>
      <c r="N7" s="107">
        <f>' الشركه 2018'!$H7*35%</f>
        <v>2229.5</v>
      </c>
      <c r="O7" s="107">
        <f>' الشركه 2018'!$H7*32%</f>
        <v>2038.4</v>
      </c>
      <c r="P7" s="107">
        <f>' الشركه 2018'!$H7*12%</f>
        <v>764.4</v>
      </c>
      <c r="Q7" s="107">
        <f>' الشركه 2018'!$H7*13%</f>
        <v>828.1</v>
      </c>
      <c r="R7" s="107">
        <f>' الشركه 2018'!$H7*6%</f>
        <v>382.2</v>
      </c>
      <c r="S7" s="107">
        <f>' الشركه 2018'!$H7*2%</f>
        <v>127.4</v>
      </c>
      <c r="T7" s="107">
        <f>' الشركه 2018'!$O7+' الشركه 2018'!$P7+' الشركه 2018'!$Q7+' الشركه 2018'!$R7+' الشركه 2018'!$S7</f>
        <v>4140.5</v>
      </c>
      <c r="U7" s="109">
        <f>VLOOKUP(Table6[[#This Row],[الرقم الوظيفى]],[2]بالخصم!$B$1:$AK$1200,35,)</f>
        <v>0</v>
      </c>
      <c r="V7" s="147"/>
      <c r="W7" s="111">
        <f>Table6[[#This Row],[عدد ايام الاجازه]]*Table6[[#This Row],[ح راتب اليوم]]</f>
        <v>0</v>
      </c>
      <c r="X7" s="148"/>
      <c r="Y7" s="60"/>
      <c r="Z7" s="111">
        <f>Table6[[#This Row],[عدد ايام الجزاء]]*Table6[[#This Row],[ح راتب اليوم]]</f>
        <v>0</v>
      </c>
      <c r="AA7" s="112">
        <f>Table6[[#This Row],[مرتب]]*50%</f>
        <v>3185</v>
      </c>
      <c r="AB7" s="113" t="e">
        <f>VLOOKUP(Table6[[#This Row],[الرقم الوظيفى]],[3]!Table25289[#Data],23,)</f>
        <v>#REF!</v>
      </c>
      <c r="AC7" s="149"/>
      <c r="AD7" s="168"/>
      <c r="AE7" s="113" t="e">
        <f>VLOOKUP(Table6[[#This Row],[الرقم الوظيفى]],[3]!Table252894[#Data],22,)</f>
        <v>#REF!</v>
      </c>
      <c r="AF7" s="151"/>
      <c r="AG7" s="111">
        <f>' الشركه 2018'!$W7+' الشركه 2018'!$Z7+' الشركه 2018'!$AA7+' الشركه 2018'!$AC7+' الشركه 2018'!$AD7+' الشركه 2018'!$AF7</f>
        <v>3185</v>
      </c>
      <c r="AH7" s="111">
        <f>Table6[[#This Row],[راتب الضمان]]*8%</f>
        <v>509.6</v>
      </c>
      <c r="AI7" s="111">
        <f>' الشركه 2018'!$H7-' الشركه 2018'!$AG7-' الشركه 2018'!$AH7</f>
        <v>2675.4</v>
      </c>
      <c r="AJ7" s="111">
        <f>' الشركه 2018'!$CF7</f>
        <v>0</v>
      </c>
      <c r="AK7" s="117">
        <f>' الشركه 2018'!$AI7+' الشركه 2018'!$AJ7</f>
        <v>2675.4</v>
      </c>
      <c r="AL7" s="152"/>
      <c r="AM7" s="153"/>
      <c r="AN7" s="9">
        <f>Table6[[#This Row],[اجمالى الاستحقاق]]-Table6[[#This Row],[Column2]]+Table6[[#This Row],[حوافز غير مستقره]]</f>
        <v>2675.4</v>
      </c>
      <c r="AO7" s="59"/>
      <c r="AP7" s="169"/>
      <c r="AQ7" s="123" t="s">
        <v>83</v>
      </c>
      <c r="AR7" s="124"/>
      <c r="AS7" s="155"/>
      <c r="AT7" s="170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71"/>
      <c r="CA7" s="172"/>
      <c r="CB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" s="131">
        <f>' الشركه 2018'!$H7*67%*1.5*' الشركه 2018'!$CB7/208</f>
        <v>0</v>
      </c>
      <c r="CE7" s="132">
        <f>' الشركه 2018'!$H7*67%*2*' الشركه 2018'!$CC7/208</f>
        <v>0</v>
      </c>
      <c r="CF7" s="133">
        <f>' الشركه 2018'!$CD7+' الشركه 2018'!$CE7</f>
        <v>0</v>
      </c>
      <c r="CG7" s="124" t="s">
        <v>607</v>
      </c>
      <c r="CH7" s="135">
        <f ca="1">SUMIF($C$4:C685,' الشركه 2018'!$CG7,$K$4:K385)</f>
        <v>62220</v>
      </c>
      <c r="CI7" s="162">
        <v>1</v>
      </c>
      <c r="CJ7" s="162">
        <f ca="1">' الشركه 2018'!$CH7*' الشركه 2018'!$CI7</f>
        <v>62220</v>
      </c>
      <c r="CK7" s="162">
        <f ca="1">' الشركه 2018'!$CJ7*8%</f>
        <v>4977.6000000000004</v>
      </c>
      <c r="CL7" s="162">
        <f ca="1">' الشركه 2018'!$CJ7*17%</f>
        <v>10577.400000000001</v>
      </c>
      <c r="CM7" s="162">
        <f ca="1">' الشركه 2018'!$CJ7*25%</f>
        <v>15555</v>
      </c>
      <c r="CN7" s="162" t="s">
        <v>608</v>
      </c>
      <c r="CO7" s="162"/>
      <c r="CP7" s="163">
        <v>300</v>
      </c>
      <c r="CQ7" s="164" t="e">
        <f>VLOOKUP(Table6[[#This Row],[الرقم الوظيفى]],[4]!Table3[#Data],26,FALSE)</f>
        <v>#REF!</v>
      </c>
      <c r="CR7" s="165">
        <v>300</v>
      </c>
      <c r="CS7" s="124"/>
    </row>
    <row r="8" spans="1:97" ht="28" customHeight="1" thickTop="1" thickBot="1">
      <c r="A8" s="173">
        <v>9</v>
      </c>
      <c r="B8" s="142" t="s">
        <v>101</v>
      </c>
      <c r="C8" s="59" t="s">
        <v>90</v>
      </c>
      <c r="D8" s="143" t="s">
        <v>81</v>
      </c>
      <c r="E8" s="174" t="s">
        <v>609</v>
      </c>
      <c r="F8" s="143" t="s">
        <v>610</v>
      </c>
      <c r="G8" s="145">
        <v>39097</v>
      </c>
      <c r="H8" s="146">
        <v>19440</v>
      </c>
      <c r="I8" s="106">
        <f>Table6[[#This Row],[مرتب]]/30</f>
        <v>648</v>
      </c>
      <c r="J8" s="107">
        <v>30</v>
      </c>
      <c r="K8" s="107">
        <f t="shared" si="0"/>
        <v>19440</v>
      </c>
      <c r="L8" s="108">
        <v>19440</v>
      </c>
      <c r="M8" s="107">
        <f>Table6[[#This Row],[مرتب الضمان]]*17%</f>
        <v>3304.8</v>
      </c>
      <c r="N8" s="107">
        <f>' الشركه 2018'!$H8*35%</f>
        <v>6804</v>
      </c>
      <c r="O8" s="107">
        <f>' الشركه 2018'!$H8*32%</f>
        <v>6220.8</v>
      </c>
      <c r="P8" s="107">
        <f>' الشركه 2018'!$H8*12%</f>
        <v>2332.7999999999997</v>
      </c>
      <c r="Q8" s="107">
        <f>' الشركه 2018'!$H8*13%</f>
        <v>2527.2000000000003</v>
      </c>
      <c r="R8" s="107">
        <f>' الشركه 2018'!$H8*6%</f>
        <v>1166.3999999999999</v>
      </c>
      <c r="S8" s="107">
        <f>' الشركه 2018'!$H8*2%</f>
        <v>388.8</v>
      </c>
      <c r="T8" s="107">
        <f>' الشركه 2018'!$O8+' الشركه 2018'!$P8+' الشركه 2018'!$Q8+' الشركه 2018'!$R8+' الشركه 2018'!$S8</f>
        <v>12636</v>
      </c>
      <c r="U8" s="109">
        <f>VLOOKUP(Table6[[#This Row],[الرقم الوظيفى]],[2]بالخصم!$B$1:$AK$1200,35,)</f>
        <v>0</v>
      </c>
      <c r="V8" s="147"/>
      <c r="W8" s="111">
        <f>Table6[[#This Row],[عدد ايام الاجازه]]*Table6[[#This Row],[ح راتب اليوم]]</f>
        <v>0</v>
      </c>
      <c r="X8" s="148"/>
      <c r="Y8" s="60"/>
      <c r="Z8" s="111">
        <f>Table6[[#This Row],[عدد ايام الجزاء]]*Table6[[#This Row],[ح راتب اليوم]]</f>
        <v>0</v>
      </c>
      <c r="AA8" s="112">
        <f>Table6[[#This Row],[مرتب]]*50%</f>
        <v>9720</v>
      </c>
      <c r="AB8" s="113" t="e">
        <f>VLOOKUP(Table6[[#This Row],[الرقم الوظيفى]],[3]!Table25289[#Data],23,)</f>
        <v>#REF!</v>
      </c>
      <c r="AC8" s="149"/>
      <c r="AD8" s="150"/>
      <c r="AE8" s="113" t="e">
        <f>VLOOKUP(Table6[[#This Row],[الرقم الوظيفى]],[3]!Table252894[#Data],22,)</f>
        <v>#REF!</v>
      </c>
      <c r="AF8" s="151"/>
      <c r="AG8" s="111">
        <f>' الشركه 2018'!$W8+' الشركه 2018'!$Z8+' الشركه 2018'!$AA8+' الشركه 2018'!$AC8+' الشركه 2018'!$AD8+' الشركه 2018'!$AF8</f>
        <v>9720</v>
      </c>
      <c r="AH8" s="111">
        <f>Table6[[#This Row],[راتب الضمان]]*8%</f>
        <v>1555.2</v>
      </c>
      <c r="AI8" s="111">
        <f>' الشركه 2018'!$H8-' الشركه 2018'!$AG8-' الشركه 2018'!$AH8</f>
        <v>8164.8</v>
      </c>
      <c r="AJ8" s="111">
        <f>' الشركه 2018'!$CF8</f>
        <v>1080.1817307692309</v>
      </c>
      <c r="AK8" s="117">
        <f>' الشركه 2018'!$AI8+' الشركه 2018'!$AJ8</f>
        <v>9244.9817307692319</v>
      </c>
      <c r="AL8" s="152"/>
      <c r="AM8" s="153"/>
      <c r="AN8" s="9">
        <f>Table6[[#This Row],[اجمالى الاستحقاق]]-Table6[[#This Row],[Column2]]+Table6[[#This Row],[حوافز غير مستقره]]</f>
        <v>9244.9817307692319</v>
      </c>
      <c r="AO8" s="56"/>
      <c r="AP8" s="169"/>
      <c r="AQ8" s="123" t="s">
        <v>611</v>
      </c>
      <c r="AR8" s="124"/>
      <c r="AS8" s="155"/>
      <c r="AT8" s="170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>
        <v>3</v>
      </c>
      <c r="BL8" s="124"/>
      <c r="BM8" s="124">
        <v>3</v>
      </c>
      <c r="BN8" s="124">
        <v>5.5</v>
      </c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71"/>
      <c r="CA8" s="172"/>
      <c r="CB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11.5</v>
      </c>
      <c r="CC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" s="131">
        <f>' الشركه 2018'!$H8*67%*1.5*' الشركه 2018'!$CB8/208</f>
        <v>1080.1817307692309</v>
      </c>
      <c r="CE8" s="132">
        <f>' الشركه 2018'!$H8*67%*2*' الشركه 2018'!$CC8/208</f>
        <v>0</v>
      </c>
      <c r="CF8" s="133">
        <f>' الشركه 2018'!$CD8+' الشركه 2018'!$CE8</f>
        <v>1080.1817307692309</v>
      </c>
      <c r="CG8" s="175" t="s">
        <v>612</v>
      </c>
      <c r="CH8" s="162" t="e">
        <f>[3]!Table5[[#Totals],[الراتب دولار]]</f>
        <v>#REF!</v>
      </c>
      <c r="CI8" s="162">
        <v>28</v>
      </c>
      <c r="CJ8" s="162" t="e">
        <f>' الشركه 2018'!$CH8*' الشركه 2018'!$CI8</f>
        <v>#REF!</v>
      </c>
      <c r="CK8" s="162" t="e">
        <f>' الشركه 2018'!$CJ8*8%</f>
        <v>#REF!</v>
      </c>
      <c r="CL8" s="162" t="e">
        <f>' الشركه 2018'!$CJ8*17%</f>
        <v>#REF!</v>
      </c>
      <c r="CM8" s="162" t="e">
        <f>' الشركه 2018'!$CJ8*25%</f>
        <v>#REF!</v>
      </c>
      <c r="CN8" s="162" t="s">
        <v>613</v>
      </c>
      <c r="CO8" s="162"/>
      <c r="CP8" s="163"/>
      <c r="CQ8" s="164" t="e">
        <f>VLOOKUP(Table6[[#This Row],[الرقم الوظيفى]],[4]!Table3[#Data],26,FALSE)</f>
        <v>#REF!</v>
      </c>
      <c r="CR8" s="165">
        <v>2000</v>
      </c>
      <c r="CS8" s="124"/>
    </row>
    <row r="9" spans="1:97" ht="28" customHeight="1" thickTop="1" thickBot="1">
      <c r="A9" s="141">
        <v>13</v>
      </c>
      <c r="B9" s="142" t="s">
        <v>93</v>
      </c>
      <c r="C9" s="59" t="s">
        <v>90</v>
      </c>
      <c r="D9" s="143" t="s">
        <v>611</v>
      </c>
      <c r="E9" s="174" t="s">
        <v>614</v>
      </c>
      <c r="F9" s="143" t="s">
        <v>105</v>
      </c>
      <c r="G9" s="145">
        <v>39091</v>
      </c>
      <c r="H9" s="146">
        <v>7230</v>
      </c>
      <c r="I9" s="106">
        <f>Table6[[#This Row],[مرتب]]/30</f>
        <v>241</v>
      </c>
      <c r="J9" s="107">
        <v>30</v>
      </c>
      <c r="K9" s="107">
        <f t="shared" si="0"/>
        <v>7230</v>
      </c>
      <c r="L9" s="108">
        <v>7230</v>
      </c>
      <c r="M9" s="107">
        <f>Table6[[#This Row],[مرتب الضمان]]*17%</f>
        <v>1229.1000000000001</v>
      </c>
      <c r="N9" s="107">
        <f>' الشركه 2018'!$H9*35%</f>
        <v>2530.5</v>
      </c>
      <c r="O9" s="107">
        <f>' الشركه 2018'!$H9*32%</f>
        <v>2313.6</v>
      </c>
      <c r="P9" s="107">
        <f>' الشركه 2018'!$H9*12%</f>
        <v>867.6</v>
      </c>
      <c r="Q9" s="107">
        <f>' الشركه 2018'!$H9*13%</f>
        <v>939.9</v>
      </c>
      <c r="R9" s="107">
        <f>' الشركه 2018'!$H9*6%</f>
        <v>433.8</v>
      </c>
      <c r="S9" s="107">
        <f>' الشركه 2018'!$H9*2%</f>
        <v>144.6</v>
      </c>
      <c r="T9" s="107">
        <f>' الشركه 2018'!$O9+' الشركه 2018'!$P9+' الشركه 2018'!$Q9+' الشركه 2018'!$R9+' الشركه 2018'!$S9</f>
        <v>4699.5</v>
      </c>
      <c r="U9" s="109">
        <f>VLOOKUP(Table6[[#This Row],[الرقم الوظيفى]],[2]بالخصم!$B$1:$AK$1200,35,)</f>
        <v>0</v>
      </c>
      <c r="V9" s="147"/>
      <c r="W9" s="111">
        <f>Table6[[#This Row],[عدد ايام الاجازه]]*Table6[[#This Row],[ح راتب اليوم]]</f>
        <v>0</v>
      </c>
      <c r="X9" s="148"/>
      <c r="Y9" s="60"/>
      <c r="Z9" s="111">
        <f>Table6[[#This Row],[عدد ايام الجزاء]]*Table6[[#This Row],[ح راتب اليوم]]</f>
        <v>0</v>
      </c>
      <c r="AA9" s="112">
        <f>Table6[[#This Row],[مرتب]]*50%</f>
        <v>3615</v>
      </c>
      <c r="AB9" s="113" t="e">
        <f>VLOOKUP(Table6[[#This Row],[الرقم الوظيفى]],[3]!Table25289[#Data],23,)</f>
        <v>#REF!</v>
      </c>
      <c r="AC9" s="149">
        <v>1500</v>
      </c>
      <c r="AD9" s="150"/>
      <c r="AE9" s="113" t="e">
        <f>VLOOKUP(Table6[[#This Row],[الرقم الوظيفى]],[3]!Table252894[#Data],22,)</f>
        <v>#REF!</v>
      </c>
      <c r="AF9" s="151"/>
      <c r="AG9" s="111">
        <f>' الشركه 2018'!$W9+' الشركه 2018'!$Z9+' الشركه 2018'!$AA9+' الشركه 2018'!$AC9+' الشركه 2018'!$AD9+' الشركه 2018'!$AF9</f>
        <v>5115</v>
      </c>
      <c r="AH9" s="111">
        <f>Table6[[#This Row],[راتب الضمان]]*8%</f>
        <v>578.4</v>
      </c>
      <c r="AI9" s="111">
        <f>' الشركه 2018'!$H9-' الشركه 2018'!$AG9-' الشركه 2018'!$AH9</f>
        <v>1536.6</v>
      </c>
      <c r="AJ9" s="111">
        <f>' الشركه 2018'!$CF9</f>
        <v>10410.157211538462</v>
      </c>
      <c r="AK9" s="117">
        <f>' الشركه 2018'!$AI9+' الشركه 2018'!$AJ9</f>
        <v>11946.757211538463</v>
      </c>
      <c r="AL9" s="152"/>
      <c r="AM9" s="153"/>
      <c r="AN9" s="9">
        <f>Table6[[#This Row],[اجمالى الاستحقاق]]-Table6[[#This Row],[Column2]]+Table6[[#This Row],[حوافز غير مستقره]]</f>
        <v>11946.757211538463</v>
      </c>
      <c r="AO9" s="59"/>
      <c r="AP9" s="169"/>
      <c r="AQ9" s="123" t="s">
        <v>80</v>
      </c>
      <c r="AR9" s="124"/>
      <c r="AS9" s="155"/>
      <c r="AT9" s="170">
        <v>7</v>
      </c>
      <c r="AU9" s="124">
        <v>7</v>
      </c>
      <c r="AV9" s="124">
        <v>24</v>
      </c>
      <c r="AW9" s="124">
        <v>7</v>
      </c>
      <c r="AX9" s="124">
        <v>7</v>
      </c>
      <c r="AY9" s="124">
        <v>16</v>
      </c>
      <c r="AZ9" s="124">
        <v>16</v>
      </c>
      <c r="BA9" s="124">
        <v>7</v>
      </c>
      <c r="BB9" s="124">
        <v>8</v>
      </c>
      <c r="BC9" s="124">
        <v>24</v>
      </c>
      <c r="BD9" s="124">
        <v>5</v>
      </c>
      <c r="BE9" s="124">
        <v>6</v>
      </c>
      <c r="BF9" s="124">
        <v>11</v>
      </c>
      <c r="BG9" s="124">
        <v>6</v>
      </c>
      <c r="BH9" s="124">
        <v>8</v>
      </c>
      <c r="BI9" s="124">
        <v>8</v>
      </c>
      <c r="BJ9" s="124">
        <v>24</v>
      </c>
      <c r="BK9" s="124">
        <v>8</v>
      </c>
      <c r="BL9" s="124">
        <v>8</v>
      </c>
      <c r="BM9" s="124">
        <v>7</v>
      </c>
      <c r="BN9" s="124">
        <v>8</v>
      </c>
      <c r="BO9" s="124">
        <v>8</v>
      </c>
      <c r="BP9" s="124">
        <v>8</v>
      </c>
      <c r="BQ9" s="124">
        <v>24</v>
      </c>
      <c r="BR9" s="124">
        <v>4</v>
      </c>
      <c r="BS9" s="124"/>
      <c r="BT9" s="124"/>
      <c r="BU9" s="124"/>
      <c r="BV9" s="124"/>
      <c r="BW9" s="124"/>
      <c r="BX9" s="124"/>
      <c r="BY9" s="124"/>
      <c r="BZ9" s="159"/>
      <c r="CA9" s="160"/>
      <c r="CB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170</v>
      </c>
      <c r="CC9" s="130">
        <f>Table6[[#This Row],[Friday, November 23, 2018]]+Table6[[#This Row],[Friday, November 30, 2018]]+Table6[[#This Row],[Friday, December 07, 2018]]+Table6[[#This Row],[Friday, December 14, 2018]]+Table6[[#This Row],[فروقات عطله]]</f>
        <v>96</v>
      </c>
      <c r="CD9" s="131">
        <f>' الشركه 2018'!$H9*67%*1.5*' الشركه 2018'!$CB9/208</f>
        <v>5938.6802884615381</v>
      </c>
      <c r="CE9" s="132">
        <f>' الشركه 2018'!$H9*67%*2*' الشركه 2018'!$CC9/208</f>
        <v>4471.4769230769234</v>
      </c>
      <c r="CF9" s="133">
        <f>' الشركه 2018'!$CD9+' الشركه 2018'!$CE9</f>
        <v>10410.157211538462</v>
      </c>
      <c r="CG9" s="124" t="s">
        <v>615</v>
      </c>
      <c r="CH9" s="162" t="e">
        <f>[3]!Table2[[#Totals],[القيمه]]</f>
        <v>#REF!</v>
      </c>
      <c r="CI9" s="162">
        <v>1</v>
      </c>
      <c r="CJ9" s="162" t="e">
        <f>' الشركه 2018'!$CH9*' الشركه 2018'!$CI9</f>
        <v>#REF!</v>
      </c>
      <c r="CK9" s="162" t="e">
        <f>' الشركه 2018'!$CJ9*8%</f>
        <v>#REF!</v>
      </c>
      <c r="CL9" s="162" t="e">
        <f>' الشركه 2018'!$CJ9*17%</f>
        <v>#REF!</v>
      </c>
      <c r="CM9" s="162" t="e">
        <f>' الشركه 2018'!$CJ9*25%</f>
        <v>#REF!</v>
      </c>
      <c r="CN9" s="162" t="s">
        <v>616</v>
      </c>
      <c r="CO9" s="162"/>
      <c r="CP9" s="163">
        <v>1800</v>
      </c>
      <c r="CQ9" s="164" t="e">
        <f>VLOOKUP(Table6[[#This Row],[الرقم الوظيفى]],[4]!Table3[#Data],26,FALSE)</f>
        <v>#REF!</v>
      </c>
      <c r="CR9" s="165">
        <v>3000</v>
      </c>
      <c r="CS9" s="124"/>
    </row>
    <row r="10" spans="1:97" ht="28" customHeight="1" thickTop="1" thickBot="1">
      <c r="A10" s="173">
        <v>16</v>
      </c>
      <c r="B10" s="142" t="s">
        <v>94</v>
      </c>
      <c r="C10" s="59" t="s">
        <v>90</v>
      </c>
      <c r="D10" s="143" t="s">
        <v>74</v>
      </c>
      <c r="E10" s="174" t="s">
        <v>609</v>
      </c>
      <c r="F10" s="143" t="s">
        <v>106</v>
      </c>
      <c r="G10" s="145">
        <v>39083</v>
      </c>
      <c r="H10" s="146">
        <v>25860</v>
      </c>
      <c r="I10" s="106">
        <f>Table6[[#This Row],[مرتب]]/30</f>
        <v>862</v>
      </c>
      <c r="J10" s="107">
        <v>30</v>
      </c>
      <c r="K10" s="107">
        <f t="shared" si="0"/>
        <v>25860</v>
      </c>
      <c r="L10" s="108">
        <v>25860</v>
      </c>
      <c r="M10" s="107">
        <f>Table6[[#This Row],[مرتب الضمان]]*17%</f>
        <v>4396.2000000000007</v>
      </c>
      <c r="N10" s="107">
        <f>' الشركه 2018'!$H10*35%</f>
        <v>9051</v>
      </c>
      <c r="O10" s="107">
        <f>' الشركه 2018'!$H10*32%</f>
        <v>8275.2000000000007</v>
      </c>
      <c r="P10" s="107">
        <f>' الشركه 2018'!$H10*12%</f>
        <v>3103.2</v>
      </c>
      <c r="Q10" s="107">
        <f>' الشركه 2018'!$H10*13%</f>
        <v>3361.8</v>
      </c>
      <c r="R10" s="107">
        <f>' الشركه 2018'!$H10*6%</f>
        <v>1551.6</v>
      </c>
      <c r="S10" s="107">
        <f>' الشركه 2018'!$H10*2%</f>
        <v>517.20000000000005</v>
      </c>
      <c r="T10" s="107">
        <f>' الشركه 2018'!$O10+' الشركه 2018'!$P10+' الشركه 2018'!$Q10+' الشركه 2018'!$R10+' الشركه 2018'!$S10</f>
        <v>16809</v>
      </c>
      <c r="U10" s="109">
        <f>VLOOKUP(Table6[[#This Row],[الرقم الوظيفى]],[2]بالخصم!$B$1:$AK$1200,35,)</f>
        <v>0</v>
      </c>
      <c r="V10" s="147"/>
      <c r="W10" s="111">
        <f>Table6[[#This Row],[عدد ايام الاجازه]]*Table6[[#This Row],[ح راتب اليوم]]</f>
        <v>0</v>
      </c>
      <c r="X10" s="148"/>
      <c r="Y10" s="60"/>
      <c r="Z10" s="111">
        <f>Table6[[#This Row],[عدد ايام الجزاء]]*Table6[[#This Row],[ح راتب اليوم]]</f>
        <v>0</v>
      </c>
      <c r="AA10" s="112">
        <f>Table6[[#This Row],[مرتب]]*50%</f>
        <v>12930</v>
      </c>
      <c r="AB10" s="113" t="e">
        <f>VLOOKUP(Table6[[#This Row],[الرقم الوظيفى]],[3]!Table25289[#Data],23,)</f>
        <v>#REF!</v>
      </c>
      <c r="AC10" s="149"/>
      <c r="AD10" s="150"/>
      <c r="AE10" s="113" t="e">
        <f>VLOOKUP(Table6[[#This Row],[الرقم الوظيفى]],[3]!Table252894[#Data],22,)</f>
        <v>#REF!</v>
      </c>
      <c r="AF10" s="151"/>
      <c r="AG10" s="111">
        <f>' الشركه 2018'!$W10+' الشركه 2018'!$Z10+' الشركه 2018'!$AA10+' الشركه 2018'!$AC10+' الشركه 2018'!$AD10+' الشركه 2018'!$AF10</f>
        <v>12930</v>
      </c>
      <c r="AH10" s="111">
        <f>Table6[[#This Row],[راتب الضمان]]*8%</f>
        <v>2068.8000000000002</v>
      </c>
      <c r="AI10" s="111">
        <f>' الشركه 2018'!$H10-' الشركه 2018'!$AG10-' الشركه 2018'!$AH10</f>
        <v>10861.2</v>
      </c>
      <c r="AJ10" s="111">
        <f>' الشركه 2018'!$CF10</f>
        <v>2124.1254807692308</v>
      </c>
      <c r="AK10" s="117">
        <f>' الشركه 2018'!$AI10+' الشركه 2018'!$AJ10</f>
        <v>12985.325480769232</v>
      </c>
      <c r="AL10" s="152"/>
      <c r="AM10" s="153"/>
      <c r="AN10" s="9">
        <f>Table6[[#This Row],[اجمالى الاستحقاق]]-Table6[[#This Row],[Column2]]+Table6[[#This Row],[حوافز غير مستقره]]</f>
        <v>12985.325480769232</v>
      </c>
      <c r="AO10" s="59"/>
      <c r="AP10" s="169"/>
      <c r="AQ10" s="123" t="s">
        <v>75</v>
      </c>
      <c r="AR10" s="124"/>
      <c r="AS10" s="155"/>
      <c r="AT10" s="170"/>
      <c r="AU10" s="124"/>
      <c r="AV10" s="124"/>
      <c r="AW10" s="124"/>
      <c r="AX10" s="124"/>
      <c r="AY10" s="124"/>
      <c r="AZ10" s="124">
        <v>5</v>
      </c>
      <c r="BA10" s="124"/>
      <c r="BB10" s="124"/>
      <c r="BC10" s="124"/>
      <c r="BD10" s="124">
        <v>2</v>
      </c>
      <c r="BE10" s="124"/>
      <c r="BF10" s="124"/>
      <c r="BG10" s="124"/>
      <c r="BH10" s="124"/>
      <c r="BI10" s="124"/>
      <c r="BJ10" s="124"/>
      <c r="BK10" s="124">
        <v>3.5</v>
      </c>
      <c r="BL10" s="124"/>
      <c r="BM10" s="124">
        <v>3.5</v>
      </c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71">
        <v>3</v>
      </c>
      <c r="CA10" s="172"/>
      <c r="CB1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17</v>
      </c>
      <c r="CC1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" s="131">
        <f>' الشركه 2018'!$H10*67%*1.5*' الشركه 2018'!$CB10/208</f>
        <v>2124.1254807692308</v>
      </c>
      <c r="CE10" s="132">
        <f>' الشركه 2018'!$H10*67%*2*' الشركه 2018'!$CC10/208</f>
        <v>0</v>
      </c>
      <c r="CF10" s="133">
        <f>' الشركه 2018'!$CD10+' الشركه 2018'!$CE10</f>
        <v>2124.1254807692308</v>
      </c>
      <c r="CG10" s="124" t="s">
        <v>617</v>
      </c>
      <c r="CH10" s="162">
        <v>6420</v>
      </c>
      <c r="CI10" s="162">
        <v>1</v>
      </c>
      <c r="CJ10" s="162">
        <f>' الشركه 2018'!$CH10*' الشركه 2018'!$CI10</f>
        <v>6420</v>
      </c>
      <c r="CK10" s="162">
        <f>' الشركه 2018'!$CJ10*8%</f>
        <v>513.6</v>
      </c>
      <c r="CL10" s="162">
        <f>' الشركه 2018'!$CJ10*17%</f>
        <v>1091.4000000000001</v>
      </c>
      <c r="CM10" s="162">
        <f>' الشركه 2018'!$CJ10*25%</f>
        <v>1605</v>
      </c>
      <c r="CN10" s="162" t="s">
        <v>618</v>
      </c>
      <c r="CO10" s="162"/>
      <c r="CP10" s="163"/>
      <c r="CQ10" s="164" t="e">
        <f>VLOOKUP(Table6[[#This Row],[الرقم الوظيفى]],[4]!Table3[#Data],26,FALSE)</f>
        <v>#REF!</v>
      </c>
      <c r="CR10" s="165">
        <v>3000</v>
      </c>
      <c r="CS10" s="124"/>
    </row>
    <row r="11" spans="1:97" ht="28" customHeight="1" thickTop="1" thickBot="1">
      <c r="A11" s="167">
        <v>17</v>
      </c>
      <c r="B11" s="142" t="s">
        <v>195</v>
      </c>
      <c r="C11" s="59" t="s">
        <v>90</v>
      </c>
      <c r="D11" s="143" t="s">
        <v>74</v>
      </c>
      <c r="E11" s="174" t="s">
        <v>619</v>
      </c>
      <c r="F11" s="143" t="s">
        <v>192</v>
      </c>
      <c r="G11" s="145">
        <v>39083</v>
      </c>
      <c r="H11" s="146">
        <v>12970</v>
      </c>
      <c r="I11" s="106">
        <f>Table6[[#This Row],[مرتب]]/30</f>
        <v>432.33333333333331</v>
      </c>
      <c r="J11" s="107">
        <v>30</v>
      </c>
      <c r="K11" s="107">
        <f t="shared" si="0"/>
        <v>12970</v>
      </c>
      <c r="L11" s="108">
        <v>12970</v>
      </c>
      <c r="M11" s="107">
        <f>Table6[[#This Row],[مرتب الضمان]]*17%</f>
        <v>2204.9</v>
      </c>
      <c r="N11" s="107">
        <f>' الشركه 2018'!$H11*35%</f>
        <v>4539.5</v>
      </c>
      <c r="O11" s="107">
        <f>' الشركه 2018'!$H11*32%</f>
        <v>4150.3999999999996</v>
      </c>
      <c r="P11" s="107">
        <f>' الشركه 2018'!$H11*12%</f>
        <v>1556.3999999999999</v>
      </c>
      <c r="Q11" s="107">
        <f>' الشركه 2018'!$H11*13%</f>
        <v>1686.1000000000001</v>
      </c>
      <c r="R11" s="107">
        <f>' الشركه 2018'!$H11*6%</f>
        <v>778.19999999999993</v>
      </c>
      <c r="S11" s="107">
        <f>' الشركه 2018'!$H11*2%</f>
        <v>259.39999999999998</v>
      </c>
      <c r="T11" s="107">
        <f>' الشركه 2018'!$O11+' الشركه 2018'!$P11+' الشركه 2018'!$Q11+' الشركه 2018'!$R11+' الشركه 2018'!$S11</f>
        <v>8430.5</v>
      </c>
      <c r="U11" s="109">
        <f>VLOOKUP(Table6[[#This Row],[الرقم الوظيفى]],[2]بالخصم!$B$1:$AK$1200,35,)</f>
        <v>0</v>
      </c>
      <c r="V11" s="147"/>
      <c r="W11" s="111">
        <f>Table6[[#This Row],[عدد ايام الاجازه]]*Table6[[#This Row],[ح راتب اليوم]]</f>
        <v>0</v>
      </c>
      <c r="X11" s="148"/>
      <c r="Y11" s="60"/>
      <c r="Z11" s="111">
        <f>Table6[[#This Row],[عدد ايام الجزاء]]*Table6[[#This Row],[ح راتب اليوم]]</f>
        <v>0</v>
      </c>
      <c r="AA11" s="112">
        <f>Table6[[#This Row],[مرتب]]*50%</f>
        <v>6485</v>
      </c>
      <c r="AB11" s="113" t="e">
        <f>VLOOKUP(Table6[[#This Row],[الرقم الوظيفى]],[3]!Table25289[#Data],23,)</f>
        <v>#REF!</v>
      </c>
      <c r="AC11" s="149"/>
      <c r="AD11" s="168"/>
      <c r="AE11" s="113" t="e">
        <f>VLOOKUP(Table6[[#This Row],[الرقم الوظيفى]],[3]!Table252894[#Data],22,)</f>
        <v>#REF!</v>
      </c>
      <c r="AF11" s="151"/>
      <c r="AG11" s="111">
        <f>' الشركه 2018'!$W11+' الشركه 2018'!$Z11+' الشركه 2018'!$AA11+' الشركه 2018'!$AC11+' الشركه 2018'!$AD11+' الشركه 2018'!$AF11</f>
        <v>6485</v>
      </c>
      <c r="AH11" s="111">
        <f>Table6[[#This Row],[راتب الضمان]]*8%</f>
        <v>1037.5999999999999</v>
      </c>
      <c r="AI11" s="111">
        <f>' الشركه 2018'!$H11-' الشركه 2018'!$AG11-' الشركه 2018'!$AH11</f>
        <v>5447.4</v>
      </c>
      <c r="AJ11" s="111">
        <f>' الشركه 2018'!$CF11</f>
        <v>6893.4302884615372</v>
      </c>
      <c r="AK11" s="117">
        <f>' الشركه 2018'!$AI11+' الشركه 2018'!$AJ11</f>
        <v>12340.830288461537</v>
      </c>
      <c r="AL11" s="152"/>
      <c r="AM11" s="153"/>
      <c r="AN11" s="9">
        <f>Table6[[#This Row],[اجمالى الاستحقاق]]-Table6[[#This Row],[Column2]]+Table6[[#This Row],[حوافز غير مستقره]]</f>
        <v>12340.830288461537</v>
      </c>
      <c r="AO11" s="59"/>
      <c r="AP11" s="169"/>
      <c r="AQ11" s="176" t="s">
        <v>76</v>
      </c>
      <c r="AR11" s="124"/>
      <c r="AS11" s="155"/>
      <c r="AT11" s="170">
        <v>8</v>
      </c>
      <c r="AU11" s="124">
        <v>8</v>
      </c>
      <c r="AV11" s="124"/>
      <c r="AW11" s="124">
        <v>4</v>
      </c>
      <c r="AX11" s="124"/>
      <c r="AY11" s="124"/>
      <c r="AZ11" s="124"/>
      <c r="BA11" s="124"/>
      <c r="BB11" s="124"/>
      <c r="BC11" s="124">
        <v>24</v>
      </c>
      <c r="BD11" s="124"/>
      <c r="BE11" s="124"/>
      <c r="BF11" s="124"/>
      <c r="BG11" s="124"/>
      <c r="BH11" s="124"/>
      <c r="BI11" s="124"/>
      <c r="BJ11" s="124"/>
      <c r="BK11" s="124"/>
      <c r="BL11" s="124">
        <v>10</v>
      </c>
      <c r="BM11" s="124"/>
      <c r="BN11" s="124"/>
      <c r="BO11" s="124"/>
      <c r="BP11" s="124"/>
      <c r="BQ11" s="124">
        <v>24</v>
      </c>
      <c r="BR11" s="124">
        <v>8</v>
      </c>
      <c r="BS11" s="124">
        <v>8</v>
      </c>
      <c r="BT11" s="124"/>
      <c r="BU11" s="124"/>
      <c r="BV11" s="124"/>
      <c r="BW11" s="124"/>
      <c r="BX11" s="124"/>
      <c r="BY11" s="124"/>
      <c r="BZ11" s="159"/>
      <c r="CA11" s="160"/>
      <c r="CB1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46</v>
      </c>
      <c r="CC11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1" s="131">
        <f>' الشركه 2018'!$H11*67%*1.5*' الشركه 2018'!$CB11/208</f>
        <v>2882.7072115384613</v>
      </c>
      <c r="CE11" s="132">
        <f>' الشركه 2018'!$H11*67%*2*' الشركه 2018'!$CC11/208</f>
        <v>4010.7230769230764</v>
      </c>
      <c r="CF11" s="133">
        <f>' الشركه 2018'!$CD11+' الشركه 2018'!$CE11</f>
        <v>6893.4302884615372</v>
      </c>
      <c r="CG11" s="124" t="s">
        <v>620</v>
      </c>
      <c r="CH11" s="162">
        <f>SUMIF($C$4:C498,' الشركه 2018'!$CG11,$K$4:K498)</f>
        <v>107516.66666666667</v>
      </c>
      <c r="CI11" s="124">
        <v>1</v>
      </c>
      <c r="CJ11" s="162">
        <f>' الشركه 2018'!$CH11*' الشركه 2018'!$CI11</f>
        <v>107516.66666666667</v>
      </c>
      <c r="CK11" s="162">
        <f>' الشركه 2018'!$CJ11*8%</f>
        <v>8601.3333333333339</v>
      </c>
      <c r="CL11" s="162">
        <f>' الشركه 2018'!$CJ11*17%</f>
        <v>18277.833333333336</v>
      </c>
      <c r="CM11" s="162">
        <f>' الشركه 2018'!$CJ11*25%</f>
        <v>26879.166666666668</v>
      </c>
      <c r="CN11" s="162" t="s">
        <v>621</v>
      </c>
      <c r="CO11" s="162"/>
      <c r="CP11" s="163">
        <v>2000</v>
      </c>
      <c r="CQ11" s="164" t="e">
        <f>VLOOKUP(Table6[[#This Row],[الرقم الوظيفى]],[4]!Table3[#Data],26,FALSE)</f>
        <v>#REF!</v>
      </c>
      <c r="CR11" s="165">
        <v>4000</v>
      </c>
      <c r="CS11" s="124"/>
    </row>
    <row r="12" spans="1:97" ht="28" customHeight="1" thickTop="1" thickBot="1">
      <c r="A12" s="141">
        <v>18</v>
      </c>
      <c r="B12" s="142" t="s">
        <v>215</v>
      </c>
      <c r="C12" s="59" t="s">
        <v>90</v>
      </c>
      <c r="D12" s="143" t="s">
        <v>74</v>
      </c>
      <c r="E12" s="174" t="s">
        <v>622</v>
      </c>
      <c r="F12" s="143" t="s">
        <v>207</v>
      </c>
      <c r="G12" s="145">
        <v>39083</v>
      </c>
      <c r="H12" s="146">
        <v>6000</v>
      </c>
      <c r="I12" s="106">
        <f>Table6[[#This Row],[مرتب]]/30</f>
        <v>200</v>
      </c>
      <c r="J12" s="107">
        <v>30</v>
      </c>
      <c r="K12" s="107">
        <f t="shared" si="0"/>
        <v>6000</v>
      </c>
      <c r="L12" s="108">
        <v>6000</v>
      </c>
      <c r="M12" s="107">
        <f>Table6[[#This Row],[مرتب الضمان]]*17%</f>
        <v>1020.0000000000001</v>
      </c>
      <c r="N12" s="107">
        <f>' الشركه 2018'!$H12*35%</f>
        <v>2100</v>
      </c>
      <c r="O12" s="107">
        <f>' الشركه 2018'!$H12*32%</f>
        <v>1920</v>
      </c>
      <c r="P12" s="107">
        <f>' الشركه 2018'!$H12*12%</f>
        <v>720</v>
      </c>
      <c r="Q12" s="107">
        <f>' الشركه 2018'!$H12*13%</f>
        <v>780</v>
      </c>
      <c r="R12" s="107">
        <f>' الشركه 2018'!$H12*6%</f>
        <v>360</v>
      </c>
      <c r="S12" s="107">
        <f>' الشركه 2018'!$H12*2%</f>
        <v>120</v>
      </c>
      <c r="T12" s="107">
        <f>' الشركه 2018'!$O12+' الشركه 2018'!$P12+' الشركه 2018'!$Q12+' الشركه 2018'!$R12+' الشركه 2018'!$S12</f>
        <v>3900</v>
      </c>
      <c r="U12" s="109">
        <f>VLOOKUP(Table6[[#This Row],[الرقم الوظيفى]],[2]بالخصم!$B$1:$AK$1200,35,)</f>
        <v>0</v>
      </c>
      <c r="V12" s="147"/>
      <c r="W12" s="111">
        <f>Table6[[#This Row],[عدد ايام الاجازه]]*Table6[[#This Row],[ح راتب اليوم]]</f>
        <v>0</v>
      </c>
      <c r="X12" s="148"/>
      <c r="Y12" s="60"/>
      <c r="Z12" s="111">
        <f>Table6[[#This Row],[عدد ايام الجزاء]]*Table6[[#This Row],[ح راتب اليوم]]</f>
        <v>0</v>
      </c>
      <c r="AA12" s="112">
        <f>Table6[[#This Row],[مرتب]]*50%</f>
        <v>3000</v>
      </c>
      <c r="AB12" s="113" t="e">
        <f>VLOOKUP(Table6[[#This Row],[الرقم الوظيفى]],[3]!Table25289[#Data],23,)</f>
        <v>#REF!</v>
      </c>
      <c r="AC12" s="149"/>
      <c r="AD12" s="150"/>
      <c r="AE12" s="113" t="e">
        <f>VLOOKUP(Table6[[#This Row],[الرقم الوظيفى]],[3]!Table252894[#Data],22,)</f>
        <v>#REF!</v>
      </c>
      <c r="AF12" s="151"/>
      <c r="AG12" s="111">
        <f>' الشركه 2018'!$W12+' الشركه 2018'!$Z12+' الشركه 2018'!$AA12+' الشركه 2018'!$AC12+' الشركه 2018'!$AD12+' الشركه 2018'!$AF12</f>
        <v>3000</v>
      </c>
      <c r="AH12" s="111">
        <f>Table6[[#This Row],[راتب الضمان]]*8%</f>
        <v>480</v>
      </c>
      <c r="AI12" s="111">
        <f>' الشركه 2018'!$H12-' الشركه 2018'!$AG12-' الشركه 2018'!$AH12</f>
        <v>2520</v>
      </c>
      <c r="AJ12" s="111">
        <f>' الشركه 2018'!$CF12</f>
        <v>3401.5384615384619</v>
      </c>
      <c r="AK12" s="117">
        <f>' الشركه 2018'!$AI12+' الشركه 2018'!$AJ12</f>
        <v>5921.5384615384619</v>
      </c>
      <c r="AL12" s="152"/>
      <c r="AM12" s="153"/>
      <c r="AN12" s="9">
        <f>Table6[[#This Row],[اجمالى الاستحقاق]]-Table6[[#This Row],[Column2]]+Table6[[#This Row],[حوافز غير مستقره]]</f>
        <v>5921.5384615384619</v>
      </c>
      <c r="AO12" s="59"/>
      <c r="AP12" s="169"/>
      <c r="AQ12" s="176" t="s">
        <v>129</v>
      </c>
      <c r="AR12" s="124"/>
      <c r="AS12" s="155"/>
      <c r="AT12" s="170"/>
      <c r="AU12" s="124"/>
      <c r="AV12" s="124">
        <v>16</v>
      </c>
      <c r="AW12" s="124"/>
      <c r="AX12" s="124"/>
      <c r="AY12" s="124"/>
      <c r="AZ12" s="124"/>
      <c r="BA12" s="124"/>
      <c r="BB12" s="124"/>
      <c r="BC12" s="124">
        <v>12</v>
      </c>
      <c r="BD12" s="124"/>
      <c r="BE12" s="124"/>
      <c r="BF12" s="124"/>
      <c r="BG12" s="124">
        <v>8</v>
      </c>
      <c r="BH12" s="124">
        <v>8</v>
      </c>
      <c r="BI12" s="124">
        <v>8</v>
      </c>
      <c r="BJ12" s="124"/>
      <c r="BK12" s="124"/>
      <c r="BL12" s="124">
        <v>8</v>
      </c>
      <c r="BM12" s="124">
        <v>8</v>
      </c>
      <c r="BN12" s="124">
        <v>8</v>
      </c>
      <c r="BO12" s="124">
        <v>8</v>
      </c>
      <c r="BP12" s="124">
        <v>8</v>
      </c>
      <c r="BQ12" s="124"/>
      <c r="BR12" s="124">
        <v>8</v>
      </c>
      <c r="BS12" s="124">
        <v>8</v>
      </c>
      <c r="BT12" s="124"/>
      <c r="BU12" s="124"/>
      <c r="BV12" s="124"/>
      <c r="BW12" s="124"/>
      <c r="BX12" s="124"/>
      <c r="BY12" s="124"/>
      <c r="BZ12" s="159"/>
      <c r="CA12" s="160"/>
      <c r="CB1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80</v>
      </c>
      <c r="CC12" s="130">
        <f>Table6[[#This Row],[Friday, November 23, 2018]]+Table6[[#This Row],[Friday, November 30, 2018]]+Table6[[#This Row],[Friday, December 07, 2018]]+Table6[[#This Row],[Friday, December 14, 2018]]+Table6[[#This Row],[فروقات عطله]]</f>
        <v>28</v>
      </c>
      <c r="CD12" s="131">
        <f>' الشركه 2018'!$H12*67%*1.5*' الشركه 2018'!$CB12/208</f>
        <v>2319.2307692307695</v>
      </c>
      <c r="CE12" s="132">
        <f>' الشركه 2018'!$H12*67%*2*' الشركه 2018'!$CC12/208</f>
        <v>1082.3076923076924</v>
      </c>
      <c r="CF12" s="133">
        <f>' الشركه 2018'!$CD12+' الشركه 2018'!$CE12</f>
        <v>3401.5384615384619</v>
      </c>
      <c r="CG12" s="124"/>
      <c r="CH12" s="177">
        <f>SUMIF(C12:C203,' الشركه 2018'!$CG13,L12:L203)</f>
        <v>0</v>
      </c>
      <c r="CI12" s="124"/>
      <c r="CJ12" s="162">
        <f>' الشركه 2018'!$CH12*' الشركه 2018'!$CI12</f>
        <v>0</v>
      </c>
      <c r="CK12" s="162">
        <f>' الشركه 2018'!$CJ12*8%</f>
        <v>0</v>
      </c>
      <c r="CL12" s="162">
        <f>' الشركه 2018'!$CJ12*17%</f>
        <v>0</v>
      </c>
      <c r="CM12" s="162">
        <f>' الشركه 2018'!$CJ12*25%</f>
        <v>0</v>
      </c>
      <c r="CN12" s="162" t="s">
        <v>623</v>
      </c>
      <c r="CO12" s="162"/>
      <c r="CP12" s="163">
        <v>500</v>
      </c>
      <c r="CQ12" s="164" t="e">
        <f>VLOOKUP(Table6[[#This Row],[الرقم الوظيفى]],[4]!Table3[#Data],26,FALSE)</f>
        <v>#REF!</v>
      </c>
      <c r="CR12" s="165">
        <v>500</v>
      </c>
      <c r="CS12" s="124"/>
    </row>
    <row r="13" spans="1:97" ht="28" customHeight="1" thickTop="1" thickBot="1">
      <c r="A13" s="141">
        <v>19</v>
      </c>
      <c r="B13" s="142" t="s">
        <v>190</v>
      </c>
      <c r="C13" s="59" t="s">
        <v>90</v>
      </c>
      <c r="D13" s="143" t="s">
        <v>74</v>
      </c>
      <c r="E13" s="174" t="s">
        <v>622</v>
      </c>
      <c r="F13" s="143" t="s">
        <v>207</v>
      </c>
      <c r="G13" s="145">
        <v>39083</v>
      </c>
      <c r="H13" s="146">
        <v>8000</v>
      </c>
      <c r="I13" s="106">
        <f>Table6[[#This Row],[مرتب]]/30</f>
        <v>266.66666666666669</v>
      </c>
      <c r="J13" s="107">
        <v>30</v>
      </c>
      <c r="K13" s="107">
        <f t="shared" si="0"/>
        <v>8000.0000000000009</v>
      </c>
      <c r="L13" s="108">
        <v>8000</v>
      </c>
      <c r="M13" s="107">
        <f>Table6[[#This Row],[مرتب الضمان]]*17%</f>
        <v>1360</v>
      </c>
      <c r="N13" s="107">
        <f>' الشركه 2018'!$H13*35%</f>
        <v>2800</v>
      </c>
      <c r="O13" s="107">
        <f>' الشركه 2018'!$H13*32%</f>
        <v>2560</v>
      </c>
      <c r="P13" s="107">
        <f>' الشركه 2018'!$H13*12%</f>
        <v>960</v>
      </c>
      <c r="Q13" s="107">
        <f>' الشركه 2018'!$H13*13%</f>
        <v>1040</v>
      </c>
      <c r="R13" s="107">
        <f>' الشركه 2018'!$H13*6%</f>
        <v>480</v>
      </c>
      <c r="S13" s="107">
        <f>' الشركه 2018'!$H13*2%</f>
        <v>160</v>
      </c>
      <c r="T13" s="107">
        <f>' الشركه 2018'!$O13+' الشركه 2018'!$P13+' الشركه 2018'!$Q13+' الشركه 2018'!$R13+' الشركه 2018'!$S13</f>
        <v>5200</v>
      </c>
      <c r="U13" s="109">
        <f>VLOOKUP(Table6[[#This Row],[الرقم الوظيفى]],[2]بالخصم!$B$1:$AK$1200,35,)</f>
        <v>0</v>
      </c>
      <c r="V13" s="147"/>
      <c r="W13" s="111">
        <f>Table6[[#This Row],[عدد ايام الاجازه]]*Table6[[#This Row],[ح راتب اليوم]]</f>
        <v>0</v>
      </c>
      <c r="X13" s="148"/>
      <c r="Y13" s="60"/>
      <c r="Z13" s="111">
        <f>Table6[[#This Row],[عدد ايام الجزاء]]*Table6[[#This Row],[ح راتب اليوم]]</f>
        <v>0</v>
      </c>
      <c r="AA13" s="112">
        <f>Table6[[#This Row],[مرتب]]*50%</f>
        <v>4000</v>
      </c>
      <c r="AB13" s="113" t="e">
        <f>VLOOKUP(Table6[[#This Row],[الرقم الوظيفى]],[3]!Table25289[#Data],23,)</f>
        <v>#REF!</v>
      </c>
      <c r="AC13" s="149"/>
      <c r="AD13" s="150"/>
      <c r="AE13" s="113" t="e">
        <f>VLOOKUP(Table6[[#This Row],[الرقم الوظيفى]],[3]!Table252894[#Data],22,)</f>
        <v>#REF!</v>
      </c>
      <c r="AF13" s="151"/>
      <c r="AG13" s="111">
        <f>' الشركه 2018'!$W13+' الشركه 2018'!$Z13+' الشركه 2018'!$AA13+' الشركه 2018'!$AC13+' الشركه 2018'!$AD13+' الشركه 2018'!$AF13</f>
        <v>4000</v>
      </c>
      <c r="AH13" s="111">
        <f>Table6[[#This Row],[راتب الضمان]]*8%</f>
        <v>640.00000000000011</v>
      </c>
      <c r="AI13" s="111">
        <f>' الشركه 2018'!$H13-' الشركه 2018'!$AG13-' الشركه 2018'!$AH13</f>
        <v>3360</v>
      </c>
      <c r="AJ13" s="111">
        <f>' الشركه 2018'!$CF13</f>
        <v>0</v>
      </c>
      <c r="AK13" s="117">
        <f>' الشركه 2018'!$AI13+' الشركه 2018'!$AJ13</f>
        <v>3360</v>
      </c>
      <c r="AL13" s="152"/>
      <c r="AM13" s="153"/>
      <c r="AN13" s="9">
        <f>Table6[[#This Row],[اجمالى الاستحقاق]]-Table6[[#This Row],[Column2]]+Table6[[#This Row],[حوافز غير مستقره]]</f>
        <v>3360</v>
      </c>
      <c r="AO13" s="59"/>
      <c r="AP13" s="169"/>
      <c r="AQ13" s="176" t="s">
        <v>72</v>
      </c>
      <c r="AR13" s="124"/>
      <c r="AS13" s="155"/>
      <c r="AT13" s="170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71"/>
      <c r="CA13" s="172"/>
      <c r="CB1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3" s="131">
        <f>' الشركه 2018'!$H13*67%*1.5*' الشركه 2018'!$CB13/208</f>
        <v>0</v>
      </c>
      <c r="CE13" s="132">
        <f>' الشركه 2018'!$H13*67%*2*' الشركه 2018'!$CC13/208</f>
        <v>0</v>
      </c>
      <c r="CF13" s="133">
        <f>' الشركه 2018'!$CD13+' الشركه 2018'!$CE13</f>
        <v>0</v>
      </c>
      <c r="CG13" s="124"/>
      <c r="CH13" s="177">
        <f>SUMIF(C13:C203,' الشركه 2018'!$CG14,L13:L203)</f>
        <v>0</v>
      </c>
      <c r="CI13" s="124"/>
      <c r="CJ13" s="162">
        <f>' الشركه 2018'!$CH13*' الشركه 2018'!$CI13</f>
        <v>0</v>
      </c>
      <c r="CK13" s="162">
        <f>' الشركه 2018'!$CJ13*8%</f>
        <v>0</v>
      </c>
      <c r="CL13" s="162">
        <f>' الشركه 2018'!$CJ13*17%</f>
        <v>0</v>
      </c>
      <c r="CM13" s="162">
        <f>' الشركه 2018'!$CJ13*25%</f>
        <v>0</v>
      </c>
      <c r="CN13" s="162" t="s">
        <v>624</v>
      </c>
      <c r="CO13" s="162"/>
      <c r="CP13" s="163">
        <v>300</v>
      </c>
      <c r="CQ13" s="164" t="e">
        <f>VLOOKUP(Table6[[#This Row],[الرقم الوظيفى]],[4]!Table3[#Data],26,FALSE)</f>
        <v>#REF!</v>
      </c>
      <c r="CR13" s="165">
        <v>300</v>
      </c>
      <c r="CS13" s="124"/>
    </row>
    <row r="14" spans="1:97" ht="28" customHeight="1" thickTop="1" thickBot="1">
      <c r="A14" s="141">
        <v>20</v>
      </c>
      <c r="B14" s="142" t="s">
        <v>211</v>
      </c>
      <c r="C14" s="59" t="s">
        <v>90</v>
      </c>
      <c r="D14" s="143" t="s">
        <v>74</v>
      </c>
      <c r="E14" s="174" t="s">
        <v>622</v>
      </c>
      <c r="F14" s="143" t="s">
        <v>205</v>
      </c>
      <c r="G14" s="145">
        <v>39083</v>
      </c>
      <c r="H14" s="146">
        <v>5050</v>
      </c>
      <c r="I14" s="106">
        <f>Table6[[#This Row],[مرتب]]/30</f>
        <v>168.33333333333334</v>
      </c>
      <c r="J14" s="107">
        <v>30</v>
      </c>
      <c r="K14" s="107">
        <f t="shared" si="0"/>
        <v>5050</v>
      </c>
      <c r="L14" s="108">
        <v>5050</v>
      </c>
      <c r="M14" s="107">
        <f>Table6[[#This Row],[مرتب الضمان]]*17%</f>
        <v>858.50000000000011</v>
      </c>
      <c r="N14" s="107">
        <f>' الشركه 2018'!$H14*35%</f>
        <v>1767.5</v>
      </c>
      <c r="O14" s="107">
        <f>' الشركه 2018'!$H14*32%</f>
        <v>1616</v>
      </c>
      <c r="P14" s="107">
        <f>' الشركه 2018'!$H14*12%</f>
        <v>606</v>
      </c>
      <c r="Q14" s="107">
        <f>' الشركه 2018'!$H14*13%</f>
        <v>656.5</v>
      </c>
      <c r="R14" s="107">
        <f>' الشركه 2018'!$H14*6%</f>
        <v>303</v>
      </c>
      <c r="S14" s="107">
        <f>' الشركه 2018'!$H14*2%</f>
        <v>101</v>
      </c>
      <c r="T14" s="107">
        <f>' الشركه 2018'!$O14+' الشركه 2018'!$P14+' الشركه 2018'!$Q14+' الشركه 2018'!$R14+' الشركه 2018'!$S14</f>
        <v>3282.5</v>
      </c>
      <c r="U14" s="109">
        <f>VLOOKUP(Table6[[#This Row],[الرقم الوظيفى]],[2]بالخصم!$B$1:$AK$1200,35,)</f>
        <v>0</v>
      </c>
      <c r="V14" s="147"/>
      <c r="W14" s="111">
        <f>Table6[[#This Row],[عدد ايام الاجازه]]*Table6[[#This Row],[ح راتب اليوم]]</f>
        <v>0</v>
      </c>
      <c r="X14" s="148"/>
      <c r="Y14" s="60"/>
      <c r="Z14" s="111">
        <f>Table6[[#This Row],[عدد ايام الجزاء]]*Table6[[#This Row],[ح راتب اليوم]]</f>
        <v>0</v>
      </c>
      <c r="AA14" s="112">
        <f>Table6[[#This Row],[مرتب]]*50%</f>
        <v>2525</v>
      </c>
      <c r="AB14" s="113" t="e">
        <f>VLOOKUP(Table6[[#This Row],[الرقم الوظيفى]],[3]!Table25289[#Data],23,)</f>
        <v>#REF!</v>
      </c>
      <c r="AC14" s="149"/>
      <c r="AD14" s="150"/>
      <c r="AE14" s="113" t="e">
        <f>VLOOKUP(Table6[[#This Row],[الرقم الوظيفى]],[3]!Table252894[#Data],22,)</f>
        <v>#REF!</v>
      </c>
      <c r="AF14" s="151"/>
      <c r="AG14" s="111">
        <f>' الشركه 2018'!$W14+' الشركه 2018'!$Z14+' الشركه 2018'!$AA14+' الشركه 2018'!$AC14+' الشركه 2018'!$AD14+' الشركه 2018'!$AF14</f>
        <v>2525</v>
      </c>
      <c r="AH14" s="111">
        <f>Table6[[#This Row],[راتب الضمان]]*8%</f>
        <v>404</v>
      </c>
      <c r="AI14" s="111">
        <f>' الشركه 2018'!$H14-' الشركه 2018'!$AG14-' الشركه 2018'!$AH14</f>
        <v>2121</v>
      </c>
      <c r="AJ14" s="111">
        <f>' الشركه 2018'!$CF14</f>
        <v>390.40384615384613</v>
      </c>
      <c r="AK14" s="117">
        <f>' الشركه 2018'!$AI14+' الشركه 2018'!$AJ14</f>
        <v>2511.4038461538462</v>
      </c>
      <c r="AL14" s="152"/>
      <c r="AM14" s="153"/>
      <c r="AN14" s="9">
        <f>Table6[[#This Row],[اجمالى الاستحقاق]]-Table6[[#This Row],[Column2]]+Table6[[#This Row],[حوافز غير مستقره]]</f>
        <v>2511.4038461538462</v>
      </c>
      <c r="AO14" s="59"/>
      <c r="AP14" s="169"/>
      <c r="AQ14" s="176"/>
      <c r="AR14" s="124"/>
      <c r="AS14" s="155"/>
      <c r="AT14" s="170"/>
      <c r="AU14" s="124"/>
      <c r="AV14" s="124"/>
      <c r="AW14" s="124"/>
      <c r="AX14" s="124"/>
      <c r="AY14" s="124"/>
      <c r="AZ14" s="124"/>
      <c r="BA14" s="124"/>
      <c r="BB14" s="124"/>
      <c r="BC14" s="124">
        <v>12</v>
      </c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59"/>
      <c r="CA14" s="160"/>
      <c r="CB1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4" s="131">
        <f>' الشركه 2018'!$H14*67%*1.5*' الشركه 2018'!$CB14/208</f>
        <v>0</v>
      </c>
      <c r="CE14" s="132">
        <f>' الشركه 2018'!$H14*67%*2*' الشركه 2018'!$CC14/208</f>
        <v>390.40384615384613</v>
      </c>
      <c r="CF14" s="133">
        <f>' الشركه 2018'!$CD14+' الشركه 2018'!$CE14</f>
        <v>390.40384615384613</v>
      </c>
      <c r="CG14" s="124"/>
      <c r="CH14" s="177">
        <f>SUMIF(C14:C204,' الشركه 2018'!$CG15,L14:L204)</f>
        <v>0</v>
      </c>
      <c r="CI14" s="124"/>
      <c r="CJ14" s="162">
        <f>' الشركه 2018'!$CH14*' الشركه 2018'!$CI14</f>
        <v>0</v>
      </c>
      <c r="CK14" s="162">
        <f>' الشركه 2018'!$CJ14*8%</f>
        <v>0</v>
      </c>
      <c r="CL14" s="162">
        <f>' الشركه 2018'!$CJ14*17%</f>
        <v>0</v>
      </c>
      <c r="CM14" s="162">
        <f>' الشركه 2018'!$CJ14*25%</f>
        <v>0</v>
      </c>
      <c r="CN14" s="162" t="s">
        <v>625</v>
      </c>
      <c r="CO14" s="162"/>
      <c r="CP14" s="163">
        <v>1200</v>
      </c>
      <c r="CQ14" s="164" t="e">
        <f>VLOOKUP(Table6[[#This Row],[الرقم الوظيفى]],[4]!Table3[#Data],26,FALSE)</f>
        <v>#REF!</v>
      </c>
      <c r="CR14" s="165">
        <v>2000</v>
      </c>
      <c r="CS14" s="124"/>
    </row>
    <row r="15" spans="1:97" ht="28" customHeight="1" thickTop="1" thickBot="1">
      <c r="A15" s="141">
        <v>21</v>
      </c>
      <c r="B15" s="142" t="s">
        <v>626</v>
      </c>
      <c r="C15" s="59" t="s">
        <v>90</v>
      </c>
      <c r="D15" s="143" t="s">
        <v>83</v>
      </c>
      <c r="E15" s="174" t="s">
        <v>627</v>
      </c>
      <c r="F15" s="143" t="s">
        <v>435</v>
      </c>
      <c r="G15" s="145">
        <v>39083</v>
      </c>
      <c r="H15" s="146">
        <v>4580</v>
      </c>
      <c r="I15" s="106">
        <f>Table6[[#This Row],[مرتب]]/30</f>
        <v>152.66666666666666</v>
      </c>
      <c r="J15" s="107">
        <v>30</v>
      </c>
      <c r="K15" s="107">
        <f t="shared" si="0"/>
        <v>4580</v>
      </c>
      <c r="L15" s="108">
        <v>4580</v>
      </c>
      <c r="M15" s="107">
        <f>Table6[[#This Row],[مرتب الضمان]]*17%</f>
        <v>778.6</v>
      </c>
      <c r="N15" s="107">
        <f>' الشركه 2018'!$H15*35%</f>
        <v>1603</v>
      </c>
      <c r="O15" s="107">
        <f>' الشركه 2018'!$H15*32%</f>
        <v>1465.6000000000001</v>
      </c>
      <c r="P15" s="107">
        <f>' الشركه 2018'!$H15*12%</f>
        <v>549.6</v>
      </c>
      <c r="Q15" s="107">
        <f>' الشركه 2018'!$H15*13%</f>
        <v>595.4</v>
      </c>
      <c r="R15" s="107">
        <f>' الشركه 2018'!$H15*6%</f>
        <v>274.8</v>
      </c>
      <c r="S15" s="107">
        <f>' الشركه 2018'!$H15*2%</f>
        <v>91.600000000000009</v>
      </c>
      <c r="T15" s="107">
        <f>' الشركه 2018'!$O15+' الشركه 2018'!$P15+' الشركه 2018'!$Q15+' الشركه 2018'!$R15+' الشركه 2018'!$S15</f>
        <v>2977.0000000000005</v>
      </c>
      <c r="U15" s="109">
        <f>VLOOKUP(Table6[[#This Row],[الرقم الوظيفى]],[2]بالخصم!$B$1:$AK$1200,35,)</f>
        <v>0</v>
      </c>
      <c r="V15" s="147"/>
      <c r="W15" s="111">
        <f>Table6[[#This Row],[عدد ايام الاجازه]]*Table6[[#This Row],[ح راتب اليوم]]</f>
        <v>0</v>
      </c>
      <c r="X15" s="148"/>
      <c r="Y15" s="60"/>
      <c r="Z15" s="111">
        <f>Table6[[#This Row],[عدد ايام الجزاء]]*Table6[[#This Row],[ح راتب اليوم]]</f>
        <v>0</v>
      </c>
      <c r="AA15" s="112">
        <f>Table6[[#This Row],[مرتب]]*50%</f>
        <v>2290</v>
      </c>
      <c r="AB15" s="113" t="e">
        <f>VLOOKUP(Table6[[#This Row],[الرقم الوظيفى]],[3]!Table25289[#Data],23,)</f>
        <v>#REF!</v>
      </c>
      <c r="AC15" s="149"/>
      <c r="AD15" s="150"/>
      <c r="AE15" s="113" t="e">
        <f>VLOOKUP(Table6[[#This Row],[الرقم الوظيفى]],[3]!Table252894[#Data],22,)</f>
        <v>#REF!</v>
      </c>
      <c r="AF15" s="151"/>
      <c r="AG15" s="111">
        <f>' الشركه 2018'!$W15+' الشركه 2018'!$Z15+' الشركه 2018'!$AA15+' الشركه 2018'!$AC15+' الشركه 2018'!$AD15+' الشركه 2018'!$AF15</f>
        <v>2290</v>
      </c>
      <c r="AH15" s="111">
        <f>Table6[[#This Row],[راتب الضمان]]*8%</f>
        <v>366.40000000000003</v>
      </c>
      <c r="AI15" s="111">
        <f>' الشركه 2018'!$H15-' الشركه 2018'!$AG15-' الشركه 2018'!$AH15</f>
        <v>1923.6</v>
      </c>
      <c r="AJ15" s="111">
        <f>' الشركه 2018'!$CF15</f>
        <v>3806.2442307692313</v>
      </c>
      <c r="AK15" s="117">
        <f>' الشركه 2018'!$AI15+' الشركه 2018'!$AJ15</f>
        <v>5729.8442307692312</v>
      </c>
      <c r="AL15" s="152"/>
      <c r="AM15" s="153"/>
      <c r="AN15" s="9">
        <f>Table6[[#This Row],[اجمالى الاستحقاق]]-Table6[[#This Row],[Column2]]+Table6[[#This Row],[حوافز غير مستقره]]</f>
        <v>5729.8442307692312</v>
      </c>
      <c r="AO15" s="59"/>
      <c r="AP15" s="169"/>
      <c r="AQ15" s="176"/>
      <c r="AR15" s="124"/>
      <c r="AS15" s="155"/>
      <c r="AT15" s="170">
        <v>8</v>
      </c>
      <c r="AU15" s="124"/>
      <c r="AV15" s="124">
        <v>24</v>
      </c>
      <c r="AW15" s="124">
        <v>8</v>
      </c>
      <c r="AX15" s="124">
        <v>8</v>
      </c>
      <c r="AY15" s="124"/>
      <c r="AZ15" s="124"/>
      <c r="BA15" s="124"/>
      <c r="BB15" s="124"/>
      <c r="BC15" s="124">
        <v>24</v>
      </c>
      <c r="BD15" s="124"/>
      <c r="BE15" s="124"/>
      <c r="BF15" s="124"/>
      <c r="BG15" s="124"/>
      <c r="BH15" s="124"/>
      <c r="BI15" s="124"/>
      <c r="BJ15" s="124">
        <v>24</v>
      </c>
      <c r="BK15" s="124"/>
      <c r="BL15" s="124">
        <v>8</v>
      </c>
      <c r="BM15" s="124">
        <v>8</v>
      </c>
      <c r="BN15" s="124">
        <v>8</v>
      </c>
      <c r="BO15" s="124">
        <v>8</v>
      </c>
      <c r="BP15" s="124">
        <v>8</v>
      </c>
      <c r="BQ15" s="124"/>
      <c r="BR15" s="124"/>
      <c r="BS15" s="124">
        <v>8</v>
      </c>
      <c r="BT15" s="124">
        <v>4</v>
      </c>
      <c r="BU15" s="124"/>
      <c r="BV15" s="124"/>
      <c r="BW15" s="124"/>
      <c r="BX15" s="124"/>
      <c r="BY15" s="124"/>
      <c r="BZ15" s="159"/>
      <c r="CA15" s="160"/>
      <c r="CB1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76</v>
      </c>
      <c r="CC15" s="130">
        <f>Table6[[#This Row],[Friday, November 23, 2018]]+Table6[[#This Row],[Friday, November 30, 2018]]+Table6[[#This Row],[Friday, December 07, 2018]]+Table6[[#This Row],[Friday, December 14, 2018]]+Table6[[#This Row],[فروقات عطله]]</f>
        <v>72</v>
      </c>
      <c r="CD15" s="131">
        <f>' الشركه 2018'!$H15*67%*1.5*' الشركه 2018'!$CB15/208</f>
        <v>1681.8288461538464</v>
      </c>
      <c r="CE15" s="132">
        <f>' الشركه 2018'!$H15*67%*2*' الشركه 2018'!$CC15/208</f>
        <v>2124.4153846153849</v>
      </c>
      <c r="CF15" s="133">
        <f>' الشركه 2018'!$CD15+' الشركه 2018'!$CE15</f>
        <v>3806.2442307692313</v>
      </c>
      <c r="CG15" s="124"/>
      <c r="CH15" s="177">
        <f>SUMIF(C15:C204,' الشركه 2018'!$CG16,L15:L204)</f>
        <v>0</v>
      </c>
      <c r="CI15" s="124"/>
      <c r="CJ15" s="162">
        <f>' الشركه 2018'!$CH15*' الشركه 2018'!$CI15</f>
        <v>0</v>
      </c>
      <c r="CK15" s="162">
        <f>' الشركه 2018'!$CJ15*8%</f>
        <v>0</v>
      </c>
      <c r="CL15" s="162">
        <f>' الشركه 2018'!$CJ15*17%</f>
        <v>0</v>
      </c>
      <c r="CM15" s="162">
        <f>' الشركه 2018'!$CJ15*25%</f>
        <v>0</v>
      </c>
      <c r="CN15" s="162" t="s">
        <v>628</v>
      </c>
      <c r="CO15" s="162"/>
      <c r="CP15" s="163"/>
      <c r="CQ15" s="164" t="e">
        <f>VLOOKUP(Table6[[#This Row],[الرقم الوظيفى]],[4]!Table3[#Data],26,FALSE)</f>
        <v>#REF!</v>
      </c>
      <c r="CR15" s="165">
        <v>2000</v>
      </c>
      <c r="CS15" s="124"/>
    </row>
    <row r="16" spans="1:97" ht="28" customHeight="1" thickTop="1" thickBot="1">
      <c r="A16" s="141">
        <v>22</v>
      </c>
      <c r="B16" s="142" t="s">
        <v>213</v>
      </c>
      <c r="C16" s="59" t="s">
        <v>90</v>
      </c>
      <c r="D16" s="143" t="s">
        <v>74</v>
      </c>
      <c r="E16" s="174" t="s">
        <v>629</v>
      </c>
      <c r="F16" s="143" t="s">
        <v>207</v>
      </c>
      <c r="G16" s="145">
        <v>39083</v>
      </c>
      <c r="H16" s="146">
        <v>5090</v>
      </c>
      <c r="I16" s="106">
        <f>Table6[[#This Row],[مرتب]]/30</f>
        <v>169.66666666666666</v>
      </c>
      <c r="J16" s="107">
        <v>30</v>
      </c>
      <c r="K16" s="107">
        <f t="shared" si="0"/>
        <v>0</v>
      </c>
      <c r="L16" s="108">
        <v>0</v>
      </c>
      <c r="M16" s="107">
        <f>Table6[[#This Row],[مرتب الضمان]]*17%</f>
        <v>0</v>
      </c>
      <c r="N16" s="107">
        <f>' الشركه 2018'!$H16*35%</f>
        <v>1781.5</v>
      </c>
      <c r="O16" s="107">
        <f>' الشركه 2018'!$H16*32%</f>
        <v>1628.8</v>
      </c>
      <c r="P16" s="107">
        <f>' الشركه 2018'!$H16*12%</f>
        <v>610.79999999999995</v>
      </c>
      <c r="Q16" s="107">
        <f>' الشركه 2018'!$H16*13%</f>
        <v>661.7</v>
      </c>
      <c r="R16" s="107">
        <f>' الشركه 2018'!$H16*6%</f>
        <v>305.39999999999998</v>
      </c>
      <c r="S16" s="107">
        <f>' الشركه 2018'!$H16*2%</f>
        <v>101.8</v>
      </c>
      <c r="T16" s="107">
        <f>' الشركه 2018'!$O16+' الشركه 2018'!$P16+' الشركه 2018'!$Q16+' الشركه 2018'!$R16+' الشركه 2018'!$S16</f>
        <v>3308.5000000000005</v>
      </c>
      <c r="U16" s="109">
        <f>VLOOKUP(Table6[[#This Row],[الرقم الوظيفى]],[2]بالخصم!$B$1:$AK$1200,35,)</f>
        <v>0</v>
      </c>
      <c r="V16" s="147"/>
      <c r="W16" s="111">
        <f>Table6[[#This Row],[عدد ايام الاجازه]]*Table6[[#This Row],[ح راتب اليوم]]</f>
        <v>0</v>
      </c>
      <c r="X16" s="148"/>
      <c r="Y16" s="60"/>
      <c r="Z16" s="111">
        <f>Table6[[#This Row],[عدد ايام الجزاء]]*Table6[[#This Row],[ح راتب اليوم]]</f>
        <v>0</v>
      </c>
      <c r="AA16" s="112">
        <f>Table6[[#This Row],[مرتب]]*50%</f>
        <v>2545</v>
      </c>
      <c r="AB16" s="113" t="e">
        <f>VLOOKUP(Table6[[#This Row],[الرقم الوظيفى]],[3]!Table25289[#Data],23,)</f>
        <v>#REF!</v>
      </c>
      <c r="AC16" s="149"/>
      <c r="AD16" s="150"/>
      <c r="AE16" s="113" t="e">
        <f>VLOOKUP(Table6[[#This Row],[الرقم الوظيفى]],[3]!Table252894[#Data],22,)</f>
        <v>#REF!</v>
      </c>
      <c r="AF16" s="151"/>
      <c r="AG16" s="111">
        <f>' الشركه 2018'!$W16+' الشركه 2018'!$Z16+' الشركه 2018'!$AA16+' الشركه 2018'!$AC16+' الشركه 2018'!$AD16+' الشركه 2018'!$AF16</f>
        <v>2545</v>
      </c>
      <c r="AH16" s="111">
        <f>Table6[[#This Row],[راتب الضمان]]*8%</f>
        <v>0</v>
      </c>
      <c r="AI16" s="111">
        <f>' الشركه 2018'!$H16-' الشركه 2018'!$AG16-' الشركه 2018'!$AH16</f>
        <v>2545</v>
      </c>
      <c r="AJ16" s="111">
        <f>' الشركه 2018'!$CF16</f>
        <v>393.4961538461539</v>
      </c>
      <c r="AK16" s="117">
        <f>' الشركه 2018'!$AI16+' الشركه 2018'!$AJ16</f>
        <v>2938.4961538461539</v>
      </c>
      <c r="AL16" s="152"/>
      <c r="AM16" s="153"/>
      <c r="AN16" s="9">
        <f>Table6[[#This Row],[اجمالى الاستحقاق]]-Table6[[#This Row],[Column2]]+Table6[[#This Row],[حوافز غير مستقره]]</f>
        <v>2938.4961538461539</v>
      </c>
      <c r="AO16" s="59"/>
      <c r="AP16" s="169"/>
      <c r="AQ16" s="176"/>
      <c r="AR16" s="124"/>
      <c r="AS16" s="155"/>
      <c r="AT16" s="170"/>
      <c r="AU16" s="124"/>
      <c r="AV16" s="124"/>
      <c r="AW16" s="124"/>
      <c r="AX16" s="124"/>
      <c r="AY16" s="124"/>
      <c r="AZ16" s="124"/>
      <c r="BA16" s="124"/>
      <c r="BB16" s="124"/>
      <c r="BC16" s="124">
        <v>12</v>
      </c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59"/>
      <c r="CA16" s="160"/>
      <c r="CB1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6" s="131">
        <f>' الشركه 2018'!$H16*67%*1.5*' الشركه 2018'!$CB16/208</f>
        <v>0</v>
      </c>
      <c r="CE16" s="132">
        <f>' الشركه 2018'!$H16*67%*2*' الشركه 2018'!$CC16/208</f>
        <v>393.4961538461539</v>
      </c>
      <c r="CF16" s="133">
        <f>' الشركه 2018'!$CD16+' الشركه 2018'!$CE16</f>
        <v>393.4961538461539</v>
      </c>
      <c r="CG16" s="124"/>
      <c r="CH16" s="177">
        <f>SUMIF(C16:C205,' الشركه 2018'!$CG17,L16:L205)</f>
        <v>0</v>
      </c>
      <c r="CI16" s="124"/>
      <c r="CJ16" s="162">
        <f>' الشركه 2018'!$CH16*' الشركه 2018'!$CI16</f>
        <v>0</v>
      </c>
      <c r="CK16" s="162">
        <f>' الشركه 2018'!$CJ16*8%</f>
        <v>0</v>
      </c>
      <c r="CL16" s="162">
        <f>' الشركه 2018'!$CJ16*17%</f>
        <v>0</v>
      </c>
      <c r="CM16" s="162">
        <f>' الشركه 2018'!$CJ16*25%</f>
        <v>0</v>
      </c>
      <c r="CN16" s="162" t="s">
        <v>630</v>
      </c>
      <c r="CO16" s="162"/>
      <c r="CP16" s="163">
        <v>700</v>
      </c>
      <c r="CQ16" s="164" t="e">
        <f>VLOOKUP(Table6[[#This Row],[الرقم الوظيفى]],[4]!Table3[#Data],26,FALSE)</f>
        <v>#REF!</v>
      </c>
      <c r="CR16" s="165">
        <v>1000</v>
      </c>
      <c r="CS16" s="124"/>
    </row>
    <row r="17" spans="1:97" ht="28" customHeight="1" thickTop="1" thickBot="1">
      <c r="A17" s="167">
        <v>25</v>
      </c>
      <c r="B17" s="142" t="s">
        <v>162</v>
      </c>
      <c r="C17" s="59" t="s">
        <v>90</v>
      </c>
      <c r="D17" s="143" t="s">
        <v>70</v>
      </c>
      <c r="E17" s="174" t="s">
        <v>117</v>
      </c>
      <c r="F17" s="143" t="s">
        <v>117</v>
      </c>
      <c r="G17" s="145">
        <v>39083</v>
      </c>
      <c r="H17" s="146">
        <v>4590</v>
      </c>
      <c r="I17" s="106">
        <f>Table6[[#This Row],[مرتب]]/30</f>
        <v>153</v>
      </c>
      <c r="J17" s="107">
        <v>30</v>
      </c>
      <c r="K17" s="107">
        <f t="shared" si="0"/>
        <v>4590</v>
      </c>
      <c r="L17" s="108">
        <v>4590</v>
      </c>
      <c r="M17" s="107">
        <f>Table6[[#This Row],[مرتب الضمان]]*17%</f>
        <v>780.30000000000007</v>
      </c>
      <c r="N17" s="107">
        <f>' الشركه 2018'!$H17*35%</f>
        <v>1606.5</v>
      </c>
      <c r="O17" s="107">
        <f>' الشركه 2018'!$H17*32%</f>
        <v>1468.8</v>
      </c>
      <c r="P17" s="107">
        <f>' الشركه 2018'!$H17*12%</f>
        <v>550.79999999999995</v>
      </c>
      <c r="Q17" s="107">
        <f>' الشركه 2018'!$H17*13%</f>
        <v>596.70000000000005</v>
      </c>
      <c r="R17" s="107">
        <f>' الشركه 2018'!$H17*6%</f>
        <v>275.39999999999998</v>
      </c>
      <c r="S17" s="107">
        <f>' الشركه 2018'!$H17*2%</f>
        <v>91.8</v>
      </c>
      <c r="T17" s="107">
        <f>' الشركه 2018'!$O17+' الشركه 2018'!$P17+' الشركه 2018'!$Q17+' الشركه 2018'!$R17+' الشركه 2018'!$S17</f>
        <v>2983.5000000000005</v>
      </c>
      <c r="U17" s="109">
        <f>VLOOKUP(Table6[[#This Row],[الرقم الوظيفى]],[2]بالخصم!$B$1:$AK$1200,35,)</f>
        <v>0</v>
      </c>
      <c r="V17" s="147"/>
      <c r="W17" s="111">
        <f>Table6[[#This Row],[عدد ايام الاجازه]]*Table6[[#This Row],[ح راتب اليوم]]</f>
        <v>0</v>
      </c>
      <c r="X17" s="148"/>
      <c r="Y17" s="60"/>
      <c r="Z17" s="111">
        <f>Table6[[#This Row],[عدد ايام الجزاء]]*Table6[[#This Row],[ح راتب اليوم]]</f>
        <v>0</v>
      </c>
      <c r="AA17" s="112">
        <f>Table6[[#This Row],[مرتب]]*50%</f>
        <v>2295</v>
      </c>
      <c r="AB17" s="113" t="e">
        <f>VLOOKUP(Table6[[#This Row],[الرقم الوظيفى]],[3]!Table25289[#Data],23,)</f>
        <v>#REF!</v>
      </c>
      <c r="AC17" s="149">
        <v>300</v>
      </c>
      <c r="AD17" s="168"/>
      <c r="AE17" s="113" t="e">
        <f>VLOOKUP(Table6[[#This Row],[الرقم الوظيفى]],[3]!Table252894[#Data],22,)</f>
        <v>#REF!</v>
      </c>
      <c r="AF17" s="151"/>
      <c r="AG17" s="111">
        <f>' الشركه 2018'!$W17+' الشركه 2018'!$Z17+' الشركه 2018'!$AA17+' الشركه 2018'!$AC17+' الشركه 2018'!$AD17+' الشركه 2018'!$AF17</f>
        <v>2595</v>
      </c>
      <c r="AH17" s="111">
        <f>Table6[[#This Row],[راتب الضمان]]*8%</f>
        <v>367.2</v>
      </c>
      <c r="AI17" s="111">
        <f>' الشركه 2018'!$H17-' الشركه 2018'!$AG17-' الشركه 2018'!$AH17</f>
        <v>1627.8</v>
      </c>
      <c r="AJ17" s="111">
        <f>' الشركه 2018'!$CF17</f>
        <v>0</v>
      </c>
      <c r="AK17" s="117">
        <f>' الشركه 2018'!$AI17+' الشركه 2018'!$AJ17</f>
        <v>1627.8</v>
      </c>
      <c r="AL17" s="152"/>
      <c r="AM17" s="153"/>
      <c r="AN17" s="9">
        <f>Table6[[#This Row],[اجمالى الاستحقاق]]-Table6[[#This Row],[Column2]]+Table6[[#This Row],[حوافز غير مستقره]]</f>
        <v>1627.8</v>
      </c>
      <c r="AO17" s="59"/>
      <c r="AP17" s="169"/>
      <c r="AQ17" s="176"/>
      <c r="AR17" s="124"/>
      <c r="AS17" s="155"/>
      <c r="AT17" s="170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71"/>
      <c r="CA17" s="172"/>
      <c r="CB1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" s="131">
        <f>' الشركه 2018'!$H17*67%*1.5*' الشركه 2018'!$CB17/208</f>
        <v>0</v>
      </c>
      <c r="CE17" s="132">
        <f>' الشركه 2018'!$H17*67%*2*' الشركه 2018'!$CC17/208</f>
        <v>0</v>
      </c>
      <c r="CF17" s="133">
        <f>' الشركه 2018'!$CD17+' الشركه 2018'!$CE17</f>
        <v>0</v>
      </c>
      <c r="CG17" s="124"/>
      <c r="CH17" s="177">
        <f>SUMIF(C17:C206,' الشركه 2018'!#REF!,L17:L206)</f>
        <v>0</v>
      </c>
      <c r="CI17" s="124"/>
      <c r="CJ17" s="162">
        <f>' الشركه 2018'!$CH17*' الشركه 2018'!$CI17</f>
        <v>0</v>
      </c>
      <c r="CK17" s="162">
        <f>' الشركه 2018'!$CJ17*8%</f>
        <v>0</v>
      </c>
      <c r="CL17" s="162">
        <f>' الشركه 2018'!$CJ17*17%</f>
        <v>0</v>
      </c>
      <c r="CM17" s="162">
        <f>' الشركه 2018'!$CJ17*25%</f>
        <v>0</v>
      </c>
      <c r="CN17" s="162" t="s">
        <v>631</v>
      </c>
      <c r="CO17" s="162"/>
      <c r="CP17" s="163">
        <v>500</v>
      </c>
      <c r="CQ17" s="164" t="e">
        <f>VLOOKUP(Table6[[#This Row],[الرقم الوظيفى]],[4]!Table3[#Data],26,FALSE)</f>
        <v>#REF!</v>
      </c>
      <c r="CR17" s="165">
        <v>500</v>
      </c>
      <c r="CS17" s="124"/>
    </row>
    <row r="18" spans="1:97" ht="28" customHeight="1" thickTop="1" thickBot="1">
      <c r="A18" s="141">
        <v>28</v>
      </c>
      <c r="B18" s="142" t="s">
        <v>241</v>
      </c>
      <c r="C18" s="59" t="s">
        <v>90</v>
      </c>
      <c r="D18" s="143" t="s">
        <v>74</v>
      </c>
      <c r="E18" s="174" t="s">
        <v>622</v>
      </c>
      <c r="F18" s="143" t="s">
        <v>205</v>
      </c>
      <c r="G18" s="145">
        <v>39083</v>
      </c>
      <c r="H18" s="146">
        <v>4490</v>
      </c>
      <c r="I18" s="106">
        <f>Table6[[#This Row],[مرتب]]/30</f>
        <v>149.66666666666666</v>
      </c>
      <c r="J18" s="107">
        <v>30</v>
      </c>
      <c r="K18" s="107">
        <f t="shared" si="0"/>
        <v>4490</v>
      </c>
      <c r="L18" s="108">
        <v>4490</v>
      </c>
      <c r="M18" s="107">
        <f>Table6[[#This Row],[مرتب الضمان]]*17%</f>
        <v>763.30000000000007</v>
      </c>
      <c r="N18" s="107">
        <f>' الشركه 2018'!$H18*35%</f>
        <v>1571.5</v>
      </c>
      <c r="O18" s="107">
        <f>' الشركه 2018'!$H18*32%</f>
        <v>1436.8</v>
      </c>
      <c r="P18" s="107">
        <f>' الشركه 2018'!$H18*12%</f>
        <v>538.79999999999995</v>
      </c>
      <c r="Q18" s="107">
        <f>' الشركه 2018'!$H18*13%</f>
        <v>583.70000000000005</v>
      </c>
      <c r="R18" s="107">
        <f>' الشركه 2018'!$H18*6%</f>
        <v>269.39999999999998</v>
      </c>
      <c r="S18" s="107">
        <f>' الشركه 2018'!$H18*2%</f>
        <v>89.8</v>
      </c>
      <c r="T18" s="107">
        <f>' الشركه 2018'!$O18+' الشركه 2018'!$P18+' الشركه 2018'!$Q18+' الشركه 2018'!$R18+' الشركه 2018'!$S18</f>
        <v>2918.5000000000005</v>
      </c>
      <c r="U18" s="109">
        <f>VLOOKUP(Table6[[#This Row],[الرقم الوظيفى]],[2]بالخصم!$B$1:$AK$1200,35,)</f>
        <v>0</v>
      </c>
      <c r="V18" s="147"/>
      <c r="W18" s="111">
        <f>Table6[[#This Row],[عدد ايام الاجازه]]*Table6[[#This Row],[ح راتب اليوم]]</f>
        <v>0</v>
      </c>
      <c r="X18" s="148"/>
      <c r="Y18" s="60"/>
      <c r="Z18" s="111">
        <f>Table6[[#This Row],[عدد ايام الجزاء]]*Table6[[#This Row],[ح راتب اليوم]]</f>
        <v>0</v>
      </c>
      <c r="AA18" s="112">
        <f>Table6[[#This Row],[مرتب]]*50%</f>
        <v>2245</v>
      </c>
      <c r="AB18" s="113" t="e">
        <f>VLOOKUP(Table6[[#This Row],[الرقم الوظيفى]],[3]!Table25289[#Data],23,)</f>
        <v>#REF!</v>
      </c>
      <c r="AC18" s="149"/>
      <c r="AD18" s="150"/>
      <c r="AE18" s="113" t="e">
        <f>VLOOKUP(Table6[[#This Row],[الرقم الوظيفى]],[3]!Table252894[#Data],22,)</f>
        <v>#REF!</v>
      </c>
      <c r="AF18" s="151"/>
      <c r="AG18" s="111">
        <f>' الشركه 2018'!$W18+' الشركه 2018'!$Z18+' الشركه 2018'!$AA18+' الشركه 2018'!$AC18+' الشركه 2018'!$AD18+' الشركه 2018'!$AF18</f>
        <v>2245</v>
      </c>
      <c r="AH18" s="111">
        <f>Table6[[#This Row],[راتب الضمان]]*8%</f>
        <v>359.2</v>
      </c>
      <c r="AI18" s="111">
        <f>' الشركه 2018'!$H18-' الشركه 2018'!$AG18-' الشركه 2018'!$AH18</f>
        <v>1885.8</v>
      </c>
      <c r="AJ18" s="111">
        <f>' الشركه 2018'!$CF18</f>
        <v>347.11153846153854</v>
      </c>
      <c r="AK18" s="117">
        <f>' الشركه 2018'!$AI18+' الشركه 2018'!$AJ18</f>
        <v>2232.9115384615384</v>
      </c>
      <c r="AL18" s="152"/>
      <c r="AM18" s="153"/>
      <c r="AN18" s="9">
        <f>Table6[[#This Row],[اجمالى الاستحقاق]]-Table6[[#This Row],[Column2]]+Table6[[#This Row],[حوافز غير مستقره]]</f>
        <v>2232.9115384615384</v>
      </c>
      <c r="AO18" s="59"/>
      <c r="AP18" s="169"/>
      <c r="AQ18" s="176"/>
      <c r="AR18" s="124"/>
      <c r="AS18" s="155"/>
      <c r="AT18" s="170"/>
      <c r="AU18" s="124"/>
      <c r="AV18" s="124"/>
      <c r="AW18" s="124"/>
      <c r="AX18" s="124"/>
      <c r="AY18" s="124"/>
      <c r="AZ18" s="124"/>
      <c r="BA18" s="124"/>
      <c r="BB18" s="124"/>
      <c r="BC18" s="124">
        <v>12</v>
      </c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59"/>
      <c r="CA18" s="160"/>
      <c r="CB1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8" s="131">
        <f>' الشركه 2018'!$H18*67%*1.5*' الشركه 2018'!$CB18/208</f>
        <v>0</v>
      </c>
      <c r="CE18" s="132">
        <f>' الشركه 2018'!$H18*67%*2*' الشركه 2018'!$CC18/208</f>
        <v>347.11153846153854</v>
      </c>
      <c r="CF18" s="133">
        <f>' الشركه 2018'!$CD18+' الشركه 2018'!$CE18</f>
        <v>347.11153846153854</v>
      </c>
      <c r="CG18" s="124"/>
      <c r="CH18" s="177">
        <f>SUMIF(C18:C207,' الشركه 2018'!$CG19,L18:L207)</f>
        <v>0</v>
      </c>
      <c r="CI18" s="124"/>
      <c r="CJ18" s="162">
        <f>' الشركه 2018'!$CH18*' الشركه 2018'!$CI18</f>
        <v>0</v>
      </c>
      <c r="CK18" s="162">
        <f>' الشركه 2018'!$CJ18*8%</f>
        <v>0</v>
      </c>
      <c r="CL18" s="162">
        <f>' الشركه 2018'!$CJ18*17%</f>
        <v>0</v>
      </c>
      <c r="CM18" s="162">
        <f>' الشركه 2018'!$CJ18*25%</f>
        <v>0</v>
      </c>
      <c r="CN18" s="162" t="s">
        <v>632</v>
      </c>
      <c r="CO18" s="162"/>
      <c r="CP18" s="163">
        <v>700</v>
      </c>
      <c r="CQ18" s="164" t="e">
        <f>VLOOKUP(Table6[[#This Row],[الرقم الوظيفى]],[4]!Table3[#Data],26,FALSE)</f>
        <v>#REF!</v>
      </c>
      <c r="CR18" s="165">
        <v>1000</v>
      </c>
      <c r="CS18" s="124"/>
    </row>
    <row r="19" spans="1:97" ht="28" customHeight="1" thickTop="1" thickBot="1">
      <c r="A19" s="178">
        <v>29</v>
      </c>
      <c r="B19" s="142" t="s">
        <v>400</v>
      </c>
      <c r="C19" s="59" t="s">
        <v>90</v>
      </c>
      <c r="D19" s="143" t="s">
        <v>81</v>
      </c>
      <c r="E19" s="174" t="s">
        <v>633</v>
      </c>
      <c r="F19" s="143" t="s">
        <v>634</v>
      </c>
      <c r="G19" s="145">
        <v>39063</v>
      </c>
      <c r="H19" s="146">
        <v>4440</v>
      </c>
      <c r="I19" s="106">
        <f>Table6[[#This Row],[مرتب]]/30</f>
        <v>148</v>
      </c>
      <c r="J19" s="107">
        <v>30</v>
      </c>
      <c r="K19" s="107">
        <f t="shared" si="0"/>
        <v>4440</v>
      </c>
      <c r="L19" s="108">
        <v>4440</v>
      </c>
      <c r="M19" s="107">
        <f>Table6[[#This Row],[مرتب الضمان]]*17%</f>
        <v>754.80000000000007</v>
      </c>
      <c r="N19" s="107">
        <f>' الشركه 2018'!$H19*35%</f>
        <v>1554</v>
      </c>
      <c r="O19" s="107">
        <f>' الشركه 2018'!$H19*32%</f>
        <v>1420.8</v>
      </c>
      <c r="P19" s="107">
        <f>' الشركه 2018'!$H19*12%</f>
        <v>532.79999999999995</v>
      </c>
      <c r="Q19" s="107">
        <f>' الشركه 2018'!$H19*13%</f>
        <v>577.20000000000005</v>
      </c>
      <c r="R19" s="107">
        <f>' الشركه 2018'!$H19*6%</f>
        <v>266.39999999999998</v>
      </c>
      <c r="S19" s="107">
        <f>' الشركه 2018'!$H19*2%</f>
        <v>88.8</v>
      </c>
      <c r="T19" s="107">
        <f>' الشركه 2018'!$O19+' الشركه 2018'!$P19+' الشركه 2018'!$Q19+' الشركه 2018'!$R19+' الشركه 2018'!$S19</f>
        <v>2886.0000000000005</v>
      </c>
      <c r="U19" s="109">
        <f>VLOOKUP(Table6[[#This Row],[الرقم الوظيفى]],[2]بالخصم!$B$1:$AK$1200,35,)</f>
        <v>0</v>
      </c>
      <c r="V19" s="147"/>
      <c r="W19" s="111">
        <f>Table6[[#This Row],[عدد ايام الاجازه]]*Table6[[#This Row],[ح راتب اليوم]]</f>
        <v>0</v>
      </c>
      <c r="X19" s="148"/>
      <c r="Y19" s="60"/>
      <c r="Z19" s="111">
        <f>Table6[[#This Row],[عدد ايام الجزاء]]*Table6[[#This Row],[ح راتب اليوم]]</f>
        <v>0</v>
      </c>
      <c r="AA19" s="112">
        <f>Table6[[#This Row],[مرتب]]*50%</f>
        <v>2220</v>
      </c>
      <c r="AB19" s="113" t="e">
        <f>VLOOKUP(Table6[[#This Row],[الرقم الوظيفى]],[3]!Table25289[#Data],23,)</f>
        <v>#REF!</v>
      </c>
      <c r="AC19" s="149"/>
      <c r="AD19" s="150"/>
      <c r="AE19" s="113" t="e">
        <f>VLOOKUP(Table6[[#This Row],[الرقم الوظيفى]],[3]!Table252894[#Data],22,)</f>
        <v>#REF!</v>
      </c>
      <c r="AF19" s="151"/>
      <c r="AG19" s="111">
        <f>' الشركه 2018'!$W19+' الشركه 2018'!$Z19+' الشركه 2018'!$AA19+' الشركه 2018'!$AC19+' الشركه 2018'!$AD19+' الشركه 2018'!$AF19</f>
        <v>2220</v>
      </c>
      <c r="AH19" s="111">
        <f>Table6[[#This Row],[راتب الضمان]]*8%</f>
        <v>355.2</v>
      </c>
      <c r="AI19" s="111">
        <f>' الشركه 2018'!$H19-' الشركه 2018'!$AG19-' الشركه 2018'!$AH19</f>
        <v>1864.8</v>
      </c>
      <c r="AJ19" s="111">
        <f>' الشركه 2018'!$CF19</f>
        <v>2038.0240384615388</v>
      </c>
      <c r="AK19" s="117">
        <f>' الشركه 2018'!$AI19+' الشركه 2018'!$AJ19</f>
        <v>3902.8240384615387</v>
      </c>
      <c r="AL19" s="152"/>
      <c r="AM19" s="153"/>
      <c r="AN19" s="9">
        <f>Table6[[#This Row],[اجمالى الاستحقاق]]-Table6[[#This Row],[Column2]]+Table6[[#This Row],[حوافز غير مستقره]]</f>
        <v>3902.8240384615387</v>
      </c>
      <c r="AO19" s="59"/>
      <c r="AP19" s="169"/>
      <c r="AQ19" s="176"/>
      <c r="AR19" s="124"/>
      <c r="AS19" s="155"/>
      <c r="AT19" s="170"/>
      <c r="AU19" s="124">
        <v>4</v>
      </c>
      <c r="AV19" s="124">
        <v>12</v>
      </c>
      <c r="AW19" s="124"/>
      <c r="AX19" s="124">
        <v>3</v>
      </c>
      <c r="AY19" s="124"/>
      <c r="AZ19" s="124"/>
      <c r="BA19" s="124"/>
      <c r="BB19" s="124"/>
      <c r="BC19" s="124">
        <v>12</v>
      </c>
      <c r="BD19" s="124"/>
      <c r="BE19" s="124"/>
      <c r="BF19" s="124"/>
      <c r="BG19" s="124"/>
      <c r="BH19" s="124">
        <v>8</v>
      </c>
      <c r="BI19" s="124"/>
      <c r="BJ19" s="124">
        <v>24</v>
      </c>
      <c r="BK19" s="124"/>
      <c r="BL19" s="124">
        <v>8</v>
      </c>
      <c r="BM19" s="124">
        <v>8</v>
      </c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71"/>
      <c r="CA19" s="172"/>
      <c r="CB1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31</v>
      </c>
      <c r="CC19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9" s="131">
        <f>' الشركه 2018'!$H19*67%*1.5*' الشركه 2018'!$CB19/208</f>
        <v>665.03942307692319</v>
      </c>
      <c r="CE19" s="132">
        <f>' الشركه 2018'!$H19*67%*2*' الشركه 2018'!$CC19/208</f>
        <v>1372.9846153846156</v>
      </c>
      <c r="CF19" s="133">
        <f>' الشركه 2018'!$CD19+' الشركه 2018'!$CE19</f>
        <v>2038.0240384615388</v>
      </c>
      <c r="CG19" s="124"/>
      <c r="CH19" s="177">
        <f>SUMIF(C19:C209,' الشركه 2018'!$CG20,L19:L209)</f>
        <v>0</v>
      </c>
      <c r="CI19" s="124"/>
      <c r="CJ19" s="162">
        <f>' الشركه 2018'!$CH19*' الشركه 2018'!$CI19</f>
        <v>0</v>
      </c>
      <c r="CK19" s="162">
        <f>' الشركه 2018'!$CJ19*8%</f>
        <v>0</v>
      </c>
      <c r="CL19" s="162">
        <f>' الشركه 2018'!$CJ19*17%</f>
        <v>0</v>
      </c>
      <c r="CM19" s="162">
        <f>' الشركه 2018'!$CJ19*25%</f>
        <v>0</v>
      </c>
      <c r="CN19" s="162" t="s">
        <v>635</v>
      </c>
      <c r="CO19" s="162"/>
      <c r="CP19" s="163">
        <v>500</v>
      </c>
      <c r="CQ19" s="164" t="e">
        <f>VLOOKUP(Table6[[#This Row],[الرقم الوظيفى]],[4]!Table3[#Data],26,FALSE)</f>
        <v>#REF!</v>
      </c>
      <c r="CR19" s="165">
        <v>500</v>
      </c>
      <c r="CS19" s="124"/>
    </row>
    <row r="20" spans="1:97" ht="28" customHeight="1" thickTop="1" thickBot="1">
      <c r="A20" s="141">
        <v>31</v>
      </c>
      <c r="B20" s="142" t="s">
        <v>191</v>
      </c>
      <c r="C20" s="59" t="s">
        <v>90</v>
      </c>
      <c r="D20" s="143" t="s">
        <v>74</v>
      </c>
      <c r="E20" s="174" t="s">
        <v>622</v>
      </c>
      <c r="F20" s="143" t="s">
        <v>207</v>
      </c>
      <c r="G20" s="145">
        <v>39088</v>
      </c>
      <c r="H20" s="146">
        <v>9000</v>
      </c>
      <c r="I20" s="106">
        <f>Table6[[#This Row],[مرتب]]/30</f>
        <v>300</v>
      </c>
      <c r="J20" s="107">
        <v>30</v>
      </c>
      <c r="K20" s="107">
        <f t="shared" si="0"/>
        <v>9000</v>
      </c>
      <c r="L20" s="108">
        <v>9000</v>
      </c>
      <c r="M20" s="107">
        <f>Table6[[#This Row],[مرتب الضمان]]*17%</f>
        <v>1530</v>
      </c>
      <c r="N20" s="107">
        <f>' الشركه 2018'!$H20*35%</f>
        <v>3150</v>
      </c>
      <c r="O20" s="107">
        <f>' الشركه 2018'!$H20*32%</f>
        <v>2880</v>
      </c>
      <c r="P20" s="107">
        <f>' الشركه 2018'!$H20*12%</f>
        <v>1080</v>
      </c>
      <c r="Q20" s="107">
        <f>' الشركه 2018'!$H20*13%</f>
        <v>1170</v>
      </c>
      <c r="R20" s="107">
        <f>' الشركه 2018'!$H20*6%</f>
        <v>540</v>
      </c>
      <c r="S20" s="107">
        <f>' الشركه 2018'!$H20*2%</f>
        <v>180</v>
      </c>
      <c r="T20" s="107">
        <f>' الشركه 2018'!$O20+' الشركه 2018'!$P20+' الشركه 2018'!$Q20+' الشركه 2018'!$R20+' الشركه 2018'!$S20</f>
        <v>5850</v>
      </c>
      <c r="U20" s="109">
        <f>VLOOKUP(Table6[[#This Row],[الرقم الوظيفى]],[2]بالخصم!$B$1:$AK$1200,35,)</f>
        <v>0</v>
      </c>
      <c r="V20" s="147"/>
      <c r="W20" s="111">
        <f>Table6[[#This Row],[عدد ايام الاجازه]]*Table6[[#This Row],[ح راتب اليوم]]</f>
        <v>0</v>
      </c>
      <c r="X20" s="148"/>
      <c r="Y20" s="60"/>
      <c r="Z20" s="111">
        <f>Table6[[#This Row],[عدد ايام الجزاء]]*Table6[[#This Row],[ح راتب اليوم]]</f>
        <v>0</v>
      </c>
      <c r="AA20" s="112">
        <f>Table6[[#This Row],[مرتب]]*50%</f>
        <v>4500</v>
      </c>
      <c r="AB20" s="113" t="e">
        <f>VLOOKUP(Table6[[#This Row],[الرقم الوظيفى]],[3]!Table25289[#Data],23,)</f>
        <v>#REF!</v>
      </c>
      <c r="AC20" s="149"/>
      <c r="AD20" s="150"/>
      <c r="AE20" s="113" t="e">
        <f>VLOOKUP(Table6[[#This Row],[الرقم الوظيفى]],[3]!Table252894[#Data],22,)</f>
        <v>#REF!</v>
      </c>
      <c r="AF20" s="151"/>
      <c r="AG20" s="111">
        <f>' الشركه 2018'!$W20+' الشركه 2018'!$Z20+' الشركه 2018'!$AA20+' الشركه 2018'!$AC20+' الشركه 2018'!$AD20+' الشركه 2018'!$AF20</f>
        <v>4500</v>
      </c>
      <c r="AH20" s="111">
        <f>Table6[[#This Row],[راتب الضمان]]*8%</f>
        <v>720</v>
      </c>
      <c r="AI20" s="111">
        <f>' الشركه 2018'!$H20-' الشركه 2018'!$AG20-' الشركه 2018'!$AH20</f>
        <v>3780</v>
      </c>
      <c r="AJ20" s="111">
        <f>' الشركه 2018'!$CF20</f>
        <v>1971.3461538461538</v>
      </c>
      <c r="AK20" s="117">
        <f>' الشركه 2018'!$AI20+' الشركه 2018'!$AJ20</f>
        <v>5751.3461538461543</v>
      </c>
      <c r="AL20" s="152"/>
      <c r="AM20" s="153"/>
      <c r="AN20" s="9">
        <f>Table6[[#This Row],[اجمالى الاستحقاق]]-Table6[[#This Row],[Column2]]+Table6[[#This Row],[حوافز غير مستقره]]</f>
        <v>5751.3461538461543</v>
      </c>
      <c r="AO20" s="59"/>
      <c r="AP20" s="169"/>
      <c r="AQ20" s="176"/>
      <c r="AR20" s="124"/>
      <c r="AS20" s="155"/>
      <c r="AT20" s="170"/>
      <c r="AU20" s="124"/>
      <c r="AV20" s="124">
        <v>12</v>
      </c>
      <c r="AW20" s="124"/>
      <c r="AX20" s="124"/>
      <c r="AY20" s="124"/>
      <c r="AZ20" s="124"/>
      <c r="BA20" s="124"/>
      <c r="BB20" s="124"/>
      <c r="BC20" s="124">
        <v>10</v>
      </c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59"/>
      <c r="CA20" s="160">
        <v>12</v>
      </c>
      <c r="CB2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0" s="130">
        <f>Table6[[#This Row],[Friday, November 23, 2018]]+Table6[[#This Row],[Friday, November 30, 2018]]+Table6[[#This Row],[Friday, December 07, 2018]]+Table6[[#This Row],[Friday, December 14, 2018]]+Table6[[#This Row],[فروقات عطله]]</f>
        <v>34</v>
      </c>
      <c r="CD20" s="131">
        <f>' الشركه 2018'!$H20*67%*1.5*' الشركه 2018'!$CB20/208</f>
        <v>0</v>
      </c>
      <c r="CE20" s="132">
        <f>' الشركه 2018'!$H20*67%*2*' الشركه 2018'!$CC20/208</f>
        <v>1971.3461538461538</v>
      </c>
      <c r="CF20" s="133">
        <f>' الشركه 2018'!$CD20+' الشركه 2018'!$CE20</f>
        <v>1971.3461538461538</v>
      </c>
      <c r="CG20" s="124"/>
      <c r="CH20" s="177">
        <f>SUMIF(C20:C209,' الشركه 2018'!$CG21,L20:L209)</f>
        <v>0</v>
      </c>
      <c r="CI20" s="124"/>
      <c r="CJ20" s="162">
        <f>' الشركه 2018'!$CH20*' الشركه 2018'!$CI20</f>
        <v>0</v>
      </c>
      <c r="CK20" s="162">
        <f>' الشركه 2018'!$CJ20*8%</f>
        <v>0</v>
      </c>
      <c r="CL20" s="162">
        <f>' الشركه 2018'!$CJ20*17%</f>
        <v>0</v>
      </c>
      <c r="CM20" s="162">
        <f>' الشركه 2018'!$CJ20*25%</f>
        <v>0</v>
      </c>
      <c r="CN20" s="162" t="s">
        <v>636</v>
      </c>
      <c r="CO20" s="162"/>
      <c r="CP20" s="163">
        <v>1000</v>
      </c>
      <c r="CQ20" s="164" t="e">
        <f>VLOOKUP(Table6[[#This Row],[الرقم الوظيفى]],[4]!Table3[#Data],26,FALSE)</f>
        <v>#REF!</v>
      </c>
      <c r="CR20" s="165">
        <v>1500</v>
      </c>
      <c r="CS20" s="124"/>
    </row>
    <row r="21" spans="1:97" ht="28" customHeight="1" thickTop="1" thickBot="1">
      <c r="A21" s="167">
        <v>32</v>
      </c>
      <c r="B21" s="142" t="s">
        <v>428</v>
      </c>
      <c r="C21" s="59" t="s">
        <v>90</v>
      </c>
      <c r="D21" s="143" t="s">
        <v>83</v>
      </c>
      <c r="E21" s="174" t="s">
        <v>637</v>
      </c>
      <c r="F21" s="143" t="s">
        <v>426</v>
      </c>
      <c r="G21" s="145">
        <v>39125</v>
      </c>
      <c r="H21" s="146">
        <v>5140</v>
      </c>
      <c r="I21" s="106">
        <f>Table6[[#This Row],[مرتب]]/30</f>
        <v>171.33333333333334</v>
      </c>
      <c r="J21" s="107">
        <v>30</v>
      </c>
      <c r="K21" s="107">
        <f t="shared" si="0"/>
        <v>0</v>
      </c>
      <c r="L21" s="108">
        <v>0</v>
      </c>
      <c r="M21" s="107">
        <f>Table6[[#This Row],[مرتب الضمان]]*17%</f>
        <v>0</v>
      </c>
      <c r="N21" s="107">
        <f>' الشركه 2018'!$H21*35%</f>
        <v>1798.9999999999998</v>
      </c>
      <c r="O21" s="107">
        <f>' الشركه 2018'!$H21*32%</f>
        <v>1644.8</v>
      </c>
      <c r="P21" s="107">
        <f>' الشركه 2018'!$H21*12%</f>
        <v>616.79999999999995</v>
      </c>
      <c r="Q21" s="107">
        <f>' الشركه 2018'!$H21*13%</f>
        <v>668.2</v>
      </c>
      <c r="R21" s="107">
        <f>' الشركه 2018'!$H21*6%</f>
        <v>308.39999999999998</v>
      </c>
      <c r="S21" s="107">
        <f>' الشركه 2018'!$H21*2%</f>
        <v>102.8</v>
      </c>
      <c r="T21" s="107">
        <f>' الشركه 2018'!$O21+' الشركه 2018'!$P21+' الشركه 2018'!$Q21+' الشركه 2018'!$R21+' الشركه 2018'!$S21</f>
        <v>3341.0000000000005</v>
      </c>
      <c r="U21" s="109">
        <f>VLOOKUP(Table6[[#This Row],[الرقم الوظيفى]],[2]بالخصم!$B$1:$AK$1200,35,)</f>
        <v>0</v>
      </c>
      <c r="V21" s="147"/>
      <c r="W21" s="111">
        <f>Table6[[#This Row],[عدد ايام الاجازه]]*Table6[[#This Row],[ح راتب اليوم]]</f>
        <v>0</v>
      </c>
      <c r="X21" s="148"/>
      <c r="Y21" s="60"/>
      <c r="Z21" s="111">
        <f>Table6[[#This Row],[عدد ايام الجزاء]]*Table6[[#This Row],[ح راتب اليوم]]</f>
        <v>0</v>
      </c>
      <c r="AA21" s="112">
        <f>Table6[[#This Row],[مرتب]]*50%</f>
        <v>2570</v>
      </c>
      <c r="AB21" s="113" t="e">
        <f>VLOOKUP(Table6[[#This Row],[الرقم الوظيفى]],[3]!Table25289[#Data],23,)</f>
        <v>#REF!</v>
      </c>
      <c r="AC21" s="149"/>
      <c r="AD21" s="168"/>
      <c r="AE21" s="113" t="e">
        <f>VLOOKUP(Table6[[#This Row],[الرقم الوظيفى]],[3]!Table252894[#Data],22,)</f>
        <v>#REF!</v>
      </c>
      <c r="AF21" s="151"/>
      <c r="AG21" s="111">
        <f>' الشركه 2018'!$W21+' الشركه 2018'!$Z21+' الشركه 2018'!$AA21+' الشركه 2018'!$AC21+' الشركه 2018'!$AD21+' الشركه 2018'!$AF21</f>
        <v>2570</v>
      </c>
      <c r="AH21" s="111">
        <f>Table6[[#This Row],[راتب الضمان]]*8%</f>
        <v>0</v>
      </c>
      <c r="AI21" s="111">
        <f>' الشركه 2018'!$H21-' الشركه 2018'!$AG21-' الشركه 2018'!$AH21</f>
        <v>2570</v>
      </c>
      <c r="AJ21" s="111">
        <f>' الشركه 2018'!$CF21</f>
        <v>0</v>
      </c>
      <c r="AK21" s="117">
        <f>' الشركه 2018'!$AI21+' الشركه 2018'!$AJ21</f>
        <v>2570</v>
      </c>
      <c r="AL21" s="152"/>
      <c r="AM21" s="153"/>
      <c r="AN21" s="9">
        <f>Table6[[#This Row],[اجمالى الاستحقاق]]-Table6[[#This Row],[Column2]]+Table6[[#This Row],[حوافز غير مستقره]]</f>
        <v>2570</v>
      </c>
      <c r="AO21" s="59"/>
      <c r="AP21" s="169"/>
      <c r="AQ21" s="176"/>
      <c r="AR21" s="124"/>
      <c r="AS21" s="155"/>
      <c r="AT21" s="170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24"/>
      <c r="BZ21" s="171"/>
      <c r="CA21" s="172"/>
      <c r="CB2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" s="131">
        <f>' الشركه 2018'!$H21*67%*1.5*' الشركه 2018'!$CB21/208</f>
        <v>0</v>
      </c>
      <c r="CE21" s="132">
        <f>' الشركه 2018'!$H21*67%*2*' الشركه 2018'!$CC21/208</f>
        <v>0</v>
      </c>
      <c r="CF21" s="133">
        <f>' الشركه 2018'!$CD21+' الشركه 2018'!$CE21</f>
        <v>0</v>
      </c>
      <c r="CG21" s="124"/>
      <c r="CH21" s="177">
        <f>SUMIF(C21:C209,' الشركه 2018'!$CG22,L21:L209)</f>
        <v>0</v>
      </c>
      <c r="CI21" s="124"/>
      <c r="CJ21" s="162">
        <f>' الشركه 2018'!$CH21*' الشركه 2018'!$CI21</f>
        <v>0</v>
      </c>
      <c r="CK21" s="162">
        <f>' الشركه 2018'!$CJ21*8%</f>
        <v>0</v>
      </c>
      <c r="CL21" s="162">
        <f>' الشركه 2018'!$CJ21*17%</f>
        <v>0</v>
      </c>
      <c r="CM21" s="162">
        <f>' الشركه 2018'!$CJ21*25%</f>
        <v>0</v>
      </c>
      <c r="CN21" s="162" t="s">
        <v>638</v>
      </c>
      <c r="CO21" s="162"/>
      <c r="CP21" s="163"/>
      <c r="CQ21" s="164" t="e">
        <f>VLOOKUP(Table6[[#This Row],[الرقم الوظيفى]],[4]!Table3[#Data],26,FALSE)</f>
        <v>#REF!</v>
      </c>
      <c r="CR21" s="165"/>
      <c r="CS21" s="124"/>
    </row>
    <row r="22" spans="1:97" ht="28" customHeight="1" thickTop="1" thickBot="1">
      <c r="A22" s="167">
        <v>33</v>
      </c>
      <c r="B22" s="142" t="s">
        <v>419</v>
      </c>
      <c r="C22" s="59" t="s">
        <v>90</v>
      </c>
      <c r="D22" s="143" t="s">
        <v>83</v>
      </c>
      <c r="E22" s="174" t="s">
        <v>627</v>
      </c>
      <c r="F22" s="143" t="s">
        <v>418</v>
      </c>
      <c r="G22" s="145">
        <v>39095</v>
      </c>
      <c r="H22" s="146">
        <v>7730</v>
      </c>
      <c r="I22" s="106">
        <f>Table6[[#This Row],[مرتب]]/30</f>
        <v>257.66666666666669</v>
      </c>
      <c r="J22" s="107">
        <v>30</v>
      </c>
      <c r="K22" s="107">
        <f t="shared" si="0"/>
        <v>7730.0000000000009</v>
      </c>
      <c r="L22" s="108">
        <v>7730</v>
      </c>
      <c r="M22" s="107">
        <f>Table6[[#This Row],[مرتب الضمان]]*17%</f>
        <v>1314.1000000000001</v>
      </c>
      <c r="N22" s="107">
        <f>' الشركه 2018'!$H22*35%</f>
        <v>2705.5</v>
      </c>
      <c r="O22" s="107">
        <f>' الشركه 2018'!$H22*32%</f>
        <v>2473.6</v>
      </c>
      <c r="P22" s="107">
        <f>' الشركه 2018'!$H22*12%</f>
        <v>927.59999999999991</v>
      </c>
      <c r="Q22" s="107">
        <f>' الشركه 2018'!$H22*13%</f>
        <v>1004.9000000000001</v>
      </c>
      <c r="R22" s="107">
        <f>' الشركه 2018'!$H22*6%</f>
        <v>463.79999999999995</v>
      </c>
      <c r="S22" s="107">
        <f>' الشركه 2018'!$H22*2%</f>
        <v>154.6</v>
      </c>
      <c r="T22" s="107">
        <f>' الشركه 2018'!$O22+' الشركه 2018'!$P22+' الشركه 2018'!$Q22+' الشركه 2018'!$R22+' الشركه 2018'!$S22</f>
        <v>5024.5000000000009</v>
      </c>
      <c r="U22" s="109">
        <f>VLOOKUP(Table6[[#This Row],[الرقم الوظيفى]],[2]بالخصم!$B$1:$AK$1200,35,)</f>
        <v>0</v>
      </c>
      <c r="V22" s="147"/>
      <c r="W22" s="111">
        <f>Table6[[#This Row],[عدد ايام الاجازه]]*Table6[[#This Row],[ح راتب اليوم]]</f>
        <v>0</v>
      </c>
      <c r="X22" s="148"/>
      <c r="Y22" s="60"/>
      <c r="Z22" s="111">
        <f>Table6[[#This Row],[عدد ايام الجزاء]]*Table6[[#This Row],[ح راتب اليوم]]</f>
        <v>0</v>
      </c>
      <c r="AA22" s="112">
        <f>Table6[[#This Row],[مرتب]]*50%</f>
        <v>3865</v>
      </c>
      <c r="AB22" s="113" t="e">
        <f>VLOOKUP(Table6[[#This Row],[الرقم الوظيفى]],[3]!Table25289[#Data],23,)</f>
        <v>#REF!</v>
      </c>
      <c r="AC22" s="149"/>
      <c r="AD22" s="168"/>
      <c r="AE22" s="113" t="e">
        <f>VLOOKUP(Table6[[#This Row],[الرقم الوظيفى]],[3]!Table252894[#Data],22,)</f>
        <v>#REF!</v>
      </c>
      <c r="AF22" s="151"/>
      <c r="AG22" s="111">
        <f>' الشركه 2018'!$W22+' الشركه 2018'!$Z22+' الشركه 2018'!$AA22+' الشركه 2018'!$AC22+' الشركه 2018'!$AD22+' الشركه 2018'!$AF22</f>
        <v>3865</v>
      </c>
      <c r="AH22" s="111">
        <f>Table6[[#This Row],[راتب الضمان]]*8%</f>
        <v>618.40000000000009</v>
      </c>
      <c r="AI22" s="111">
        <f>' الشركه 2018'!$H22-' الشركه 2018'!$AG22-' الشركه 2018'!$AH22</f>
        <v>3246.6</v>
      </c>
      <c r="AJ22" s="111">
        <f>' الشركه 2018'!$CF22</f>
        <v>1879.9137019230773</v>
      </c>
      <c r="AK22" s="117">
        <f>' الشركه 2018'!$AI22+' الشركه 2018'!$AJ22</f>
        <v>5126.513701923077</v>
      </c>
      <c r="AL22" s="152"/>
      <c r="AM22" s="153"/>
      <c r="AN22" s="9">
        <f>Table6[[#This Row],[اجمالى الاستحقاق]]-Table6[[#This Row],[Column2]]+Table6[[#This Row],[حوافز غير مستقره]]</f>
        <v>5126.513701923077</v>
      </c>
      <c r="AO22" s="59"/>
      <c r="AP22" s="169"/>
      <c r="AQ22" s="176"/>
      <c r="AR22" s="124"/>
      <c r="AS22" s="155"/>
      <c r="AT22" s="170"/>
      <c r="AU22" s="124"/>
      <c r="AV22" s="124">
        <v>12</v>
      </c>
      <c r="AW22" s="124"/>
      <c r="AX22" s="124">
        <v>5</v>
      </c>
      <c r="AY22" s="124"/>
      <c r="AZ22" s="124"/>
      <c r="BA22" s="124"/>
      <c r="BB22" s="124"/>
      <c r="BC22" s="124">
        <v>12</v>
      </c>
      <c r="BD22" s="124"/>
      <c r="BE22" s="124"/>
      <c r="BF22" s="124"/>
      <c r="BG22" s="124"/>
      <c r="BH22" s="124"/>
      <c r="BI22" s="124"/>
      <c r="BJ22" s="124">
        <v>10</v>
      </c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59"/>
      <c r="CA22" s="160"/>
      <c r="CB2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</v>
      </c>
      <c r="CC22" s="130">
        <f>Table6[[#This Row],[Friday, November 23, 2018]]+Table6[[#This Row],[Friday, November 30, 2018]]+Table6[[#This Row],[Friday, December 07, 2018]]+Table6[[#This Row],[Friday, December 14, 2018]]+Table6[[#This Row],[فروقات عطله]]</f>
        <v>34</v>
      </c>
      <c r="CD22" s="131">
        <f>' الشركه 2018'!$H22*67%*1.5*' الشركه 2018'!$CB22/208</f>
        <v>186.74639423076923</v>
      </c>
      <c r="CE22" s="132">
        <f>' الشركه 2018'!$H22*67%*2*' الشركه 2018'!$CC22/208</f>
        <v>1693.167307692308</v>
      </c>
      <c r="CF22" s="133">
        <f>' الشركه 2018'!$CD22+' الشركه 2018'!$CE22</f>
        <v>1879.9137019230773</v>
      </c>
      <c r="CG22" s="124"/>
      <c r="CH22" s="177">
        <f>SUMIF(C22:C209,' الشركه 2018'!$CG23,L22:L209)</f>
        <v>0</v>
      </c>
      <c r="CI22" s="124"/>
      <c r="CJ22" s="162">
        <f>' الشركه 2018'!$CH22*' الشركه 2018'!$CI22</f>
        <v>0</v>
      </c>
      <c r="CK22" s="162">
        <f>' الشركه 2018'!$CJ22*8%</f>
        <v>0</v>
      </c>
      <c r="CL22" s="162">
        <f>' الشركه 2018'!$CJ22*17%</f>
        <v>0</v>
      </c>
      <c r="CM22" s="162">
        <f>' الشركه 2018'!$CJ22*25%</f>
        <v>0</v>
      </c>
      <c r="CN22" s="162" t="s">
        <v>639</v>
      </c>
      <c r="CO22" s="162"/>
      <c r="CP22" s="163">
        <v>1000</v>
      </c>
      <c r="CQ22" s="164" t="e">
        <f>VLOOKUP(Table6[[#This Row],[الرقم الوظيفى]],[4]!Table3[#Data],26,FALSE)</f>
        <v>#REF!</v>
      </c>
      <c r="CR22" s="165">
        <v>1000</v>
      </c>
      <c r="CS22" s="124"/>
    </row>
    <row r="23" spans="1:97" ht="28" customHeight="1" thickTop="1" thickBot="1">
      <c r="A23" s="141">
        <v>34</v>
      </c>
      <c r="B23" s="142" t="s">
        <v>229</v>
      </c>
      <c r="C23" s="59" t="s">
        <v>90</v>
      </c>
      <c r="D23" s="143" t="s">
        <v>74</v>
      </c>
      <c r="E23" s="174" t="s">
        <v>629</v>
      </c>
      <c r="F23" s="143" t="s">
        <v>205</v>
      </c>
      <c r="G23" s="145">
        <v>39098</v>
      </c>
      <c r="H23" s="146">
        <v>4490</v>
      </c>
      <c r="I23" s="106">
        <f>Table6[[#This Row],[مرتب]]/30</f>
        <v>149.66666666666666</v>
      </c>
      <c r="J23" s="107">
        <v>30</v>
      </c>
      <c r="K23" s="107">
        <f t="shared" si="0"/>
        <v>4490</v>
      </c>
      <c r="L23" s="108">
        <v>4490</v>
      </c>
      <c r="M23" s="107">
        <f>Table6[[#This Row],[مرتب الضمان]]*17%</f>
        <v>763.30000000000007</v>
      </c>
      <c r="N23" s="107">
        <f>' الشركه 2018'!$H23*35%</f>
        <v>1571.5</v>
      </c>
      <c r="O23" s="107">
        <f>' الشركه 2018'!$H23*32%</f>
        <v>1436.8</v>
      </c>
      <c r="P23" s="107">
        <f>' الشركه 2018'!$H23*12%</f>
        <v>538.79999999999995</v>
      </c>
      <c r="Q23" s="107">
        <f>' الشركه 2018'!$H23*13%</f>
        <v>583.70000000000005</v>
      </c>
      <c r="R23" s="107">
        <f>' الشركه 2018'!$H23*6%</f>
        <v>269.39999999999998</v>
      </c>
      <c r="S23" s="107">
        <f>' الشركه 2018'!$H23*2%</f>
        <v>89.8</v>
      </c>
      <c r="T23" s="107">
        <f>' الشركه 2018'!$O23+' الشركه 2018'!$P23+' الشركه 2018'!$Q23+' الشركه 2018'!$R23+' الشركه 2018'!$S23</f>
        <v>2918.5000000000005</v>
      </c>
      <c r="U23" s="109">
        <f>VLOOKUP(Table6[[#This Row],[الرقم الوظيفى]],[2]بالخصم!$B$1:$AK$1200,35,)</f>
        <v>0</v>
      </c>
      <c r="V23" s="147"/>
      <c r="W23" s="111">
        <f>Table6[[#This Row],[عدد ايام الاجازه]]*Table6[[#This Row],[ح راتب اليوم]]</f>
        <v>0</v>
      </c>
      <c r="X23" s="148"/>
      <c r="Y23" s="60"/>
      <c r="Z23" s="111">
        <f>Table6[[#This Row],[عدد ايام الجزاء]]*Table6[[#This Row],[ح راتب اليوم]]</f>
        <v>0</v>
      </c>
      <c r="AA23" s="112">
        <f>Table6[[#This Row],[مرتب]]*50%</f>
        <v>2245</v>
      </c>
      <c r="AB23" s="113" t="e">
        <f>VLOOKUP(Table6[[#This Row],[الرقم الوظيفى]],[3]!Table25289[#Data],23,)</f>
        <v>#REF!</v>
      </c>
      <c r="AC23" s="149"/>
      <c r="AD23" s="150"/>
      <c r="AE23" s="113" t="e">
        <f>VLOOKUP(Table6[[#This Row],[الرقم الوظيفى]],[3]!Table252894[#Data],22,)</f>
        <v>#REF!</v>
      </c>
      <c r="AF23" s="151"/>
      <c r="AG23" s="111">
        <f>' الشركه 2018'!$W23+' الشركه 2018'!$Z23+' الشركه 2018'!$AA23+' الشركه 2018'!$AC23+' الشركه 2018'!$AD23+' الشركه 2018'!$AF23</f>
        <v>2245</v>
      </c>
      <c r="AH23" s="111">
        <f>Table6[[#This Row],[راتب الضمان]]*8%</f>
        <v>359.2</v>
      </c>
      <c r="AI23" s="111">
        <f>' الشركه 2018'!$H23-' الشركه 2018'!$AG23-' الشركه 2018'!$AH23</f>
        <v>1885.8</v>
      </c>
      <c r="AJ23" s="111">
        <f>' الشركه 2018'!$CF23</f>
        <v>0</v>
      </c>
      <c r="AK23" s="117">
        <f>' الشركه 2018'!$AI23+' الشركه 2018'!$AJ23</f>
        <v>1885.8</v>
      </c>
      <c r="AL23" s="152"/>
      <c r="AM23" s="153"/>
      <c r="AN23" s="9">
        <f>Table6[[#This Row],[اجمالى الاستحقاق]]-Table6[[#This Row],[Column2]]+Table6[[#This Row],[حوافز غير مستقره]]</f>
        <v>1885.8</v>
      </c>
      <c r="AO23" s="59"/>
      <c r="AP23" s="169"/>
      <c r="AQ23" s="176"/>
      <c r="AR23" s="124"/>
      <c r="AS23" s="155"/>
      <c r="AT23" s="170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71"/>
      <c r="CA23" s="172"/>
      <c r="CB2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" s="131">
        <f>' الشركه 2018'!$H23*67%*1.5*' الشركه 2018'!$CB23/208</f>
        <v>0</v>
      </c>
      <c r="CE23" s="132">
        <f>' الشركه 2018'!$H23*67%*2*' الشركه 2018'!$CC23/208</f>
        <v>0</v>
      </c>
      <c r="CF23" s="133">
        <f>' الشركه 2018'!$CD23+' الشركه 2018'!$CE23</f>
        <v>0</v>
      </c>
      <c r="CG23" s="124"/>
      <c r="CH23" s="177">
        <f>SUMIF(C23:C209,' الشركه 2018'!$CG24,L23:L209)</f>
        <v>0</v>
      </c>
      <c r="CI23" s="124"/>
      <c r="CJ23" s="162">
        <f>' الشركه 2018'!$CH23*' الشركه 2018'!$CI23</f>
        <v>0</v>
      </c>
      <c r="CK23" s="162">
        <f>' الشركه 2018'!$CJ23*8%</f>
        <v>0</v>
      </c>
      <c r="CL23" s="162">
        <f>' الشركه 2018'!$CJ23*17%</f>
        <v>0</v>
      </c>
      <c r="CM23" s="162">
        <f>' الشركه 2018'!$CJ23*25%</f>
        <v>0</v>
      </c>
      <c r="CN23" s="162" t="s">
        <v>640</v>
      </c>
      <c r="CO23" s="162"/>
      <c r="CP23" s="163">
        <v>400</v>
      </c>
      <c r="CQ23" s="164" t="e">
        <f>VLOOKUP(Table6[[#This Row],[الرقم الوظيفى]],[4]!Table3[#Data],26,FALSE)</f>
        <v>#REF!</v>
      </c>
      <c r="CR23" s="165">
        <v>1000</v>
      </c>
      <c r="CS23" s="124"/>
    </row>
    <row r="24" spans="1:97" ht="28" customHeight="1" thickTop="1" thickBot="1">
      <c r="A24" s="178">
        <v>36</v>
      </c>
      <c r="B24" s="142" t="s">
        <v>438</v>
      </c>
      <c r="C24" s="59" t="s">
        <v>90</v>
      </c>
      <c r="D24" s="143" t="s">
        <v>83</v>
      </c>
      <c r="E24" s="174" t="s">
        <v>627</v>
      </c>
      <c r="F24" s="143" t="s">
        <v>435</v>
      </c>
      <c r="G24" s="145">
        <v>39120</v>
      </c>
      <c r="H24" s="146">
        <v>5990</v>
      </c>
      <c r="I24" s="106">
        <f>Table6[[#This Row],[مرتب]]/30</f>
        <v>199.66666666666666</v>
      </c>
      <c r="J24" s="107">
        <v>30</v>
      </c>
      <c r="K24" s="107">
        <f t="shared" si="0"/>
        <v>5990</v>
      </c>
      <c r="L24" s="108">
        <v>5990</v>
      </c>
      <c r="M24" s="107">
        <f>Table6[[#This Row],[مرتب الضمان]]*17%</f>
        <v>1018.3000000000001</v>
      </c>
      <c r="N24" s="107">
        <f>' الشركه 2018'!$H24*35%</f>
        <v>2096.5</v>
      </c>
      <c r="O24" s="107">
        <f>' الشركه 2018'!$H24*32%</f>
        <v>1916.8</v>
      </c>
      <c r="P24" s="107">
        <f>' الشركه 2018'!$H24*12%</f>
        <v>718.8</v>
      </c>
      <c r="Q24" s="107">
        <f>' الشركه 2018'!$H24*13%</f>
        <v>778.7</v>
      </c>
      <c r="R24" s="107">
        <f>' الشركه 2018'!$H24*6%</f>
        <v>359.4</v>
      </c>
      <c r="S24" s="107">
        <f>' الشركه 2018'!$H24*2%</f>
        <v>119.8</v>
      </c>
      <c r="T24" s="107">
        <f>' الشركه 2018'!$O24+' الشركه 2018'!$P24+' الشركه 2018'!$Q24+' الشركه 2018'!$R24+' الشركه 2018'!$S24</f>
        <v>3893.5000000000005</v>
      </c>
      <c r="U24" s="109">
        <f>VLOOKUP(Table6[[#This Row],[الرقم الوظيفى]],[2]بالخصم!$B$1:$AK$1200,35,)</f>
        <v>0</v>
      </c>
      <c r="V24" s="147"/>
      <c r="W24" s="111">
        <f>Table6[[#This Row],[عدد ايام الاجازه]]*Table6[[#This Row],[ح راتب اليوم]]</f>
        <v>0</v>
      </c>
      <c r="X24" s="148"/>
      <c r="Y24" s="60"/>
      <c r="Z24" s="111">
        <f>Table6[[#This Row],[عدد ايام الجزاء]]*Table6[[#This Row],[ح راتب اليوم]]</f>
        <v>0</v>
      </c>
      <c r="AA24" s="112">
        <f>Table6[[#This Row],[مرتب]]*50%</f>
        <v>2995</v>
      </c>
      <c r="AB24" s="113" t="e">
        <f>VLOOKUP(Table6[[#This Row],[الرقم الوظيفى]],[3]!Table25289[#Data],23,)</f>
        <v>#REF!</v>
      </c>
      <c r="AC24" s="149"/>
      <c r="AD24" s="168"/>
      <c r="AE24" s="113" t="e">
        <f>VLOOKUP(Table6[[#This Row],[الرقم الوظيفى]],[3]!Table252894[#Data],22,)</f>
        <v>#REF!</v>
      </c>
      <c r="AF24" s="151"/>
      <c r="AG24" s="111">
        <f>' الشركه 2018'!$W24+' الشركه 2018'!$Z24+' الشركه 2018'!$AA24+' الشركه 2018'!$AC24+' الشركه 2018'!$AD24+' الشركه 2018'!$AF24</f>
        <v>2995</v>
      </c>
      <c r="AH24" s="111">
        <f>Table6[[#This Row],[راتب الضمان]]*8%</f>
        <v>479.2</v>
      </c>
      <c r="AI24" s="111">
        <f>' الشركه 2018'!$H24-' الشركه 2018'!$AG24-' الشركه 2018'!$AH24</f>
        <v>2515.8000000000002</v>
      </c>
      <c r="AJ24" s="111">
        <f>' الشركه 2018'!$CF24</f>
        <v>463.073076923077</v>
      </c>
      <c r="AK24" s="117">
        <f>' الشركه 2018'!$AI24+' الشركه 2018'!$AJ24</f>
        <v>2978.873076923077</v>
      </c>
      <c r="AL24" s="152"/>
      <c r="AM24" s="153"/>
      <c r="AN24" s="9">
        <f>Table6[[#This Row],[اجمالى الاستحقاق]]-Table6[[#This Row],[Column2]]+Table6[[#This Row],[حوافز غير مستقره]]</f>
        <v>2978.873076923077</v>
      </c>
      <c r="AO24" s="59"/>
      <c r="AP24" s="169"/>
      <c r="AQ24" s="176"/>
      <c r="AR24" s="124"/>
      <c r="AS24" s="155"/>
      <c r="AT24" s="170"/>
      <c r="AU24" s="124"/>
      <c r="AV24" s="124">
        <v>12</v>
      </c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59"/>
      <c r="CA24" s="160"/>
      <c r="CB2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4" s="131">
        <f>' الشركه 2018'!$H24*67%*1.5*' الشركه 2018'!$CB24/208</f>
        <v>0</v>
      </c>
      <c r="CE24" s="132">
        <f>' الشركه 2018'!$H24*67%*2*' الشركه 2018'!$CC24/208</f>
        <v>463.073076923077</v>
      </c>
      <c r="CF24" s="133">
        <f>' الشركه 2018'!$CD24+' الشركه 2018'!$CE24</f>
        <v>463.073076923077</v>
      </c>
      <c r="CG24" s="124"/>
      <c r="CH24" s="177">
        <f>SUMIF(C24:C209,' الشركه 2018'!$CG25,L24:L209)</f>
        <v>0</v>
      </c>
      <c r="CI24" s="124"/>
      <c r="CJ24" s="162">
        <f>' الشركه 2018'!$CH24*' الشركه 2018'!$CI24</f>
        <v>0</v>
      </c>
      <c r="CK24" s="162">
        <f>' الشركه 2018'!$CJ24*8%</f>
        <v>0</v>
      </c>
      <c r="CL24" s="162">
        <f>' الشركه 2018'!$CJ24*17%</f>
        <v>0</v>
      </c>
      <c r="CM24" s="162">
        <f>' الشركه 2018'!$CJ24*25%</f>
        <v>0</v>
      </c>
      <c r="CN24" s="162" t="s">
        <v>641</v>
      </c>
      <c r="CO24" s="162"/>
      <c r="CP24" s="163">
        <v>400</v>
      </c>
      <c r="CQ24" s="164" t="e">
        <f>VLOOKUP(Table6[[#This Row],[الرقم الوظيفى]],[4]!Table3[#Data],26,FALSE)</f>
        <v>#REF!</v>
      </c>
      <c r="CR24" s="165">
        <v>500</v>
      </c>
      <c r="CS24" s="124"/>
    </row>
    <row r="25" spans="1:97" ht="28" customHeight="1" thickTop="1" thickBot="1">
      <c r="A25" s="141">
        <v>37</v>
      </c>
      <c r="B25" s="142" t="s">
        <v>100</v>
      </c>
      <c r="C25" s="59" t="s">
        <v>90</v>
      </c>
      <c r="D25" s="143" t="s">
        <v>83</v>
      </c>
      <c r="E25" s="174" t="s">
        <v>609</v>
      </c>
      <c r="F25" s="143" t="s">
        <v>642</v>
      </c>
      <c r="G25" s="145">
        <v>39142</v>
      </c>
      <c r="H25" s="146">
        <v>13620</v>
      </c>
      <c r="I25" s="106">
        <f>Table6[[#This Row],[مرتب]]/30</f>
        <v>454</v>
      </c>
      <c r="J25" s="107">
        <v>30</v>
      </c>
      <c r="K25" s="107">
        <f t="shared" si="0"/>
        <v>13620</v>
      </c>
      <c r="L25" s="108">
        <v>13620</v>
      </c>
      <c r="M25" s="107">
        <f>Table6[[#This Row],[مرتب الضمان]]*17%</f>
        <v>2315.4</v>
      </c>
      <c r="N25" s="107">
        <f>' الشركه 2018'!$H25*35%</f>
        <v>4767</v>
      </c>
      <c r="O25" s="107">
        <f>' الشركه 2018'!$H25*32%</f>
        <v>4358.3999999999996</v>
      </c>
      <c r="P25" s="107">
        <f>' الشركه 2018'!$H25*12%</f>
        <v>1634.3999999999999</v>
      </c>
      <c r="Q25" s="107">
        <f>' الشركه 2018'!$H25*13%</f>
        <v>1770.6000000000001</v>
      </c>
      <c r="R25" s="107">
        <f>' الشركه 2018'!$H25*6%</f>
        <v>817.19999999999993</v>
      </c>
      <c r="S25" s="107">
        <f>' الشركه 2018'!$H25*2%</f>
        <v>272.39999999999998</v>
      </c>
      <c r="T25" s="107">
        <f>' الشركه 2018'!$O25+' الشركه 2018'!$P25+' الشركه 2018'!$Q25+' الشركه 2018'!$R25+' الشركه 2018'!$S25</f>
        <v>8853</v>
      </c>
      <c r="U25" s="109">
        <f>VLOOKUP(Table6[[#This Row],[الرقم الوظيفى]],[2]بالخصم!$B$1:$AK$1200,35,)</f>
        <v>0</v>
      </c>
      <c r="V25" s="147"/>
      <c r="W25" s="111">
        <f>Table6[[#This Row],[عدد ايام الاجازه]]*Table6[[#This Row],[ح راتب اليوم]]</f>
        <v>0</v>
      </c>
      <c r="X25" s="148"/>
      <c r="Y25" s="60"/>
      <c r="Z25" s="111">
        <f>Table6[[#This Row],[عدد ايام الجزاء]]*Table6[[#This Row],[ح راتب اليوم]]</f>
        <v>0</v>
      </c>
      <c r="AA25" s="112">
        <f>Table6[[#This Row],[مرتب]]*50%</f>
        <v>6810</v>
      </c>
      <c r="AB25" s="113" t="e">
        <f>VLOOKUP(Table6[[#This Row],[الرقم الوظيفى]],[3]!Table25289[#Data],23,)</f>
        <v>#REF!</v>
      </c>
      <c r="AC25" s="149"/>
      <c r="AD25" s="150"/>
      <c r="AE25" s="113" t="e">
        <f>VLOOKUP(Table6[[#This Row],[الرقم الوظيفى]],[3]!Table252894[#Data],22,)</f>
        <v>#REF!</v>
      </c>
      <c r="AF25" s="151">
        <v>120</v>
      </c>
      <c r="AG25" s="111">
        <f>' الشركه 2018'!$W25+' الشركه 2018'!$Z25+' الشركه 2018'!$AA25+' الشركه 2018'!$AC25+' الشركه 2018'!$AD25+' الشركه 2018'!$AF25</f>
        <v>6930</v>
      </c>
      <c r="AH25" s="111">
        <f>Table6[[#This Row],[راتب الضمان]]*8%</f>
        <v>1089.5999999999999</v>
      </c>
      <c r="AI25" s="111">
        <f>' الشركه 2018'!$H25-' الشركه 2018'!$AG25-' الشركه 2018'!$AH25</f>
        <v>5600.4</v>
      </c>
      <c r="AJ25" s="111">
        <f>' الشركه 2018'!$CF25</f>
        <v>0</v>
      </c>
      <c r="AK25" s="117">
        <f>' الشركه 2018'!$AI25+' الشركه 2018'!$AJ25</f>
        <v>5600.4</v>
      </c>
      <c r="AL25" s="152"/>
      <c r="AM25" s="153"/>
      <c r="AN25" s="9">
        <f>Table6[[#This Row],[اجمالى الاستحقاق]]-Table6[[#This Row],[Column2]]+Table6[[#This Row],[حوافز غير مستقره]]</f>
        <v>5600.4</v>
      </c>
      <c r="AO25" s="59"/>
      <c r="AP25" s="169"/>
      <c r="AQ25" s="176"/>
      <c r="AR25" s="124"/>
      <c r="AS25" s="155"/>
      <c r="AT25" s="170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71"/>
      <c r="CA25" s="172"/>
      <c r="CB2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" s="131">
        <f>' الشركه 2018'!$H25*67%*1.5*' الشركه 2018'!$CB25/208</f>
        <v>0</v>
      </c>
      <c r="CE25" s="132">
        <f>' الشركه 2018'!$H25*67%*2*' الشركه 2018'!$CC25/208</f>
        <v>0</v>
      </c>
      <c r="CF25" s="133">
        <f>' الشركه 2018'!$CD25+' الشركه 2018'!$CE25</f>
        <v>0</v>
      </c>
      <c r="CG25" s="124"/>
      <c r="CH25" s="177">
        <f>SUMIF(C25:C210,' الشركه 2018'!$CG26,L25:L210)</f>
        <v>0</v>
      </c>
      <c r="CI25" s="124"/>
      <c r="CJ25" s="162">
        <f>' الشركه 2018'!$CH25*' الشركه 2018'!$CI25</f>
        <v>0</v>
      </c>
      <c r="CK25" s="162">
        <f>' الشركه 2018'!$CJ25*8%</f>
        <v>0</v>
      </c>
      <c r="CL25" s="162">
        <f>' الشركه 2018'!$CJ25*17%</f>
        <v>0</v>
      </c>
      <c r="CM25" s="162">
        <f>' الشركه 2018'!$CJ25*25%</f>
        <v>0</v>
      </c>
      <c r="CN25" s="162"/>
      <c r="CO25" s="162"/>
      <c r="CP25" s="163"/>
      <c r="CQ25" s="164" t="e">
        <f>VLOOKUP(Table6[[#This Row],[الرقم الوظيفى]],[4]!Table3[#Data],26,FALSE)</f>
        <v>#REF!</v>
      </c>
      <c r="CR25" s="165">
        <v>2000</v>
      </c>
      <c r="CS25" s="124"/>
    </row>
    <row r="26" spans="1:97" ht="28" customHeight="1" thickTop="1" thickBot="1">
      <c r="A26" s="141">
        <v>38</v>
      </c>
      <c r="B26" s="142" t="s">
        <v>98</v>
      </c>
      <c r="C26" s="59" t="s">
        <v>90</v>
      </c>
      <c r="D26" s="143" t="s">
        <v>79</v>
      </c>
      <c r="E26" s="174" t="s">
        <v>609</v>
      </c>
      <c r="F26" s="143" t="s">
        <v>643</v>
      </c>
      <c r="G26" s="145">
        <v>39083</v>
      </c>
      <c r="H26" s="146">
        <v>13790</v>
      </c>
      <c r="I26" s="106">
        <f>Table6[[#This Row],[مرتب]]/30</f>
        <v>459.66666666666669</v>
      </c>
      <c r="J26" s="107">
        <v>30</v>
      </c>
      <c r="K26" s="107">
        <f t="shared" si="0"/>
        <v>13790</v>
      </c>
      <c r="L26" s="108">
        <v>13790</v>
      </c>
      <c r="M26" s="107">
        <f>Table6[[#This Row],[مرتب الضمان]]*17%</f>
        <v>2344.3000000000002</v>
      </c>
      <c r="N26" s="107">
        <f>' الشركه 2018'!$H26*35%</f>
        <v>4826.5</v>
      </c>
      <c r="O26" s="107">
        <f>' الشركه 2018'!$H26*32%</f>
        <v>4412.8</v>
      </c>
      <c r="P26" s="107">
        <f>' الشركه 2018'!$H26*12%</f>
        <v>1654.8</v>
      </c>
      <c r="Q26" s="107">
        <f>' الشركه 2018'!$H26*13%</f>
        <v>1792.7</v>
      </c>
      <c r="R26" s="107">
        <f>' الشركه 2018'!$H26*6%</f>
        <v>827.4</v>
      </c>
      <c r="S26" s="107">
        <f>' الشركه 2018'!$H26*2%</f>
        <v>275.8</v>
      </c>
      <c r="T26" s="107">
        <f>' الشركه 2018'!$O26+' الشركه 2018'!$P26+' الشركه 2018'!$Q26+' الشركه 2018'!$R26+' الشركه 2018'!$S26</f>
        <v>8963.5</v>
      </c>
      <c r="U26" s="109">
        <f>VLOOKUP(Table6[[#This Row],[الرقم الوظيفى]],[2]بالخصم!$B$1:$AK$1200,35,)</f>
        <v>0</v>
      </c>
      <c r="V26" s="147"/>
      <c r="W26" s="111">
        <f>Table6[[#This Row],[عدد ايام الاجازه]]*Table6[[#This Row],[ح راتب اليوم]]</f>
        <v>0</v>
      </c>
      <c r="X26" s="148"/>
      <c r="Y26" s="60"/>
      <c r="Z26" s="111">
        <f>Table6[[#This Row],[عدد ايام الجزاء]]*Table6[[#This Row],[ح راتب اليوم]]</f>
        <v>0</v>
      </c>
      <c r="AA26" s="112">
        <f>Table6[[#This Row],[مرتب]]*50%</f>
        <v>6895</v>
      </c>
      <c r="AB26" s="113" t="e">
        <f>VLOOKUP(Table6[[#This Row],[الرقم الوظيفى]],[3]!Table25289[#Data],23,)</f>
        <v>#REF!</v>
      </c>
      <c r="AC26" s="149"/>
      <c r="AD26" s="150"/>
      <c r="AE26" s="113" t="e">
        <f>VLOOKUP(Table6[[#This Row],[الرقم الوظيفى]],[3]!Table252894[#Data],22,)</f>
        <v>#REF!</v>
      </c>
      <c r="AF26" s="151"/>
      <c r="AG26" s="111">
        <f>' الشركه 2018'!$W26+' الشركه 2018'!$Z26+' الشركه 2018'!$AA26+' الشركه 2018'!$AC26+' الشركه 2018'!$AD26+' الشركه 2018'!$AF26</f>
        <v>6895</v>
      </c>
      <c r="AH26" s="111">
        <f>Table6[[#This Row],[راتب الضمان]]*8%</f>
        <v>1103.2</v>
      </c>
      <c r="AI26" s="111">
        <f>' الشركه 2018'!$H26-' الشركه 2018'!$AG26-' الشركه 2018'!$AH26</f>
        <v>5791.8</v>
      </c>
      <c r="AJ26" s="111">
        <f>' الشركه 2018'!$CF26</f>
        <v>0</v>
      </c>
      <c r="AK26" s="117">
        <f>' الشركه 2018'!$AI26+' الشركه 2018'!$AJ26</f>
        <v>5791.8</v>
      </c>
      <c r="AL26" s="152"/>
      <c r="AM26" s="153"/>
      <c r="AN26" s="9">
        <f>Table6[[#This Row],[اجمالى الاستحقاق]]-Table6[[#This Row],[Column2]]+Table6[[#This Row],[حوافز غير مستقره]]</f>
        <v>5791.8</v>
      </c>
      <c r="AO26" s="56"/>
      <c r="AP26" s="169"/>
      <c r="AQ26" s="176"/>
      <c r="AR26" s="124"/>
      <c r="AS26" s="155"/>
      <c r="AT26" s="170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59"/>
      <c r="CA26" s="160"/>
      <c r="CB2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" s="131">
        <f>' الشركه 2018'!$H26*67%*1.5*' الشركه 2018'!$CB26/208</f>
        <v>0</v>
      </c>
      <c r="CE26" s="132">
        <f>' الشركه 2018'!$H26*67%*2*' الشركه 2018'!$CC26/208</f>
        <v>0</v>
      </c>
      <c r="CF26" s="133">
        <f>' الشركه 2018'!$CD26+' الشركه 2018'!$CE26</f>
        <v>0</v>
      </c>
      <c r="CG26" s="124"/>
      <c r="CH26" s="177">
        <f>SUMIF(C26:C210,' الشركه 2018'!$CG27,L26:L210)</f>
        <v>0</v>
      </c>
      <c r="CI26" s="124"/>
      <c r="CJ26" s="162">
        <f>' الشركه 2018'!$CH26*' الشركه 2018'!$CI26</f>
        <v>0</v>
      </c>
      <c r="CK26" s="162">
        <f>' الشركه 2018'!$CJ26*8%</f>
        <v>0</v>
      </c>
      <c r="CL26" s="162">
        <f>' الشركه 2018'!$CJ26*17%</f>
        <v>0</v>
      </c>
      <c r="CM26" s="162">
        <f>' الشركه 2018'!$CJ26*25%</f>
        <v>0</v>
      </c>
      <c r="CN26" s="162"/>
      <c r="CO26" s="162"/>
      <c r="CP26" s="163">
        <v>2000</v>
      </c>
      <c r="CQ26" s="164" t="e">
        <f>VLOOKUP(Table6[[#This Row],[الرقم الوظيفى]],[4]!Table3[#Data],26,FALSE)</f>
        <v>#REF!</v>
      </c>
      <c r="CR26" s="165">
        <v>2000</v>
      </c>
      <c r="CS26" s="124"/>
    </row>
    <row r="27" spans="1:97" ht="28" customHeight="1" thickTop="1" thickBot="1">
      <c r="A27" s="141">
        <v>39</v>
      </c>
      <c r="B27" s="142" t="s">
        <v>352</v>
      </c>
      <c r="C27" s="59" t="s">
        <v>90</v>
      </c>
      <c r="D27" s="143" t="s">
        <v>79</v>
      </c>
      <c r="E27" s="174" t="s">
        <v>644</v>
      </c>
      <c r="F27" s="143" t="s">
        <v>351</v>
      </c>
      <c r="G27" s="145">
        <v>39083</v>
      </c>
      <c r="H27" s="146">
        <v>6040</v>
      </c>
      <c r="I27" s="106">
        <f>Table6[[#This Row],[مرتب]]/30</f>
        <v>201.33333333333334</v>
      </c>
      <c r="J27" s="107">
        <v>30</v>
      </c>
      <c r="K27" s="107">
        <f t="shared" si="0"/>
        <v>6040</v>
      </c>
      <c r="L27" s="108">
        <v>6040</v>
      </c>
      <c r="M27" s="107">
        <f>Table6[[#This Row],[مرتب الضمان]]*17%</f>
        <v>1026.8000000000002</v>
      </c>
      <c r="N27" s="107">
        <f>' الشركه 2018'!$H27*35%</f>
        <v>2114</v>
      </c>
      <c r="O27" s="107">
        <f>' الشركه 2018'!$H27*32%</f>
        <v>1932.8</v>
      </c>
      <c r="P27" s="107">
        <f>' الشركه 2018'!$H27*12%</f>
        <v>724.8</v>
      </c>
      <c r="Q27" s="107">
        <f>' الشركه 2018'!$H27*13%</f>
        <v>785.2</v>
      </c>
      <c r="R27" s="107">
        <f>' الشركه 2018'!$H27*6%</f>
        <v>362.4</v>
      </c>
      <c r="S27" s="107">
        <f>' الشركه 2018'!$H27*2%</f>
        <v>120.8</v>
      </c>
      <c r="T27" s="107">
        <f>' الشركه 2018'!$O27+' الشركه 2018'!$P27+' الشركه 2018'!$Q27+' الشركه 2018'!$R27+' الشركه 2018'!$S27</f>
        <v>3926.0000000000005</v>
      </c>
      <c r="U27" s="109">
        <f>VLOOKUP(Table6[[#This Row],[الرقم الوظيفى]],[2]بالخصم!$B$1:$AK$1200,35,)</f>
        <v>0</v>
      </c>
      <c r="V27" s="147"/>
      <c r="W27" s="111">
        <f>Table6[[#This Row],[عدد ايام الاجازه]]*Table6[[#This Row],[ح راتب اليوم]]</f>
        <v>0</v>
      </c>
      <c r="X27" s="148"/>
      <c r="Y27" s="60"/>
      <c r="Z27" s="111">
        <f>Table6[[#This Row],[عدد ايام الجزاء]]*Table6[[#This Row],[ح راتب اليوم]]</f>
        <v>0</v>
      </c>
      <c r="AA27" s="112">
        <f>Table6[[#This Row],[مرتب]]*50%</f>
        <v>3020</v>
      </c>
      <c r="AB27" s="113" t="e">
        <f>VLOOKUP(Table6[[#This Row],[الرقم الوظيفى]],[3]!Table25289[#Data],23,)</f>
        <v>#REF!</v>
      </c>
      <c r="AC27" s="149"/>
      <c r="AD27" s="150"/>
      <c r="AE27" s="113" t="e">
        <f>VLOOKUP(Table6[[#This Row],[الرقم الوظيفى]],[3]!Table252894[#Data],22,)</f>
        <v>#REF!</v>
      </c>
      <c r="AF27" s="179"/>
      <c r="AG27" s="111">
        <f>' الشركه 2018'!$W27+' الشركه 2018'!$Z27+' الشركه 2018'!$AA27+' الشركه 2018'!$AC27+' الشركه 2018'!$AD27+' الشركه 2018'!$AF27</f>
        <v>3020</v>
      </c>
      <c r="AH27" s="111">
        <f>Table6[[#This Row],[راتب الضمان]]*8%</f>
        <v>483.2</v>
      </c>
      <c r="AI27" s="111">
        <f>' الشركه 2018'!$H27-' الشركه 2018'!$AG27-' الشركه 2018'!$AH27</f>
        <v>2536.8000000000002</v>
      </c>
      <c r="AJ27" s="111">
        <f>' الشركه 2018'!$CF27</f>
        <v>0</v>
      </c>
      <c r="AK27" s="117">
        <f>' الشركه 2018'!$AI27+' الشركه 2018'!$AJ27</f>
        <v>2536.8000000000002</v>
      </c>
      <c r="AL27" s="152"/>
      <c r="AM27" s="153"/>
      <c r="AN27" s="9">
        <f>Table6[[#This Row],[اجمالى الاستحقاق]]-Table6[[#This Row],[Column2]]+Table6[[#This Row],[حوافز غير مستقره]]</f>
        <v>2536.8000000000002</v>
      </c>
      <c r="AO27" s="59"/>
      <c r="AP27" s="169"/>
      <c r="AQ27" s="176"/>
      <c r="AR27" s="124"/>
      <c r="AS27" s="155"/>
      <c r="AT27" s="170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59"/>
      <c r="CA27" s="160"/>
      <c r="CB2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" s="131">
        <f>' الشركه 2018'!$H27*67%*1.5*' الشركه 2018'!$CB27/208</f>
        <v>0</v>
      </c>
      <c r="CE27" s="132">
        <f>' الشركه 2018'!$H27*67%*2*' الشركه 2018'!$CC27/208</f>
        <v>0</v>
      </c>
      <c r="CF27" s="133">
        <f>' الشركه 2018'!$CD27+' الشركه 2018'!$CE27</f>
        <v>0</v>
      </c>
      <c r="CG27" s="124"/>
      <c r="CH27" s="177">
        <f>SUMIF(C27:C210,' الشركه 2018'!$CG28,L27:L210)</f>
        <v>0</v>
      </c>
      <c r="CI27" s="124"/>
      <c r="CJ27" s="162">
        <f>' الشركه 2018'!$CH27*' الشركه 2018'!$CI27</f>
        <v>0</v>
      </c>
      <c r="CK27" s="162">
        <f>' الشركه 2018'!$CJ27*8%</f>
        <v>0</v>
      </c>
      <c r="CL27" s="162">
        <f>' الشركه 2018'!$CJ27*17%</f>
        <v>0</v>
      </c>
      <c r="CM27" s="162">
        <f>' الشركه 2018'!$CJ27*25%</f>
        <v>0</v>
      </c>
      <c r="CN27" s="162"/>
      <c r="CO27" s="162"/>
      <c r="CP27" s="163">
        <v>500</v>
      </c>
      <c r="CQ27" s="164" t="e">
        <f>VLOOKUP(Table6[[#This Row],[الرقم الوظيفى]],[4]!Table3[#Data],26,FALSE)</f>
        <v>#REF!</v>
      </c>
      <c r="CR27" s="165">
        <v>500</v>
      </c>
      <c r="CS27" s="124"/>
    </row>
    <row r="28" spans="1:97" ht="28" customHeight="1" thickTop="1" thickBot="1">
      <c r="A28" s="141">
        <v>40</v>
      </c>
      <c r="B28" s="142" t="s">
        <v>353</v>
      </c>
      <c r="C28" s="59" t="s">
        <v>90</v>
      </c>
      <c r="D28" s="143" t="s">
        <v>79</v>
      </c>
      <c r="E28" s="174" t="s">
        <v>644</v>
      </c>
      <c r="F28" s="143" t="s">
        <v>351</v>
      </c>
      <c r="G28" s="145">
        <v>39083</v>
      </c>
      <c r="H28" s="146">
        <v>4580</v>
      </c>
      <c r="I28" s="106">
        <f>Table6[[#This Row],[مرتب]]/30</f>
        <v>152.66666666666666</v>
      </c>
      <c r="J28" s="107">
        <v>30</v>
      </c>
      <c r="K28" s="107">
        <f t="shared" si="0"/>
        <v>4580</v>
      </c>
      <c r="L28" s="108">
        <v>4580</v>
      </c>
      <c r="M28" s="107">
        <f>Table6[[#This Row],[مرتب الضمان]]*17%</f>
        <v>778.6</v>
      </c>
      <c r="N28" s="107">
        <f>' الشركه 2018'!$H28*35%</f>
        <v>1603</v>
      </c>
      <c r="O28" s="107">
        <f>' الشركه 2018'!$H28*32%</f>
        <v>1465.6000000000001</v>
      </c>
      <c r="P28" s="107">
        <f>' الشركه 2018'!$H28*12%</f>
        <v>549.6</v>
      </c>
      <c r="Q28" s="107">
        <f>' الشركه 2018'!$H28*13%</f>
        <v>595.4</v>
      </c>
      <c r="R28" s="107">
        <f>' الشركه 2018'!$H28*6%</f>
        <v>274.8</v>
      </c>
      <c r="S28" s="107">
        <f>' الشركه 2018'!$H28*2%</f>
        <v>91.600000000000009</v>
      </c>
      <c r="T28" s="107">
        <f>' الشركه 2018'!$O28+' الشركه 2018'!$P28+' الشركه 2018'!$Q28+' الشركه 2018'!$R28+' الشركه 2018'!$S28</f>
        <v>2977.0000000000005</v>
      </c>
      <c r="U28" s="109">
        <f>VLOOKUP(Table6[[#This Row],[الرقم الوظيفى]],[2]بالخصم!$B$1:$AK$1200,35,)</f>
        <v>0</v>
      </c>
      <c r="V28" s="147"/>
      <c r="W28" s="111">
        <f>Table6[[#This Row],[عدد ايام الاجازه]]*Table6[[#This Row],[ح راتب اليوم]]</f>
        <v>0</v>
      </c>
      <c r="X28" s="148"/>
      <c r="Y28" s="60"/>
      <c r="Z28" s="111">
        <f>Table6[[#This Row],[عدد ايام الجزاء]]*Table6[[#This Row],[ح راتب اليوم]]</f>
        <v>0</v>
      </c>
      <c r="AA28" s="112">
        <f>Table6[[#This Row],[مرتب]]*50%</f>
        <v>2290</v>
      </c>
      <c r="AB28" s="113" t="e">
        <f>VLOOKUP(Table6[[#This Row],[الرقم الوظيفى]],[3]!Table25289[#Data],23,)</f>
        <v>#REF!</v>
      </c>
      <c r="AC28" s="149">
        <v>400</v>
      </c>
      <c r="AD28" s="150"/>
      <c r="AE28" s="113" t="e">
        <f>VLOOKUP(Table6[[#This Row],[الرقم الوظيفى]],[3]!Table252894[#Data],22,)</f>
        <v>#REF!</v>
      </c>
      <c r="AF28" s="151"/>
      <c r="AG28" s="111">
        <f>' الشركه 2018'!$W28+' الشركه 2018'!$Z28+' الشركه 2018'!$AA28+' الشركه 2018'!$AC28+' الشركه 2018'!$AD28+' الشركه 2018'!$AF28</f>
        <v>2690</v>
      </c>
      <c r="AH28" s="111">
        <f>Table6[[#This Row],[راتب الضمان]]*8%</f>
        <v>366.40000000000003</v>
      </c>
      <c r="AI28" s="111">
        <f>' الشركه 2018'!$H28-' الشركه 2018'!$AG28-' الشركه 2018'!$AH28</f>
        <v>1523.6</v>
      </c>
      <c r="AJ28" s="111">
        <f>' الشركه 2018'!$CF28</f>
        <v>0</v>
      </c>
      <c r="AK28" s="117">
        <f>' الشركه 2018'!$AI28+' الشركه 2018'!$AJ28</f>
        <v>1523.6</v>
      </c>
      <c r="AL28" s="152"/>
      <c r="AM28" s="153"/>
      <c r="AN28" s="9">
        <f>Table6[[#This Row],[اجمالى الاستحقاق]]-Table6[[#This Row],[Column2]]+Table6[[#This Row],[حوافز غير مستقره]]</f>
        <v>1523.6</v>
      </c>
      <c r="AO28" s="59"/>
      <c r="AP28" s="169"/>
      <c r="AQ28" s="176"/>
      <c r="AR28" s="124"/>
      <c r="AS28" s="155"/>
      <c r="AT28" s="170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59"/>
      <c r="CA28" s="160"/>
      <c r="CB2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" s="131">
        <f>' الشركه 2018'!$H28*67%*1.5*' الشركه 2018'!$CB28/208</f>
        <v>0</v>
      </c>
      <c r="CE28" s="132">
        <f>' الشركه 2018'!$H28*67%*2*' الشركه 2018'!$CC28/208</f>
        <v>0</v>
      </c>
      <c r="CF28" s="133">
        <f>' الشركه 2018'!$CD28+' الشركه 2018'!$CE28</f>
        <v>0</v>
      </c>
      <c r="CG28" s="124"/>
      <c r="CH28" s="177">
        <f>SUMIF(C28:C214,' الشركه 2018'!$CG29,L28:L214)</f>
        <v>0</v>
      </c>
      <c r="CI28" s="124"/>
      <c r="CJ28" s="162">
        <f>' الشركه 2018'!$CH28*' الشركه 2018'!$CI28</f>
        <v>0</v>
      </c>
      <c r="CK28" s="162">
        <f>' الشركه 2018'!$CJ28*8%</f>
        <v>0</v>
      </c>
      <c r="CL28" s="162">
        <f>' الشركه 2018'!$CJ28*17%</f>
        <v>0</v>
      </c>
      <c r="CM28" s="162">
        <f>' الشركه 2018'!$CJ28*25%</f>
        <v>0</v>
      </c>
      <c r="CN28" s="162"/>
      <c r="CO28" s="162"/>
      <c r="CP28" s="163">
        <v>1000</v>
      </c>
      <c r="CQ28" s="164" t="e">
        <f>VLOOKUP(Table6[[#This Row],[الرقم الوظيفى]],[4]!Table3[#Data],26,FALSE)</f>
        <v>#REF!</v>
      </c>
      <c r="CR28" s="165">
        <v>2000</v>
      </c>
      <c r="CS28" s="124"/>
    </row>
    <row r="29" spans="1:97" ht="28" customHeight="1" thickTop="1" thickBot="1">
      <c r="A29" s="141">
        <v>42</v>
      </c>
      <c r="B29" s="142" t="s">
        <v>333</v>
      </c>
      <c r="C29" s="59" t="s">
        <v>90</v>
      </c>
      <c r="D29" s="143" t="s">
        <v>76</v>
      </c>
      <c r="E29" s="174" t="s">
        <v>645</v>
      </c>
      <c r="F29" s="143" t="s">
        <v>645</v>
      </c>
      <c r="G29" s="145">
        <v>39088</v>
      </c>
      <c r="H29" s="146">
        <v>3410</v>
      </c>
      <c r="I29" s="106">
        <f>Table6[[#This Row],[مرتب]]/30</f>
        <v>113.66666666666667</v>
      </c>
      <c r="J29" s="107">
        <v>30</v>
      </c>
      <c r="K29" s="107">
        <f t="shared" si="0"/>
        <v>3410</v>
      </c>
      <c r="L29" s="108">
        <v>3410</v>
      </c>
      <c r="M29" s="107">
        <f>Table6[[#This Row],[مرتب الضمان]]*17%</f>
        <v>579.70000000000005</v>
      </c>
      <c r="N29" s="107">
        <f>' الشركه 2018'!$H29*35%</f>
        <v>1193.5</v>
      </c>
      <c r="O29" s="107">
        <f>' الشركه 2018'!$H29*32%</f>
        <v>1091.2</v>
      </c>
      <c r="P29" s="107">
        <f>' الشركه 2018'!$H29*12%</f>
        <v>409.2</v>
      </c>
      <c r="Q29" s="107">
        <f>' الشركه 2018'!$H29*13%</f>
        <v>443.3</v>
      </c>
      <c r="R29" s="107">
        <f>' الشركه 2018'!$H29*6%</f>
        <v>204.6</v>
      </c>
      <c r="S29" s="107">
        <f>' الشركه 2018'!$H29*2%</f>
        <v>68.2</v>
      </c>
      <c r="T29" s="107">
        <f>' الشركه 2018'!$O29+' الشركه 2018'!$P29+' الشركه 2018'!$Q29+' الشركه 2018'!$R29+' الشركه 2018'!$S29</f>
        <v>2216.5</v>
      </c>
      <c r="U29" s="109">
        <f>VLOOKUP(Table6[[#This Row],[الرقم الوظيفى]],[2]بالخصم!$B$1:$AK$1200,35,)</f>
        <v>0</v>
      </c>
      <c r="V29" s="147"/>
      <c r="W29" s="111">
        <f>Table6[[#This Row],[عدد ايام الاجازه]]*Table6[[#This Row],[ح راتب اليوم]]</f>
        <v>0</v>
      </c>
      <c r="X29" s="148"/>
      <c r="Y29" s="60"/>
      <c r="Z29" s="111">
        <f>Table6[[#This Row],[عدد ايام الجزاء]]*Table6[[#This Row],[ح راتب اليوم]]</f>
        <v>0</v>
      </c>
      <c r="AA29" s="112">
        <f>Table6[[#This Row],[مرتب]]*50%</f>
        <v>1705</v>
      </c>
      <c r="AB29" s="113" t="e">
        <f>VLOOKUP(Table6[[#This Row],[الرقم الوظيفى]],[3]!Table25289[#Data],23,)</f>
        <v>#REF!</v>
      </c>
      <c r="AC29" s="149">
        <v>300</v>
      </c>
      <c r="AD29" s="150"/>
      <c r="AE29" s="113" t="e">
        <f>VLOOKUP(Table6[[#This Row],[الرقم الوظيفى]],[3]!Table252894[#Data],22,)</f>
        <v>#REF!</v>
      </c>
      <c r="AF29" s="151"/>
      <c r="AG29" s="111">
        <f>' الشركه 2018'!$W29+' الشركه 2018'!$Z29+' الشركه 2018'!$AA29+' الشركه 2018'!$AC29+' الشركه 2018'!$AD29+' الشركه 2018'!$AF29</f>
        <v>2005</v>
      </c>
      <c r="AH29" s="111">
        <f>Table6[[#This Row],[راتب الضمان]]*8%</f>
        <v>272.8</v>
      </c>
      <c r="AI29" s="111">
        <f>' الشركه 2018'!$H29-' الشركه 2018'!$AG29-' الشركه 2018'!$AH29</f>
        <v>1132.2</v>
      </c>
      <c r="AJ29" s="111">
        <f>' الشركه 2018'!$CF29</f>
        <v>0</v>
      </c>
      <c r="AK29" s="117">
        <f>' الشركه 2018'!$AI29+' الشركه 2018'!$AJ29</f>
        <v>1132.2</v>
      </c>
      <c r="AL29" s="152"/>
      <c r="AM29" s="153"/>
      <c r="AN29" s="9">
        <f>Table6[[#This Row],[اجمالى الاستحقاق]]-Table6[[#This Row],[Column2]]+Table6[[#This Row],[حوافز غير مستقره]]</f>
        <v>1132.2</v>
      </c>
      <c r="AO29" s="59"/>
      <c r="AP29" s="169"/>
      <c r="AQ29" s="176"/>
      <c r="AR29" s="124"/>
      <c r="AS29" s="155"/>
      <c r="AT29" s="170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71"/>
      <c r="CA29" s="172"/>
      <c r="CB2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" s="131">
        <f>' الشركه 2018'!$H29*67%*1.5*' الشركه 2018'!$CB29/208</f>
        <v>0</v>
      </c>
      <c r="CE29" s="132">
        <f>' الشركه 2018'!$H29*67%*2*' الشركه 2018'!$CC29/208</f>
        <v>0</v>
      </c>
      <c r="CF29" s="133">
        <f>' الشركه 2018'!$CD29+' الشركه 2018'!$CE29</f>
        <v>0</v>
      </c>
      <c r="CG29" s="124"/>
      <c r="CH29" s="177">
        <f>SUMIF(C29:C214,' الشركه 2018'!$CG30,L29:L214)</f>
        <v>0</v>
      </c>
      <c r="CI29" s="124"/>
      <c r="CJ29" s="162">
        <f>' الشركه 2018'!$CH29*' الشركه 2018'!$CI29</f>
        <v>0</v>
      </c>
      <c r="CK29" s="162">
        <f>' الشركه 2018'!$CJ29*8%</f>
        <v>0</v>
      </c>
      <c r="CL29" s="162">
        <f>' الشركه 2018'!$CJ29*17%</f>
        <v>0</v>
      </c>
      <c r="CM29" s="162">
        <f>' الشركه 2018'!$CJ29*25%</f>
        <v>0</v>
      </c>
      <c r="CN29" s="162"/>
      <c r="CO29" s="162"/>
      <c r="CP29" s="163"/>
      <c r="CQ29" s="164" t="e">
        <f>VLOOKUP(Table6[[#This Row],[الرقم الوظيفى]],[4]!Table3[#Data],26,FALSE)</f>
        <v>#REF!</v>
      </c>
      <c r="CR29" s="165"/>
      <c r="CS29" s="124"/>
    </row>
    <row r="30" spans="1:97" ht="28" customHeight="1" thickTop="1" thickBot="1">
      <c r="A30" s="141">
        <v>43</v>
      </c>
      <c r="B30" s="142" t="s">
        <v>330</v>
      </c>
      <c r="C30" s="59" t="s">
        <v>90</v>
      </c>
      <c r="D30" s="143" t="s">
        <v>76</v>
      </c>
      <c r="E30" s="174" t="s">
        <v>646</v>
      </c>
      <c r="F30" s="143" t="s">
        <v>647</v>
      </c>
      <c r="G30" s="145">
        <v>42045</v>
      </c>
      <c r="H30" s="146">
        <v>4110</v>
      </c>
      <c r="I30" s="106">
        <f>Table6[[#This Row],[مرتب]]/30</f>
        <v>137</v>
      </c>
      <c r="J30" s="107">
        <v>30</v>
      </c>
      <c r="K30" s="107">
        <f t="shared" si="0"/>
        <v>4110</v>
      </c>
      <c r="L30" s="108">
        <v>4110</v>
      </c>
      <c r="M30" s="107">
        <f>Table6[[#This Row],[مرتب الضمان]]*17%</f>
        <v>698.7</v>
      </c>
      <c r="N30" s="107">
        <f>' الشركه 2018'!$H30*35%</f>
        <v>1438.5</v>
      </c>
      <c r="O30" s="107">
        <f>' الشركه 2018'!$H30*32%</f>
        <v>1315.2</v>
      </c>
      <c r="P30" s="107">
        <f>' الشركه 2018'!$H30*12%</f>
        <v>493.2</v>
      </c>
      <c r="Q30" s="107">
        <f>' الشركه 2018'!$H30*13%</f>
        <v>534.30000000000007</v>
      </c>
      <c r="R30" s="107">
        <f>' الشركه 2018'!$H30*6%</f>
        <v>246.6</v>
      </c>
      <c r="S30" s="107">
        <f>' الشركه 2018'!$H30*2%</f>
        <v>82.2</v>
      </c>
      <c r="T30" s="107">
        <f>' الشركه 2018'!$O30+' الشركه 2018'!$P30+' الشركه 2018'!$Q30+' الشركه 2018'!$R30+' الشركه 2018'!$S30</f>
        <v>2671.5</v>
      </c>
      <c r="U30" s="109">
        <f>VLOOKUP(Table6[[#This Row],[الرقم الوظيفى]],[2]بالخصم!$B$1:$AK$1200,35,)</f>
        <v>0</v>
      </c>
      <c r="V30" s="147"/>
      <c r="W30" s="111">
        <f>Table6[[#This Row],[عدد ايام الاجازه]]*Table6[[#This Row],[ح راتب اليوم]]</f>
        <v>0</v>
      </c>
      <c r="X30" s="148"/>
      <c r="Y30" s="60"/>
      <c r="Z30" s="111">
        <f>Table6[[#This Row],[عدد ايام الجزاء]]*Table6[[#This Row],[ح راتب اليوم]]</f>
        <v>0</v>
      </c>
      <c r="AA30" s="112">
        <f>Table6[[#This Row],[مرتب]]*50%</f>
        <v>2055</v>
      </c>
      <c r="AB30" s="113" t="e">
        <f>VLOOKUP(Table6[[#This Row],[الرقم الوظيفى]],[3]!Table25289[#Data],23,)</f>
        <v>#REF!</v>
      </c>
      <c r="AC30" s="149">
        <v>300</v>
      </c>
      <c r="AD30" s="150"/>
      <c r="AE30" s="113" t="e">
        <f>VLOOKUP(Table6[[#This Row],[الرقم الوظيفى]],[3]!Table252894[#Data],22,)</f>
        <v>#REF!</v>
      </c>
      <c r="AF30" s="151"/>
      <c r="AG30" s="111">
        <f>' الشركه 2018'!$W30+' الشركه 2018'!$Z30+' الشركه 2018'!$AA30+' الشركه 2018'!$AC30+' الشركه 2018'!$AD30+' الشركه 2018'!$AF30</f>
        <v>2355</v>
      </c>
      <c r="AH30" s="111">
        <f>Table6[[#This Row],[راتب الضمان]]*8%</f>
        <v>328.8</v>
      </c>
      <c r="AI30" s="111">
        <f>' الشركه 2018'!$H30-' الشركه 2018'!$AG30-' الشركه 2018'!$AH30</f>
        <v>1426.2</v>
      </c>
      <c r="AJ30" s="111">
        <f>' الشركه 2018'!$CF30</f>
        <v>1032.6375</v>
      </c>
      <c r="AK30" s="117">
        <f>' الشركه 2018'!$AI30+' الشركه 2018'!$AJ30</f>
        <v>2458.8375000000001</v>
      </c>
      <c r="AL30" s="152"/>
      <c r="AM30" s="153"/>
      <c r="AN30" s="9">
        <f>Table6[[#This Row],[اجمالى الاستحقاق]]-Table6[[#This Row],[Column2]]+Table6[[#This Row],[حوافز غير مستقره]]</f>
        <v>2458.8375000000001</v>
      </c>
      <c r="AO30" s="59"/>
      <c r="AP30" s="169"/>
      <c r="AQ30" s="176"/>
      <c r="AR30" s="124"/>
      <c r="AS30" s="155"/>
      <c r="AT30" s="170">
        <v>2</v>
      </c>
      <c r="AU30" s="124">
        <v>2</v>
      </c>
      <c r="AV30" s="124"/>
      <c r="AW30" s="124">
        <v>2</v>
      </c>
      <c r="AX30" s="124">
        <v>2</v>
      </c>
      <c r="AY30" s="124">
        <v>2</v>
      </c>
      <c r="AZ30" s="124">
        <v>2</v>
      </c>
      <c r="BA30" s="124">
        <v>2</v>
      </c>
      <c r="BB30" s="124">
        <v>2</v>
      </c>
      <c r="BC30" s="124"/>
      <c r="BD30" s="124">
        <v>2</v>
      </c>
      <c r="BE30" s="124">
        <v>2</v>
      </c>
      <c r="BF30" s="124">
        <v>2</v>
      </c>
      <c r="BG30" s="124">
        <v>2</v>
      </c>
      <c r="BH30" s="124">
        <v>2</v>
      </c>
      <c r="BI30" s="124">
        <v>2</v>
      </c>
      <c r="BJ30" s="124"/>
      <c r="BK30" s="124">
        <v>2</v>
      </c>
      <c r="BL30" s="124">
        <v>2</v>
      </c>
      <c r="BM30" s="124">
        <v>2</v>
      </c>
      <c r="BN30" s="124">
        <v>2</v>
      </c>
      <c r="BO30" s="124">
        <v>2</v>
      </c>
      <c r="BP30" s="124">
        <v>2</v>
      </c>
      <c r="BQ30" s="124"/>
      <c r="BR30" s="124">
        <v>2</v>
      </c>
      <c r="BS30" s="124">
        <v>2</v>
      </c>
      <c r="BT30" s="124">
        <v>2</v>
      </c>
      <c r="BU30" s="124">
        <v>2</v>
      </c>
      <c r="BV30" s="124">
        <v>2</v>
      </c>
      <c r="BW30" s="124">
        <v>2</v>
      </c>
      <c r="BX30" s="124"/>
      <c r="BY30" s="124"/>
      <c r="BZ30" s="159"/>
      <c r="CA30" s="160"/>
      <c r="CB3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52</v>
      </c>
      <c r="CC3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" s="131">
        <f>' الشركه 2018'!$H30*67%*1.5*' الشركه 2018'!$CB30/208</f>
        <v>1032.6375</v>
      </c>
      <c r="CE30" s="132">
        <f>' الشركه 2018'!$H30*67%*2*' الشركه 2018'!$CC30/208</f>
        <v>0</v>
      </c>
      <c r="CF30" s="133">
        <f>' الشركه 2018'!$CD30+' الشركه 2018'!$CE30</f>
        <v>1032.6375</v>
      </c>
      <c r="CG30" s="124"/>
      <c r="CH30" s="177">
        <f>SUMIF(C30:C214,' الشركه 2018'!$CG31,L30:L214)</f>
        <v>0</v>
      </c>
      <c r="CI30" s="124"/>
      <c r="CJ30" s="162">
        <f>' الشركه 2018'!$CH30*' الشركه 2018'!$CI30</f>
        <v>0</v>
      </c>
      <c r="CK30" s="162">
        <f>' الشركه 2018'!$CJ30*8%</f>
        <v>0</v>
      </c>
      <c r="CL30" s="162">
        <f>' الشركه 2018'!$CJ30*17%</f>
        <v>0</v>
      </c>
      <c r="CM30" s="162">
        <f>' الشركه 2018'!$CJ30*25%</f>
        <v>0</v>
      </c>
      <c r="CN30" s="162"/>
      <c r="CO30" s="162"/>
      <c r="CP30" s="163">
        <v>500</v>
      </c>
      <c r="CQ30" s="164" t="e">
        <f>VLOOKUP(Table6[[#This Row],[الرقم الوظيفى]],[4]!Table3[#Data],26,FALSE)</f>
        <v>#REF!</v>
      </c>
      <c r="CR30" s="165">
        <v>500</v>
      </c>
      <c r="CS30" s="124"/>
    </row>
    <row r="31" spans="1:97" ht="28" customHeight="1" thickTop="1" thickBot="1">
      <c r="A31" s="178">
        <v>45</v>
      </c>
      <c r="B31" s="142" t="s">
        <v>329</v>
      </c>
      <c r="C31" s="59" t="s">
        <v>90</v>
      </c>
      <c r="D31" s="143" t="s">
        <v>76</v>
      </c>
      <c r="E31" s="174" t="s">
        <v>645</v>
      </c>
      <c r="F31" s="143" t="s">
        <v>645</v>
      </c>
      <c r="G31" s="145">
        <v>39120</v>
      </c>
      <c r="H31" s="146">
        <v>4440</v>
      </c>
      <c r="I31" s="106">
        <f>Table6[[#This Row],[مرتب]]/30</f>
        <v>148</v>
      </c>
      <c r="J31" s="107">
        <v>30</v>
      </c>
      <c r="K31" s="107">
        <f t="shared" si="0"/>
        <v>4440</v>
      </c>
      <c r="L31" s="108">
        <v>4440</v>
      </c>
      <c r="M31" s="107">
        <f>Table6[[#This Row],[مرتب الضمان]]*17%</f>
        <v>754.80000000000007</v>
      </c>
      <c r="N31" s="107">
        <f>' الشركه 2018'!$H31*35%</f>
        <v>1554</v>
      </c>
      <c r="O31" s="107">
        <f>' الشركه 2018'!$H31*32%</f>
        <v>1420.8</v>
      </c>
      <c r="P31" s="107">
        <f>' الشركه 2018'!$H31*12%</f>
        <v>532.79999999999995</v>
      </c>
      <c r="Q31" s="107">
        <f>' الشركه 2018'!$H31*13%</f>
        <v>577.20000000000005</v>
      </c>
      <c r="R31" s="107">
        <f>' الشركه 2018'!$H31*6%</f>
        <v>266.39999999999998</v>
      </c>
      <c r="S31" s="107">
        <f>' الشركه 2018'!$H31*2%</f>
        <v>88.8</v>
      </c>
      <c r="T31" s="107">
        <f>' الشركه 2018'!$O31+' الشركه 2018'!$P31+' الشركه 2018'!$Q31+' الشركه 2018'!$R31+' الشركه 2018'!$S31</f>
        <v>2886.0000000000005</v>
      </c>
      <c r="U31" s="109">
        <f>VLOOKUP(Table6[[#This Row],[الرقم الوظيفى]],[2]بالخصم!$B$1:$AK$1200,35,)</f>
        <v>0</v>
      </c>
      <c r="V31" s="147"/>
      <c r="W31" s="111">
        <f>Table6[[#This Row],[عدد ايام الاجازه]]*Table6[[#This Row],[ح راتب اليوم]]</f>
        <v>0</v>
      </c>
      <c r="X31" s="148"/>
      <c r="Y31" s="60"/>
      <c r="Z31" s="111">
        <f>Table6[[#This Row],[عدد ايام الجزاء]]*Table6[[#This Row],[ح راتب اليوم]]</f>
        <v>0</v>
      </c>
      <c r="AA31" s="112">
        <f>Table6[[#This Row],[مرتب]]*50%</f>
        <v>2220</v>
      </c>
      <c r="AB31" s="113" t="e">
        <f>VLOOKUP(Table6[[#This Row],[الرقم الوظيفى]],[3]!Table25289[#Data],23,)</f>
        <v>#REF!</v>
      </c>
      <c r="AC31" s="149"/>
      <c r="AD31" s="150"/>
      <c r="AE31" s="113" t="e">
        <f>VLOOKUP(Table6[[#This Row],[الرقم الوظيفى]],[3]!Table252894[#Data],22,)</f>
        <v>#REF!</v>
      </c>
      <c r="AF31" s="151"/>
      <c r="AG31" s="111">
        <f>' الشركه 2018'!$W31+' الشركه 2018'!$Z31+' الشركه 2018'!$AA31+' الشركه 2018'!$AC31+' الشركه 2018'!$AD31+' الشركه 2018'!$AF31</f>
        <v>2220</v>
      </c>
      <c r="AH31" s="111">
        <f>Table6[[#This Row],[راتب الضمان]]*8%</f>
        <v>355.2</v>
      </c>
      <c r="AI31" s="111">
        <f>' الشركه 2018'!$H31-' الشركه 2018'!$AG31-' الشركه 2018'!$AH31</f>
        <v>1864.8</v>
      </c>
      <c r="AJ31" s="111">
        <f>' الشركه 2018'!$CF31</f>
        <v>686.4923076923078</v>
      </c>
      <c r="AK31" s="117">
        <f>' الشركه 2018'!$AI31+' الشركه 2018'!$AJ31</f>
        <v>2551.292307692308</v>
      </c>
      <c r="AL31" s="152"/>
      <c r="AM31" s="153"/>
      <c r="AN31" s="9">
        <f>Table6[[#This Row],[اجمالى الاستحقاق]]-Table6[[#This Row],[Column2]]+Table6[[#This Row],[حوافز غير مستقره]]</f>
        <v>2551.292307692308</v>
      </c>
      <c r="AO31" s="59"/>
      <c r="AP31" s="169"/>
      <c r="AQ31" s="176"/>
      <c r="AR31" s="124"/>
      <c r="AS31" s="155"/>
      <c r="AT31" s="170"/>
      <c r="AU31" s="124"/>
      <c r="AV31" s="124">
        <v>12</v>
      </c>
      <c r="AW31" s="124"/>
      <c r="AX31" s="124"/>
      <c r="AY31" s="124"/>
      <c r="AZ31" s="124"/>
      <c r="BA31" s="124"/>
      <c r="BB31" s="124"/>
      <c r="BC31" s="124">
        <v>12</v>
      </c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59"/>
      <c r="CA31" s="160"/>
      <c r="CB3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1" s="131">
        <f>' الشركه 2018'!$H31*67%*1.5*' الشركه 2018'!$CB31/208</f>
        <v>0</v>
      </c>
      <c r="CE31" s="132">
        <f>' الشركه 2018'!$H31*67%*2*' الشركه 2018'!$CC31/208</f>
        <v>686.4923076923078</v>
      </c>
      <c r="CF31" s="133">
        <f>' الشركه 2018'!$CD31+' الشركه 2018'!$CE31</f>
        <v>686.4923076923078</v>
      </c>
      <c r="CG31" s="124"/>
      <c r="CH31" s="177">
        <f>SUMIF(C31:C215,' الشركه 2018'!$CG32,L31:L215)</f>
        <v>0</v>
      </c>
      <c r="CI31" s="124"/>
      <c r="CJ31" s="162">
        <f>' الشركه 2018'!$CH31*' الشركه 2018'!$CI31</f>
        <v>0</v>
      </c>
      <c r="CK31" s="162">
        <f>' الشركه 2018'!$CJ31*8%</f>
        <v>0</v>
      </c>
      <c r="CL31" s="162">
        <f>' الشركه 2018'!$CJ31*17%</f>
        <v>0</v>
      </c>
      <c r="CM31" s="162">
        <f>' الشركه 2018'!$CJ31*25%</f>
        <v>0</v>
      </c>
      <c r="CN31" s="162"/>
      <c r="CO31" s="162"/>
      <c r="CP31" s="163"/>
      <c r="CQ31" s="164" t="e">
        <f>VLOOKUP(Table6[[#This Row],[الرقم الوظيفى]],[4]!Table3[#Data],26,FALSE)</f>
        <v>#REF!</v>
      </c>
      <c r="CR31" s="165"/>
      <c r="CS31" s="124"/>
    </row>
    <row r="32" spans="1:97" ht="28" customHeight="1" thickTop="1" thickBot="1">
      <c r="A32" s="167">
        <v>47</v>
      </c>
      <c r="B32" s="142" t="s">
        <v>196</v>
      </c>
      <c r="C32" s="59" t="s">
        <v>90</v>
      </c>
      <c r="D32" s="143" t="s">
        <v>74</v>
      </c>
      <c r="E32" s="174" t="s">
        <v>619</v>
      </c>
      <c r="F32" s="143" t="s">
        <v>192</v>
      </c>
      <c r="G32" s="145">
        <v>39486</v>
      </c>
      <c r="H32" s="146">
        <v>11090</v>
      </c>
      <c r="I32" s="106">
        <f>Table6[[#This Row],[مرتب]]/30</f>
        <v>369.66666666666669</v>
      </c>
      <c r="J32" s="107">
        <v>30</v>
      </c>
      <c r="K32" s="107">
        <f t="shared" si="0"/>
        <v>11090</v>
      </c>
      <c r="L32" s="108">
        <v>11090</v>
      </c>
      <c r="M32" s="107">
        <f>Table6[[#This Row],[مرتب الضمان]]*17%</f>
        <v>1885.3000000000002</v>
      </c>
      <c r="N32" s="107">
        <f>' الشركه 2018'!$H32*35%</f>
        <v>3881.4999999999995</v>
      </c>
      <c r="O32" s="107">
        <f>' الشركه 2018'!$H32*32%</f>
        <v>3548.8</v>
      </c>
      <c r="P32" s="107">
        <f>' الشركه 2018'!$H32*12%</f>
        <v>1330.8</v>
      </c>
      <c r="Q32" s="107">
        <f>' الشركه 2018'!$H32*13%</f>
        <v>1441.7</v>
      </c>
      <c r="R32" s="107">
        <f>' الشركه 2018'!$H32*6%</f>
        <v>665.4</v>
      </c>
      <c r="S32" s="107">
        <f>' الشركه 2018'!$H32*2%</f>
        <v>221.8</v>
      </c>
      <c r="T32" s="107">
        <f>' الشركه 2018'!$O32+' الشركه 2018'!$P32+' الشركه 2018'!$Q32+' الشركه 2018'!$R32+' الشركه 2018'!$S32</f>
        <v>7208.5</v>
      </c>
      <c r="U32" s="109">
        <f>VLOOKUP(Table6[[#This Row],[الرقم الوظيفى]],[2]بالخصم!$B$1:$AK$1200,35,)</f>
        <v>0</v>
      </c>
      <c r="V32" s="147"/>
      <c r="W32" s="111">
        <f>Table6[[#This Row],[عدد ايام الاجازه]]*Table6[[#This Row],[ح راتب اليوم]]</f>
        <v>0</v>
      </c>
      <c r="X32" s="148"/>
      <c r="Y32" s="60"/>
      <c r="Z32" s="111">
        <f>Table6[[#This Row],[عدد ايام الجزاء]]*Table6[[#This Row],[ح راتب اليوم]]</f>
        <v>0</v>
      </c>
      <c r="AA32" s="112">
        <f>Table6[[#This Row],[مرتب]]*50%</f>
        <v>5545</v>
      </c>
      <c r="AB32" s="113" t="e">
        <f>VLOOKUP(Table6[[#This Row],[الرقم الوظيفى]],[3]!Table25289[#Data],23,)</f>
        <v>#REF!</v>
      </c>
      <c r="AC32" s="149"/>
      <c r="AD32" s="168"/>
      <c r="AE32" s="113" t="e">
        <f>VLOOKUP(Table6[[#This Row],[الرقم الوظيفى]],[3]!Table252894[#Data],22,)</f>
        <v>#REF!</v>
      </c>
      <c r="AF32" s="151"/>
      <c r="AG32" s="111">
        <f>' الشركه 2018'!$W32+' الشركه 2018'!$Z32+' الشركه 2018'!$AA32+' الشركه 2018'!$AC32+' الشركه 2018'!$AD32+' الشركه 2018'!$AF32</f>
        <v>5545</v>
      </c>
      <c r="AH32" s="111">
        <f>Table6[[#This Row],[راتب الضمان]]*8%</f>
        <v>887.2</v>
      </c>
      <c r="AI32" s="111">
        <f>' الشركه 2018'!$H32-' الشركه 2018'!$AG32-' الشركه 2018'!$AH32</f>
        <v>4657.8</v>
      </c>
      <c r="AJ32" s="111">
        <f>' الشركه 2018'!$CF32</f>
        <v>5921.0203125000007</v>
      </c>
      <c r="AK32" s="117">
        <f>' الشركه 2018'!$AI32+' الشركه 2018'!$AJ32</f>
        <v>10578.8203125</v>
      </c>
      <c r="AL32" s="152"/>
      <c r="AM32" s="153"/>
      <c r="AN32" s="9">
        <f>Table6[[#This Row],[اجمالى الاستحقاق]]-Table6[[#This Row],[Column2]]+Table6[[#This Row],[حوافز غير مستقره]]</f>
        <v>10578.8203125</v>
      </c>
      <c r="AO32" s="59"/>
      <c r="AP32" s="169"/>
      <c r="AQ32" s="176"/>
      <c r="AR32" s="124"/>
      <c r="AS32" s="155"/>
      <c r="AT32" s="170"/>
      <c r="AU32" s="124">
        <v>2.5</v>
      </c>
      <c r="AV32" s="124">
        <v>24</v>
      </c>
      <c r="AW32" s="124">
        <v>8</v>
      </c>
      <c r="AX32" s="124">
        <v>8</v>
      </c>
      <c r="AY32" s="124">
        <v>8</v>
      </c>
      <c r="AZ32" s="124"/>
      <c r="BA32" s="124"/>
      <c r="BB32" s="124"/>
      <c r="BC32" s="124"/>
      <c r="BD32" s="124"/>
      <c r="BE32" s="124"/>
      <c r="BF32" s="124"/>
      <c r="BG32" s="124">
        <v>10</v>
      </c>
      <c r="BH32" s="124">
        <v>10</v>
      </c>
      <c r="BI32" s="124"/>
      <c r="BJ32" s="124"/>
      <c r="BK32" s="124"/>
      <c r="BL32" s="124"/>
      <c r="BM32" s="124">
        <v>8</v>
      </c>
      <c r="BN32" s="124">
        <v>8</v>
      </c>
      <c r="BO32" s="124">
        <v>8</v>
      </c>
      <c r="BP32" s="124">
        <v>8</v>
      </c>
      <c r="BQ32" s="124"/>
      <c r="BR32" s="124"/>
      <c r="BS32" s="124"/>
      <c r="BT32" s="124"/>
      <c r="BU32" s="124"/>
      <c r="BV32" s="124"/>
      <c r="BW32" s="124"/>
      <c r="BX32" s="124"/>
      <c r="BY32" s="124"/>
      <c r="BZ32" s="159"/>
      <c r="CA32" s="160"/>
      <c r="CB3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78.5</v>
      </c>
      <c r="CC32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2" s="131">
        <f>' الشركه 2018'!$H32*67%*1.5*' الشركه 2018'!$CB32/208</f>
        <v>4206.3356971153853</v>
      </c>
      <c r="CE32" s="132">
        <f>' الشركه 2018'!$H32*67%*2*' الشركه 2018'!$CC32/208</f>
        <v>1714.6846153846154</v>
      </c>
      <c r="CF32" s="133">
        <f>' الشركه 2018'!$CD32+' الشركه 2018'!$CE32</f>
        <v>5921.0203125000007</v>
      </c>
      <c r="CG32" s="124"/>
      <c r="CH32" s="177">
        <f>SUMIF(C32:C236,' الشركه 2018'!$CG33,L32:L236)</f>
        <v>0</v>
      </c>
      <c r="CI32" s="124"/>
      <c r="CJ32" s="162">
        <f>' الشركه 2018'!$CH32*' الشركه 2018'!$CI32</f>
        <v>0</v>
      </c>
      <c r="CK32" s="162">
        <f>' الشركه 2018'!$CJ32*8%</f>
        <v>0</v>
      </c>
      <c r="CL32" s="162">
        <f>' الشركه 2018'!$CJ32*17%</f>
        <v>0</v>
      </c>
      <c r="CM32" s="162">
        <f>' الشركه 2018'!$CJ32*25%</f>
        <v>0</v>
      </c>
      <c r="CN32" s="162"/>
      <c r="CO32" s="162"/>
      <c r="CP32" s="163">
        <v>1100</v>
      </c>
      <c r="CQ32" s="164" t="e">
        <f>VLOOKUP(Table6[[#This Row],[الرقم الوظيفى]],[4]!Table3[#Data],26,FALSE)</f>
        <v>#REF!</v>
      </c>
      <c r="CR32" s="165">
        <v>1000</v>
      </c>
      <c r="CS32" s="124"/>
    </row>
    <row r="33" spans="1:97" ht="28" customHeight="1" thickTop="1" thickBot="1">
      <c r="A33" s="141">
        <v>51</v>
      </c>
      <c r="B33" s="142" t="s">
        <v>363</v>
      </c>
      <c r="C33" s="59" t="s">
        <v>90</v>
      </c>
      <c r="D33" s="143" t="s">
        <v>80</v>
      </c>
      <c r="E33" s="174" t="s">
        <v>648</v>
      </c>
      <c r="F33" s="143" t="s">
        <v>111</v>
      </c>
      <c r="G33" s="145">
        <v>39753</v>
      </c>
      <c r="H33" s="146">
        <v>5870</v>
      </c>
      <c r="I33" s="106">
        <f>Table6[[#This Row],[مرتب]]/30</f>
        <v>195.66666666666666</v>
      </c>
      <c r="J33" s="107">
        <v>30</v>
      </c>
      <c r="K33" s="107">
        <f t="shared" si="0"/>
        <v>5870</v>
      </c>
      <c r="L33" s="108">
        <v>5870</v>
      </c>
      <c r="M33" s="107">
        <f>Table6[[#This Row],[مرتب الضمان]]*17%</f>
        <v>997.90000000000009</v>
      </c>
      <c r="N33" s="107">
        <f>' الشركه 2018'!$H33*35%</f>
        <v>2054.5</v>
      </c>
      <c r="O33" s="107">
        <f>' الشركه 2018'!$H33*32%</f>
        <v>1878.4</v>
      </c>
      <c r="P33" s="107">
        <f>' الشركه 2018'!$H33*12%</f>
        <v>704.4</v>
      </c>
      <c r="Q33" s="107">
        <f>' الشركه 2018'!$H33*13%</f>
        <v>763.1</v>
      </c>
      <c r="R33" s="107">
        <f>' الشركه 2018'!$H33*6%</f>
        <v>352.2</v>
      </c>
      <c r="S33" s="107">
        <f>' الشركه 2018'!$H33*2%</f>
        <v>117.4</v>
      </c>
      <c r="T33" s="107">
        <f>' الشركه 2018'!$O33+' الشركه 2018'!$P33+' الشركه 2018'!$Q33+' الشركه 2018'!$R33+' الشركه 2018'!$S33</f>
        <v>3815.5</v>
      </c>
      <c r="U33" s="109">
        <f>VLOOKUP(Table6[[#This Row],[الرقم الوظيفى]],[2]بالخصم!$B$1:$AK$1200,35,)</f>
        <v>0</v>
      </c>
      <c r="V33" s="147"/>
      <c r="W33" s="111">
        <f>Table6[[#This Row],[عدد ايام الاجازه]]*Table6[[#This Row],[ح راتب اليوم]]</f>
        <v>0</v>
      </c>
      <c r="X33" s="148"/>
      <c r="Y33" s="60"/>
      <c r="Z33" s="111">
        <f>Table6[[#This Row],[عدد ايام الجزاء]]*Table6[[#This Row],[ح راتب اليوم]]</f>
        <v>0</v>
      </c>
      <c r="AA33" s="112">
        <f>Table6[[#This Row],[مرتب]]*50%</f>
        <v>2935</v>
      </c>
      <c r="AB33" s="113" t="e">
        <f>VLOOKUP(Table6[[#This Row],[الرقم الوظيفى]],[3]!Table25289[#Data],23,)</f>
        <v>#REF!</v>
      </c>
      <c r="AC33" s="149">
        <v>2000</v>
      </c>
      <c r="AD33" s="150"/>
      <c r="AE33" s="113" t="e">
        <f>VLOOKUP(Table6[[#This Row],[الرقم الوظيفى]],[3]!Table252894[#Data],22,)</f>
        <v>#REF!</v>
      </c>
      <c r="AF33" s="151"/>
      <c r="AG33" s="111">
        <f>' الشركه 2018'!$W33+' الشركه 2018'!$Z33+' الشركه 2018'!$AA33+' الشركه 2018'!$AC33+' الشركه 2018'!$AD33+' الشركه 2018'!$AF33</f>
        <v>4935</v>
      </c>
      <c r="AH33" s="111">
        <f>Table6[[#This Row],[راتب الضمان]]*8%</f>
        <v>469.6</v>
      </c>
      <c r="AI33" s="111">
        <f>' الشركه 2018'!$H33-' الشركه 2018'!$AG33-' الشركه 2018'!$AH33</f>
        <v>465.4</v>
      </c>
      <c r="AJ33" s="111">
        <f>' الشركه 2018'!$CF33</f>
        <v>113.44903846153846</v>
      </c>
      <c r="AK33" s="117">
        <f>' الشركه 2018'!$AI33+' الشركه 2018'!$AJ33</f>
        <v>578.84903846153838</v>
      </c>
      <c r="AL33" s="152"/>
      <c r="AM33" s="153"/>
      <c r="AN33" s="9">
        <f>Table6[[#This Row],[اجمالى الاستحقاق]]-Table6[[#This Row],[Column2]]+Table6[[#This Row],[حوافز غير مستقره]]</f>
        <v>578.84903846153838</v>
      </c>
      <c r="AO33" s="59"/>
      <c r="AP33" s="169"/>
      <c r="AQ33" s="176"/>
      <c r="AR33" s="124"/>
      <c r="AS33" s="155"/>
      <c r="AT33" s="170"/>
      <c r="AU33" s="124"/>
      <c r="AV33" s="124"/>
      <c r="AW33" s="124"/>
      <c r="AX33" s="124"/>
      <c r="AY33" s="124"/>
      <c r="AZ33" s="124"/>
      <c r="BA33" s="124"/>
      <c r="BB33" s="124">
        <v>4</v>
      </c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24"/>
      <c r="BZ33" s="159"/>
      <c r="CA33" s="160"/>
      <c r="CB3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</v>
      </c>
      <c r="CC3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" s="131">
        <f>' الشركه 2018'!$H33*67%*1.5*' الشركه 2018'!$CB33/208</f>
        <v>113.44903846153846</v>
      </c>
      <c r="CE33" s="132">
        <f>' الشركه 2018'!$H33*67%*2*' الشركه 2018'!$CC33/208</f>
        <v>0</v>
      </c>
      <c r="CF33" s="133">
        <f>' الشركه 2018'!$CD33+' الشركه 2018'!$CE33</f>
        <v>113.44903846153846</v>
      </c>
      <c r="CG33" s="124"/>
      <c r="CH33" s="177">
        <f>SUMIF(C33:C217,' الشركه 2018'!$CG34,L33:L217)</f>
        <v>0</v>
      </c>
      <c r="CI33" s="124"/>
      <c r="CJ33" s="162">
        <f>' الشركه 2018'!$CH33*' الشركه 2018'!$CI33</f>
        <v>0</v>
      </c>
      <c r="CK33" s="162">
        <f>' الشركه 2018'!$CJ33*8%</f>
        <v>0</v>
      </c>
      <c r="CL33" s="162">
        <f>' الشركه 2018'!$CJ33*17%</f>
        <v>0</v>
      </c>
      <c r="CM33" s="162">
        <f>' الشركه 2018'!$CJ33*25%</f>
        <v>0</v>
      </c>
      <c r="CN33" s="162"/>
      <c r="CO33" s="162"/>
      <c r="CP33" s="163">
        <v>700</v>
      </c>
      <c r="CQ33" s="164" t="e">
        <f>VLOOKUP(Table6[[#This Row],[الرقم الوظيفى]],[4]!Table3[#Data],26,FALSE)</f>
        <v>#REF!</v>
      </c>
      <c r="CR33" s="165">
        <v>800</v>
      </c>
      <c r="CS33" s="124"/>
    </row>
    <row r="34" spans="1:97" ht="28" customHeight="1" thickTop="1" thickBot="1">
      <c r="A34" s="141">
        <v>52</v>
      </c>
      <c r="B34" s="142" t="s">
        <v>242</v>
      </c>
      <c r="C34" s="59" t="s">
        <v>90</v>
      </c>
      <c r="D34" s="143" t="s">
        <v>74</v>
      </c>
      <c r="E34" s="174" t="s">
        <v>629</v>
      </c>
      <c r="F34" s="143" t="s">
        <v>649</v>
      </c>
      <c r="G34" s="145">
        <v>39965</v>
      </c>
      <c r="H34" s="146">
        <v>4320</v>
      </c>
      <c r="I34" s="106">
        <f>Table6[[#This Row],[مرتب]]/30</f>
        <v>144</v>
      </c>
      <c r="J34" s="107">
        <v>30</v>
      </c>
      <c r="K34" s="107">
        <f t="shared" si="0"/>
        <v>0</v>
      </c>
      <c r="L34" s="108">
        <v>0</v>
      </c>
      <c r="M34" s="107">
        <f>Table6[[#This Row],[مرتب الضمان]]*17%</f>
        <v>0</v>
      </c>
      <c r="N34" s="107">
        <f>' الشركه 2018'!$H34*35%</f>
        <v>1512</v>
      </c>
      <c r="O34" s="107">
        <f>' الشركه 2018'!$H34*32%</f>
        <v>1382.4</v>
      </c>
      <c r="P34" s="107">
        <f>' الشركه 2018'!$H34*12%</f>
        <v>518.4</v>
      </c>
      <c r="Q34" s="107">
        <f>' الشركه 2018'!$H34*13%</f>
        <v>561.6</v>
      </c>
      <c r="R34" s="107">
        <f>' الشركه 2018'!$H34*6%</f>
        <v>259.2</v>
      </c>
      <c r="S34" s="107">
        <f>' الشركه 2018'!$H34*2%</f>
        <v>86.4</v>
      </c>
      <c r="T34" s="107">
        <f>' الشركه 2018'!$O34+' الشركه 2018'!$P34+' الشركه 2018'!$Q34+' الشركه 2018'!$R34+' الشركه 2018'!$S34</f>
        <v>2808</v>
      </c>
      <c r="U34" s="109">
        <f>VLOOKUP(Table6[[#This Row],[الرقم الوظيفى]],[2]بالخصم!$B$1:$AK$1200,35,)</f>
        <v>0</v>
      </c>
      <c r="V34" s="147"/>
      <c r="W34" s="111">
        <f>Table6[[#This Row],[عدد ايام الاجازه]]*Table6[[#This Row],[ح راتب اليوم]]</f>
        <v>0</v>
      </c>
      <c r="X34" s="148"/>
      <c r="Y34" s="60"/>
      <c r="Z34" s="111">
        <f>Table6[[#This Row],[عدد ايام الجزاء]]*Table6[[#This Row],[ح راتب اليوم]]</f>
        <v>0</v>
      </c>
      <c r="AA34" s="112">
        <f>Table6[[#This Row],[مرتب]]*50%</f>
        <v>2160</v>
      </c>
      <c r="AB34" s="113" t="e">
        <f>VLOOKUP(Table6[[#This Row],[الرقم الوظيفى]],[3]!Table25289[#Data],23,)</f>
        <v>#REF!</v>
      </c>
      <c r="AC34" s="149"/>
      <c r="AD34" s="150"/>
      <c r="AE34" s="113" t="e">
        <f>VLOOKUP(Table6[[#This Row],[الرقم الوظيفى]],[3]!Table252894[#Data],22,)</f>
        <v>#REF!</v>
      </c>
      <c r="AF34" s="151"/>
      <c r="AG34" s="111">
        <f>' الشركه 2018'!$W34+' الشركه 2018'!$Z34+' الشركه 2018'!$AA34+' الشركه 2018'!$AC34+' الشركه 2018'!$AD34+' الشركه 2018'!$AF34</f>
        <v>2160</v>
      </c>
      <c r="AH34" s="111">
        <f>Table6[[#This Row],[راتب الضمان]]*8%</f>
        <v>0</v>
      </c>
      <c r="AI34" s="111">
        <f>' الشركه 2018'!$H34-' الشركه 2018'!$AG34-' الشركه 2018'!$AH34</f>
        <v>2160</v>
      </c>
      <c r="AJ34" s="111">
        <f>' الشركه 2018'!$CF34</f>
        <v>0</v>
      </c>
      <c r="AK34" s="117">
        <f>' الشركه 2018'!$AI34+' الشركه 2018'!$AJ34</f>
        <v>2160</v>
      </c>
      <c r="AL34" s="152"/>
      <c r="AM34" s="153"/>
      <c r="AN34" s="9">
        <f>Table6[[#This Row],[اجمالى الاستحقاق]]-Table6[[#This Row],[Column2]]+Table6[[#This Row],[حوافز غير مستقره]]</f>
        <v>2160</v>
      </c>
      <c r="AO34" s="59"/>
      <c r="AP34" s="169"/>
      <c r="AQ34" s="176"/>
      <c r="AR34" s="124"/>
      <c r="AS34" s="155"/>
      <c r="AT34" s="170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71"/>
      <c r="CA34" s="172"/>
      <c r="CB3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" s="131">
        <f>' الشركه 2018'!$H34*67%*1.5*' الشركه 2018'!$CB34/208</f>
        <v>0</v>
      </c>
      <c r="CE34" s="132">
        <f>' الشركه 2018'!$H34*67%*2*' الشركه 2018'!$CC34/208</f>
        <v>0</v>
      </c>
      <c r="CF34" s="133">
        <f>' الشركه 2018'!$CD34+' الشركه 2018'!$CE34</f>
        <v>0</v>
      </c>
      <c r="CG34" s="124"/>
      <c r="CH34" s="177">
        <f>SUMIF(C34:C218,' الشركه 2018'!$CG35,L34:L218)</f>
        <v>0</v>
      </c>
      <c r="CI34" s="124"/>
      <c r="CJ34" s="162">
        <f>' الشركه 2018'!$CH34*' الشركه 2018'!$CI34</f>
        <v>0</v>
      </c>
      <c r="CK34" s="162">
        <f>' الشركه 2018'!$CJ34*8%</f>
        <v>0</v>
      </c>
      <c r="CL34" s="162">
        <f>' الشركه 2018'!$CJ34*17%</f>
        <v>0</v>
      </c>
      <c r="CM34" s="162">
        <f>' الشركه 2018'!$CJ34*25%</f>
        <v>0</v>
      </c>
      <c r="CN34" s="162"/>
      <c r="CO34" s="162"/>
      <c r="CP34" s="163">
        <v>400</v>
      </c>
      <c r="CQ34" s="164" t="e">
        <f>VLOOKUP(Table6[[#This Row],[الرقم الوظيفى]],[4]!Table3[#Data],26,FALSE)</f>
        <v>#REF!</v>
      </c>
      <c r="CR34" s="165"/>
      <c r="CS34" s="124"/>
    </row>
    <row r="35" spans="1:97" ht="28" customHeight="1" thickTop="1" thickBot="1">
      <c r="A35" s="178">
        <v>54</v>
      </c>
      <c r="B35" s="142" t="s">
        <v>397</v>
      </c>
      <c r="C35" s="59" t="s">
        <v>90</v>
      </c>
      <c r="D35" s="143" t="s">
        <v>81</v>
      </c>
      <c r="E35" s="174" t="s">
        <v>650</v>
      </c>
      <c r="F35" s="143" t="s">
        <v>396</v>
      </c>
      <c r="G35" s="145">
        <v>39968</v>
      </c>
      <c r="H35" s="146">
        <v>4340</v>
      </c>
      <c r="I35" s="106">
        <f>Table6[[#This Row],[مرتب]]/30</f>
        <v>144.66666666666666</v>
      </c>
      <c r="J35" s="107">
        <v>30</v>
      </c>
      <c r="K35" s="107">
        <f t="shared" si="0"/>
        <v>4340</v>
      </c>
      <c r="L35" s="108">
        <v>4340</v>
      </c>
      <c r="M35" s="107">
        <f>Table6[[#This Row],[مرتب الضمان]]*17%</f>
        <v>737.80000000000007</v>
      </c>
      <c r="N35" s="107">
        <f>' الشركه 2018'!$H35*35%</f>
        <v>1519</v>
      </c>
      <c r="O35" s="107">
        <f>' الشركه 2018'!$H35*32%</f>
        <v>1388.8</v>
      </c>
      <c r="P35" s="107">
        <f>' الشركه 2018'!$H35*12%</f>
        <v>520.79999999999995</v>
      </c>
      <c r="Q35" s="107">
        <f>' الشركه 2018'!$H35*13%</f>
        <v>564.20000000000005</v>
      </c>
      <c r="R35" s="107">
        <f>' الشركه 2018'!$H35*6%</f>
        <v>260.39999999999998</v>
      </c>
      <c r="S35" s="107">
        <f>' الشركه 2018'!$H35*2%</f>
        <v>86.8</v>
      </c>
      <c r="T35" s="107">
        <f>' الشركه 2018'!$O35+' الشركه 2018'!$P35+' الشركه 2018'!$Q35+' الشركه 2018'!$R35+' الشركه 2018'!$S35</f>
        <v>2821.0000000000005</v>
      </c>
      <c r="U35" s="109">
        <f>VLOOKUP(Table6[[#This Row],[الرقم الوظيفى]],[2]بالخصم!$B$1:$AK$1200,35,)</f>
        <v>3</v>
      </c>
      <c r="V35" s="147">
        <v>3</v>
      </c>
      <c r="W35" s="111">
        <f>Table6[[#This Row],[عدد ايام الاجازه]]*Table6[[#This Row],[ح راتب اليوم]]</f>
        <v>434</v>
      </c>
      <c r="X35" s="148"/>
      <c r="Y35" s="60"/>
      <c r="Z35" s="111">
        <f>Table6[[#This Row],[عدد ايام الجزاء]]*Table6[[#This Row],[ح راتب اليوم]]</f>
        <v>0</v>
      </c>
      <c r="AA35" s="112">
        <f>Table6[[#This Row],[مرتب]]*50%</f>
        <v>2170</v>
      </c>
      <c r="AB35" s="113" t="e">
        <f>VLOOKUP(Table6[[#This Row],[الرقم الوظيفى]],[3]!Table25289[#Data],23,)</f>
        <v>#REF!</v>
      </c>
      <c r="AC35" s="149"/>
      <c r="AD35" s="150"/>
      <c r="AE35" s="113" t="e">
        <f>VLOOKUP(Table6[[#This Row],[الرقم الوظيفى]],[3]!Table252894[#Data],22,)</f>
        <v>#REF!</v>
      </c>
      <c r="AF35" s="151"/>
      <c r="AG35" s="111">
        <f>' الشركه 2018'!$W35+' الشركه 2018'!$Z35+' الشركه 2018'!$AA35+' الشركه 2018'!$AC35+' الشركه 2018'!$AD35+' الشركه 2018'!$AF35</f>
        <v>2604</v>
      </c>
      <c r="AH35" s="111">
        <f>Table6[[#This Row],[راتب الضمان]]*8%</f>
        <v>347.2</v>
      </c>
      <c r="AI35" s="111">
        <f>' الشركه 2018'!$H35-' الشركه 2018'!$AG35-' الشركه 2018'!$AH35</f>
        <v>1388.8</v>
      </c>
      <c r="AJ35" s="111">
        <f>' الشركه 2018'!$CF35</f>
        <v>0</v>
      </c>
      <c r="AK35" s="117">
        <f>' الشركه 2018'!$AI35+' الشركه 2018'!$AJ35</f>
        <v>1388.8</v>
      </c>
      <c r="AL35" s="152"/>
      <c r="AM35" s="153"/>
      <c r="AN35" s="9">
        <f>Table6[[#This Row],[اجمالى الاستحقاق]]-Table6[[#This Row],[Column2]]+Table6[[#This Row],[حوافز غير مستقره]]</f>
        <v>1388.8</v>
      </c>
      <c r="AO35" s="59"/>
      <c r="AP35" s="169"/>
      <c r="AQ35" s="176"/>
      <c r="AR35" s="124"/>
      <c r="AS35" s="155"/>
      <c r="AT35" s="170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71"/>
      <c r="CA35" s="172"/>
      <c r="CB3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" s="131">
        <f>' الشركه 2018'!$H35*67%*1.5*' الشركه 2018'!$CB35/208</f>
        <v>0</v>
      </c>
      <c r="CE35" s="132">
        <f>' الشركه 2018'!$H35*67%*2*' الشركه 2018'!$CC35/208</f>
        <v>0</v>
      </c>
      <c r="CF35" s="133">
        <f>' الشركه 2018'!$CD35+' الشركه 2018'!$CE35</f>
        <v>0</v>
      </c>
      <c r="CG35" s="124"/>
      <c r="CH35" s="177">
        <f>SUMIF(C35:C219,' الشركه 2018'!$CG36,L35:L219)</f>
        <v>0</v>
      </c>
      <c r="CI35" s="124"/>
      <c r="CJ35" s="162">
        <f>' الشركه 2018'!$CH35*' الشركه 2018'!$CI35</f>
        <v>0</v>
      </c>
      <c r="CK35" s="162">
        <f>' الشركه 2018'!$CJ35*8%</f>
        <v>0</v>
      </c>
      <c r="CL35" s="162">
        <f>' الشركه 2018'!$CJ35*17%</f>
        <v>0</v>
      </c>
      <c r="CM35" s="162">
        <f>' الشركه 2018'!$CJ35*25%</f>
        <v>0</v>
      </c>
      <c r="CN35" s="162"/>
      <c r="CO35" s="162"/>
      <c r="CP35" s="163">
        <v>500</v>
      </c>
      <c r="CQ35" s="164" t="e">
        <f>VLOOKUP(Table6[[#This Row],[الرقم الوظيفى]],[4]!Table3[#Data],26,FALSE)</f>
        <v>#REF!</v>
      </c>
      <c r="CR35" s="165">
        <v>2000</v>
      </c>
      <c r="CS35" s="124"/>
    </row>
    <row r="36" spans="1:97" ht="28" customHeight="1" thickTop="1" thickBot="1">
      <c r="A36" s="141">
        <v>55</v>
      </c>
      <c r="B36" s="142" t="s">
        <v>201</v>
      </c>
      <c r="C36" s="59" t="s">
        <v>90</v>
      </c>
      <c r="D36" s="143" t="s">
        <v>74</v>
      </c>
      <c r="E36" s="174" t="s">
        <v>651</v>
      </c>
      <c r="F36" s="143" t="s">
        <v>199</v>
      </c>
      <c r="G36" s="145">
        <v>39979</v>
      </c>
      <c r="H36" s="146">
        <v>5340</v>
      </c>
      <c r="I36" s="106">
        <f>Table6[[#This Row],[مرتب]]/30</f>
        <v>178</v>
      </c>
      <c r="J36" s="107">
        <v>30</v>
      </c>
      <c r="K36" s="107">
        <f t="shared" si="0"/>
        <v>5340</v>
      </c>
      <c r="L36" s="108">
        <v>5340</v>
      </c>
      <c r="M36" s="107">
        <f>Table6[[#This Row],[مرتب الضمان]]*17%</f>
        <v>907.80000000000007</v>
      </c>
      <c r="N36" s="107">
        <f>' الشركه 2018'!$H36*35%</f>
        <v>1868.9999999999998</v>
      </c>
      <c r="O36" s="107">
        <f>' الشركه 2018'!$H36*32%</f>
        <v>1708.8</v>
      </c>
      <c r="P36" s="107">
        <f>' الشركه 2018'!$H36*12%</f>
        <v>640.79999999999995</v>
      </c>
      <c r="Q36" s="107">
        <f>' الشركه 2018'!$H36*13%</f>
        <v>694.2</v>
      </c>
      <c r="R36" s="107">
        <f>' الشركه 2018'!$H36*6%</f>
        <v>320.39999999999998</v>
      </c>
      <c r="S36" s="107">
        <f>' الشركه 2018'!$H36*2%</f>
        <v>106.8</v>
      </c>
      <c r="T36" s="107">
        <f>' الشركه 2018'!$O36+' الشركه 2018'!$P36+' الشركه 2018'!$Q36+' الشركه 2018'!$R36+' الشركه 2018'!$S36</f>
        <v>3471.0000000000005</v>
      </c>
      <c r="U36" s="109">
        <f>VLOOKUP(Table6[[#This Row],[الرقم الوظيفى]],[2]بالخصم!$B$1:$AK$1200,35,)</f>
        <v>0</v>
      </c>
      <c r="V36" s="147"/>
      <c r="W36" s="111">
        <f>Table6[[#This Row],[عدد ايام الاجازه]]*Table6[[#This Row],[ح راتب اليوم]]</f>
        <v>0</v>
      </c>
      <c r="X36" s="148"/>
      <c r="Y36" s="60"/>
      <c r="Z36" s="111">
        <f>Table6[[#This Row],[عدد ايام الجزاء]]*Table6[[#This Row],[ح راتب اليوم]]</f>
        <v>0</v>
      </c>
      <c r="AA36" s="112">
        <f>Table6[[#This Row],[مرتب]]*50%</f>
        <v>2670</v>
      </c>
      <c r="AB36" s="113" t="e">
        <f>VLOOKUP(Table6[[#This Row],[الرقم الوظيفى]],[3]!Table25289[#Data],23,)</f>
        <v>#REF!</v>
      </c>
      <c r="AC36" s="149"/>
      <c r="AD36" s="150"/>
      <c r="AE36" s="113" t="e">
        <f>VLOOKUP(Table6[[#This Row],[الرقم الوظيفى]],[3]!Table252894[#Data],22,)</f>
        <v>#REF!</v>
      </c>
      <c r="AF36" s="151"/>
      <c r="AG36" s="111">
        <f>' الشركه 2018'!$W36+' الشركه 2018'!$Z36+' الشركه 2018'!$AA36+' الشركه 2018'!$AC36+' الشركه 2018'!$AD36+' الشركه 2018'!$AF36</f>
        <v>2670</v>
      </c>
      <c r="AH36" s="111">
        <f>Table6[[#This Row],[راتب الضمان]]*8%</f>
        <v>427.2</v>
      </c>
      <c r="AI36" s="111">
        <f>' الشركه 2018'!$H36-' الشركه 2018'!$AG36-' الشركه 2018'!$AH36</f>
        <v>2242.8000000000002</v>
      </c>
      <c r="AJ36" s="111">
        <f>' الشركه 2018'!$CF36</f>
        <v>980.4548076923079</v>
      </c>
      <c r="AK36" s="117">
        <f>' الشركه 2018'!$AI36+' الشركه 2018'!$AJ36</f>
        <v>3223.2548076923081</v>
      </c>
      <c r="AL36" s="152"/>
      <c r="AM36" s="153"/>
      <c r="AN36" s="9">
        <f>Table6[[#This Row],[اجمالى الاستحقاق]]-Table6[[#This Row],[Column2]]+Table6[[#This Row],[حوافز غير مستقره]]</f>
        <v>3223.2548076923081</v>
      </c>
      <c r="AO36" s="59"/>
      <c r="AP36" s="169"/>
      <c r="AQ36" s="176"/>
      <c r="AR36" s="124"/>
      <c r="AS36" s="155"/>
      <c r="AT36" s="170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>
        <v>12</v>
      </c>
      <c r="BK36" s="124"/>
      <c r="BL36" s="124"/>
      <c r="BM36" s="124"/>
      <c r="BN36" s="124">
        <v>4</v>
      </c>
      <c r="BO36" s="124">
        <v>2</v>
      </c>
      <c r="BP36" s="124"/>
      <c r="BQ36" s="124">
        <v>12</v>
      </c>
      <c r="BR36" s="124"/>
      <c r="BS36" s="124"/>
      <c r="BT36" s="124"/>
      <c r="BU36" s="124"/>
      <c r="BV36" s="124"/>
      <c r="BW36" s="124"/>
      <c r="BX36" s="124"/>
      <c r="BY36" s="124"/>
      <c r="BZ36" s="159"/>
      <c r="CA36" s="160"/>
      <c r="CB3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6</v>
      </c>
      <c r="CC36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6" s="131">
        <f>' الشركه 2018'!$H36*67%*1.5*' الشركه 2018'!$CB36/208</f>
        <v>154.80865384615387</v>
      </c>
      <c r="CE36" s="132">
        <f>' الشركه 2018'!$H36*67%*2*' الشركه 2018'!$CC36/208</f>
        <v>825.64615384615399</v>
      </c>
      <c r="CF36" s="133">
        <f>' الشركه 2018'!$CD36+' الشركه 2018'!$CE36</f>
        <v>980.4548076923079</v>
      </c>
      <c r="CG36" s="124"/>
      <c r="CH36" s="177">
        <f>SUMIF(C36:C219,' الشركه 2018'!$CG37,L36:L219)</f>
        <v>0</v>
      </c>
      <c r="CI36" s="124"/>
      <c r="CJ36" s="162">
        <f>' الشركه 2018'!$CH36*' الشركه 2018'!$CI36</f>
        <v>0</v>
      </c>
      <c r="CK36" s="162">
        <f>' الشركه 2018'!$CJ36*8%</f>
        <v>0</v>
      </c>
      <c r="CL36" s="162">
        <f>' الشركه 2018'!$CJ36*17%</f>
        <v>0</v>
      </c>
      <c r="CM36" s="162">
        <f>' الشركه 2018'!$CJ36*25%</f>
        <v>0</v>
      </c>
      <c r="CN36" s="162"/>
      <c r="CO36" s="162"/>
      <c r="CP36" s="163">
        <v>800</v>
      </c>
      <c r="CQ36" s="164" t="e">
        <f>VLOOKUP(Table6[[#This Row],[الرقم الوظيفى]],[4]!Table3[#Data],26,FALSE)</f>
        <v>#REF!</v>
      </c>
      <c r="CR36" s="165">
        <v>1000</v>
      </c>
      <c r="CS36" s="124"/>
    </row>
    <row r="37" spans="1:97" ht="28" customHeight="1" thickTop="1" thickBot="1">
      <c r="A37" s="173">
        <v>58</v>
      </c>
      <c r="B37" s="142" t="s">
        <v>99</v>
      </c>
      <c r="C37" s="59" t="s">
        <v>90</v>
      </c>
      <c r="D37" s="143" t="s">
        <v>82</v>
      </c>
      <c r="E37" s="174" t="s">
        <v>652</v>
      </c>
      <c r="F37" s="143" t="s">
        <v>113</v>
      </c>
      <c r="G37" s="145">
        <v>40013</v>
      </c>
      <c r="H37" s="146">
        <v>10000</v>
      </c>
      <c r="I37" s="106">
        <f>Table6[[#This Row],[مرتب]]/30</f>
        <v>333.33333333333331</v>
      </c>
      <c r="J37" s="107">
        <v>30</v>
      </c>
      <c r="K37" s="107">
        <f t="shared" si="0"/>
        <v>10000</v>
      </c>
      <c r="L37" s="108">
        <v>10000</v>
      </c>
      <c r="M37" s="107">
        <f>Table6[[#This Row],[مرتب الضمان]]*17%</f>
        <v>1700.0000000000002</v>
      </c>
      <c r="N37" s="107">
        <f>' الشركه 2018'!$H37*35%</f>
        <v>3500</v>
      </c>
      <c r="O37" s="107">
        <f>' الشركه 2018'!$H37*32%</f>
        <v>3200</v>
      </c>
      <c r="P37" s="107">
        <f>' الشركه 2018'!$H37*12%</f>
        <v>1200</v>
      </c>
      <c r="Q37" s="107">
        <f>' الشركه 2018'!$H37*13%</f>
        <v>1300</v>
      </c>
      <c r="R37" s="107">
        <f>' الشركه 2018'!$H37*6%</f>
        <v>600</v>
      </c>
      <c r="S37" s="107">
        <f>' الشركه 2018'!$H37*2%</f>
        <v>200</v>
      </c>
      <c r="T37" s="107">
        <f>' الشركه 2018'!$O37+' الشركه 2018'!$P37+' الشركه 2018'!$Q37+' الشركه 2018'!$R37+' الشركه 2018'!$S37</f>
        <v>6500</v>
      </c>
      <c r="U37" s="109">
        <f>VLOOKUP(Table6[[#This Row],[الرقم الوظيفى]],[2]بالخصم!$B$1:$AK$1200,35,)</f>
        <v>0</v>
      </c>
      <c r="V37" s="147"/>
      <c r="W37" s="111">
        <f>Table6[[#This Row],[عدد ايام الاجازه]]*Table6[[#This Row],[ح راتب اليوم]]</f>
        <v>0</v>
      </c>
      <c r="X37" s="148"/>
      <c r="Y37" s="60"/>
      <c r="Z37" s="111">
        <f>Table6[[#This Row],[عدد ايام الجزاء]]*Table6[[#This Row],[ح راتب اليوم]]</f>
        <v>0</v>
      </c>
      <c r="AA37" s="112">
        <f>Table6[[#This Row],[مرتب]]*50%</f>
        <v>5000</v>
      </c>
      <c r="AB37" s="113" t="e">
        <f>VLOOKUP(Table6[[#This Row],[الرقم الوظيفى]],[3]!Table25289[#Data],23,)</f>
        <v>#REF!</v>
      </c>
      <c r="AC37" s="149"/>
      <c r="AD37" s="168"/>
      <c r="AE37" s="113" t="e">
        <f>VLOOKUP(Table6[[#This Row],[الرقم الوظيفى]],[3]!Table252894[#Data],22,)</f>
        <v>#REF!</v>
      </c>
      <c r="AF37" s="151">
        <v>800</v>
      </c>
      <c r="AG37" s="111">
        <f>' الشركه 2018'!$W37+' الشركه 2018'!$Z37+' الشركه 2018'!$AA37+' الشركه 2018'!$AC37+' الشركه 2018'!$AD37+' الشركه 2018'!$AF37</f>
        <v>5800</v>
      </c>
      <c r="AH37" s="111">
        <f>Table6[[#This Row],[راتب الضمان]]*8%</f>
        <v>800</v>
      </c>
      <c r="AI37" s="111">
        <f>' الشركه 2018'!$H37-' الشركه 2018'!$AG37-' الشركه 2018'!$AH37</f>
        <v>3400</v>
      </c>
      <c r="AJ37" s="111">
        <f>' الشركه 2018'!$CF37</f>
        <v>0</v>
      </c>
      <c r="AK37" s="117">
        <f>' الشركه 2018'!$AI37+' الشركه 2018'!$AJ37</f>
        <v>3400</v>
      </c>
      <c r="AL37" s="152"/>
      <c r="AM37" s="153"/>
      <c r="AN37" s="9">
        <f>Table6[[#This Row],[اجمالى الاستحقاق]]-Table6[[#This Row],[Column2]]+Table6[[#This Row],[حوافز غير مستقره]]</f>
        <v>3400</v>
      </c>
      <c r="AO37" s="59"/>
      <c r="AP37" s="169"/>
      <c r="AQ37" s="176"/>
      <c r="AR37" s="124"/>
      <c r="AS37" s="155"/>
      <c r="AT37" s="170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71"/>
      <c r="CA37" s="172"/>
      <c r="CB3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7" s="131">
        <f>' الشركه 2018'!$H37*67%*1.5*' الشركه 2018'!$CB37/208</f>
        <v>0</v>
      </c>
      <c r="CE37" s="132">
        <f>' الشركه 2018'!$H37*67%*2*' الشركه 2018'!$CC37/208</f>
        <v>0</v>
      </c>
      <c r="CF37" s="133">
        <f>' الشركه 2018'!$CD37+' الشركه 2018'!$CE37</f>
        <v>0</v>
      </c>
      <c r="CG37" s="124"/>
      <c r="CH37" s="177">
        <f>SUMIF(C37:C220,' الشركه 2018'!$CG38,L37:L220)</f>
        <v>0</v>
      </c>
      <c r="CI37" s="124"/>
      <c r="CJ37" s="162">
        <f>' الشركه 2018'!$CH37*' الشركه 2018'!$CI37</f>
        <v>0</v>
      </c>
      <c r="CK37" s="162">
        <f>' الشركه 2018'!$CJ37*8%</f>
        <v>0</v>
      </c>
      <c r="CL37" s="162">
        <f>' الشركه 2018'!$CJ37*17%</f>
        <v>0</v>
      </c>
      <c r="CM37" s="162">
        <f>' الشركه 2018'!$CJ37*25%</f>
        <v>0</v>
      </c>
      <c r="CN37" s="162"/>
      <c r="CO37" s="162"/>
      <c r="CP37" s="163"/>
      <c r="CQ37" s="164" t="e">
        <f>VLOOKUP(Table6[[#This Row],[الرقم الوظيفى]],[4]!Table3[#Data],26,FALSE)</f>
        <v>#REF!</v>
      </c>
      <c r="CR37" s="165"/>
      <c r="CS37" s="124"/>
    </row>
    <row r="38" spans="1:97" ht="28" customHeight="1" thickTop="1" thickBot="1">
      <c r="A38" s="141">
        <v>60</v>
      </c>
      <c r="B38" s="142" t="s">
        <v>231</v>
      </c>
      <c r="C38" s="59" t="s">
        <v>90</v>
      </c>
      <c r="D38" s="143" t="s">
        <v>74</v>
      </c>
      <c r="E38" s="174" t="s">
        <v>622</v>
      </c>
      <c r="F38" s="143" t="s">
        <v>205</v>
      </c>
      <c r="G38" s="145">
        <v>40028</v>
      </c>
      <c r="H38" s="146">
        <v>4380</v>
      </c>
      <c r="I38" s="106">
        <f>Table6[[#This Row],[مرتب]]/30</f>
        <v>146</v>
      </c>
      <c r="J38" s="107">
        <v>30</v>
      </c>
      <c r="K38" s="107">
        <f t="shared" si="0"/>
        <v>4380</v>
      </c>
      <c r="L38" s="108">
        <v>4380</v>
      </c>
      <c r="M38" s="107">
        <f>Table6[[#This Row],[مرتب الضمان]]*17%</f>
        <v>744.6</v>
      </c>
      <c r="N38" s="107">
        <f>' الشركه 2018'!$H38*35%</f>
        <v>1533</v>
      </c>
      <c r="O38" s="107">
        <f>' الشركه 2018'!$H38*32%</f>
        <v>1401.6000000000001</v>
      </c>
      <c r="P38" s="107">
        <f>' الشركه 2018'!$H38*12%</f>
        <v>525.6</v>
      </c>
      <c r="Q38" s="107">
        <f>' الشركه 2018'!$H38*13%</f>
        <v>569.4</v>
      </c>
      <c r="R38" s="107">
        <f>' الشركه 2018'!$H38*6%</f>
        <v>262.8</v>
      </c>
      <c r="S38" s="107">
        <f>' الشركه 2018'!$H38*2%</f>
        <v>87.600000000000009</v>
      </c>
      <c r="T38" s="107">
        <f>' الشركه 2018'!$O38+' الشركه 2018'!$P38+' الشركه 2018'!$Q38+' الشركه 2018'!$R38+' الشركه 2018'!$S38</f>
        <v>2847.0000000000005</v>
      </c>
      <c r="U38" s="109">
        <f>VLOOKUP(Table6[[#This Row],[الرقم الوظيفى]],[2]بالخصم!$B$1:$AK$1200,35,)</f>
        <v>0</v>
      </c>
      <c r="V38" s="147"/>
      <c r="W38" s="111">
        <f>Table6[[#This Row],[عدد ايام الاجازه]]*Table6[[#This Row],[ح راتب اليوم]]</f>
        <v>0</v>
      </c>
      <c r="X38" s="148"/>
      <c r="Y38" s="60"/>
      <c r="Z38" s="111">
        <f>Table6[[#This Row],[عدد ايام الجزاء]]*Table6[[#This Row],[ح راتب اليوم]]</f>
        <v>0</v>
      </c>
      <c r="AA38" s="112">
        <f>Table6[[#This Row],[مرتب]]*50%</f>
        <v>2190</v>
      </c>
      <c r="AB38" s="113" t="e">
        <f>VLOOKUP(Table6[[#This Row],[الرقم الوظيفى]],[3]!Table25289[#Data],23,)</f>
        <v>#REF!</v>
      </c>
      <c r="AC38" s="149"/>
      <c r="AD38" s="150"/>
      <c r="AE38" s="113" t="e">
        <f>VLOOKUP(Table6[[#This Row],[الرقم الوظيفى]],[3]!Table252894[#Data],22,)</f>
        <v>#REF!</v>
      </c>
      <c r="AF38" s="151"/>
      <c r="AG38" s="111">
        <f>' الشركه 2018'!$W38+' الشركه 2018'!$Z38+' الشركه 2018'!$AA38+' الشركه 2018'!$AC38+' الشركه 2018'!$AD38+' الشركه 2018'!$AF38</f>
        <v>2190</v>
      </c>
      <c r="AH38" s="111">
        <f>Table6[[#This Row],[راتب الضمان]]*8%</f>
        <v>350.40000000000003</v>
      </c>
      <c r="AI38" s="111">
        <f>' الشركه 2018'!$H38-' الشركه 2018'!$AG38-' الشركه 2018'!$AH38</f>
        <v>1839.6</v>
      </c>
      <c r="AJ38" s="111">
        <f>' الشركه 2018'!$CF38</f>
        <v>0</v>
      </c>
      <c r="AK38" s="117">
        <f>' الشركه 2018'!$AI38+' الشركه 2018'!$AJ38</f>
        <v>1839.6</v>
      </c>
      <c r="AL38" s="152"/>
      <c r="AM38" s="153"/>
      <c r="AN38" s="9">
        <f>Table6[[#This Row],[اجمالى الاستحقاق]]-Table6[[#This Row],[Column2]]+Table6[[#This Row],[حوافز غير مستقره]]</f>
        <v>1839.6</v>
      </c>
      <c r="AO38" s="59"/>
      <c r="AP38" s="169"/>
      <c r="AQ38" s="176"/>
      <c r="AR38" s="124"/>
      <c r="AS38" s="155"/>
      <c r="AT38" s="170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24"/>
      <c r="BZ38" s="171"/>
      <c r="CA38" s="172"/>
      <c r="CB3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8" s="131">
        <f>' الشركه 2018'!$H38*67%*1.5*' الشركه 2018'!$CB38/208</f>
        <v>0</v>
      </c>
      <c r="CE38" s="132">
        <f>' الشركه 2018'!$H38*67%*2*' الشركه 2018'!$CC38/208</f>
        <v>0</v>
      </c>
      <c r="CF38" s="133">
        <f>' الشركه 2018'!$CD38+' الشركه 2018'!$CE38</f>
        <v>0</v>
      </c>
      <c r="CG38" s="124"/>
      <c r="CH38" s="177">
        <f>SUMIF(C38:C236,' الشركه 2018'!$CG39,L38:L236)</f>
        <v>0</v>
      </c>
      <c r="CI38" s="124"/>
      <c r="CJ38" s="162">
        <f>' الشركه 2018'!$CH38*' الشركه 2018'!$CI38</f>
        <v>0</v>
      </c>
      <c r="CK38" s="162">
        <f>' الشركه 2018'!$CJ38*8%</f>
        <v>0</v>
      </c>
      <c r="CL38" s="162">
        <f>' الشركه 2018'!$CJ38*17%</f>
        <v>0</v>
      </c>
      <c r="CM38" s="162">
        <f>' الشركه 2018'!$CJ38*25%</f>
        <v>0</v>
      </c>
      <c r="CN38" s="162"/>
      <c r="CO38" s="162"/>
      <c r="CP38" s="163">
        <v>200</v>
      </c>
      <c r="CQ38" s="164" t="e">
        <f>VLOOKUP(Table6[[#This Row],[الرقم الوظيفى]],[4]!Table3[#Data],26,FALSE)</f>
        <v>#REF!</v>
      </c>
      <c r="CR38" s="165">
        <v>200</v>
      </c>
      <c r="CS38" s="124"/>
    </row>
    <row r="39" spans="1:97" ht="28" customHeight="1" thickTop="1" thickBot="1">
      <c r="A39" s="141">
        <v>62</v>
      </c>
      <c r="B39" s="142" t="s">
        <v>373</v>
      </c>
      <c r="C39" s="59" t="s">
        <v>90</v>
      </c>
      <c r="D39" s="143" t="s">
        <v>81</v>
      </c>
      <c r="E39" s="180" t="s">
        <v>601</v>
      </c>
      <c r="F39" s="143" t="s">
        <v>372</v>
      </c>
      <c r="G39" s="145">
        <v>40105</v>
      </c>
      <c r="H39" s="146">
        <v>8000</v>
      </c>
      <c r="I39" s="106">
        <f>Table6[[#This Row],[مرتب]]/30</f>
        <v>266.66666666666669</v>
      </c>
      <c r="J39" s="107">
        <v>30</v>
      </c>
      <c r="K39" s="107">
        <f t="shared" si="0"/>
        <v>0</v>
      </c>
      <c r="L39" s="108">
        <v>0</v>
      </c>
      <c r="M39" s="107">
        <f>Table6[[#This Row],[مرتب الضمان]]*17%</f>
        <v>0</v>
      </c>
      <c r="N39" s="107">
        <f>' الشركه 2018'!$H39*35%</f>
        <v>2800</v>
      </c>
      <c r="O39" s="107">
        <f>' الشركه 2018'!$H39*32%</f>
        <v>2560</v>
      </c>
      <c r="P39" s="107">
        <f>' الشركه 2018'!$H39*12%</f>
        <v>960</v>
      </c>
      <c r="Q39" s="107">
        <f>' الشركه 2018'!$H39*13%</f>
        <v>1040</v>
      </c>
      <c r="R39" s="107">
        <f>' الشركه 2018'!$H39*6%</f>
        <v>480</v>
      </c>
      <c r="S39" s="107">
        <f>' الشركه 2018'!$H39*2%</f>
        <v>160</v>
      </c>
      <c r="T39" s="107">
        <f>' الشركه 2018'!$O39+' الشركه 2018'!$P39+' الشركه 2018'!$Q39+' الشركه 2018'!$R39+' الشركه 2018'!$S39</f>
        <v>5200</v>
      </c>
      <c r="U39" s="109">
        <f>VLOOKUP(Table6[[#This Row],[الرقم الوظيفى]],[2]بالخصم!$B$1:$AK$1200,35,)</f>
        <v>0</v>
      </c>
      <c r="V39" s="147"/>
      <c r="W39" s="111">
        <f>Table6[[#This Row],[عدد ايام الاجازه]]*Table6[[#This Row],[ح راتب اليوم]]</f>
        <v>0</v>
      </c>
      <c r="X39" s="148"/>
      <c r="Y39" s="60"/>
      <c r="Z39" s="111">
        <f>Table6[[#This Row],[عدد ايام الجزاء]]*Table6[[#This Row],[ح راتب اليوم]]</f>
        <v>0</v>
      </c>
      <c r="AA39" s="112">
        <f>Table6[[#This Row],[مرتب]]*50%</f>
        <v>4000</v>
      </c>
      <c r="AB39" s="113" t="e">
        <f>VLOOKUP(Table6[[#This Row],[الرقم الوظيفى]],[3]!Table25289[#Data],23,)</f>
        <v>#REF!</v>
      </c>
      <c r="AC39" s="149">
        <v>500</v>
      </c>
      <c r="AD39" s="150"/>
      <c r="AE39" s="113" t="e">
        <f>VLOOKUP(Table6[[#This Row],[الرقم الوظيفى]],[3]!Table252894[#Data],22,)</f>
        <v>#REF!</v>
      </c>
      <c r="AF39" s="151"/>
      <c r="AG39" s="111">
        <f>' الشركه 2018'!$W39+' الشركه 2018'!$Z39+' الشركه 2018'!$AA39+' الشركه 2018'!$AC39+' الشركه 2018'!$AD39+' الشركه 2018'!$AF39</f>
        <v>4500</v>
      </c>
      <c r="AH39" s="111">
        <f>Table6[[#This Row],[راتب الضمان]]*8%</f>
        <v>0</v>
      </c>
      <c r="AI39" s="111">
        <f>' الشركه 2018'!$H39-' الشركه 2018'!$AG39-' الشركه 2018'!$AH39</f>
        <v>3500</v>
      </c>
      <c r="AJ39" s="111">
        <f>' الشركه 2018'!$CF39</f>
        <v>1236.9230769230769</v>
      </c>
      <c r="AK39" s="117">
        <f>' الشركه 2018'!$AI39+' الشركه 2018'!$AJ39</f>
        <v>4736.9230769230771</v>
      </c>
      <c r="AL39" s="152"/>
      <c r="AM39" s="153"/>
      <c r="AN39" s="9">
        <f>Table6[[#This Row],[اجمالى الاستحقاق]]-Table6[[#This Row],[Column2]]+Table6[[#This Row],[حوافز غير مستقره]]</f>
        <v>4736.9230769230771</v>
      </c>
      <c r="AO39" s="59"/>
      <c r="AP39" s="169"/>
      <c r="AQ39" s="176"/>
      <c r="AR39" s="124"/>
      <c r="AS39" s="155"/>
      <c r="AT39" s="170"/>
      <c r="AU39" s="124"/>
      <c r="AV39" s="124">
        <v>24</v>
      </c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24"/>
      <c r="BZ39" s="159"/>
      <c r="CA39" s="160"/>
      <c r="CB3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9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9" s="131">
        <f>' الشركه 2018'!$H39*67%*1.5*' الشركه 2018'!$CB39/208</f>
        <v>0</v>
      </c>
      <c r="CE39" s="132">
        <f>' الشركه 2018'!$H39*67%*2*' الشركه 2018'!$CC39/208</f>
        <v>1236.9230769230769</v>
      </c>
      <c r="CF39" s="133">
        <f>' الشركه 2018'!$CD39+' الشركه 2018'!$CE39</f>
        <v>1236.9230769230769</v>
      </c>
      <c r="CG39" s="124"/>
      <c r="CH39" s="177">
        <f>SUMIF(C39:C222,' الشركه 2018'!$CG40,L39:L222)</f>
        <v>0</v>
      </c>
      <c r="CI39" s="124"/>
      <c r="CJ39" s="162">
        <f>' الشركه 2018'!$CH39*' الشركه 2018'!$CI39</f>
        <v>0</v>
      </c>
      <c r="CK39" s="162">
        <f>' الشركه 2018'!$CJ39*8%</f>
        <v>0</v>
      </c>
      <c r="CL39" s="162">
        <f>' الشركه 2018'!$CJ39*17%</f>
        <v>0</v>
      </c>
      <c r="CM39" s="162">
        <f>' الشركه 2018'!$CJ39*25%</f>
        <v>0</v>
      </c>
      <c r="CN39" s="162"/>
      <c r="CO39" s="162"/>
      <c r="CP39" s="163">
        <v>1000</v>
      </c>
      <c r="CQ39" s="164" t="e">
        <f>VLOOKUP(Table6[[#This Row],[الرقم الوظيفى]],[4]!Table3[#Data],26,FALSE)</f>
        <v>#REF!</v>
      </c>
      <c r="CR39" s="165"/>
      <c r="CS39" s="124"/>
    </row>
    <row r="40" spans="1:97" ht="28" customHeight="1" thickTop="1" thickBot="1">
      <c r="A40" s="173">
        <v>65</v>
      </c>
      <c r="B40" s="142" t="s">
        <v>378</v>
      </c>
      <c r="C40" s="59" t="s">
        <v>90</v>
      </c>
      <c r="D40" s="143" t="s">
        <v>81</v>
      </c>
      <c r="E40" s="174" t="s">
        <v>653</v>
      </c>
      <c r="F40" s="143" t="s">
        <v>367</v>
      </c>
      <c r="G40" s="145">
        <v>41626</v>
      </c>
      <c r="H40" s="146">
        <v>4710</v>
      </c>
      <c r="I40" s="106">
        <f>Table6[[#This Row],[مرتب]]/30</f>
        <v>157</v>
      </c>
      <c r="J40" s="107">
        <v>30</v>
      </c>
      <c r="K40" s="107">
        <f t="shared" si="0"/>
        <v>4710</v>
      </c>
      <c r="L40" s="108">
        <v>4710</v>
      </c>
      <c r="M40" s="107">
        <f>Table6[[#This Row],[مرتب الضمان]]*17%</f>
        <v>800.7</v>
      </c>
      <c r="N40" s="107">
        <f>' الشركه 2018'!$H40*35%</f>
        <v>1648.5</v>
      </c>
      <c r="O40" s="107">
        <f>' الشركه 2018'!$H40*32%</f>
        <v>1507.2</v>
      </c>
      <c r="P40" s="107">
        <f>' الشركه 2018'!$H40*12%</f>
        <v>565.19999999999993</v>
      </c>
      <c r="Q40" s="107">
        <f>' الشركه 2018'!$H40*13%</f>
        <v>612.30000000000007</v>
      </c>
      <c r="R40" s="107">
        <f>' الشركه 2018'!$H40*6%</f>
        <v>282.59999999999997</v>
      </c>
      <c r="S40" s="107">
        <f>' الشركه 2018'!$H40*2%</f>
        <v>94.2</v>
      </c>
      <c r="T40" s="107">
        <f>' الشركه 2018'!$O40+' الشركه 2018'!$P40+' الشركه 2018'!$Q40+' الشركه 2018'!$R40+' الشركه 2018'!$S40</f>
        <v>3061.5</v>
      </c>
      <c r="U40" s="109">
        <f>VLOOKUP(Table6[[#This Row],[الرقم الوظيفى]],[2]بالخصم!$B$1:$AK$1200,35,)</f>
        <v>0</v>
      </c>
      <c r="V40" s="147"/>
      <c r="W40" s="111">
        <f>Table6[[#This Row],[عدد ايام الاجازه]]*Table6[[#This Row],[ح راتب اليوم]]</f>
        <v>0</v>
      </c>
      <c r="X40" s="148"/>
      <c r="Y40" s="60"/>
      <c r="Z40" s="111">
        <f>Table6[[#This Row],[عدد ايام الجزاء]]*Table6[[#This Row],[ح راتب اليوم]]</f>
        <v>0</v>
      </c>
      <c r="AA40" s="112">
        <f>Table6[[#This Row],[مرتب]]*50%</f>
        <v>2355</v>
      </c>
      <c r="AB40" s="113" t="e">
        <f>VLOOKUP(Table6[[#This Row],[الرقم الوظيفى]],[3]!Table25289[#Data],23,)</f>
        <v>#REF!</v>
      </c>
      <c r="AC40" s="149">
        <v>500</v>
      </c>
      <c r="AD40" s="150"/>
      <c r="AE40" s="113" t="e">
        <f>VLOOKUP(Table6[[#This Row],[الرقم الوظيفى]],[3]!Table252894[#Data],22,)</f>
        <v>#REF!</v>
      </c>
      <c r="AF40" s="151"/>
      <c r="AG40" s="111">
        <f>' الشركه 2018'!$W40+' الشركه 2018'!$Z40+' الشركه 2018'!$AA40+' الشركه 2018'!$AC40+' الشركه 2018'!$AD40+' الشركه 2018'!$AF40</f>
        <v>2855</v>
      </c>
      <c r="AH40" s="111">
        <f>Table6[[#This Row],[راتب الضمان]]*8%</f>
        <v>376.8</v>
      </c>
      <c r="AI40" s="111">
        <f>' الشركه 2018'!$H40-' الشركه 2018'!$AG40-' الشركه 2018'!$AH40</f>
        <v>1478.2</v>
      </c>
      <c r="AJ40" s="111">
        <f>' الشركه 2018'!$CF40</f>
        <v>0</v>
      </c>
      <c r="AK40" s="117">
        <f>' الشركه 2018'!$AI40+' الشركه 2018'!$AJ40</f>
        <v>1478.2</v>
      </c>
      <c r="AL40" s="152"/>
      <c r="AM40" s="153"/>
      <c r="AN40" s="9">
        <f>Table6[[#This Row],[اجمالى الاستحقاق]]-Table6[[#This Row],[Column2]]+Table6[[#This Row],[حوافز غير مستقره]]</f>
        <v>1478.2</v>
      </c>
      <c r="AO40" s="59"/>
      <c r="AP40" s="169"/>
      <c r="AQ40" s="176"/>
      <c r="AR40" s="124"/>
      <c r="AS40" s="155"/>
      <c r="AT40" s="170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24"/>
      <c r="BZ40" s="171"/>
      <c r="CA40" s="172"/>
      <c r="CB4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0" s="131">
        <f>' الشركه 2018'!$H40*67%*1.5*' الشركه 2018'!$CB40/208</f>
        <v>0</v>
      </c>
      <c r="CE40" s="132">
        <f>' الشركه 2018'!$H40*67%*2*' الشركه 2018'!$CC40/208</f>
        <v>0</v>
      </c>
      <c r="CF40" s="133">
        <f>' الشركه 2018'!$CD40+' الشركه 2018'!$CE40</f>
        <v>0</v>
      </c>
      <c r="CG40" s="124"/>
      <c r="CH40" s="177">
        <f>SUMIF(C40:C223,' الشركه 2018'!$CG41,L40:L223)</f>
        <v>0</v>
      </c>
      <c r="CI40" s="124"/>
      <c r="CJ40" s="162">
        <f>' الشركه 2018'!$CH40*' الشركه 2018'!$CI40</f>
        <v>0</v>
      </c>
      <c r="CK40" s="162">
        <f>' الشركه 2018'!$CJ40*8%</f>
        <v>0</v>
      </c>
      <c r="CL40" s="162">
        <f>' الشركه 2018'!$CJ40*17%</f>
        <v>0</v>
      </c>
      <c r="CM40" s="162">
        <f>' الشركه 2018'!$CJ40*25%</f>
        <v>0</v>
      </c>
      <c r="CN40" s="162"/>
      <c r="CO40" s="162"/>
      <c r="CP40" s="163"/>
      <c r="CQ40" s="164" t="e">
        <f>VLOOKUP(Table6[[#This Row],[الرقم الوظيفى]],[4]!Table3[#Data],26,FALSE)</f>
        <v>#REF!</v>
      </c>
      <c r="CR40" s="165"/>
      <c r="CS40" s="124"/>
    </row>
    <row r="41" spans="1:97" ht="28" customHeight="1" thickTop="1" thickBot="1">
      <c r="A41" s="141">
        <v>66</v>
      </c>
      <c r="B41" s="142" t="s">
        <v>194</v>
      </c>
      <c r="C41" s="59" t="s">
        <v>90</v>
      </c>
      <c r="D41" s="143" t="s">
        <v>74</v>
      </c>
      <c r="E41" s="174" t="s">
        <v>619</v>
      </c>
      <c r="F41" s="143" t="s">
        <v>192</v>
      </c>
      <c r="G41" s="145">
        <v>40430</v>
      </c>
      <c r="H41" s="146">
        <v>5370</v>
      </c>
      <c r="I41" s="106">
        <f>Table6[[#This Row],[مرتب]]/30</f>
        <v>179</v>
      </c>
      <c r="J41" s="107">
        <v>30</v>
      </c>
      <c r="K41" s="107">
        <f t="shared" si="0"/>
        <v>5370</v>
      </c>
      <c r="L41" s="108">
        <v>5370</v>
      </c>
      <c r="M41" s="107">
        <f>Table6[[#This Row],[مرتب الضمان]]*17%</f>
        <v>912.90000000000009</v>
      </c>
      <c r="N41" s="107">
        <f>' الشركه 2018'!$H41*35%</f>
        <v>1879.4999999999998</v>
      </c>
      <c r="O41" s="107">
        <f>' الشركه 2018'!$H41*32%</f>
        <v>1718.4</v>
      </c>
      <c r="P41" s="107">
        <f>' الشركه 2018'!$H41*12%</f>
        <v>644.4</v>
      </c>
      <c r="Q41" s="107">
        <f>' الشركه 2018'!$H41*13%</f>
        <v>698.1</v>
      </c>
      <c r="R41" s="107">
        <f>' الشركه 2018'!$H41*6%</f>
        <v>322.2</v>
      </c>
      <c r="S41" s="107">
        <f>' الشركه 2018'!$H41*2%</f>
        <v>107.4</v>
      </c>
      <c r="T41" s="107">
        <f>' الشركه 2018'!$O41+' الشركه 2018'!$P41+' الشركه 2018'!$Q41+' الشركه 2018'!$R41+' الشركه 2018'!$S41</f>
        <v>3490.5</v>
      </c>
      <c r="U41" s="109">
        <f>VLOOKUP(Table6[[#This Row],[الرقم الوظيفى]],[2]بالخصم!$B$1:$AK$1200,35,)</f>
        <v>0</v>
      </c>
      <c r="V41" s="147"/>
      <c r="W41" s="111">
        <f>Table6[[#This Row],[عدد ايام الاجازه]]*Table6[[#This Row],[ح راتب اليوم]]</f>
        <v>0</v>
      </c>
      <c r="X41" s="148"/>
      <c r="Y41" s="60"/>
      <c r="Z41" s="111">
        <f>Table6[[#This Row],[عدد ايام الجزاء]]*Table6[[#This Row],[ح راتب اليوم]]</f>
        <v>0</v>
      </c>
      <c r="AA41" s="112">
        <f>Table6[[#This Row],[مرتب]]*50%</f>
        <v>2685</v>
      </c>
      <c r="AB41" s="113" t="e">
        <f>VLOOKUP(Table6[[#This Row],[الرقم الوظيفى]],[3]!Table25289[#Data],23,)</f>
        <v>#REF!</v>
      </c>
      <c r="AC41" s="149"/>
      <c r="AD41" s="150"/>
      <c r="AE41" s="113" t="e">
        <f>VLOOKUP(Table6[[#This Row],[الرقم الوظيفى]],[3]!Table252894[#Data],22,)</f>
        <v>#REF!</v>
      </c>
      <c r="AF41" s="151"/>
      <c r="AG41" s="111">
        <f>' الشركه 2018'!$W41+' الشركه 2018'!$Z41+' الشركه 2018'!$AA41+' الشركه 2018'!$AC41+' الشركه 2018'!$AD41+' الشركه 2018'!$AF41</f>
        <v>2685</v>
      </c>
      <c r="AH41" s="111">
        <f>Table6[[#This Row],[راتب الضمان]]*8%</f>
        <v>429.6</v>
      </c>
      <c r="AI41" s="111">
        <f>' الشركه 2018'!$H41-' الشركه 2018'!$AG41-' الشركه 2018'!$AH41</f>
        <v>2255.4</v>
      </c>
      <c r="AJ41" s="111">
        <f>' الشركه 2018'!$CF41</f>
        <v>1660.5692307692309</v>
      </c>
      <c r="AK41" s="117">
        <f>' الشركه 2018'!$AI41+' الشركه 2018'!$AJ41</f>
        <v>3915.9692307692312</v>
      </c>
      <c r="AL41" s="152"/>
      <c r="AM41" s="153"/>
      <c r="AN41" s="9">
        <f>Table6[[#This Row],[اجمالى الاستحقاق]]-Table6[[#This Row],[Column2]]+Table6[[#This Row],[حوافز غير مستقره]]</f>
        <v>3915.9692307692312</v>
      </c>
      <c r="AO41" s="59"/>
      <c r="AP41" s="169"/>
      <c r="AQ41" s="176"/>
      <c r="AR41" s="124"/>
      <c r="AS41" s="155"/>
      <c r="AT41" s="170"/>
      <c r="AU41" s="124"/>
      <c r="AV41" s="124">
        <v>12</v>
      </c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>
        <v>16</v>
      </c>
      <c r="BJ41" s="124">
        <v>24</v>
      </c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71"/>
      <c r="CA41" s="172"/>
      <c r="CB4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41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41" s="131">
        <f>' الشركه 2018'!$H41*67%*1.5*' الشركه 2018'!$CB41/208</f>
        <v>415.14230769230772</v>
      </c>
      <c r="CE41" s="132">
        <f>' الشركه 2018'!$H41*67%*2*' الشركه 2018'!$CC41/208</f>
        <v>1245.4269230769232</v>
      </c>
      <c r="CF41" s="133">
        <f>' الشركه 2018'!$CD41+' الشركه 2018'!$CE41</f>
        <v>1660.5692307692309</v>
      </c>
      <c r="CG41" s="124"/>
      <c r="CH41" s="177">
        <f>SUMIF(C41:C223,' الشركه 2018'!$CG42,L41:L223)</f>
        <v>0</v>
      </c>
      <c r="CI41" s="124"/>
      <c r="CJ41" s="162">
        <f>' الشركه 2018'!$CH41*' الشركه 2018'!$CI41</f>
        <v>0</v>
      </c>
      <c r="CK41" s="162">
        <f>' الشركه 2018'!$CJ41*8%</f>
        <v>0</v>
      </c>
      <c r="CL41" s="162">
        <f>' الشركه 2018'!$CJ41*17%</f>
        <v>0</v>
      </c>
      <c r="CM41" s="162">
        <f>' الشركه 2018'!$CJ41*25%</f>
        <v>0</v>
      </c>
      <c r="CN41" s="162"/>
      <c r="CO41" s="162"/>
      <c r="CP41" s="163">
        <v>500</v>
      </c>
      <c r="CQ41" s="164" t="e">
        <f>VLOOKUP(Table6[[#This Row],[الرقم الوظيفى]],[4]!Table3[#Data],26,FALSE)</f>
        <v>#REF!</v>
      </c>
      <c r="CR41" s="165">
        <v>1000</v>
      </c>
      <c r="CS41" s="124"/>
    </row>
    <row r="42" spans="1:97" ht="28" customHeight="1" thickTop="1" thickBot="1">
      <c r="A42" s="141">
        <v>68</v>
      </c>
      <c r="B42" s="142" t="s">
        <v>245</v>
      </c>
      <c r="C42" s="59" t="s">
        <v>90</v>
      </c>
      <c r="D42" s="143" t="s">
        <v>74</v>
      </c>
      <c r="E42" s="174" t="s">
        <v>654</v>
      </c>
      <c r="F42" s="143" t="s">
        <v>655</v>
      </c>
      <c r="G42" s="145">
        <v>40422</v>
      </c>
      <c r="H42" s="146">
        <v>4330</v>
      </c>
      <c r="I42" s="106">
        <f>Table6[[#This Row],[مرتب]]/30</f>
        <v>144.33333333333334</v>
      </c>
      <c r="J42" s="107">
        <v>30</v>
      </c>
      <c r="K42" s="107">
        <f t="shared" si="0"/>
        <v>0</v>
      </c>
      <c r="L42" s="108">
        <v>0</v>
      </c>
      <c r="M42" s="107">
        <f>Table6[[#This Row],[مرتب الضمان]]*17%</f>
        <v>0</v>
      </c>
      <c r="N42" s="107">
        <f>' الشركه 2018'!$H42*35%</f>
        <v>1515.5</v>
      </c>
      <c r="O42" s="107">
        <f>' الشركه 2018'!$H42*32%</f>
        <v>1385.6000000000001</v>
      </c>
      <c r="P42" s="107">
        <f>' الشركه 2018'!$H42*12%</f>
        <v>519.6</v>
      </c>
      <c r="Q42" s="107">
        <f>' الشركه 2018'!$H42*13%</f>
        <v>562.9</v>
      </c>
      <c r="R42" s="107">
        <f>' الشركه 2018'!$H42*6%</f>
        <v>259.8</v>
      </c>
      <c r="S42" s="107">
        <f>' الشركه 2018'!$H42*2%</f>
        <v>86.600000000000009</v>
      </c>
      <c r="T42" s="107">
        <f>' الشركه 2018'!$O42+' الشركه 2018'!$P42+' الشركه 2018'!$Q42+' الشركه 2018'!$R42+' الشركه 2018'!$S42</f>
        <v>2814.5000000000005</v>
      </c>
      <c r="U42" s="109">
        <f>VLOOKUP(Table6[[#This Row],[الرقم الوظيفى]],[2]بالخصم!$B$1:$AK$1200,35,)</f>
        <v>0</v>
      </c>
      <c r="V42" s="147"/>
      <c r="W42" s="111">
        <f>Table6[[#This Row],[عدد ايام الاجازه]]*Table6[[#This Row],[ح راتب اليوم]]</f>
        <v>0</v>
      </c>
      <c r="X42" s="148"/>
      <c r="Y42" s="60"/>
      <c r="Z42" s="111">
        <f>Table6[[#This Row],[عدد ايام الجزاء]]*Table6[[#This Row],[ح راتب اليوم]]</f>
        <v>0</v>
      </c>
      <c r="AA42" s="112">
        <f>Table6[[#This Row],[مرتب]]*50%</f>
        <v>2165</v>
      </c>
      <c r="AB42" s="113" t="e">
        <f>VLOOKUP(Table6[[#This Row],[الرقم الوظيفى]],[3]!Table25289[#Data],23,)</f>
        <v>#REF!</v>
      </c>
      <c r="AC42" s="149"/>
      <c r="AD42" s="150"/>
      <c r="AE42" s="113" t="e">
        <f>VLOOKUP(Table6[[#This Row],[الرقم الوظيفى]],[3]!Table252894[#Data],22,)</f>
        <v>#REF!</v>
      </c>
      <c r="AF42" s="151"/>
      <c r="AG42" s="111">
        <f>' الشركه 2018'!$W42+' الشركه 2018'!$Z42+' الشركه 2018'!$AA42+' الشركه 2018'!$AC42+' الشركه 2018'!$AD42+' الشركه 2018'!$AF42</f>
        <v>2165</v>
      </c>
      <c r="AH42" s="111">
        <f>Table6[[#This Row],[راتب الضمان]]*8%</f>
        <v>0</v>
      </c>
      <c r="AI42" s="111">
        <f>' الشركه 2018'!$H42-' الشركه 2018'!$AG42-' الشركه 2018'!$AH42</f>
        <v>2165</v>
      </c>
      <c r="AJ42" s="111">
        <f>' الشركه 2018'!$CF42</f>
        <v>0</v>
      </c>
      <c r="AK42" s="117">
        <f>' الشركه 2018'!$AI42+' الشركه 2018'!$AJ42</f>
        <v>2165</v>
      </c>
      <c r="AL42" s="152"/>
      <c r="AM42" s="153"/>
      <c r="AN42" s="9">
        <f>Table6[[#This Row],[اجمالى الاستحقاق]]-Table6[[#This Row],[Column2]]+Table6[[#This Row],[حوافز غير مستقره]]</f>
        <v>2165</v>
      </c>
      <c r="AO42" s="59"/>
      <c r="AP42" s="169"/>
      <c r="AQ42" s="176"/>
      <c r="AR42" s="124"/>
      <c r="AS42" s="155"/>
      <c r="AT42" s="170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71"/>
      <c r="CA42" s="172"/>
      <c r="CB4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2" s="131">
        <f>' الشركه 2018'!$H42*67%*1.5*' الشركه 2018'!$CB42/208</f>
        <v>0</v>
      </c>
      <c r="CE42" s="132">
        <f>' الشركه 2018'!$H42*67%*2*' الشركه 2018'!$CC42/208</f>
        <v>0</v>
      </c>
      <c r="CF42" s="133">
        <f>' الشركه 2018'!$CD42+' الشركه 2018'!$CE42</f>
        <v>0</v>
      </c>
      <c r="CG42" s="124"/>
      <c r="CH42" s="177">
        <f>SUMIF(C42:C236,' الشركه 2018'!$CG43,L42:L236)</f>
        <v>0</v>
      </c>
      <c r="CI42" s="124"/>
      <c r="CJ42" s="162">
        <f>' الشركه 2018'!$CH42*' الشركه 2018'!$CI42</f>
        <v>0</v>
      </c>
      <c r="CK42" s="162">
        <f>' الشركه 2018'!$CJ42*8%</f>
        <v>0</v>
      </c>
      <c r="CL42" s="162">
        <f>' الشركه 2018'!$CJ42*17%</f>
        <v>0</v>
      </c>
      <c r="CM42" s="162">
        <f>' الشركه 2018'!$CJ42*25%</f>
        <v>0</v>
      </c>
      <c r="CN42" s="162"/>
      <c r="CO42" s="162"/>
      <c r="CP42" s="163">
        <v>500</v>
      </c>
      <c r="CQ42" s="164" t="e">
        <f>VLOOKUP(Table6[[#This Row],[الرقم الوظيفى]],[4]!Table3[#Data],26,FALSE)</f>
        <v>#REF!</v>
      </c>
      <c r="CR42" s="165">
        <v>1000</v>
      </c>
      <c r="CS42" s="124"/>
    </row>
    <row r="43" spans="1:97" ht="28" customHeight="1" thickTop="1" thickBot="1">
      <c r="A43" s="173">
        <v>71</v>
      </c>
      <c r="B43" s="142" t="s">
        <v>368</v>
      </c>
      <c r="C43" s="59" t="s">
        <v>90</v>
      </c>
      <c r="D43" s="143" t="s">
        <v>81</v>
      </c>
      <c r="E43" s="174" t="s">
        <v>653</v>
      </c>
      <c r="F43" s="143" t="s">
        <v>367</v>
      </c>
      <c r="G43" s="145">
        <v>40458</v>
      </c>
      <c r="H43" s="146">
        <v>5470</v>
      </c>
      <c r="I43" s="106">
        <f>Table6[[#This Row],[مرتب]]/30</f>
        <v>182.33333333333334</v>
      </c>
      <c r="J43" s="107">
        <v>30</v>
      </c>
      <c r="K43" s="107">
        <f t="shared" si="0"/>
        <v>5470</v>
      </c>
      <c r="L43" s="108">
        <v>5470</v>
      </c>
      <c r="M43" s="107">
        <f>Table6[[#This Row],[مرتب الضمان]]*17%</f>
        <v>929.90000000000009</v>
      </c>
      <c r="N43" s="107">
        <f>' الشركه 2018'!$H43*35%</f>
        <v>1914.4999999999998</v>
      </c>
      <c r="O43" s="107">
        <f>' الشركه 2018'!$H43*32%</f>
        <v>1750.4</v>
      </c>
      <c r="P43" s="107">
        <f>' الشركه 2018'!$H43*12%</f>
        <v>656.4</v>
      </c>
      <c r="Q43" s="107">
        <f>' الشركه 2018'!$H43*13%</f>
        <v>711.1</v>
      </c>
      <c r="R43" s="107">
        <f>' الشركه 2018'!$H43*6%</f>
        <v>328.2</v>
      </c>
      <c r="S43" s="107">
        <f>' الشركه 2018'!$H43*2%</f>
        <v>109.4</v>
      </c>
      <c r="T43" s="107">
        <f>' الشركه 2018'!$O43+' الشركه 2018'!$P43+' الشركه 2018'!$Q43+' الشركه 2018'!$R43+' الشركه 2018'!$S43</f>
        <v>3555.5</v>
      </c>
      <c r="U43" s="109">
        <f>VLOOKUP(Table6[[#This Row],[الرقم الوظيفى]],[2]بالخصم!$B$1:$AK$1200,35,)</f>
        <v>0</v>
      </c>
      <c r="V43" s="147"/>
      <c r="W43" s="111">
        <f>Table6[[#This Row],[عدد ايام الاجازه]]*Table6[[#This Row],[ح راتب اليوم]]</f>
        <v>0</v>
      </c>
      <c r="X43" s="148"/>
      <c r="Y43" s="60"/>
      <c r="Z43" s="111">
        <f>Table6[[#This Row],[عدد ايام الجزاء]]*Table6[[#This Row],[ح راتب اليوم]]</f>
        <v>0</v>
      </c>
      <c r="AA43" s="112">
        <f>Table6[[#This Row],[مرتب]]*50%</f>
        <v>2735</v>
      </c>
      <c r="AB43" s="113" t="e">
        <f>VLOOKUP(Table6[[#This Row],[الرقم الوظيفى]],[3]!Table25289[#Data],23,)</f>
        <v>#REF!</v>
      </c>
      <c r="AC43" s="149"/>
      <c r="AD43" s="150"/>
      <c r="AE43" s="113" t="e">
        <f>VLOOKUP(Table6[[#This Row],[الرقم الوظيفى]],[3]!Table252894[#Data],22,)</f>
        <v>#REF!</v>
      </c>
      <c r="AF43" s="151"/>
      <c r="AG43" s="111">
        <f>' الشركه 2018'!$W43+' الشركه 2018'!$Z43+' الشركه 2018'!$AA43+' الشركه 2018'!$AC43+' الشركه 2018'!$AD43+' الشركه 2018'!$AF43</f>
        <v>2735</v>
      </c>
      <c r="AH43" s="111">
        <f>Table6[[#This Row],[راتب الضمان]]*8%</f>
        <v>437.6</v>
      </c>
      <c r="AI43" s="111">
        <f>' الشركه 2018'!$H43-' الشركه 2018'!$AG43-' الشركه 2018'!$AH43</f>
        <v>2297.4</v>
      </c>
      <c r="AJ43" s="111">
        <f>' الشركه 2018'!$CF43</f>
        <v>396.44350961538464</v>
      </c>
      <c r="AK43" s="117">
        <f>' الشركه 2018'!$AI43+' الشركه 2018'!$AJ43</f>
        <v>2693.8435096153848</v>
      </c>
      <c r="AL43" s="152"/>
      <c r="AM43" s="153"/>
      <c r="AN43" s="9">
        <f>Table6[[#This Row],[اجمالى الاستحقاق]]-Table6[[#This Row],[Column2]]+Table6[[#This Row],[حوافز غير مستقره]]</f>
        <v>2693.8435096153848</v>
      </c>
      <c r="AO43" s="59"/>
      <c r="AP43" s="169"/>
      <c r="AQ43" s="176"/>
      <c r="AR43" s="124"/>
      <c r="AS43" s="155"/>
      <c r="AT43" s="170"/>
      <c r="AU43" s="124"/>
      <c r="AV43" s="124"/>
      <c r="AW43" s="124"/>
      <c r="AX43" s="124">
        <v>3</v>
      </c>
      <c r="AY43" s="124"/>
      <c r="AZ43" s="124">
        <v>5</v>
      </c>
      <c r="BA43" s="124"/>
      <c r="BB43" s="124"/>
      <c r="BC43" s="124"/>
      <c r="BD43" s="124">
        <v>2</v>
      </c>
      <c r="BE43" s="124"/>
      <c r="BF43" s="124"/>
      <c r="BG43" s="124"/>
      <c r="BH43" s="124"/>
      <c r="BI43" s="124"/>
      <c r="BJ43" s="124"/>
      <c r="BK43" s="124"/>
      <c r="BL43" s="124">
        <v>5</v>
      </c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24"/>
      <c r="BZ43" s="171"/>
      <c r="CA43" s="172"/>
      <c r="CB4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15</v>
      </c>
      <c r="CC4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3" s="131">
        <f>' الشركه 2018'!$H43*67%*1.5*' الشركه 2018'!$CB43/208</f>
        <v>396.44350961538464</v>
      </c>
      <c r="CE43" s="132">
        <f>' الشركه 2018'!$H43*67%*2*' الشركه 2018'!$CC43/208</f>
        <v>0</v>
      </c>
      <c r="CF43" s="133">
        <f>' الشركه 2018'!$CD43+' الشركه 2018'!$CE43</f>
        <v>396.44350961538464</v>
      </c>
      <c r="CG43" s="124"/>
      <c r="CH43" s="177">
        <f>SUMIF(C43:C224,' الشركه 2018'!$CG44,L43:L224)</f>
        <v>0</v>
      </c>
      <c r="CI43" s="124"/>
      <c r="CJ43" s="162">
        <f>' الشركه 2018'!$CH43*' الشركه 2018'!$CI43</f>
        <v>0</v>
      </c>
      <c r="CK43" s="162">
        <f>' الشركه 2018'!$CJ43*8%</f>
        <v>0</v>
      </c>
      <c r="CL43" s="162">
        <f>' الشركه 2018'!$CJ43*17%</f>
        <v>0</v>
      </c>
      <c r="CM43" s="162">
        <f>' الشركه 2018'!$CJ43*25%</f>
        <v>0</v>
      </c>
      <c r="CN43" s="162"/>
      <c r="CO43" s="162"/>
      <c r="CP43" s="163">
        <v>400</v>
      </c>
      <c r="CQ43" s="164" t="e">
        <f>VLOOKUP(Table6[[#This Row],[الرقم الوظيفى]],[4]!Table3[#Data],26,FALSE)</f>
        <v>#REF!</v>
      </c>
      <c r="CR43" s="165">
        <v>500</v>
      </c>
      <c r="CS43" s="124"/>
    </row>
    <row r="44" spans="1:97" ht="28" customHeight="1" thickTop="1" thickBot="1">
      <c r="A44" s="173">
        <v>72</v>
      </c>
      <c r="B44" s="142" t="s">
        <v>412</v>
      </c>
      <c r="C44" s="59" t="s">
        <v>90</v>
      </c>
      <c r="D44" s="143" t="s">
        <v>82</v>
      </c>
      <c r="E44" s="174" t="s">
        <v>652</v>
      </c>
      <c r="F44" s="143" t="s">
        <v>112</v>
      </c>
      <c r="G44" s="145">
        <v>40471</v>
      </c>
      <c r="H44" s="146">
        <v>4360</v>
      </c>
      <c r="I44" s="106">
        <f>Table6[[#This Row],[مرتب]]/30</f>
        <v>145.33333333333334</v>
      </c>
      <c r="J44" s="107">
        <v>30</v>
      </c>
      <c r="K44" s="107">
        <f t="shared" si="0"/>
        <v>4360</v>
      </c>
      <c r="L44" s="108">
        <v>4360</v>
      </c>
      <c r="M44" s="107">
        <f>Table6[[#This Row],[مرتب الضمان]]*17%</f>
        <v>741.2</v>
      </c>
      <c r="N44" s="107">
        <f>' الشركه 2018'!$H44*35%</f>
        <v>1526</v>
      </c>
      <c r="O44" s="107">
        <f>' الشركه 2018'!$H44*32%</f>
        <v>1395.2</v>
      </c>
      <c r="P44" s="107">
        <f>' الشركه 2018'!$H44*12%</f>
        <v>523.19999999999993</v>
      </c>
      <c r="Q44" s="107">
        <f>' الشركه 2018'!$H44*13%</f>
        <v>566.80000000000007</v>
      </c>
      <c r="R44" s="107">
        <f>' الشركه 2018'!$H44*6%</f>
        <v>261.59999999999997</v>
      </c>
      <c r="S44" s="107">
        <f>' الشركه 2018'!$H44*2%</f>
        <v>87.2</v>
      </c>
      <c r="T44" s="107">
        <f>' الشركه 2018'!$O44+' الشركه 2018'!$P44+' الشركه 2018'!$Q44+' الشركه 2018'!$R44+' الشركه 2018'!$S44</f>
        <v>2834</v>
      </c>
      <c r="U44" s="109">
        <f>VLOOKUP(Table6[[#This Row],[الرقم الوظيفى]],[2]بالخصم!$B$1:$AK$1200,35,)</f>
        <v>0</v>
      </c>
      <c r="V44" s="147"/>
      <c r="W44" s="111">
        <f>Table6[[#This Row],[عدد ايام الاجازه]]*Table6[[#This Row],[ح راتب اليوم]]</f>
        <v>0</v>
      </c>
      <c r="X44" s="148"/>
      <c r="Y44" s="60"/>
      <c r="Z44" s="111">
        <f>Table6[[#This Row],[عدد ايام الجزاء]]*Table6[[#This Row],[ح راتب اليوم]]</f>
        <v>0</v>
      </c>
      <c r="AA44" s="112">
        <f>Table6[[#This Row],[مرتب]]*50%</f>
        <v>2180</v>
      </c>
      <c r="AB44" s="113" t="e">
        <f>VLOOKUP(Table6[[#This Row],[الرقم الوظيفى]],[3]!Table25289[#Data],23,)</f>
        <v>#REF!</v>
      </c>
      <c r="AC44" s="149">
        <v>500</v>
      </c>
      <c r="AD44" s="150"/>
      <c r="AE44" s="113" t="e">
        <f>VLOOKUP(Table6[[#This Row],[الرقم الوظيفى]],[3]!Table252894[#Data],22,)</f>
        <v>#REF!</v>
      </c>
      <c r="AF44" s="151"/>
      <c r="AG44" s="111">
        <f>' الشركه 2018'!$W44+' الشركه 2018'!$Z44+' الشركه 2018'!$AA44+' الشركه 2018'!$AC44+' الشركه 2018'!$AD44+' الشركه 2018'!$AF44</f>
        <v>2680</v>
      </c>
      <c r="AH44" s="111">
        <f>Table6[[#This Row],[راتب الضمان]]*8%</f>
        <v>348.8</v>
      </c>
      <c r="AI44" s="111">
        <f>' الشركه 2018'!$H44-' الشركه 2018'!$AG44-' الشركه 2018'!$AH44</f>
        <v>1331.2</v>
      </c>
      <c r="AJ44" s="111">
        <f>' الشركه 2018'!$CF44</f>
        <v>421.32692307692309</v>
      </c>
      <c r="AK44" s="117">
        <f>' الشركه 2018'!$AI44+' الشركه 2018'!$AJ44</f>
        <v>1752.5269230769231</v>
      </c>
      <c r="AL44" s="152"/>
      <c r="AM44" s="153"/>
      <c r="AN44" s="9">
        <f>Table6[[#This Row],[اجمالى الاستحقاق]]-Table6[[#This Row],[Column2]]+Table6[[#This Row],[حوافز غير مستقره]]</f>
        <v>1752.5269230769231</v>
      </c>
      <c r="AO44" s="59"/>
      <c r="AP44" s="169"/>
      <c r="AQ44" s="176"/>
      <c r="AR44" s="124"/>
      <c r="AS44" s="155"/>
      <c r="AT44" s="170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>
        <v>4</v>
      </c>
      <c r="BN44" s="124">
        <v>4</v>
      </c>
      <c r="BO44" s="124">
        <v>4</v>
      </c>
      <c r="BP44" s="124">
        <v>4</v>
      </c>
      <c r="BQ44" s="124"/>
      <c r="BR44" s="124">
        <v>4</v>
      </c>
      <c r="BS44" s="124"/>
      <c r="BT44" s="124"/>
      <c r="BU44" s="124"/>
      <c r="BV44" s="124"/>
      <c r="BW44" s="124"/>
      <c r="BX44" s="124"/>
      <c r="BY44" s="124"/>
      <c r="BZ44" s="171"/>
      <c r="CA44" s="172"/>
      <c r="CB4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20</v>
      </c>
      <c r="CC4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4" s="131">
        <f>' الشركه 2018'!$H44*67%*1.5*' الشركه 2018'!$CB44/208</f>
        <v>421.32692307692309</v>
      </c>
      <c r="CE44" s="132">
        <f>' الشركه 2018'!$H44*67%*2*' الشركه 2018'!$CC44/208</f>
        <v>0</v>
      </c>
      <c r="CF44" s="133">
        <f>' الشركه 2018'!$CD44+' الشركه 2018'!$CE44</f>
        <v>421.32692307692309</v>
      </c>
      <c r="CG44" s="124"/>
      <c r="CH44" s="177">
        <f>SUMIF(C44:C225,' الشركه 2018'!$CG45,L44:L225)</f>
        <v>0</v>
      </c>
      <c r="CI44" s="124"/>
      <c r="CJ44" s="162">
        <f>' الشركه 2018'!$CH44*' الشركه 2018'!$CI44</f>
        <v>0</v>
      </c>
      <c r="CK44" s="162">
        <f>' الشركه 2018'!$CJ44*8%</f>
        <v>0</v>
      </c>
      <c r="CL44" s="162">
        <f>' الشركه 2018'!$CJ44*17%</f>
        <v>0</v>
      </c>
      <c r="CM44" s="162">
        <f>' الشركه 2018'!$CJ44*25%</f>
        <v>0</v>
      </c>
      <c r="CN44" s="162"/>
      <c r="CO44" s="162"/>
      <c r="CP44" s="163">
        <v>600</v>
      </c>
      <c r="CQ44" s="164" t="e">
        <f>VLOOKUP(Table6[[#This Row],[الرقم الوظيفى]],[4]!Table3[#Data],26,FALSE)</f>
        <v>#REF!</v>
      </c>
      <c r="CR44" s="165">
        <v>1000</v>
      </c>
      <c r="CS44" s="124"/>
    </row>
    <row r="45" spans="1:97" ht="28" customHeight="1" thickTop="1" thickBot="1">
      <c r="A45" s="167">
        <v>73</v>
      </c>
      <c r="B45" s="142" t="s">
        <v>361</v>
      </c>
      <c r="C45" s="59" t="s">
        <v>90</v>
      </c>
      <c r="D45" s="143" t="s">
        <v>80</v>
      </c>
      <c r="E45" s="174"/>
      <c r="F45" s="143"/>
      <c r="G45" s="145">
        <v>40475</v>
      </c>
      <c r="H45" s="146">
        <v>5430</v>
      </c>
      <c r="I45" s="106">
        <f>Table6[[#This Row],[مرتب]]/30</f>
        <v>181</v>
      </c>
      <c r="J45" s="107">
        <v>30</v>
      </c>
      <c r="K45" s="107">
        <f t="shared" si="0"/>
        <v>5430</v>
      </c>
      <c r="L45" s="108">
        <v>5430</v>
      </c>
      <c r="M45" s="107">
        <f>Table6[[#This Row],[مرتب الضمان]]*17%</f>
        <v>923.1</v>
      </c>
      <c r="N45" s="107">
        <f>' الشركه 2018'!$H45*35%</f>
        <v>1900.4999999999998</v>
      </c>
      <c r="O45" s="107">
        <f>' الشركه 2018'!$H45*32%</f>
        <v>1737.6000000000001</v>
      </c>
      <c r="P45" s="107">
        <f>' الشركه 2018'!$H45*12%</f>
        <v>651.6</v>
      </c>
      <c r="Q45" s="107">
        <f>' الشركه 2018'!$H45*13%</f>
        <v>705.9</v>
      </c>
      <c r="R45" s="107">
        <f>' الشركه 2018'!$H45*6%</f>
        <v>325.8</v>
      </c>
      <c r="S45" s="107">
        <f>' الشركه 2018'!$H45*2%</f>
        <v>108.60000000000001</v>
      </c>
      <c r="T45" s="107">
        <f>' الشركه 2018'!$O45+' الشركه 2018'!$P45+' الشركه 2018'!$Q45+' الشركه 2018'!$R45+' الشركه 2018'!$S45</f>
        <v>3529.5000000000005</v>
      </c>
      <c r="U45" s="109">
        <f>VLOOKUP(Table6[[#This Row],[الرقم الوظيفى]],[2]بالخصم!$B$1:$AK$1200,35,)</f>
        <v>0</v>
      </c>
      <c r="V45" s="147"/>
      <c r="W45" s="111">
        <f>Table6[[#This Row],[عدد ايام الاجازه]]*Table6[[#This Row],[ح راتب اليوم]]</f>
        <v>0</v>
      </c>
      <c r="X45" s="148"/>
      <c r="Y45" s="60"/>
      <c r="Z45" s="111">
        <f>Table6[[#This Row],[عدد ايام الجزاء]]*Table6[[#This Row],[ح راتب اليوم]]</f>
        <v>0</v>
      </c>
      <c r="AA45" s="112">
        <f>Table6[[#This Row],[مرتب]]*50%</f>
        <v>2715</v>
      </c>
      <c r="AB45" s="113" t="e">
        <f>VLOOKUP(Table6[[#This Row],[الرقم الوظيفى]],[3]!Table25289[#Data],23,)</f>
        <v>#REF!</v>
      </c>
      <c r="AC45" s="149"/>
      <c r="AD45" s="168"/>
      <c r="AE45" s="113" t="e">
        <f>VLOOKUP(Table6[[#This Row],[الرقم الوظيفى]],[3]!Table252894[#Data],22,)</f>
        <v>#REF!</v>
      </c>
      <c r="AF45" s="151"/>
      <c r="AG45" s="111">
        <f>' الشركه 2018'!$W45+' الشركه 2018'!$Z45+' الشركه 2018'!$AA45+' الشركه 2018'!$AC45+' الشركه 2018'!$AD45+' الشركه 2018'!$AF45</f>
        <v>2715</v>
      </c>
      <c r="AH45" s="111">
        <f>Table6[[#This Row],[راتب الضمان]]*8%</f>
        <v>434.40000000000003</v>
      </c>
      <c r="AI45" s="111">
        <f>' الشركه 2018'!$H45-' الشركه 2018'!$AG45-' الشركه 2018'!$AH45</f>
        <v>2280.6</v>
      </c>
      <c r="AJ45" s="111">
        <f>' الشركه 2018'!$CF45</f>
        <v>104.94519230769232</v>
      </c>
      <c r="AK45" s="117">
        <f>' الشركه 2018'!$AI45+' الشركه 2018'!$AJ45</f>
        <v>2385.5451923076921</v>
      </c>
      <c r="AL45" s="152"/>
      <c r="AM45" s="153"/>
      <c r="AN45" s="9">
        <f>Table6[[#This Row],[اجمالى الاستحقاق]]-Table6[[#This Row],[Column2]]+Table6[[#This Row],[حوافز غير مستقره]]</f>
        <v>2385.5451923076921</v>
      </c>
      <c r="AO45" s="59"/>
      <c r="AP45" s="169"/>
      <c r="AQ45" s="176"/>
      <c r="AR45" s="124"/>
      <c r="AS45" s="155"/>
      <c r="AT45" s="170"/>
      <c r="AU45" s="124"/>
      <c r="AV45" s="124"/>
      <c r="AW45" s="124"/>
      <c r="AX45" s="124"/>
      <c r="AY45" s="124"/>
      <c r="AZ45" s="124"/>
      <c r="BA45" s="124"/>
      <c r="BB45" s="124">
        <v>4</v>
      </c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71"/>
      <c r="CA45" s="172"/>
      <c r="CB4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</v>
      </c>
      <c r="CC4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5" s="131">
        <f>' الشركه 2018'!$H45*67%*1.5*' الشركه 2018'!$CB45/208</f>
        <v>104.94519230769232</v>
      </c>
      <c r="CE45" s="132">
        <f>' الشركه 2018'!$H45*67%*2*' الشركه 2018'!$CC45/208</f>
        <v>0</v>
      </c>
      <c r="CF45" s="133">
        <f>' الشركه 2018'!$CD45+' الشركه 2018'!$CE45</f>
        <v>104.94519230769232</v>
      </c>
      <c r="CG45" s="124"/>
      <c r="CH45" s="177">
        <f>SUMIF(C45:C226,' الشركه 2018'!$CG46,L45:L226)</f>
        <v>0</v>
      </c>
      <c r="CI45" s="124"/>
      <c r="CJ45" s="162">
        <f>' الشركه 2018'!$CH45*' الشركه 2018'!$CI45</f>
        <v>0</v>
      </c>
      <c r="CK45" s="162">
        <f>' الشركه 2018'!$CJ45*8%</f>
        <v>0</v>
      </c>
      <c r="CL45" s="162">
        <f>' الشركه 2018'!$CJ45*17%</f>
        <v>0</v>
      </c>
      <c r="CM45" s="162">
        <f>' الشركه 2018'!$CJ45*25%</f>
        <v>0</v>
      </c>
      <c r="CN45" s="162"/>
      <c r="CO45" s="162"/>
      <c r="CP45" s="163"/>
      <c r="CQ45" s="164" t="e">
        <f>VLOOKUP(Table6[[#This Row],[الرقم الوظيفى]],[4]!Table3[#Data],26,FALSE)</f>
        <v>#REF!</v>
      </c>
      <c r="CR45" s="165"/>
      <c r="CS45" s="124"/>
    </row>
    <row r="46" spans="1:97" ht="28" customHeight="1" thickTop="1" thickBot="1">
      <c r="A46" s="141">
        <v>76</v>
      </c>
      <c r="B46" s="142" t="s">
        <v>189</v>
      </c>
      <c r="C46" s="59" t="s">
        <v>90</v>
      </c>
      <c r="D46" s="143" t="s">
        <v>74</v>
      </c>
      <c r="E46" s="174" t="s">
        <v>622</v>
      </c>
      <c r="F46" s="143" t="s">
        <v>207</v>
      </c>
      <c r="G46" s="145">
        <v>40526</v>
      </c>
      <c r="H46" s="146">
        <v>9000</v>
      </c>
      <c r="I46" s="106">
        <f>Table6[[#This Row],[مرتب]]/30</f>
        <v>300</v>
      </c>
      <c r="J46" s="107">
        <v>30</v>
      </c>
      <c r="K46" s="107">
        <f t="shared" si="0"/>
        <v>9000</v>
      </c>
      <c r="L46" s="108">
        <v>9000</v>
      </c>
      <c r="M46" s="107">
        <f>Table6[[#This Row],[مرتب الضمان]]*17%</f>
        <v>1530</v>
      </c>
      <c r="N46" s="107">
        <f>' الشركه 2018'!$H46*35%</f>
        <v>3150</v>
      </c>
      <c r="O46" s="107">
        <f>' الشركه 2018'!$H46*32%</f>
        <v>2880</v>
      </c>
      <c r="P46" s="107">
        <f>' الشركه 2018'!$H46*12%</f>
        <v>1080</v>
      </c>
      <c r="Q46" s="107">
        <f>' الشركه 2018'!$H46*13%</f>
        <v>1170</v>
      </c>
      <c r="R46" s="107">
        <f>' الشركه 2018'!$H46*6%</f>
        <v>540</v>
      </c>
      <c r="S46" s="107">
        <f>' الشركه 2018'!$H46*2%</f>
        <v>180</v>
      </c>
      <c r="T46" s="107">
        <f>' الشركه 2018'!$O46+' الشركه 2018'!$P46+' الشركه 2018'!$Q46+' الشركه 2018'!$R46+' الشركه 2018'!$S46</f>
        <v>5850</v>
      </c>
      <c r="U46" s="109">
        <f>VLOOKUP(Table6[[#This Row],[الرقم الوظيفى]],[2]بالخصم!$B$1:$AK$1200,35,)</f>
        <v>0</v>
      </c>
      <c r="V46" s="147"/>
      <c r="W46" s="111">
        <f>Table6[[#This Row],[عدد ايام الاجازه]]*Table6[[#This Row],[ح راتب اليوم]]</f>
        <v>0</v>
      </c>
      <c r="X46" s="148"/>
      <c r="Y46" s="60"/>
      <c r="Z46" s="111">
        <f>Table6[[#This Row],[عدد ايام الجزاء]]*Table6[[#This Row],[ح راتب اليوم]]</f>
        <v>0</v>
      </c>
      <c r="AA46" s="112">
        <f>Table6[[#This Row],[مرتب]]*50%</f>
        <v>4500</v>
      </c>
      <c r="AB46" s="113" t="e">
        <f>VLOOKUP(Table6[[#This Row],[الرقم الوظيفى]],[3]!Table25289[#Data],23,)</f>
        <v>#REF!</v>
      </c>
      <c r="AC46" s="149"/>
      <c r="AD46" s="150"/>
      <c r="AE46" s="113" t="e">
        <f>VLOOKUP(Table6[[#This Row],[الرقم الوظيفى]],[3]!Table252894[#Data],22,)</f>
        <v>#REF!</v>
      </c>
      <c r="AF46" s="151"/>
      <c r="AG46" s="111">
        <f>' الشركه 2018'!$W46+' الشركه 2018'!$Z46+' الشركه 2018'!$AA46+' الشركه 2018'!$AC46+' الشركه 2018'!$AD46+' الشركه 2018'!$AF46</f>
        <v>4500</v>
      </c>
      <c r="AH46" s="111">
        <f>Table6[[#This Row],[راتب الضمان]]*8%</f>
        <v>720</v>
      </c>
      <c r="AI46" s="111">
        <f>' الشركه 2018'!$H46-' الشركه 2018'!$AG46-' الشركه 2018'!$AH46</f>
        <v>3780</v>
      </c>
      <c r="AJ46" s="111">
        <f>' الشركه 2018'!$CF46</f>
        <v>695.76923076923072</v>
      </c>
      <c r="AK46" s="117">
        <f>' الشركه 2018'!$AI46+' الشركه 2018'!$AJ46</f>
        <v>4475.7692307692305</v>
      </c>
      <c r="AL46" s="152"/>
      <c r="AM46" s="153"/>
      <c r="AN46" s="9">
        <f>Table6[[#This Row],[اجمالى الاستحقاق]]-Table6[[#This Row],[Column2]]+Table6[[#This Row],[حوافز غير مستقره]]</f>
        <v>4475.7692307692305</v>
      </c>
      <c r="AO46" s="59"/>
      <c r="AP46" s="169"/>
      <c r="AQ46" s="176"/>
      <c r="AR46" s="124"/>
      <c r="AS46" s="155"/>
      <c r="AT46" s="170"/>
      <c r="AU46" s="124"/>
      <c r="AV46" s="124"/>
      <c r="AW46" s="124"/>
      <c r="AX46" s="124"/>
      <c r="AY46" s="124"/>
      <c r="AZ46" s="124"/>
      <c r="BA46" s="124"/>
      <c r="BB46" s="124"/>
      <c r="BC46" s="124">
        <v>12</v>
      </c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59"/>
      <c r="CA46" s="160"/>
      <c r="CB4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6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46" s="131">
        <f>' الشركه 2018'!$H46*67%*1.5*' الشركه 2018'!$CB46/208</f>
        <v>0</v>
      </c>
      <c r="CE46" s="132">
        <f>' الشركه 2018'!$H46*67%*2*' الشركه 2018'!$CC46/208</f>
        <v>695.76923076923072</v>
      </c>
      <c r="CF46" s="133">
        <f>' الشركه 2018'!$CD46+' الشركه 2018'!$CE46</f>
        <v>695.76923076923072</v>
      </c>
      <c r="CG46" s="124"/>
      <c r="CH46" s="177">
        <f>SUMIF(C46:C226,' الشركه 2018'!$CG47,L46:L226)</f>
        <v>0</v>
      </c>
      <c r="CI46" s="124"/>
      <c r="CJ46" s="162">
        <f>' الشركه 2018'!$CH46*' الشركه 2018'!$CI46</f>
        <v>0</v>
      </c>
      <c r="CK46" s="162">
        <f>' الشركه 2018'!$CJ46*8%</f>
        <v>0</v>
      </c>
      <c r="CL46" s="162">
        <f>' الشركه 2018'!$CJ46*17%</f>
        <v>0</v>
      </c>
      <c r="CM46" s="162">
        <f>' الشركه 2018'!$CJ46*25%</f>
        <v>0</v>
      </c>
      <c r="CN46" s="162"/>
      <c r="CO46" s="162"/>
      <c r="CP46" s="163"/>
      <c r="CQ46" s="164" t="e">
        <f>VLOOKUP(Table6[[#This Row],[الرقم الوظيفى]],[4]!Table3[#Data],26,FALSE)</f>
        <v>#REF!</v>
      </c>
      <c r="CR46" s="165"/>
      <c r="CS46" s="124"/>
    </row>
    <row r="47" spans="1:97" ht="28" customHeight="1" thickTop="1" thickBot="1">
      <c r="A47" s="178">
        <v>78</v>
      </c>
      <c r="B47" s="142" t="s">
        <v>398</v>
      </c>
      <c r="C47" s="59" t="s">
        <v>90</v>
      </c>
      <c r="D47" s="143" t="s">
        <v>81</v>
      </c>
      <c r="E47" s="174" t="s">
        <v>633</v>
      </c>
      <c r="F47" s="143" t="s">
        <v>634</v>
      </c>
      <c r="G47" s="145">
        <v>40561</v>
      </c>
      <c r="H47" s="146">
        <v>4280</v>
      </c>
      <c r="I47" s="106">
        <f>Table6[[#This Row],[مرتب]]/30</f>
        <v>142.66666666666666</v>
      </c>
      <c r="J47" s="107">
        <v>30</v>
      </c>
      <c r="K47" s="107">
        <f t="shared" si="0"/>
        <v>4280</v>
      </c>
      <c r="L47" s="108">
        <v>4280</v>
      </c>
      <c r="M47" s="107">
        <f>Table6[[#This Row],[مرتب الضمان]]*17%</f>
        <v>727.6</v>
      </c>
      <c r="N47" s="107">
        <f>' الشركه 2018'!$H47*35%</f>
        <v>1498</v>
      </c>
      <c r="O47" s="107">
        <f>' الشركه 2018'!$H47*32%</f>
        <v>1369.6000000000001</v>
      </c>
      <c r="P47" s="107">
        <f>' الشركه 2018'!$H47*12%</f>
        <v>513.6</v>
      </c>
      <c r="Q47" s="107">
        <f>' الشركه 2018'!$H47*13%</f>
        <v>556.4</v>
      </c>
      <c r="R47" s="107">
        <f>' الشركه 2018'!$H47*6%</f>
        <v>256.8</v>
      </c>
      <c r="S47" s="107">
        <f>' الشركه 2018'!$H47*2%</f>
        <v>85.600000000000009</v>
      </c>
      <c r="T47" s="107">
        <f>' الشركه 2018'!$O47+' الشركه 2018'!$P47+' الشركه 2018'!$Q47+' الشركه 2018'!$R47+' الشركه 2018'!$S47</f>
        <v>2782.0000000000005</v>
      </c>
      <c r="U47" s="109">
        <f>VLOOKUP(Table6[[#This Row],[الرقم الوظيفى]],[2]بالخصم!$B$1:$AK$1200,35,)</f>
        <v>0</v>
      </c>
      <c r="V47" s="147"/>
      <c r="W47" s="111">
        <f>Table6[[#This Row],[عدد ايام الاجازه]]*Table6[[#This Row],[ح راتب اليوم]]</f>
        <v>0</v>
      </c>
      <c r="X47" s="148"/>
      <c r="Y47" s="60"/>
      <c r="Z47" s="111">
        <f>Table6[[#This Row],[عدد ايام الجزاء]]*Table6[[#This Row],[ح راتب اليوم]]</f>
        <v>0</v>
      </c>
      <c r="AA47" s="112">
        <f>Table6[[#This Row],[مرتب]]*50%</f>
        <v>2140</v>
      </c>
      <c r="AB47" s="113" t="e">
        <f>VLOOKUP(Table6[[#This Row],[الرقم الوظيفى]],[3]!Table25289[#Data],23,)</f>
        <v>#REF!</v>
      </c>
      <c r="AC47" s="149"/>
      <c r="AD47" s="150"/>
      <c r="AE47" s="113" t="e">
        <f>VLOOKUP(Table6[[#This Row],[الرقم الوظيفى]],[3]!Table252894[#Data],22,)</f>
        <v>#REF!</v>
      </c>
      <c r="AF47" s="151"/>
      <c r="AG47" s="111">
        <f>' الشركه 2018'!$W47+' الشركه 2018'!$Z47+' الشركه 2018'!$AA47+' الشركه 2018'!$AC47+' الشركه 2018'!$AD47+' الشركه 2018'!$AF47</f>
        <v>2140</v>
      </c>
      <c r="AH47" s="111">
        <f>Table6[[#This Row],[راتب الضمان]]*8%</f>
        <v>342.40000000000003</v>
      </c>
      <c r="AI47" s="111">
        <f>' الشركه 2018'!$H47-' الشركه 2018'!$AG47-' الشركه 2018'!$AH47</f>
        <v>1797.6</v>
      </c>
      <c r="AJ47" s="111">
        <f>' الشركه 2018'!$CF47</f>
        <v>0</v>
      </c>
      <c r="AK47" s="117">
        <f>' الشركه 2018'!$AI47+' الشركه 2018'!$AJ47</f>
        <v>1797.6</v>
      </c>
      <c r="AL47" s="152"/>
      <c r="AM47" s="153"/>
      <c r="AN47" s="9">
        <f>Table6[[#This Row],[اجمالى الاستحقاق]]-Table6[[#This Row],[Column2]]+Table6[[#This Row],[حوافز غير مستقره]]</f>
        <v>1797.6</v>
      </c>
      <c r="AO47" s="59"/>
      <c r="AP47" s="169"/>
      <c r="AQ47" s="176"/>
      <c r="AR47" s="124"/>
      <c r="AS47" s="155"/>
      <c r="AT47" s="170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71"/>
      <c r="CA47" s="172"/>
      <c r="CB4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7" s="131">
        <f>' الشركه 2018'!$H47*67%*1.5*' الشركه 2018'!$CB47/208</f>
        <v>0</v>
      </c>
      <c r="CE47" s="132">
        <f>' الشركه 2018'!$H47*67%*2*' الشركه 2018'!$CC47/208</f>
        <v>0</v>
      </c>
      <c r="CF47" s="133">
        <f>' الشركه 2018'!$CD47+' الشركه 2018'!$CE47</f>
        <v>0</v>
      </c>
      <c r="CG47" s="124"/>
      <c r="CH47" s="177">
        <f>SUMIF(C47:C236,' الشركه 2018'!$CG48,L47:L236)</f>
        <v>0</v>
      </c>
      <c r="CI47" s="124"/>
      <c r="CJ47" s="162">
        <f>' الشركه 2018'!$CH47*' الشركه 2018'!$CI47</f>
        <v>0</v>
      </c>
      <c r="CK47" s="162">
        <f>' الشركه 2018'!$CJ47*8%</f>
        <v>0</v>
      </c>
      <c r="CL47" s="162">
        <f>' الشركه 2018'!$CJ47*17%</f>
        <v>0</v>
      </c>
      <c r="CM47" s="162">
        <f>' الشركه 2018'!$CJ47*25%</f>
        <v>0</v>
      </c>
      <c r="CN47" s="162"/>
      <c r="CO47" s="162"/>
      <c r="CP47" s="163">
        <v>200</v>
      </c>
      <c r="CQ47" s="164" t="e">
        <f>VLOOKUP(Table6[[#This Row],[الرقم الوظيفى]],[4]!Table3[#Data],26,FALSE)</f>
        <v>#REF!</v>
      </c>
      <c r="CR47" s="165">
        <v>200</v>
      </c>
      <c r="CS47" s="124"/>
    </row>
    <row r="48" spans="1:97" ht="28" customHeight="1" thickTop="1" thickBot="1">
      <c r="A48" s="178">
        <v>80</v>
      </c>
      <c r="B48" s="142" t="s">
        <v>380</v>
      </c>
      <c r="C48" s="59" t="s">
        <v>90</v>
      </c>
      <c r="D48" s="143" t="s">
        <v>81</v>
      </c>
      <c r="E48" s="174" t="s">
        <v>633</v>
      </c>
      <c r="F48" s="143" t="s">
        <v>634</v>
      </c>
      <c r="G48" s="145">
        <v>40576</v>
      </c>
      <c r="H48" s="146">
        <v>4280</v>
      </c>
      <c r="I48" s="106">
        <f>Table6[[#This Row],[مرتب]]/30</f>
        <v>142.66666666666666</v>
      </c>
      <c r="J48" s="107">
        <v>30</v>
      </c>
      <c r="K48" s="107">
        <f t="shared" si="0"/>
        <v>4280</v>
      </c>
      <c r="L48" s="108">
        <v>4280</v>
      </c>
      <c r="M48" s="107">
        <f>Table6[[#This Row],[مرتب الضمان]]*17%</f>
        <v>727.6</v>
      </c>
      <c r="N48" s="107">
        <f>' الشركه 2018'!$H48*35%</f>
        <v>1498</v>
      </c>
      <c r="O48" s="107">
        <f>' الشركه 2018'!$H48*32%</f>
        <v>1369.6000000000001</v>
      </c>
      <c r="P48" s="107">
        <f>' الشركه 2018'!$H48*12%</f>
        <v>513.6</v>
      </c>
      <c r="Q48" s="107">
        <f>' الشركه 2018'!$H48*13%</f>
        <v>556.4</v>
      </c>
      <c r="R48" s="107">
        <f>' الشركه 2018'!$H48*6%</f>
        <v>256.8</v>
      </c>
      <c r="S48" s="107">
        <f>' الشركه 2018'!$H48*2%</f>
        <v>85.600000000000009</v>
      </c>
      <c r="T48" s="107">
        <f>' الشركه 2018'!$O48+' الشركه 2018'!$P48+' الشركه 2018'!$Q48+' الشركه 2018'!$R48+' الشركه 2018'!$S48</f>
        <v>2782.0000000000005</v>
      </c>
      <c r="U48" s="109">
        <f>VLOOKUP(Table6[[#This Row],[الرقم الوظيفى]],[2]بالخصم!$B$1:$AK$1200,35,)</f>
        <v>0</v>
      </c>
      <c r="V48" s="147"/>
      <c r="W48" s="111">
        <f>Table6[[#This Row],[عدد ايام الاجازه]]*Table6[[#This Row],[ح راتب اليوم]]</f>
        <v>0</v>
      </c>
      <c r="X48" s="148"/>
      <c r="Y48" s="60"/>
      <c r="Z48" s="111">
        <f>Table6[[#This Row],[عدد ايام الجزاء]]*Table6[[#This Row],[ح راتب اليوم]]</f>
        <v>0</v>
      </c>
      <c r="AA48" s="112">
        <f>Table6[[#This Row],[مرتب]]*50%</f>
        <v>2140</v>
      </c>
      <c r="AB48" s="113" t="e">
        <f>VLOOKUP(Table6[[#This Row],[الرقم الوظيفى]],[3]!Table25289[#Data],23,)</f>
        <v>#REF!</v>
      </c>
      <c r="AC48" s="149"/>
      <c r="AD48" s="150"/>
      <c r="AE48" s="113" t="e">
        <f>VLOOKUP(Table6[[#This Row],[الرقم الوظيفى]],[3]!Table252894[#Data],22,)</f>
        <v>#REF!</v>
      </c>
      <c r="AF48" s="151">
        <v>375</v>
      </c>
      <c r="AG48" s="111">
        <f>' الشركه 2018'!$W48+' الشركه 2018'!$Z48+' الشركه 2018'!$AA48+' الشركه 2018'!$AC48+' الشركه 2018'!$AD48+' الشركه 2018'!$AF48</f>
        <v>2515</v>
      </c>
      <c r="AH48" s="111">
        <f>Table6[[#This Row],[راتب الضمان]]*8%</f>
        <v>342.40000000000003</v>
      </c>
      <c r="AI48" s="111">
        <f>' الشركه 2018'!$H48-' الشركه 2018'!$AG48-' الشركه 2018'!$AH48</f>
        <v>1422.6</v>
      </c>
      <c r="AJ48" s="111">
        <f>' الشركه 2018'!$CF48</f>
        <v>579.03461538461545</v>
      </c>
      <c r="AK48" s="117">
        <f>' الشركه 2018'!$AI48+' الشركه 2018'!$AJ48</f>
        <v>2001.6346153846152</v>
      </c>
      <c r="AL48" s="152"/>
      <c r="AM48" s="153"/>
      <c r="AN48" s="9">
        <f>Table6[[#This Row],[اجمالى الاستحقاق]]-Table6[[#This Row],[Column2]]+Table6[[#This Row],[حوافز غير مستقره]]</f>
        <v>2001.6346153846152</v>
      </c>
      <c r="AO48" s="59"/>
      <c r="AP48" s="169"/>
      <c r="AQ48" s="176"/>
      <c r="AR48" s="124"/>
      <c r="AS48" s="155"/>
      <c r="AT48" s="170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>
        <v>10</v>
      </c>
      <c r="BK48" s="124"/>
      <c r="BL48" s="124"/>
      <c r="BM48" s="124"/>
      <c r="BN48" s="124"/>
      <c r="BO48" s="124"/>
      <c r="BP48" s="124"/>
      <c r="BQ48" s="124">
        <v>11</v>
      </c>
      <c r="BR48" s="124"/>
      <c r="BS48" s="124"/>
      <c r="BT48" s="124"/>
      <c r="BU48" s="124"/>
      <c r="BV48" s="124"/>
      <c r="BW48" s="124"/>
      <c r="BX48" s="124"/>
      <c r="BY48" s="124"/>
      <c r="BZ48" s="171"/>
      <c r="CA48" s="172"/>
      <c r="CB4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48" s="130">
        <f>Table6[[#This Row],[Friday, November 23, 2018]]+Table6[[#This Row],[Friday, November 30, 2018]]+Table6[[#This Row],[Friday, December 07, 2018]]+Table6[[#This Row],[Friday, December 14, 2018]]+Table6[[#This Row],[فروقات عطله]]</f>
        <v>21</v>
      </c>
      <c r="CD48" s="131">
        <f>' الشركه 2018'!$H48*67%*1.5*' الشركه 2018'!$CB48/208</f>
        <v>0</v>
      </c>
      <c r="CE48" s="132">
        <f>' الشركه 2018'!$H48*67%*2*' الشركه 2018'!$CC48/208</f>
        <v>579.03461538461545</v>
      </c>
      <c r="CF48" s="133">
        <f>' الشركه 2018'!$CD48+' الشركه 2018'!$CE48</f>
        <v>579.03461538461545</v>
      </c>
      <c r="CG48" s="124"/>
      <c r="CH48" s="177">
        <f>SUMIF(C48:C238,' الشركه 2018'!$CG49,L48:L238)</f>
        <v>0</v>
      </c>
      <c r="CI48" s="124"/>
      <c r="CJ48" s="162">
        <f>' الشركه 2018'!$CH48*' الشركه 2018'!$CI48</f>
        <v>0</v>
      </c>
      <c r="CK48" s="162">
        <f>' الشركه 2018'!$CJ48*8%</f>
        <v>0</v>
      </c>
      <c r="CL48" s="162">
        <f>' الشركه 2018'!$CJ48*17%</f>
        <v>0</v>
      </c>
      <c r="CM48" s="162">
        <f>' الشركه 2018'!$CJ48*25%</f>
        <v>0</v>
      </c>
      <c r="CN48" s="162"/>
      <c r="CO48" s="162"/>
      <c r="CP48" s="163">
        <v>500</v>
      </c>
      <c r="CQ48" s="164" t="e">
        <f>VLOOKUP(Table6[[#This Row],[الرقم الوظيفى]],[4]!Table3[#Data],26,FALSE)</f>
        <v>#REF!</v>
      </c>
      <c r="CR48" s="165">
        <v>500</v>
      </c>
      <c r="CS48" s="124"/>
    </row>
    <row r="49" spans="1:97" ht="28" customHeight="1" thickTop="1" thickBot="1">
      <c r="A49" s="178">
        <v>89</v>
      </c>
      <c r="B49" s="142" t="s">
        <v>381</v>
      </c>
      <c r="C49" s="59" t="s">
        <v>90</v>
      </c>
      <c r="D49" s="143" t="s">
        <v>81</v>
      </c>
      <c r="E49" s="174" t="s">
        <v>633</v>
      </c>
      <c r="F49" s="143" t="s">
        <v>634</v>
      </c>
      <c r="G49" s="145">
        <v>40654</v>
      </c>
      <c r="H49" s="146">
        <v>4270</v>
      </c>
      <c r="I49" s="106">
        <f>Table6[[#This Row],[مرتب]]/30</f>
        <v>142.33333333333334</v>
      </c>
      <c r="J49" s="107">
        <v>30</v>
      </c>
      <c r="K49" s="107">
        <f t="shared" si="0"/>
        <v>4270</v>
      </c>
      <c r="L49" s="108">
        <v>4270</v>
      </c>
      <c r="M49" s="107">
        <f>Table6[[#This Row],[مرتب الضمان]]*17%</f>
        <v>725.90000000000009</v>
      </c>
      <c r="N49" s="107">
        <f>' الشركه 2018'!$H49*35%</f>
        <v>1494.5</v>
      </c>
      <c r="O49" s="107">
        <f>' الشركه 2018'!$H49*32%</f>
        <v>1366.4</v>
      </c>
      <c r="P49" s="107">
        <f>' الشركه 2018'!$H49*12%</f>
        <v>512.4</v>
      </c>
      <c r="Q49" s="107">
        <f>' الشركه 2018'!$H49*13%</f>
        <v>555.1</v>
      </c>
      <c r="R49" s="107">
        <f>' الشركه 2018'!$H49*6%</f>
        <v>256.2</v>
      </c>
      <c r="S49" s="107">
        <f>' الشركه 2018'!$H49*2%</f>
        <v>85.4</v>
      </c>
      <c r="T49" s="107">
        <f>' الشركه 2018'!$O49+' الشركه 2018'!$P49+' الشركه 2018'!$Q49+' الشركه 2018'!$R49+' الشركه 2018'!$S49</f>
        <v>2775.5</v>
      </c>
      <c r="U49" s="109">
        <f>VLOOKUP(Table6[[#This Row],[الرقم الوظيفى]],[2]بالخصم!$B$1:$AK$1200,35,)</f>
        <v>0</v>
      </c>
      <c r="V49" s="147"/>
      <c r="W49" s="111">
        <f>Table6[[#This Row],[عدد ايام الاجازه]]*Table6[[#This Row],[ح راتب اليوم]]</f>
        <v>0</v>
      </c>
      <c r="X49" s="148"/>
      <c r="Y49" s="60"/>
      <c r="Z49" s="111">
        <f>Table6[[#This Row],[عدد ايام الجزاء]]*Table6[[#This Row],[ح راتب اليوم]]</f>
        <v>0</v>
      </c>
      <c r="AA49" s="112">
        <f>Table6[[#This Row],[مرتب]]*50%</f>
        <v>2135</v>
      </c>
      <c r="AB49" s="113" t="e">
        <f>VLOOKUP(Table6[[#This Row],[الرقم الوظيفى]],[3]!Table25289[#Data],23,)</f>
        <v>#REF!</v>
      </c>
      <c r="AC49" s="149"/>
      <c r="AD49" s="150"/>
      <c r="AE49" s="113" t="e">
        <f>VLOOKUP(Table6[[#This Row],[الرقم الوظيفى]],[3]!Table252894[#Data],22,)</f>
        <v>#REF!</v>
      </c>
      <c r="AF49" s="151"/>
      <c r="AG49" s="111">
        <f>' الشركه 2018'!$W49+' الشركه 2018'!$Z49+' الشركه 2018'!$AA49+' الشركه 2018'!$AC49+' الشركه 2018'!$AD49+' الشركه 2018'!$AF49</f>
        <v>2135</v>
      </c>
      <c r="AH49" s="111">
        <f>Table6[[#This Row],[راتب الضمان]]*8%</f>
        <v>341.6</v>
      </c>
      <c r="AI49" s="111">
        <f>' الشركه 2018'!$H49-' الشركه 2018'!$AG49-' الشركه 2018'!$AH49</f>
        <v>1793.4</v>
      </c>
      <c r="AJ49" s="111">
        <f>' الشركه 2018'!$CF49</f>
        <v>61.894471153846162</v>
      </c>
      <c r="AK49" s="117">
        <f>' الشركه 2018'!$AI49+' الشركه 2018'!$AJ49</f>
        <v>1855.2944711538462</v>
      </c>
      <c r="AL49" s="152"/>
      <c r="AM49" s="153"/>
      <c r="AN49" s="9">
        <f>Table6[[#This Row],[اجمالى الاستحقاق]]-Table6[[#This Row],[Column2]]+Table6[[#This Row],[حوافز غير مستقره]]</f>
        <v>1855.2944711538462</v>
      </c>
      <c r="AO49" s="59"/>
      <c r="AP49" s="169"/>
      <c r="AQ49" s="176"/>
      <c r="AR49" s="124"/>
      <c r="AS49" s="155"/>
      <c r="AT49" s="170"/>
      <c r="AU49" s="124"/>
      <c r="AV49" s="124"/>
      <c r="AW49" s="124"/>
      <c r="AX49" s="124">
        <v>3</v>
      </c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24"/>
      <c r="BZ49" s="171"/>
      <c r="CA49" s="172"/>
      <c r="CB4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4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49" s="131">
        <f>' الشركه 2018'!$H49*67%*1.5*' الشركه 2018'!$CB49/208</f>
        <v>61.894471153846162</v>
      </c>
      <c r="CE49" s="132">
        <f>' الشركه 2018'!$H49*67%*2*' الشركه 2018'!$CC49/208</f>
        <v>0</v>
      </c>
      <c r="CF49" s="133">
        <f>' الشركه 2018'!$CD49+' الشركه 2018'!$CE49</f>
        <v>61.894471153846162</v>
      </c>
      <c r="CG49" s="124"/>
      <c r="CH49" s="177">
        <f>SUMIF(C49:C240,' الشركه 2018'!$CG50,L49:L240)</f>
        <v>0</v>
      </c>
      <c r="CI49" s="124"/>
      <c r="CJ49" s="162">
        <f>' الشركه 2018'!$CH49*' الشركه 2018'!$CI49</f>
        <v>0</v>
      </c>
      <c r="CK49" s="162">
        <f>' الشركه 2018'!$CJ49*8%</f>
        <v>0</v>
      </c>
      <c r="CL49" s="162">
        <f>' الشركه 2018'!$CJ49*17%</f>
        <v>0</v>
      </c>
      <c r="CM49" s="162">
        <f>' الشركه 2018'!$CJ49*25%</f>
        <v>0</v>
      </c>
      <c r="CN49" s="162"/>
      <c r="CO49" s="162"/>
      <c r="CP49" s="163">
        <v>400</v>
      </c>
      <c r="CQ49" s="164" t="e">
        <f>VLOOKUP(Table6[[#This Row],[الرقم الوظيفى]],[4]!Table3[#Data],26,FALSE)</f>
        <v>#REF!</v>
      </c>
      <c r="CR49" s="165">
        <v>400</v>
      </c>
      <c r="CS49" s="124"/>
    </row>
    <row r="50" spans="1:97" ht="28" customHeight="1" thickTop="1" thickBot="1">
      <c r="A50" s="141">
        <v>90</v>
      </c>
      <c r="B50" s="142" t="s">
        <v>401</v>
      </c>
      <c r="C50" s="59" t="s">
        <v>90</v>
      </c>
      <c r="D50" s="143" t="s">
        <v>81</v>
      </c>
      <c r="E50" s="174" t="s">
        <v>633</v>
      </c>
      <c r="F50" s="143" t="s">
        <v>634</v>
      </c>
      <c r="G50" s="145">
        <v>40654</v>
      </c>
      <c r="H50" s="146">
        <v>4280</v>
      </c>
      <c r="I50" s="106">
        <f>Table6[[#This Row],[مرتب]]/30</f>
        <v>142.66666666666666</v>
      </c>
      <c r="J50" s="107">
        <v>30</v>
      </c>
      <c r="K50" s="107">
        <f t="shared" si="0"/>
        <v>4280</v>
      </c>
      <c r="L50" s="108">
        <v>4280</v>
      </c>
      <c r="M50" s="107">
        <f>Table6[[#This Row],[مرتب الضمان]]*17%</f>
        <v>727.6</v>
      </c>
      <c r="N50" s="107">
        <f>' الشركه 2018'!$H50*35%</f>
        <v>1498</v>
      </c>
      <c r="O50" s="107">
        <f>' الشركه 2018'!$H50*32%</f>
        <v>1369.6000000000001</v>
      </c>
      <c r="P50" s="107">
        <f>' الشركه 2018'!$H50*12%</f>
        <v>513.6</v>
      </c>
      <c r="Q50" s="107">
        <f>' الشركه 2018'!$H50*13%</f>
        <v>556.4</v>
      </c>
      <c r="R50" s="107">
        <f>' الشركه 2018'!$H50*6%</f>
        <v>256.8</v>
      </c>
      <c r="S50" s="107">
        <f>' الشركه 2018'!$H50*2%</f>
        <v>85.600000000000009</v>
      </c>
      <c r="T50" s="107">
        <f>' الشركه 2018'!$O50+' الشركه 2018'!$P50+' الشركه 2018'!$Q50+' الشركه 2018'!$R50+' الشركه 2018'!$S50</f>
        <v>2782.0000000000005</v>
      </c>
      <c r="U50" s="109">
        <f>VLOOKUP(Table6[[#This Row],[الرقم الوظيفى]],[2]بالخصم!$B$1:$AK$1200,35,)</f>
        <v>0</v>
      </c>
      <c r="V50" s="147"/>
      <c r="W50" s="111">
        <f>Table6[[#This Row],[عدد ايام الاجازه]]*Table6[[#This Row],[ح راتب اليوم]]</f>
        <v>0</v>
      </c>
      <c r="X50" s="148"/>
      <c r="Y50" s="60"/>
      <c r="Z50" s="111">
        <f>Table6[[#This Row],[عدد ايام الجزاء]]*Table6[[#This Row],[ح راتب اليوم]]</f>
        <v>0</v>
      </c>
      <c r="AA50" s="112">
        <f>Table6[[#This Row],[مرتب]]*50%</f>
        <v>2140</v>
      </c>
      <c r="AB50" s="113" t="e">
        <f>VLOOKUP(Table6[[#This Row],[الرقم الوظيفى]],[3]!Table25289[#Data],23,)</f>
        <v>#REF!</v>
      </c>
      <c r="AC50" s="149"/>
      <c r="AD50" s="150"/>
      <c r="AE50" s="113" t="e">
        <f>VLOOKUP(Table6[[#This Row],[الرقم الوظيفى]],[3]!Table252894[#Data],22,)</f>
        <v>#REF!</v>
      </c>
      <c r="AF50" s="151"/>
      <c r="AG50" s="111">
        <f>' الشركه 2018'!$W50+' الشركه 2018'!$Z50+' الشركه 2018'!$AA50+' الشركه 2018'!$AC50+' الشركه 2018'!$AD50+' الشركه 2018'!$AF50</f>
        <v>2140</v>
      </c>
      <c r="AH50" s="111">
        <f>Table6[[#This Row],[راتب الضمان]]*8%</f>
        <v>342.40000000000003</v>
      </c>
      <c r="AI50" s="111">
        <f>' الشركه 2018'!$H50-' الشركه 2018'!$AG50-' الشركه 2018'!$AH50</f>
        <v>1797.6</v>
      </c>
      <c r="AJ50" s="111">
        <f>' الشركه 2018'!$CF50</f>
        <v>799.61923076923085</v>
      </c>
      <c r="AK50" s="117">
        <f>' الشركه 2018'!$AI50+' الشركه 2018'!$AJ50</f>
        <v>2597.2192307692308</v>
      </c>
      <c r="AL50" s="152"/>
      <c r="AM50" s="153"/>
      <c r="AN50" s="9">
        <f>Table6[[#This Row],[اجمالى الاستحقاق]]-Table6[[#This Row],[Column2]]+Table6[[#This Row],[حوافز غير مستقره]]</f>
        <v>2597.2192307692308</v>
      </c>
      <c r="AO50" s="59"/>
      <c r="AP50" s="169"/>
      <c r="AQ50" s="176"/>
      <c r="AR50" s="124"/>
      <c r="AS50" s="155"/>
      <c r="AT50" s="170"/>
      <c r="AU50" s="124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>
        <v>8</v>
      </c>
      <c r="BI50" s="124"/>
      <c r="BJ50" s="124">
        <v>11</v>
      </c>
      <c r="BK50" s="124"/>
      <c r="BL50" s="124">
        <v>8</v>
      </c>
      <c r="BM50" s="124">
        <v>8</v>
      </c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24"/>
      <c r="BZ50" s="171"/>
      <c r="CA50" s="172"/>
      <c r="CB5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50" s="130">
        <f>Table6[[#This Row],[Friday, November 23, 2018]]+Table6[[#This Row],[Friday, November 30, 2018]]+Table6[[#This Row],[Friday, December 07, 2018]]+Table6[[#This Row],[Friday, December 14, 2018]]+Table6[[#This Row],[فروقات عطله]]</f>
        <v>11</v>
      </c>
      <c r="CD50" s="131">
        <f>' الشركه 2018'!$H50*67%*1.5*' الشركه 2018'!$CB50/208</f>
        <v>496.31538461538463</v>
      </c>
      <c r="CE50" s="132">
        <f>' الشركه 2018'!$H50*67%*2*' الشركه 2018'!$CC50/208</f>
        <v>303.30384615384622</v>
      </c>
      <c r="CF50" s="133">
        <f>' الشركه 2018'!$CD50+' الشركه 2018'!$CE50</f>
        <v>799.61923076923085</v>
      </c>
      <c r="CG50" s="124"/>
      <c r="CH50" s="177">
        <f>SUMIF(C50:C241,' الشركه 2018'!$CG51,L50:L241)</f>
        <v>0</v>
      </c>
      <c r="CI50" s="124"/>
      <c r="CJ50" s="162">
        <f>' الشركه 2018'!$CH50*' الشركه 2018'!$CI50</f>
        <v>0</v>
      </c>
      <c r="CK50" s="162">
        <f>' الشركه 2018'!$CJ50*8%</f>
        <v>0</v>
      </c>
      <c r="CL50" s="162">
        <f>' الشركه 2018'!$CJ50*17%</f>
        <v>0</v>
      </c>
      <c r="CM50" s="162">
        <f>' الشركه 2018'!$CJ50*25%</f>
        <v>0</v>
      </c>
      <c r="CN50" s="162"/>
      <c r="CO50" s="162"/>
      <c r="CP50" s="163">
        <v>900</v>
      </c>
      <c r="CQ50" s="164" t="e">
        <f>VLOOKUP(Table6[[#This Row],[الرقم الوظيفى]],[4]!Table3[#Data],26,FALSE)</f>
        <v>#REF!</v>
      </c>
      <c r="CR50" s="165">
        <v>1800</v>
      </c>
      <c r="CS50" s="124"/>
    </row>
    <row r="51" spans="1:97" ht="28" customHeight="1" thickTop="1" thickBot="1">
      <c r="A51" s="141">
        <v>93</v>
      </c>
      <c r="B51" s="142" t="s">
        <v>217</v>
      </c>
      <c r="C51" s="59" t="s">
        <v>90</v>
      </c>
      <c r="D51" s="143" t="s">
        <v>74</v>
      </c>
      <c r="E51" s="174" t="s">
        <v>622</v>
      </c>
      <c r="F51" s="143" t="s">
        <v>656</v>
      </c>
      <c r="G51" s="145">
        <v>40685</v>
      </c>
      <c r="H51" s="146">
        <v>4850</v>
      </c>
      <c r="I51" s="106">
        <f>Table6[[#This Row],[مرتب]]/30</f>
        <v>161.66666666666666</v>
      </c>
      <c r="J51" s="107">
        <v>30</v>
      </c>
      <c r="K51" s="107">
        <f t="shared" si="0"/>
        <v>4850</v>
      </c>
      <c r="L51" s="108">
        <v>4850</v>
      </c>
      <c r="M51" s="107">
        <f>Table6[[#This Row],[مرتب الضمان]]*17%</f>
        <v>824.50000000000011</v>
      </c>
      <c r="N51" s="107">
        <f>' الشركه 2018'!$H51*35%</f>
        <v>1697.5</v>
      </c>
      <c r="O51" s="107">
        <f>' الشركه 2018'!$H51*32%</f>
        <v>1552</v>
      </c>
      <c r="P51" s="107">
        <f>' الشركه 2018'!$H51*12%</f>
        <v>582</v>
      </c>
      <c r="Q51" s="107">
        <f>' الشركه 2018'!$H51*13%</f>
        <v>630.5</v>
      </c>
      <c r="R51" s="107">
        <f>' الشركه 2018'!$H51*6%</f>
        <v>291</v>
      </c>
      <c r="S51" s="107">
        <f>' الشركه 2018'!$H51*2%</f>
        <v>97</v>
      </c>
      <c r="T51" s="107">
        <f>' الشركه 2018'!$O51+' الشركه 2018'!$P51+' الشركه 2018'!$Q51+' الشركه 2018'!$R51+' الشركه 2018'!$S51</f>
        <v>3152.5</v>
      </c>
      <c r="U51" s="109">
        <f>VLOOKUP(Table6[[#This Row],[الرقم الوظيفى]],[2]بالخصم!$B$1:$AK$1200,35,)</f>
        <v>0</v>
      </c>
      <c r="V51" s="147"/>
      <c r="W51" s="111">
        <f>Table6[[#This Row],[عدد ايام الاجازه]]*Table6[[#This Row],[ح راتب اليوم]]</f>
        <v>0</v>
      </c>
      <c r="X51" s="148"/>
      <c r="Y51" s="60"/>
      <c r="Z51" s="111">
        <f>Table6[[#This Row],[عدد ايام الجزاء]]*Table6[[#This Row],[ح راتب اليوم]]</f>
        <v>0</v>
      </c>
      <c r="AA51" s="112">
        <f>Table6[[#This Row],[مرتب]]*50%</f>
        <v>2425</v>
      </c>
      <c r="AB51" s="113" t="e">
        <f>VLOOKUP(Table6[[#This Row],[الرقم الوظيفى]],[3]!Table25289[#Data],23,)</f>
        <v>#REF!</v>
      </c>
      <c r="AC51" s="149"/>
      <c r="AD51" s="150"/>
      <c r="AE51" s="113" t="e">
        <f>VLOOKUP(Table6[[#This Row],[الرقم الوظيفى]],[3]!Table252894[#Data],22,)</f>
        <v>#REF!</v>
      </c>
      <c r="AF51" s="151"/>
      <c r="AG51" s="111">
        <f>' الشركه 2018'!$W51+' الشركه 2018'!$Z51+' الشركه 2018'!$AA51+' الشركه 2018'!$AC51+' الشركه 2018'!$AD51+' الشركه 2018'!$AF51</f>
        <v>2425</v>
      </c>
      <c r="AH51" s="111">
        <f>Table6[[#This Row],[راتب الضمان]]*8%</f>
        <v>388</v>
      </c>
      <c r="AI51" s="111">
        <f>' الشركه 2018'!$H51-' الشركه 2018'!$AG51-' الشركه 2018'!$AH51</f>
        <v>2037</v>
      </c>
      <c r="AJ51" s="111">
        <f>' الشركه 2018'!$CF51</f>
        <v>0</v>
      </c>
      <c r="AK51" s="117">
        <f>' الشركه 2018'!$AI51+' الشركه 2018'!$AJ51</f>
        <v>2037</v>
      </c>
      <c r="AL51" s="152"/>
      <c r="AM51" s="153"/>
      <c r="AN51" s="9">
        <f>Table6[[#This Row],[اجمالى الاستحقاق]]-Table6[[#This Row],[Column2]]+Table6[[#This Row],[حوافز غير مستقره]]</f>
        <v>2037</v>
      </c>
      <c r="AO51" s="59"/>
      <c r="AP51" s="169"/>
      <c r="AQ51" s="176"/>
      <c r="AR51" s="124"/>
      <c r="AS51" s="155"/>
      <c r="AT51" s="170"/>
      <c r="AU51" s="124"/>
      <c r="AV51" s="124"/>
      <c r="AW51" s="124"/>
      <c r="AX51" s="124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24"/>
      <c r="BZ51" s="171"/>
      <c r="CA51" s="172"/>
      <c r="CB5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51" s="131">
        <f>' الشركه 2018'!$H51*67%*1.5*' الشركه 2018'!$CB51/208</f>
        <v>0</v>
      </c>
      <c r="CE51" s="132">
        <f>' الشركه 2018'!$H51*67%*2*' الشركه 2018'!$CC51/208</f>
        <v>0</v>
      </c>
      <c r="CF51" s="133">
        <f>' الشركه 2018'!$CD51+' الشركه 2018'!$CE51</f>
        <v>0</v>
      </c>
      <c r="CG51" s="124"/>
      <c r="CH51" s="177">
        <f>SUMIF(C51:C241,' الشركه 2018'!$CG52,L51:L241)</f>
        <v>0</v>
      </c>
      <c r="CI51" s="124"/>
      <c r="CJ51" s="162">
        <f>' الشركه 2018'!$CH51*' الشركه 2018'!$CI51</f>
        <v>0</v>
      </c>
      <c r="CK51" s="162">
        <f>' الشركه 2018'!$CJ51*8%</f>
        <v>0</v>
      </c>
      <c r="CL51" s="162">
        <f>' الشركه 2018'!$CJ51*17%</f>
        <v>0</v>
      </c>
      <c r="CM51" s="162">
        <f>' الشركه 2018'!$CJ51*25%</f>
        <v>0</v>
      </c>
      <c r="CN51" s="162"/>
      <c r="CO51" s="162"/>
      <c r="CP51" s="163">
        <v>1000</v>
      </c>
      <c r="CQ51" s="164" t="e">
        <f>VLOOKUP(Table6[[#This Row],[الرقم الوظيفى]],[4]!Table3[#Data],26,FALSE)</f>
        <v>#REF!</v>
      </c>
      <c r="CR51" s="165">
        <v>1500</v>
      </c>
      <c r="CS51" s="124"/>
    </row>
    <row r="52" spans="1:97" ht="28" customHeight="1" thickTop="1" thickBot="1">
      <c r="A52" s="178">
        <v>94</v>
      </c>
      <c r="B52" s="142" t="s">
        <v>390</v>
      </c>
      <c r="C52" s="59" t="s">
        <v>90</v>
      </c>
      <c r="D52" s="143" t="s">
        <v>81</v>
      </c>
      <c r="E52" s="180" t="s">
        <v>601</v>
      </c>
      <c r="F52" s="143" t="s">
        <v>389</v>
      </c>
      <c r="G52" s="145">
        <v>40712</v>
      </c>
      <c r="H52" s="146">
        <v>4260</v>
      </c>
      <c r="I52" s="106">
        <f>Table6[[#This Row],[مرتب]]/30</f>
        <v>142</v>
      </c>
      <c r="J52" s="107">
        <v>30</v>
      </c>
      <c r="K52" s="107">
        <f t="shared" si="0"/>
        <v>4260</v>
      </c>
      <c r="L52" s="108">
        <v>4260</v>
      </c>
      <c r="M52" s="107">
        <f>Table6[[#This Row],[مرتب الضمان]]*17%</f>
        <v>724.2</v>
      </c>
      <c r="N52" s="107">
        <f>' الشركه 2018'!$H52*35%</f>
        <v>1491</v>
      </c>
      <c r="O52" s="107">
        <f>' الشركه 2018'!$H52*32%</f>
        <v>1363.2</v>
      </c>
      <c r="P52" s="107">
        <f>' الشركه 2018'!$H52*12%</f>
        <v>511.2</v>
      </c>
      <c r="Q52" s="107">
        <f>' الشركه 2018'!$H52*13%</f>
        <v>553.80000000000007</v>
      </c>
      <c r="R52" s="107">
        <f>' الشركه 2018'!$H52*6%</f>
        <v>255.6</v>
      </c>
      <c r="S52" s="107">
        <f>' الشركه 2018'!$H52*2%</f>
        <v>85.2</v>
      </c>
      <c r="T52" s="107">
        <f>' الشركه 2018'!$O52+' الشركه 2018'!$P52+' الشركه 2018'!$Q52+' الشركه 2018'!$R52+' الشركه 2018'!$S52</f>
        <v>2769</v>
      </c>
      <c r="U52" s="109">
        <f>VLOOKUP(Table6[[#This Row],[الرقم الوظيفى]],[2]بالخصم!$B$1:$AK$1200,35,)</f>
        <v>0</v>
      </c>
      <c r="V52" s="147"/>
      <c r="W52" s="111">
        <f>Table6[[#This Row],[عدد ايام الاجازه]]*Table6[[#This Row],[ح راتب اليوم]]</f>
        <v>0</v>
      </c>
      <c r="X52" s="148"/>
      <c r="Y52" s="60"/>
      <c r="Z52" s="111">
        <f>Table6[[#This Row],[عدد ايام الجزاء]]*Table6[[#This Row],[ح راتب اليوم]]</f>
        <v>0</v>
      </c>
      <c r="AA52" s="112">
        <f>Table6[[#This Row],[مرتب]]*50%</f>
        <v>2130</v>
      </c>
      <c r="AB52" s="113" t="e">
        <f>VLOOKUP(Table6[[#This Row],[الرقم الوظيفى]],[3]!Table25289[#Data],23,)</f>
        <v>#REF!</v>
      </c>
      <c r="AC52" s="149"/>
      <c r="AD52" s="150"/>
      <c r="AE52" s="113" t="e">
        <f>VLOOKUP(Table6[[#This Row],[الرقم الوظيفى]],[3]!Table252894[#Data],22,)</f>
        <v>#REF!</v>
      </c>
      <c r="AF52" s="151"/>
      <c r="AG52" s="111">
        <f>' الشركه 2018'!$W52+' الشركه 2018'!$Z52+' الشركه 2018'!$AA52+' الشركه 2018'!$AC52+' الشركه 2018'!$AD52+' الشركه 2018'!$AF52</f>
        <v>2130</v>
      </c>
      <c r="AH52" s="111">
        <f>Table6[[#This Row],[راتب الضمان]]*8%</f>
        <v>340.8</v>
      </c>
      <c r="AI52" s="111">
        <f>' الشركه 2018'!$H52-' الشركه 2018'!$AG52-' الشركه 2018'!$AH52</f>
        <v>1789.2</v>
      </c>
      <c r="AJ52" s="111">
        <f>' الشركه 2018'!$CF52</f>
        <v>301.88653846153852</v>
      </c>
      <c r="AK52" s="117">
        <f>' الشركه 2018'!$AI52+' الشركه 2018'!$AJ52</f>
        <v>2091.0865384615386</v>
      </c>
      <c r="AL52" s="152"/>
      <c r="AM52" s="153"/>
      <c r="AN52" s="9">
        <f>Table6[[#This Row],[اجمالى الاستحقاق]]-Table6[[#This Row],[Column2]]+Table6[[#This Row],[حوافز غير مستقره]]</f>
        <v>2091.0865384615386</v>
      </c>
      <c r="AO52" s="59"/>
      <c r="AP52" s="169"/>
      <c r="AQ52" s="176"/>
      <c r="AR52" s="124"/>
      <c r="AS52" s="155"/>
      <c r="AT52" s="170"/>
      <c r="AU52" s="124"/>
      <c r="AV52" s="124"/>
      <c r="AW52" s="124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>
        <v>11</v>
      </c>
      <c r="BK52" s="124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24"/>
      <c r="BZ52" s="159"/>
      <c r="CA52" s="160"/>
      <c r="CB5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2" s="130">
        <f>Table6[[#This Row],[Friday, November 23, 2018]]+Table6[[#This Row],[Friday, November 30, 2018]]+Table6[[#This Row],[Friday, December 07, 2018]]+Table6[[#This Row],[Friday, December 14, 2018]]+Table6[[#This Row],[فروقات عطله]]</f>
        <v>11</v>
      </c>
      <c r="CD52" s="131">
        <f>' الشركه 2018'!$H52*67%*1.5*' الشركه 2018'!$CB52/208</f>
        <v>0</v>
      </c>
      <c r="CE52" s="132">
        <f>' الشركه 2018'!$H52*67%*2*' الشركه 2018'!$CC52/208</f>
        <v>301.88653846153852</v>
      </c>
      <c r="CF52" s="133">
        <f>' الشركه 2018'!$CD52+' الشركه 2018'!$CE52</f>
        <v>301.88653846153852</v>
      </c>
      <c r="CG52" s="124"/>
      <c r="CH52" s="177">
        <f>SUMIF(C52:C241,' الشركه 2018'!$CG53,L52:L241)</f>
        <v>0</v>
      </c>
      <c r="CI52" s="124"/>
      <c r="CJ52" s="162">
        <f>' الشركه 2018'!$CH52*' الشركه 2018'!$CI52</f>
        <v>0</v>
      </c>
      <c r="CK52" s="162">
        <f>' الشركه 2018'!$CJ52*8%</f>
        <v>0</v>
      </c>
      <c r="CL52" s="162">
        <f>' الشركه 2018'!$CJ52*17%</f>
        <v>0</v>
      </c>
      <c r="CM52" s="162">
        <f>' الشركه 2018'!$CJ52*25%</f>
        <v>0</v>
      </c>
      <c r="CN52" s="162"/>
      <c r="CO52" s="162"/>
      <c r="CP52" s="163">
        <v>400</v>
      </c>
      <c r="CQ52" s="164" t="e">
        <f>VLOOKUP(Table6[[#This Row],[الرقم الوظيفى]],[4]!Table3[#Data],26,FALSE)</f>
        <v>#REF!</v>
      </c>
      <c r="CR52" s="165">
        <v>1000</v>
      </c>
      <c r="CS52" s="124"/>
    </row>
    <row r="53" spans="1:97" ht="28" customHeight="1" thickTop="1" thickBot="1">
      <c r="A53" s="141">
        <v>98</v>
      </c>
      <c r="B53" s="142" t="s">
        <v>244</v>
      </c>
      <c r="C53" s="59" t="s">
        <v>90</v>
      </c>
      <c r="D53" s="143" t="s">
        <v>74</v>
      </c>
      <c r="E53" s="174" t="s">
        <v>622</v>
      </c>
      <c r="F53" s="143" t="s">
        <v>205</v>
      </c>
      <c r="G53" s="145">
        <v>41594</v>
      </c>
      <c r="H53" s="146">
        <v>4190</v>
      </c>
      <c r="I53" s="106">
        <f>Table6[[#This Row],[مرتب]]/30</f>
        <v>139.66666666666666</v>
      </c>
      <c r="J53" s="107">
        <v>30</v>
      </c>
      <c r="K53" s="107">
        <f t="shared" si="0"/>
        <v>4190</v>
      </c>
      <c r="L53" s="108">
        <v>4190</v>
      </c>
      <c r="M53" s="107">
        <f>Table6[[#This Row],[مرتب الضمان]]*17%</f>
        <v>712.30000000000007</v>
      </c>
      <c r="N53" s="107">
        <f>' الشركه 2018'!$H53*35%</f>
        <v>1466.5</v>
      </c>
      <c r="O53" s="107">
        <f>' الشركه 2018'!$H53*32%</f>
        <v>1340.8</v>
      </c>
      <c r="P53" s="107">
        <f>' الشركه 2018'!$H53*12%</f>
        <v>502.79999999999995</v>
      </c>
      <c r="Q53" s="107">
        <f>' الشركه 2018'!$H53*13%</f>
        <v>544.70000000000005</v>
      </c>
      <c r="R53" s="107">
        <f>' الشركه 2018'!$H53*6%</f>
        <v>251.39999999999998</v>
      </c>
      <c r="S53" s="107">
        <f>' الشركه 2018'!$H53*2%</f>
        <v>83.8</v>
      </c>
      <c r="T53" s="107">
        <f>' الشركه 2018'!$O53+' الشركه 2018'!$P53+' الشركه 2018'!$Q53+' الشركه 2018'!$R53+' الشركه 2018'!$S53</f>
        <v>2723.5000000000005</v>
      </c>
      <c r="U53" s="109">
        <f>VLOOKUP(Table6[[#This Row],[الرقم الوظيفى]],[2]بالخصم!$B$1:$AK$1200,35,)</f>
        <v>0</v>
      </c>
      <c r="V53" s="147"/>
      <c r="W53" s="111">
        <f>Table6[[#This Row],[عدد ايام الاجازه]]*Table6[[#This Row],[ح راتب اليوم]]</f>
        <v>0</v>
      </c>
      <c r="X53" s="148"/>
      <c r="Y53" s="60"/>
      <c r="Z53" s="111">
        <f>Table6[[#This Row],[عدد ايام الجزاء]]*Table6[[#This Row],[ح راتب اليوم]]</f>
        <v>0</v>
      </c>
      <c r="AA53" s="112">
        <f>Table6[[#This Row],[مرتب]]*50%</f>
        <v>2095</v>
      </c>
      <c r="AB53" s="113" t="e">
        <f>VLOOKUP(Table6[[#This Row],[الرقم الوظيفى]],[3]!Table25289[#Data],23,)</f>
        <v>#REF!</v>
      </c>
      <c r="AC53" s="149"/>
      <c r="AD53" s="150"/>
      <c r="AE53" s="113" t="e">
        <f>VLOOKUP(Table6[[#This Row],[الرقم الوظيفى]],[3]!Table252894[#Data],22,)</f>
        <v>#REF!</v>
      </c>
      <c r="AF53" s="151"/>
      <c r="AG53" s="111">
        <f>' الشركه 2018'!$W53+' الشركه 2018'!$Z53+' الشركه 2018'!$AA53+' الشركه 2018'!$AC53+' الشركه 2018'!$AD53+' الشركه 2018'!$AF53</f>
        <v>2095</v>
      </c>
      <c r="AH53" s="111">
        <f>Table6[[#This Row],[راتب الضمان]]*8%</f>
        <v>335.2</v>
      </c>
      <c r="AI53" s="111">
        <f>' الشركه 2018'!$H53-' الشركه 2018'!$AG53-' الشركه 2018'!$AH53</f>
        <v>1759.8</v>
      </c>
      <c r="AJ53" s="111">
        <f>' الشركه 2018'!$CF53</f>
        <v>620.84519230769229</v>
      </c>
      <c r="AK53" s="117">
        <f>' الشركه 2018'!$AI53+' الشركه 2018'!$AJ53</f>
        <v>2380.645192307692</v>
      </c>
      <c r="AL53" s="152"/>
      <c r="AM53" s="153"/>
      <c r="AN53" s="9">
        <f>Table6[[#This Row],[اجمالى الاستحقاق]]-Table6[[#This Row],[Column2]]+Table6[[#This Row],[حوافز غير مستقره]]</f>
        <v>2380.645192307692</v>
      </c>
      <c r="AO53" s="59"/>
      <c r="AP53" s="169"/>
      <c r="AQ53" s="176"/>
      <c r="AR53" s="124"/>
      <c r="AS53" s="155"/>
      <c r="AT53" s="170"/>
      <c r="AU53" s="124"/>
      <c r="AV53" s="124"/>
      <c r="AW53" s="124"/>
      <c r="AX53" s="124"/>
      <c r="AY53" s="124"/>
      <c r="AZ53" s="124"/>
      <c r="BA53" s="124"/>
      <c r="BB53" s="124"/>
      <c r="BC53" s="124">
        <v>12</v>
      </c>
      <c r="BD53" s="124"/>
      <c r="BE53" s="124"/>
      <c r="BF53" s="124"/>
      <c r="BG53" s="124"/>
      <c r="BH53" s="124"/>
      <c r="BI53" s="124"/>
      <c r="BJ53" s="124">
        <v>11</v>
      </c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71"/>
      <c r="CA53" s="172"/>
      <c r="CB5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3" s="130">
        <f>Table6[[#This Row],[Friday, November 23, 2018]]+Table6[[#This Row],[Friday, November 30, 2018]]+Table6[[#This Row],[Friday, December 07, 2018]]+Table6[[#This Row],[Friday, December 14, 2018]]+Table6[[#This Row],[فروقات عطله]]</f>
        <v>23</v>
      </c>
      <c r="CD53" s="131">
        <f>' الشركه 2018'!$H53*67%*1.5*' الشركه 2018'!$CB53/208</f>
        <v>0</v>
      </c>
      <c r="CE53" s="132">
        <f>' الشركه 2018'!$H53*67%*2*' الشركه 2018'!$CC53/208</f>
        <v>620.84519230769229</v>
      </c>
      <c r="CF53" s="133">
        <f>' الشركه 2018'!$CD53+' الشركه 2018'!$CE53</f>
        <v>620.84519230769229</v>
      </c>
      <c r="CG53" s="124"/>
      <c r="CH53" s="177">
        <f>SUMIF(C53:C245,' الشركه 2018'!$CG54,L53:L245)</f>
        <v>0</v>
      </c>
      <c r="CI53" s="124"/>
      <c r="CJ53" s="162">
        <f>' الشركه 2018'!$CH53*' الشركه 2018'!$CI53</f>
        <v>0</v>
      </c>
      <c r="CK53" s="162">
        <f>' الشركه 2018'!$CJ53*8%</f>
        <v>0</v>
      </c>
      <c r="CL53" s="162">
        <f>' الشركه 2018'!$CJ53*17%</f>
        <v>0</v>
      </c>
      <c r="CM53" s="162">
        <f>' الشركه 2018'!$CJ53*25%</f>
        <v>0</v>
      </c>
      <c r="CN53" s="162"/>
      <c r="CO53" s="162"/>
      <c r="CP53" s="163">
        <v>200</v>
      </c>
      <c r="CQ53" s="164" t="e">
        <f>VLOOKUP(Table6[[#This Row],[الرقم الوظيفى]],[4]!Table3[#Data],26,FALSE)</f>
        <v>#REF!</v>
      </c>
      <c r="CR53" s="165">
        <v>1000</v>
      </c>
      <c r="CS53" s="124"/>
    </row>
    <row r="54" spans="1:97" ht="21.65" customHeight="1" thickTop="1" thickBot="1">
      <c r="A54" s="181">
        <v>101</v>
      </c>
      <c r="B54" s="182" t="s">
        <v>153</v>
      </c>
      <c r="C54" s="11" t="s">
        <v>137</v>
      </c>
      <c r="D54" s="183" t="s">
        <v>80</v>
      </c>
      <c r="E54" s="174"/>
      <c r="F54" s="143"/>
      <c r="G54" s="184">
        <v>39114</v>
      </c>
      <c r="H54" s="185">
        <v>17220</v>
      </c>
      <c r="I54" s="103">
        <f>Table6[[#This Row],[مرتب]]/30</f>
        <v>574</v>
      </c>
      <c r="J54" s="143">
        <v>30</v>
      </c>
      <c r="K54" s="143">
        <f t="shared" si="0"/>
        <v>17220</v>
      </c>
      <c r="L54" s="12">
        <v>17220</v>
      </c>
      <c r="M54" s="143">
        <f>Table6[[#This Row],[مرتب الضمان]]*17%</f>
        <v>2927.4</v>
      </c>
      <c r="N54" s="143">
        <f>' الشركه 2018'!$H54*35%</f>
        <v>6027</v>
      </c>
      <c r="O54" s="143">
        <f>' الشركه 2018'!$H54*32%</f>
        <v>5510.4000000000005</v>
      </c>
      <c r="P54" s="143">
        <f>' الشركه 2018'!$H54*12%</f>
        <v>2066.4</v>
      </c>
      <c r="Q54" s="143">
        <f>' الشركه 2018'!$H54*13%</f>
        <v>2238.6</v>
      </c>
      <c r="R54" s="143">
        <f>' الشركه 2018'!$H54*6%</f>
        <v>1033.2</v>
      </c>
      <c r="S54" s="143">
        <f>' الشركه 2018'!$H54*2%</f>
        <v>344.40000000000003</v>
      </c>
      <c r="T54" s="143">
        <f>' الشركه 2018'!$O54+' الشركه 2018'!$P54+' الشركه 2018'!$Q54+' الشركه 2018'!$R54+' الشركه 2018'!$S54</f>
        <v>11193.000000000002</v>
      </c>
      <c r="U54" s="109">
        <f>VLOOKUP(Table6[[#This Row],[الرقم الوظيفى]],[2]بالخصم!$B$1:$AK$1200,35,)</f>
        <v>0</v>
      </c>
      <c r="V54" s="186"/>
      <c r="W54" s="187">
        <f>Table6[[#This Row],[عدد ايام الاجازه]]*Table6[[#This Row],[ح راتب اليوم]]</f>
        <v>0</v>
      </c>
      <c r="X54" s="188"/>
      <c r="Y54" s="189"/>
      <c r="Z54" s="187">
        <f>Table6[[#This Row],[عدد ايام الجزاء]]*Table6[[#This Row],[ح راتب اليوم]]</f>
        <v>0</v>
      </c>
      <c r="AA54" s="190">
        <v>3000</v>
      </c>
      <c r="AB54" s="191" t="e">
        <f>VLOOKUP(Table6[[#This Row],[الرقم الوظيفى]],[3]!Table25289[#Data],23,)</f>
        <v>#REF!</v>
      </c>
      <c r="AC54" s="192">
        <v>1500</v>
      </c>
      <c r="AD54" s="193"/>
      <c r="AE54" s="113" t="e">
        <f>VLOOKUP(Table6[[#This Row],[الرقم الوظيفى]],[3]!Table252894[#Data],22,)</f>
        <v>#REF!</v>
      </c>
      <c r="AF54" s="194"/>
      <c r="AG54" s="111">
        <f>' الشركه 2018'!$W54+' الشركه 2018'!$Z54+' الشركه 2018'!$AA54+' الشركه 2018'!$AC54+' الشركه 2018'!$AD54+' الشركه 2018'!$AF54</f>
        <v>4500</v>
      </c>
      <c r="AH54" s="111">
        <f>Table6[[#This Row],[راتب الضمان]]*8%</f>
        <v>1377.6000000000001</v>
      </c>
      <c r="AI54" s="111">
        <f>' الشركه 2018'!$H54-' الشركه 2018'!$AG54-' الشركه 2018'!$AH54</f>
        <v>11342.4</v>
      </c>
      <c r="AJ54" s="111">
        <f>' الشركه 2018'!$CF54</f>
        <v>3427.9390384615394</v>
      </c>
      <c r="AK54" s="117">
        <f>' الشركه 2018'!$AI54+' الشركه 2018'!$AJ54</f>
        <v>14770.33903846154</v>
      </c>
      <c r="AL54" s="195"/>
      <c r="AM54" s="196"/>
      <c r="AN54" s="9">
        <f>Table6[[#This Row],[اجمالى الاستحقاق]]-Table6[[#This Row],[Column2]]+Table6[[#This Row],[حوافز غير مستقره]]</f>
        <v>14770.33903846154</v>
      </c>
      <c r="AO54" s="197"/>
      <c r="AP54" s="198"/>
      <c r="AQ54" s="176"/>
      <c r="AR54" s="124"/>
      <c r="AS54" s="155"/>
      <c r="AT54" s="170"/>
      <c r="AU54" s="124"/>
      <c r="AV54" s="124"/>
      <c r="AW54" s="124"/>
      <c r="AX54" s="124"/>
      <c r="AY54" s="124"/>
      <c r="AZ54" s="124">
        <v>5</v>
      </c>
      <c r="BA54" s="124"/>
      <c r="BB54" s="124">
        <v>4</v>
      </c>
      <c r="BC54" s="124"/>
      <c r="BD54" s="124">
        <v>3</v>
      </c>
      <c r="BE54" s="124">
        <v>4</v>
      </c>
      <c r="BF54" s="124"/>
      <c r="BG54" s="124">
        <v>2.5</v>
      </c>
      <c r="BH54" s="124">
        <v>4.2</v>
      </c>
      <c r="BI54" s="124">
        <v>2.5</v>
      </c>
      <c r="BJ54" s="124"/>
      <c r="BK54" s="124">
        <v>2</v>
      </c>
      <c r="BL54" s="124">
        <v>5</v>
      </c>
      <c r="BM54" s="124">
        <v>4</v>
      </c>
      <c r="BN54" s="124">
        <v>5</v>
      </c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59"/>
      <c r="CA54" s="160"/>
      <c r="CB5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41.2</v>
      </c>
      <c r="CC5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54" s="131">
        <f>' الشركه 2018'!$H54*67%*1.5*' الشركه 2018'!$CB54/208</f>
        <v>3427.9390384615394</v>
      </c>
      <c r="CE54" s="132">
        <f>' الشركه 2018'!$H54*67%*2*' الشركه 2018'!$CC54/208</f>
        <v>0</v>
      </c>
      <c r="CF54" s="133">
        <f>' الشركه 2018'!$CD54+' الشركه 2018'!$CE54</f>
        <v>3427.9390384615394</v>
      </c>
      <c r="CG54" s="124"/>
      <c r="CH54" s="177">
        <f>SUMIF(C54:C338,' الشركه 2018'!$CG208,L54:L338)</f>
        <v>0</v>
      </c>
      <c r="CI54" s="124"/>
      <c r="CJ54" s="162">
        <f>' الشركه 2018'!$CH54*' الشركه 2018'!$CI54</f>
        <v>0</v>
      </c>
      <c r="CK54" s="162">
        <f>' الشركه 2018'!$CJ54*8%</f>
        <v>0</v>
      </c>
      <c r="CL54" s="162">
        <f>' الشركه 2018'!$CJ54*17%</f>
        <v>0</v>
      </c>
      <c r="CM54" s="162">
        <f>' الشركه 2018'!$CJ54*25%</f>
        <v>0</v>
      </c>
      <c r="CN54" s="162"/>
      <c r="CO54" s="162"/>
      <c r="CP54" s="163">
        <v>2000</v>
      </c>
      <c r="CQ54" s="164" t="e">
        <f>VLOOKUP(Table6[[#This Row],[الرقم الوظيفى]],[4]!Table3[#Data],26,FALSE)</f>
        <v>#REF!</v>
      </c>
      <c r="CR54" s="199">
        <v>2000</v>
      </c>
      <c r="CS54" s="124"/>
    </row>
    <row r="55" spans="1:97" ht="28" customHeight="1" thickTop="1" thickBot="1">
      <c r="A55" s="141">
        <v>103</v>
      </c>
      <c r="B55" s="142" t="s">
        <v>348</v>
      </c>
      <c r="C55" s="59" t="s">
        <v>90</v>
      </c>
      <c r="D55" s="143" t="s">
        <v>79</v>
      </c>
      <c r="E55" s="174" t="s">
        <v>644</v>
      </c>
      <c r="F55" s="143" t="s">
        <v>345</v>
      </c>
      <c r="G55" s="145">
        <v>40759</v>
      </c>
      <c r="H55" s="146">
        <v>4870</v>
      </c>
      <c r="I55" s="106">
        <f>Table6[[#This Row],[مرتب]]/30</f>
        <v>162.33333333333334</v>
      </c>
      <c r="J55" s="107">
        <v>30</v>
      </c>
      <c r="K55" s="107">
        <f t="shared" si="0"/>
        <v>4870</v>
      </c>
      <c r="L55" s="108">
        <v>4870</v>
      </c>
      <c r="M55" s="107">
        <f>Table6[[#This Row],[مرتب الضمان]]*17%</f>
        <v>827.90000000000009</v>
      </c>
      <c r="N55" s="107">
        <f>' الشركه 2018'!$H55*35%</f>
        <v>1704.5</v>
      </c>
      <c r="O55" s="107">
        <f>' الشركه 2018'!$H55*32%</f>
        <v>1558.4</v>
      </c>
      <c r="P55" s="107">
        <f>' الشركه 2018'!$H55*12%</f>
        <v>584.4</v>
      </c>
      <c r="Q55" s="107">
        <f>' الشركه 2018'!$H55*13%</f>
        <v>633.1</v>
      </c>
      <c r="R55" s="107">
        <f>' الشركه 2018'!$H55*6%</f>
        <v>292.2</v>
      </c>
      <c r="S55" s="107">
        <f>' الشركه 2018'!$H55*2%</f>
        <v>97.4</v>
      </c>
      <c r="T55" s="107">
        <f>' الشركه 2018'!$O55+' الشركه 2018'!$P55+' الشركه 2018'!$Q55+' الشركه 2018'!$R55+' الشركه 2018'!$S55</f>
        <v>3165.5</v>
      </c>
      <c r="U55" s="109">
        <f>VLOOKUP(Table6[[#This Row],[الرقم الوظيفى]],[2]بالخصم!$B$1:$AK$1200,35,)</f>
        <v>0</v>
      </c>
      <c r="V55" s="147"/>
      <c r="W55" s="111">
        <f>Table6[[#This Row],[عدد ايام الاجازه]]*Table6[[#This Row],[ح راتب اليوم]]</f>
        <v>0</v>
      </c>
      <c r="X55" s="148"/>
      <c r="Y55" s="60"/>
      <c r="Z55" s="111">
        <f>Table6[[#This Row],[عدد ايام الجزاء]]*Table6[[#This Row],[ح راتب اليوم]]</f>
        <v>0</v>
      </c>
      <c r="AA55" s="112">
        <f>Table6[[#This Row],[مرتب]]*50%</f>
        <v>2435</v>
      </c>
      <c r="AB55" s="113" t="e">
        <f>VLOOKUP(Table6[[#This Row],[الرقم الوظيفى]],[3]!Table25289[#Data],23,)</f>
        <v>#REF!</v>
      </c>
      <c r="AC55" s="149"/>
      <c r="AD55" s="150"/>
      <c r="AE55" s="113" t="e">
        <f>VLOOKUP(Table6[[#This Row],[الرقم الوظيفى]],[3]!Table252894[#Data],22,)</f>
        <v>#REF!</v>
      </c>
      <c r="AF55" s="179"/>
      <c r="AG55" s="111">
        <f>' الشركه 2018'!$W55+' الشركه 2018'!$Z55+' الشركه 2018'!$AA55+' الشركه 2018'!$AC55+' الشركه 2018'!$AD55+' الشركه 2018'!$AF55</f>
        <v>2435</v>
      </c>
      <c r="AH55" s="111">
        <f>Table6[[#This Row],[راتب الضمان]]*8%</f>
        <v>389.6</v>
      </c>
      <c r="AI55" s="111">
        <f>' الشركه 2018'!$H55-' الشركه 2018'!$AG55-' الشركه 2018'!$AH55</f>
        <v>2045.4</v>
      </c>
      <c r="AJ55" s="111">
        <f>' الشركه 2018'!$CF55</f>
        <v>345.11442307692312</v>
      </c>
      <c r="AK55" s="117">
        <f>' الشركه 2018'!$AI55+' الشركه 2018'!$AJ55</f>
        <v>2390.5144230769233</v>
      </c>
      <c r="AL55" s="152"/>
      <c r="AM55" s="153"/>
      <c r="AN55" s="9">
        <f>Table6[[#This Row],[اجمالى الاستحقاق]]-Table6[[#This Row],[Column2]]+Table6[[#This Row],[حوافز غير مستقره]]</f>
        <v>2390.5144230769233</v>
      </c>
      <c r="AO55" s="59"/>
      <c r="AP55" s="169"/>
      <c r="AQ55" s="176"/>
      <c r="AR55" s="124"/>
      <c r="AS55" s="155"/>
      <c r="AT55" s="170"/>
      <c r="AU55" s="124"/>
      <c r="AV55" s="124"/>
      <c r="AW55" s="124"/>
      <c r="AX55" s="124"/>
      <c r="AY55" s="124"/>
      <c r="AZ55" s="124"/>
      <c r="BA55" s="124"/>
      <c r="BB55" s="124"/>
      <c r="BC55" s="124">
        <v>11</v>
      </c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24"/>
      <c r="BZ55" s="171"/>
      <c r="CA55" s="172"/>
      <c r="CB5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5" s="130">
        <f>Table6[[#This Row],[Friday, November 23, 2018]]+Table6[[#This Row],[Friday, November 30, 2018]]+Table6[[#This Row],[Friday, December 07, 2018]]+Table6[[#This Row],[Friday, December 14, 2018]]+Table6[[#This Row],[فروقات عطله]]</f>
        <v>11</v>
      </c>
      <c r="CD55" s="131">
        <f>' الشركه 2018'!$H55*67%*1.5*' الشركه 2018'!$CB55/208</f>
        <v>0</v>
      </c>
      <c r="CE55" s="132">
        <f>' الشركه 2018'!$H55*67%*2*' الشركه 2018'!$CC55/208</f>
        <v>345.11442307692312</v>
      </c>
      <c r="CF55" s="133">
        <f>' الشركه 2018'!$CD55+' الشركه 2018'!$CE55</f>
        <v>345.11442307692312</v>
      </c>
      <c r="CG55" s="124"/>
      <c r="CH55" s="177">
        <f>SUMIF(C55:C255,' الشركه 2018'!$CG55,L55:L255)</f>
        <v>0</v>
      </c>
      <c r="CI55" s="124"/>
      <c r="CJ55" s="162">
        <f>' الشركه 2018'!$CH55*' الشركه 2018'!$CI55</f>
        <v>0</v>
      </c>
      <c r="CK55" s="162">
        <f>' الشركه 2018'!$CJ55*8%</f>
        <v>0</v>
      </c>
      <c r="CL55" s="162">
        <f>' الشركه 2018'!$CJ55*17%</f>
        <v>0</v>
      </c>
      <c r="CM55" s="162">
        <f>' الشركه 2018'!$CJ55*25%</f>
        <v>0</v>
      </c>
      <c r="CN55" s="162"/>
      <c r="CO55" s="162"/>
      <c r="CP55" s="163">
        <v>500</v>
      </c>
      <c r="CQ55" s="164" t="e">
        <f>VLOOKUP(Table6[[#This Row],[الرقم الوظيفى]],[4]!Table3[#Data],26,FALSE)</f>
        <v>#REF!</v>
      </c>
      <c r="CR55" s="165">
        <v>500</v>
      </c>
      <c r="CS55" s="124"/>
    </row>
    <row r="56" spans="1:97" ht="28" customHeight="1" thickTop="1" thickBot="1">
      <c r="A56" s="141">
        <v>108</v>
      </c>
      <c r="B56" s="142" t="s">
        <v>233</v>
      </c>
      <c r="C56" s="59" t="s">
        <v>90</v>
      </c>
      <c r="D56" s="143" t="s">
        <v>74</v>
      </c>
      <c r="E56" s="174" t="s">
        <v>622</v>
      </c>
      <c r="F56" s="143" t="s">
        <v>205</v>
      </c>
      <c r="G56" s="145">
        <v>40825</v>
      </c>
      <c r="H56" s="146">
        <v>4320</v>
      </c>
      <c r="I56" s="106">
        <f>Table6[[#This Row],[مرتب]]/30</f>
        <v>144</v>
      </c>
      <c r="J56" s="107">
        <v>30</v>
      </c>
      <c r="K56" s="107">
        <f t="shared" si="0"/>
        <v>4320</v>
      </c>
      <c r="L56" s="108">
        <v>4320</v>
      </c>
      <c r="M56" s="107">
        <f>Table6[[#This Row],[مرتب الضمان]]*17%</f>
        <v>734.40000000000009</v>
      </c>
      <c r="N56" s="107">
        <f>' الشركه 2018'!$H56*35%</f>
        <v>1512</v>
      </c>
      <c r="O56" s="107">
        <f>' الشركه 2018'!$H56*32%</f>
        <v>1382.4</v>
      </c>
      <c r="P56" s="107">
        <f>' الشركه 2018'!$H56*12%</f>
        <v>518.4</v>
      </c>
      <c r="Q56" s="107">
        <f>' الشركه 2018'!$H56*13%</f>
        <v>561.6</v>
      </c>
      <c r="R56" s="107">
        <f>' الشركه 2018'!$H56*6%</f>
        <v>259.2</v>
      </c>
      <c r="S56" s="107">
        <f>' الشركه 2018'!$H56*2%</f>
        <v>86.4</v>
      </c>
      <c r="T56" s="107">
        <f>' الشركه 2018'!$O56+' الشركه 2018'!$P56+' الشركه 2018'!$Q56+' الشركه 2018'!$R56+' الشركه 2018'!$S56</f>
        <v>2808</v>
      </c>
      <c r="U56" s="109">
        <f>VLOOKUP(Table6[[#This Row],[الرقم الوظيفى]],[2]بالخصم!$B$1:$AK$1200,35,)</f>
        <v>0</v>
      </c>
      <c r="V56" s="147"/>
      <c r="W56" s="111">
        <f>Table6[[#This Row],[عدد ايام الاجازه]]*Table6[[#This Row],[ح راتب اليوم]]</f>
        <v>0</v>
      </c>
      <c r="X56" s="148"/>
      <c r="Y56" s="60"/>
      <c r="Z56" s="111">
        <f>Table6[[#This Row],[عدد ايام الجزاء]]*Table6[[#This Row],[ح راتب اليوم]]</f>
        <v>0</v>
      </c>
      <c r="AA56" s="112">
        <f>Table6[[#This Row],[مرتب]]*50%</f>
        <v>2160</v>
      </c>
      <c r="AB56" s="113" t="e">
        <f>VLOOKUP(Table6[[#This Row],[الرقم الوظيفى]],[3]!Table25289[#Data],23,)</f>
        <v>#REF!</v>
      </c>
      <c r="AC56" s="149"/>
      <c r="AD56" s="150"/>
      <c r="AE56" s="113" t="e">
        <f>VLOOKUP(Table6[[#This Row],[الرقم الوظيفى]],[3]!Table252894[#Data],22,)</f>
        <v>#REF!</v>
      </c>
      <c r="AF56" s="151"/>
      <c r="AG56" s="111">
        <f>' الشركه 2018'!$W56+' الشركه 2018'!$Z56+' الشركه 2018'!$AA56+' الشركه 2018'!$AC56+' الشركه 2018'!$AD56+' الشركه 2018'!$AF56</f>
        <v>2160</v>
      </c>
      <c r="AH56" s="111">
        <f>Table6[[#This Row],[راتب الضمان]]*8%</f>
        <v>345.6</v>
      </c>
      <c r="AI56" s="111">
        <f>' الشركه 2018'!$H56-' الشركه 2018'!$AG56-' الشركه 2018'!$AH56</f>
        <v>1814.4</v>
      </c>
      <c r="AJ56" s="111">
        <f>' الشركه 2018'!$CF56</f>
        <v>974.07692307692309</v>
      </c>
      <c r="AK56" s="117">
        <f>' الشركه 2018'!$AI56+' الشركه 2018'!$AJ56</f>
        <v>2788.4769230769234</v>
      </c>
      <c r="AL56" s="152"/>
      <c r="AM56" s="153"/>
      <c r="AN56" s="9">
        <f>Table6[[#This Row],[اجمالى الاستحقاق]]-Table6[[#This Row],[Column2]]+Table6[[#This Row],[حوافز غير مستقره]]</f>
        <v>2788.4769230769234</v>
      </c>
      <c r="AO56" s="59"/>
      <c r="AP56" s="169"/>
      <c r="AQ56" s="176"/>
      <c r="AR56" s="124"/>
      <c r="AS56" s="155"/>
      <c r="AT56" s="170"/>
      <c r="AU56" s="124"/>
      <c r="AV56" s="124">
        <v>12</v>
      </c>
      <c r="AW56" s="124"/>
      <c r="AX56" s="124"/>
      <c r="AY56" s="124"/>
      <c r="AZ56" s="124"/>
      <c r="BA56" s="124"/>
      <c r="BB56" s="124"/>
      <c r="BC56" s="124">
        <v>12</v>
      </c>
      <c r="BD56" s="124"/>
      <c r="BE56" s="124"/>
      <c r="BF56" s="124"/>
      <c r="BG56" s="124"/>
      <c r="BH56" s="124"/>
      <c r="BI56" s="124"/>
      <c r="BJ56" s="124">
        <v>11</v>
      </c>
      <c r="BK56" s="124"/>
      <c r="BL56" s="124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24"/>
      <c r="BZ56" s="159"/>
      <c r="CA56" s="160"/>
      <c r="CB5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6" s="130">
        <f>Table6[[#This Row],[Friday, November 23, 2018]]+Table6[[#This Row],[Friday, November 30, 2018]]+Table6[[#This Row],[Friday, December 07, 2018]]+Table6[[#This Row],[Friday, December 14, 2018]]+Table6[[#This Row],[فروقات عطله]]</f>
        <v>35</v>
      </c>
      <c r="CD56" s="131">
        <f>' الشركه 2018'!$H56*67%*1.5*' الشركه 2018'!$CB56/208</f>
        <v>0</v>
      </c>
      <c r="CE56" s="132">
        <f>' الشركه 2018'!$H56*67%*2*' الشركه 2018'!$CC56/208</f>
        <v>974.07692307692309</v>
      </c>
      <c r="CF56" s="133">
        <f>' الشركه 2018'!$CD56+' الشركه 2018'!$CE56</f>
        <v>974.07692307692309</v>
      </c>
      <c r="CG56" s="124"/>
      <c r="CH56" s="177">
        <f>SUMIF(C56:C256,' الشركه 2018'!$CG56,L56:L256)</f>
        <v>0</v>
      </c>
      <c r="CI56" s="124"/>
      <c r="CJ56" s="162">
        <f>' الشركه 2018'!$CH56*' الشركه 2018'!$CI56</f>
        <v>0</v>
      </c>
      <c r="CK56" s="162">
        <f>' الشركه 2018'!$CJ56*8%</f>
        <v>0</v>
      </c>
      <c r="CL56" s="162">
        <f>' الشركه 2018'!$CJ56*17%</f>
        <v>0</v>
      </c>
      <c r="CM56" s="162">
        <f>' الشركه 2018'!$CJ56*25%</f>
        <v>0</v>
      </c>
      <c r="CN56" s="162"/>
      <c r="CO56" s="162"/>
      <c r="CP56" s="163">
        <v>600</v>
      </c>
      <c r="CQ56" s="164" t="e">
        <f>VLOOKUP(Table6[[#This Row],[الرقم الوظيفى]],[4]!Table3[#Data],26,FALSE)</f>
        <v>#REF!</v>
      </c>
      <c r="CR56" s="165">
        <v>600</v>
      </c>
      <c r="CS56" s="124"/>
    </row>
    <row r="57" spans="1:97" ht="28" customHeight="1" thickTop="1" thickBot="1">
      <c r="A57" s="141">
        <v>112</v>
      </c>
      <c r="B57" s="142" t="s">
        <v>248</v>
      </c>
      <c r="C57" s="59" t="s">
        <v>90</v>
      </c>
      <c r="D57" s="143" t="s">
        <v>622</v>
      </c>
      <c r="E57" s="174" t="s">
        <v>205</v>
      </c>
      <c r="F57" s="143"/>
      <c r="G57" s="145">
        <v>41706</v>
      </c>
      <c r="H57" s="146">
        <v>4170</v>
      </c>
      <c r="I57" s="106">
        <f>Table6[[#This Row],[مرتب]]/30</f>
        <v>139</v>
      </c>
      <c r="J57" s="107">
        <v>30</v>
      </c>
      <c r="K57" s="107">
        <f t="shared" si="0"/>
        <v>4170</v>
      </c>
      <c r="L57" s="108">
        <v>4170</v>
      </c>
      <c r="M57" s="107">
        <f>Table6[[#This Row],[مرتب الضمان]]*17%</f>
        <v>708.90000000000009</v>
      </c>
      <c r="N57" s="107">
        <f>' الشركه 2018'!$H57*35%</f>
        <v>1459.5</v>
      </c>
      <c r="O57" s="107">
        <f>' الشركه 2018'!$H57*32%</f>
        <v>1334.4</v>
      </c>
      <c r="P57" s="107">
        <f>' الشركه 2018'!$H57*12%</f>
        <v>500.4</v>
      </c>
      <c r="Q57" s="107">
        <f>' الشركه 2018'!$H57*13%</f>
        <v>542.1</v>
      </c>
      <c r="R57" s="107">
        <f>' الشركه 2018'!$H57*6%</f>
        <v>250.2</v>
      </c>
      <c r="S57" s="107">
        <f>' الشركه 2018'!$H57*2%</f>
        <v>83.4</v>
      </c>
      <c r="T57" s="107">
        <f>' الشركه 2018'!$O57+' الشركه 2018'!$P57+' الشركه 2018'!$Q57+' الشركه 2018'!$R57+' الشركه 2018'!$S57</f>
        <v>2710.5</v>
      </c>
      <c r="U57" s="109">
        <f>VLOOKUP(Table6[[#This Row],[الرقم الوظيفى]],[2]بالخصم!$B$1:$AK$1200,35,)</f>
        <v>0</v>
      </c>
      <c r="V57" s="147"/>
      <c r="W57" s="111">
        <f>Table6[[#This Row],[عدد ايام الاجازه]]*Table6[[#This Row],[ح راتب اليوم]]</f>
        <v>0</v>
      </c>
      <c r="X57" s="148"/>
      <c r="Y57" s="60"/>
      <c r="Z57" s="111">
        <f>Table6[[#This Row],[عدد ايام الجزاء]]*Table6[[#This Row],[ح راتب اليوم]]</f>
        <v>0</v>
      </c>
      <c r="AA57" s="112">
        <f>Table6[[#This Row],[مرتب]]*50%</f>
        <v>2085</v>
      </c>
      <c r="AB57" s="113" t="e">
        <f>VLOOKUP(Table6[[#This Row],[الرقم الوظيفى]],[3]!Table25289[#Data],23,)</f>
        <v>#REF!</v>
      </c>
      <c r="AC57" s="149"/>
      <c r="AD57" s="150"/>
      <c r="AE57" s="113" t="e">
        <f>VLOOKUP(Table6[[#This Row],[الرقم الوظيفى]],[3]!Table252894[#Data],22,)</f>
        <v>#REF!</v>
      </c>
      <c r="AF57" s="151"/>
      <c r="AG57" s="111">
        <f>' الشركه 2018'!$W57+' الشركه 2018'!$Z57+' الشركه 2018'!$AA57+' الشركه 2018'!$AC57+' الشركه 2018'!$AD57+' الشركه 2018'!$AF57</f>
        <v>2085</v>
      </c>
      <c r="AH57" s="111">
        <f>Table6[[#This Row],[راتب الضمان]]*8%</f>
        <v>333.6</v>
      </c>
      <c r="AI57" s="111">
        <f>' الشركه 2018'!$H57-' الشركه 2018'!$AG57-' الشركه 2018'!$AH57</f>
        <v>1751.4</v>
      </c>
      <c r="AJ57" s="111">
        <f>' الشركه 2018'!$CF57</f>
        <v>2256.6115384615387</v>
      </c>
      <c r="AK57" s="117">
        <f>' الشركه 2018'!$AI57+' الشركه 2018'!$AJ57</f>
        <v>4008.0115384615387</v>
      </c>
      <c r="AL57" s="152"/>
      <c r="AM57" s="153"/>
      <c r="AN57" s="9">
        <f>Table6[[#This Row],[اجمالى الاستحقاق]]-Table6[[#This Row],[Column2]]+Table6[[#This Row],[حوافز غير مستقره]]</f>
        <v>4008.0115384615387</v>
      </c>
      <c r="AO57" s="59"/>
      <c r="AP57" s="169"/>
      <c r="AQ57" s="176"/>
      <c r="AR57" s="124"/>
      <c r="AS57" s="155"/>
      <c r="AT57" s="170"/>
      <c r="AU57" s="124"/>
      <c r="AV57" s="124"/>
      <c r="AW57" s="124"/>
      <c r="AX57" s="124"/>
      <c r="AY57" s="124"/>
      <c r="AZ57" s="124"/>
      <c r="BA57" s="124"/>
      <c r="BB57" s="124"/>
      <c r="BC57" s="124">
        <v>24</v>
      </c>
      <c r="BD57" s="124"/>
      <c r="BE57" s="124"/>
      <c r="BF57" s="124"/>
      <c r="BG57" s="124">
        <v>8</v>
      </c>
      <c r="BH57" s="124">
        <v>8</v>
      </c>
      <c r="BI57" s="124">
        <v>8</v>
      </c>
      <c r="BJ57" s="124"/>
      <c r="BK57" s="124">
        <v>8</v>
      </c>
      <c r="BL57" s="124">
        <v>16</v>
      </c>
      <c r="BM57" s="124">
        <v>8</v>
      </c>
      <c r="BN57" s="124">
        <v>8</v>
      </c>
      <c r="BO57" s="124">
        <v>8</v>
      </c>
      <c r="BP57" s="124"/>
      <c r="BQ57" s="124"/>
      <c r="BR57" s="124">
        <v>8</v>
      </c>
      <c r="BS57" s="124"/>
      <c r="BT57" s="124"/>
      <c r="BU57" s="124"/>
      <c r="BV57" s="124"/>
      <c r="BW57" s="124"/>
      <c r="BX57" s="124"/>
      <c r="BY57" s="124"/>
      <c r="BZ57" s="171"/>
      <c r="CA57" s="172"/>
      <c r="CB5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80</v>
      </c>
      <c r="CC57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57" s="131">
        <f>' الشركه 2018'!$H57*67%*1.5*' الشركه 2018'!$CB57/208</f>
        <v>1611.8653846153845</v>
      </c>
      <c r="CE57" s="132">
        <f>' الشركه 2018'!$H57*67%*2*' الشركه 2018'!$CC57/208</f>
        <v>644.7461538461539</v>
      </c>
      <c r="CF57" s="133">
        <f>' الشركه 2018'!$CD57+' الشركه 2018'!$CE57</f>
        <v>2256.6115384615387</v>
      </c>
      <c r="CG57" s="124"/>
      <c r="CH57" s="177"/>
      <c r="CI57" s="124"/>
      <c r="CJ57" s="177"/>
      <c r="CK57" s="177"/>
      <c r="CL57" s="177"/>
      <c r="CM57" s="177"/>
      <c r="CN57" s="162"/>
      <c r="CO57" s="162"/>
      <c r="CP57" s="163">
        <v>400</v>
      </c>
      <c r="CQ57" s="164" t="e">
        <f>VLOOKUP(Table6[[#This Row],[الرقم الوظيفى]],[4]!Table3[#Data],26,FALSE)</f>
        <v>#REF!</v>
      </c>
      <c r="CR57" s="165">
        <v>400</v>
      </c>
      <c r="CS57" s="124"/>
    </row>
    <row r="58" spans="1:97" ht="28" customHeight="1" thickTop="1" thickBot="1">
      <c r="A58" s="141">
        <v>113</v>
      </c>
      <c r="B58" s="142" t="s">
        <v>355</v>
      </c>
      <c r="C58" s="59" t="s">
        <v>90</v>
      </c>
      <c r="D58" s="143" t="s">
        <v>79</v>
      </c>
      <c r="E58" s="174" t="s">
        <v>644</v>
      </c>
      <c r="F58" s="143" t="s">
        <v>351</v>
      </c>
      <c r="G58" s="145">
        <v>42476</v>
      </c>
      <c r="H58" s="146">
        <v>4080</v>
      </c>
      <c r="I58" s="106">
        <f>Table6[[#This Row],[مرتب]]/30</f>
        <v>136</v>
      </c>
      <c r="J58" s="107">
        <v>30</v>
      </c>
      <c r="K58" s="107">
        <f t="shared" si="0"/>
        <v>4080</v>
      </c>
      <c r="L58" s="108">
        <v>4080</v>
      </c>
      <c r="M58" s="107">
        <f>Table6[[#This Row],[مرتب الضمان]]*17%</f>
        <v>693.6</v>
      </c>
      <c r="N58" s="107">
        <f>' الشركه 2018'!$H58*35%</f>
        <v>1428</v>
      </c>
      <c r="O58" s="107">
        <f>' الشركه 2018'!$H58*32%</f>
        <v>1305.6000000000001</v>
      </c>
      <c r="P58" s="107">
        <f>' الشركه 2018'!$H58*12%</f>
        <v>489.59999999999997</v>
      </c>
      <c r="Q58" s="107">
        <f>' الشركه 2018'!$H58*13%</f>
        <v>530.4</v>
      </c>
      <c r="R58" s="107">
        <f>' الشركه 2018'!$H58*6%</f>
        <v>244.79999999999998</v>
      </c>
      <c r="S58" s="107">
        <f>' الشركه 2018'!$H58*2%</f>
        <v>81.600000000000009</v>
      </c>
      <c r="T58" s="107">
        <f>' الشركه 2018'!$O58+' الشركه 2018'!$P58+' الشركه 2018'!$Q58+' الشركه 2018'!$R58+' الشركه 2018'!$S58</f>
        <v>2652</v>
      </c>
      <c r="U58" s="109">
        <f>VLOOKUP(Table6[[#This Row],[الرقم الوظيفى]],[2]بالخصم!$B$1:$AK$1200,35,)</f>
        <v>0</v>
      </c>
      <c r="V58" s="147"/>
      <c r="W58" s="111">
        <f>Table6[[#This Row],[عدد ايام الاجازه]]*Table6[[#This Row],[ح راتب اليوم]]</f>
        <v>0</v>
      </c>
      <c r="X58" s="148"/>
      <c r="Y58" s="60"/>
      <c r="Z58" s="111">
        <f>Table6[[#This Row],[عدد ايام الجزاء]]*Table6[[#This Row],[ح راتب اليوم]]</f>
        <v>0</v>
      </c>
      <c r="AA58" s="112">
        <f>Table6[[#This Row],[مرتب]]*50%</f>
        <v>2040</v>
      </c>
      <c r="AB58" s="113" t="e">
        <f>VLOOKUP(Table6[[#This Row],[الرقم الوظيفى]],[3]!Table25289[#Data],23,)</f>
        <v>#REF!</v>
      </c>
      <c r="AC58" s="149"/>
      <c r="AD58" s="150"/>
      <c r="AE58" s="113" t="e">
        <f>VLOOKUP(Table6[[#This Row],[الرقم الوظيفى]],[3]!Table252894[#Data],22,)</f>
        <v>#REF!</v>
      </c>
      <c r="AF58" s="151"/>
      <c r="AG58" s="111">
        <f>' الشركه 2018'!$W58+' الشركه 2018'!$Z58+' الشركه 2018'!$AA58+' الشركه 2018'!$AC58+' الشركه 2018'!$AD58+' الشركه 2018'!$AF58</f>
        <v>2040</v>
      </c>
      <c r="AH58" s="111">
        <f>Table6[[#This Row],[راتب الضمان]]*8%</f>
        <v>326.40000000000003</v>
      </c>
      <c r="AI58" s="111">
        <f>' الشركه 2018'!$H58-' الشركه 2018'!$AG58-' الشركه 2018'!$AH58</f>
        <v>1713.6</v>
      </c>
      <c r="AJ58" s="111">
        <f>' الشركه 2018'!$CF58</f>
        <v>946.2461538461539</v>
      </c>
      <c r="AK58" s="117">
        <f>' الشركه 2018'!$AI58+' الشركه 2018'!$AJ58</f>
        <v>2659.8461538461538</v>
      </c>
      <c r="AL58" s="152"/>
      <c r="AM58" s="153"/>
      <c r="AN58" s="9">
        <f>Table6[[#This Row],[اجمالى الاستحقاق]]-Table6[[#This Row],[Column2]]+Table6[[#This Row],[حوافز غير مستقره]]</f>
        <v>2659.8461538461538</v>
      </c>
      <c r="AO58" s="59"/>
      <c r="AP58" s="169"/>
      <c r="AQ58" s="176"/>
      <c r="AR58" s="124"/>
      <c r="AS58" s="155"/>
      <c r="AT58" s="170"/>
      <c r="AU58" s="124"/>
      <c r="AV58" s="124"/>
      <c r="AW58" s="124"/>
      <c r="AX58" s="124"/>
      <c r="AY58" s="124"/>
      <c r="AZ58" s="124"/>
      <c r="BA58" s="124"/>
      <c r="BB58" s="124"/>
      <c r="BC58" s="124">
        <v>24</v>
      </c>
      <c r="BD58" s="124"/>
      <c r="BE58" s="124">
        <v>8</v>
      </c>
      <c r="BF58" s="124"/>
      <c r="BG58" s="124"/>
      <c r="BH58" s="124"/>
      <c r="BI58" s="124"/>
      <c r="BJ58" s="124"/>
      <c r="BK58" s="124"/>
      <c r="BL58" s="124"/>
      <c r="BM58" s="124"/>
      <c r="BN58" s="124"/>
      <c r="BO58" s="124">
        <v>8</v>
      </c>
      <c r="BP58" s="124"/>
      <c r="BQ58" s="124"/>
      <c r="BR58" s="124"/>
      <c r="BS58" s="124"/>
      <c r="BT58" s="124"/>
      <c r="BU58" s="124"/>
      <c r="BV58" s="124"/>
      <c r="BW58" s="124"/>
      <c r="BX58" s="124"/>
      <c r="BY58" s="124"/>
      <c r="BZ58" s="159"/>
      <c r="CA58" s="160"/>
      <c r="CB5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58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58" s="131">
        <f>' الشركه 2018'!$H58*67%*1.5*' الشركه 2018'!$CB58/208</f>
        <v>315.41538461538465</v>
      </c>
      <c r="CE58" s="132">
        <f>' الشركه 2018'!$H58*67%*2*' الشركه 2018'!$CC58/208</f>
        <v>630.83076923076931</v>
      </c>
      <c r="CF58" s="133">
        <f>' الشركه 2018'!$CD58+' الشركه 2018'!$CE58</f>
        <v>946.2461538461539</v>
      </c>
      <c r="CG58" s="124"/>
      <c r="CH58" s="177">
        <f>SUMIF(C58:C256,' الشركه 2018'!$CG58,L58:L256)</f>
        <v>0</v>
      </c>
      <c r="CI58" s="124"/>
      <c r="CJ58" s="177">
        <f>' الشركه 2018'!$CH58*' الشركه 2018'!$CI58</f>
        <v>0</v>
      </c>
      <c r="CK58" s="177">
        <f>' الشركه 2018'!$CJ58*8%</f>
        <v>0</v>
      </c>
      <c r="CL58" s="177">
        <f>' الشركه 2018'!$CJ58*17%</f>
        <v>0</v>
      </c>
      <c r="CM58" s="177">
        <f>' الشركه 2018'!$CJ58*25%</f>
        <v>0</v>
      </c>
      <c r="CN58" s="162"/>
      <c r="CO58" s="162"/>
      <c r="CP58" s="163">
        <v>500</v>
      </c>
      <c r="CQ58" s="164" t="e">
        <f>VLOOKUP(Table6[[#This Row],[الرقم الوظيفى]],[4]!Table3[#Data],26,FALSE)</f>
        <v>#REF!</v>
      </c>
      <c r="CR58" s="165">
        <v>700</v>
      </c>
      <c r="CS58" s="124"/>
    </row>
    <row r="59" spans="1:97" ht="28" customHeight="1" thickTop="1" thickBot="1">
      <c r="A59" s="141">
        <v>114</v>
      </c>
      <c r="B59" s="142" t="s">
        <v>246</v>
      </c>
      <c r="C59" s="59" t="s">
        <v>90</v>
      </c>
      <c r="D59" s="143" t="s">
        <v>74</v>
      </c>
      <c r="E59" s="174" t="s">
        <v>654</v>
      </c>
      <c r="F59" s="143" t="s">
        <v>63</v>
      </c>
      <c r="G59" s="145">
        <v>40817</v>
      </c>
      <c r="H59" s="146">
        <v>4260</v>
      </c>
      <c r="I59" s="106">
        <f>Table6[[#This Row],[مرتب]]/30</f>
        <v>142</v>
      </c>
      <c r="J59" s="107">
        <v>30</v>
      </c>
      <c r="K59" s="107">
        <f t="shared" si="0"/>
        <v>4260</v>
      </c>
      <c r="L59" s="108">
        <v>4260</v>
      </c>
      <c r="M59" s="107">
        <f>Table6[[#This Row],[مرتب الضمان]]*17%</f>
        <v>724.2</v>
      </c>
      <c r="N59" s="107">
        <f>' الشركه 2018'!$H59*35%</f>
        <v>1491</v>
      </c>
      <c r="O59" s="107">
        <f>' الشركه 2018'!$H59*32%</f>
        <v>1363.2</v>
      </c>
      <c r="P59" s="107">
        <f>' الشركه 2018'!$H59*12%</f>
        <v>511.2</v>
      </c>
      <c r="Q59" s="107">
        <f>' الشركه 2018'!$H59*13%</f>
        <v>553.80000000000007</v>
      </c>
      <c r="R59" s="107">
        <f>' الشركه 2018'!$H59*6%</f>
        <v>255.6</v>
      </c>
      <c r="S59" s="107">
        <f>' الشركه 2018'!$H59*2%</f>
        <v>85.2</v>
      </c>
      <c r="T59" s="107">
        <f>' الشركه 2018'!$O59+' الشركه 2018'!$P59+' الشركه 2018'!$Q59+' الشركه 2018'!$R59+' الشركه 2018'!$S59</f>
        <v>2769</v>
      </c>
      <c r="U59" s="109">
        <f>VLOOKUP(Table6[[#This Row],[الرقم الوظيفى]],[2]بالخصم!$B$1:$AK$1200,35,)</f>
        <v>0</v>
      </c>
      <c r="V59" s="147"/>
      <c r="W59" s="111">
        <f>Table6[[#This Row],[عدد ايام الاجازه]]*Table6[[#This Row],[ح راتب اليوم]]</f>
        <v>0</v>
      </c>
      <c r="X59" s="148"/>
      <c r="Y59" s="60"/>
      <c r="Z59" s="111">
        <f>Table6[[#This Row],[عدد ايام الجزاء]]*Table6[[#This Row],[ح راتب اليوم]]</f>
        <v>0</v>
      </c>
      <c r="AA59" s="112">
        <f>Table6[[#This Row],[مرتب]]*50%</f>
        <v>2130</v>
      </c>
      <c r="AB59" s="113" t="e">
        <f>VLOOKUP(Table6[[#This Row],[الرقم الوظيفى]],[3]!Table25289[#Data],23,)</f>
        <v>#REF!</v>
      </c>
      <c r="AC59" s="149"/>
      <c r="AD59" s="150"/>
      <c r="AE59" s="113" t="e">
        <f>VLOOKUP(Table6[[#This Row],[الرقم الوظيفى]],[3]!Table252894[#Data],22,)</f>
        <v>#REF!</v>
      </c>
      <c r="AF59" s="151"/>
      <c r="AG59" s="111">
        <f>' الشركه 2018'!$W59+' الشركه 2018'!$Z59+' الشركه 2018'!$AA59+' الشركه 2018'!$AC59+' الشركه 2018'!$AD59+' الشركه 2018'!$AF59</f>
        <v>2130</v>
      </c>
      <c r="AH59" s="111">
        <f>Table6[[#This Row],[راتب الضمان]]*8%</f>
        <v>340.8</v>
      </c>
      <c r="AI59" s="111">
        <f>' الشركه 2018'!$H59-' الشركه 2018'!$AG59-' الشركه 2018'!$AH59</f>
        <v>1789.2</v>
      </c>
      <c r="AJ59" s="111">
        <f>' الشركه 2018'!$CF59</f>
        <v>0</v>
      </c>
      <c r="AK59" s="117">
        <f>' الشركه 2018'!$AI59+' الشركه 2018'!$AJ59</f>
        <v>1789.2</v>
      </c>
      <c r="AL59" s="152"/>
      <c r="AM59" s="153"/>
      <c r="AN59" s="9">
        <f>Table6[[#This Row],[اجمالى الاستحقاق]]-Table6[[#This Row],[Column2]]+Table6[[#This Row],[حوافز غير مستقره]]</f>
        <v>1789.2</v>
      </c>
      <c r="AO59" s="59"/>
      <c r="AP59" s="169"/>
      <c r="AQ59" s="176"/>
      <c r="AR59" s="124"/>
      <c r="AS59" s="155"/>
      <c r="AT59" s="170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24"/>
      <c r="BZ59" s="159"/>
      <c r="CA59" s="160"/>
      <c r="CB5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5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59" s="131">
        <f>' الشركه 2018'!$H59*67%*1.5*' الشركه 2018'!$CB59/208</f>
        <v>0</v>
      </c>
      <c r="CE59" s="132">
        <f>' الشركه 2018'!$H59*67%*2*' الشركه 2018'!$CC59/208</f>
        <v>0</v>
      </c>
      <c r="CF59" s="133">
        <f>' الشركه 2018'!$CD59+' الشركه 2018'!$CE59</f>
        <v>0</v>
      </c>
      <c r="CG59" s="124"/>
      <c r="CH59" s="177">
        <f>SUMIF(C59:C257,' الشركه 2018'!$CG59,L59:L257)</f>
        <v>0</v>
      </c>
      <c r="CI59" s="124"/>
      <c r="CJ59" s="177">
        <f>' الشركه 2018'!$CH59*' الشركه 2018'!$CI59</f>
        <v>0</v>
      </c>
      <c r="CK59" s="177">
        <f>' الشركه 2018'!$CJ59*8%</f>
        <v>0</v>
      </c>
      <c r="CL59" s="177">
        <f>' الشركه 2018'!$CJ59*17%</f>
        <v>0</v>
      </c>
      <c r="CM59" s="177">
        <f>' الشركه 2018'!$CJ59*25%</f>
        <v>0</v>
      </c>
      <c r="CN59" s="162"/>
      <c r="CO59" s="162"/>
      <c r="CP59" s="163">
        <v>400</v>
      </c>
      <c r="CQ59" s="164" t="e">
        <f>VLOOKUP(Table6[[#This Row],[الرقم الوظيفى]],[4]!Table3[#Data],26,FALSE)</f>
        <v>#REF!</v>
      </c>
      <c r="CR59" s="165">
        <v>700</v>
      </c>
      <c r="CS59" s="124"/>
    </row>
    <row r="60" spans="1:97" ht="28" customHeight="1" thickTop="1" thickBot="1">
      <c r="A60" s="141">
        <v>127</v>
      </c>
      <c r="B60" s="142" t="s">
        <v>209</v>
      </c>
      <c r="C60" s="59" t="s">
        <v>90</v>
      </c>
      <c r="D60" s="143" t="s">
        <v>74</v>
      </c>
      <c r="E60" s="174" t="s">
        <v>622</v>
      </c>
      <c r="F60" s="143" t="s">
        <v>656</v>
      </c>
      <c r="G60" s="145">
        <v>40919</v>
      </c>
      <c r="H60" s="146">
        <v>4790</v>
      </c>
      <c r="I60" s="106">
        <f>Table6[[#This Row],[مرتب]]/30</f>
        <v>159.66666666666666</v>
      </c>
      <c r="J60" s="107">
        <v>30</v>
      </c>
      <c r="K60" s="107">
        <f t="shared" si="0"/>
        <v>4790</v>
      </c>
      <c r="L60" s="108">
        <v>4790</v>
      </c>
      <c r="M60" s="107">
        <f>Table6[[#This Row],[مرتب الضمان]]*17%</f>
        <v>814.30000000000007</v>
      </c>
      <c r="N60" s="107">
        <f>' الشركه 2018'!$H60*35%</f>
        <v>1676.5</v>
      </c>
      <c r="O60" s="107">
        <f>' الشركه 2018'!$H60*32%</f>
        <v>1532.8</v>
      </c>
      <c r="P60" s="107">
        <f>' الشركه 2018'!$H60*12%</f>
        <v>574.79999999999995</v>
      </c>
      <c r="Q60" s="107">
        <f>' الشركه 2018'!$H60*13%</f>
        <v>622.70000000000005</v>
      </c>
      <c r="R60" s="107">
        <f>' الشركه 2018'!$H60*6%</f>
        <v>287.39999999999998</v>
      </c>
      <c r="S60" s="107">
        <f>' الشركه 2018'!$H60*2%</f>
        <v>95.8</v>
      </c>
      <c r="T60" s="107">
        <f>' الشركه 2018'!$O60+' الشركه 2018'!$P60+' الشركه 2018'!$Q60+' الشركه 2018'!$R60+' الشركه 2018'!$S60</f>
        <v>3113.5000000000005</v>
      </c>
      <c r="U60" s="109">
        <f>VLOOKUP(Table6[[#This Row],[الرقم الوظيفى]],[2]بالخصم!$B$1:$AK$1200,35,)</f>
        <v>0</v>
      </c>
      <c r="V60" s="147"/>
      <c r="W60" s="111">
        <f>Table6[[#This Row],[عدد ايام الاجازه]]*Table6[[#This Row],[ح راتب اليوم]]</f>
        <v>0</v>
      </c>
      <c r="X60" s="148"/>
      <c r="Y60" s="60"/>
      <c r="Z60" s="111">
        <f>Table6[[#This Row],[عدد ايام الجزاء]]*Table6[[#This Row],[ح راتب اليوم]]</f>
        <v>0</v>
      </c>
      <c r="AA60" s="112">
        <f>Table6[[#This Row],[مرتب]]*50%</f>
        <v>2395</v>
      </c>
      <c r="AB60" s="113" t="e">
        <f>VLOOKUP(Table6[[#This Row],[الرقم الوظيفى]],[3]!Table25289[#Data],23,)</f>
        <v>#REF!</v>
      </c>
      <c r="AC60" s="149"/>
      <c r="AD60" s="150"/>
      <c r="AE60" s="113" t="e">
        <f>VLOOKUP(Table6[[#This Row],[الرقم الوظيفى]],[3]!Table252894[#Data],22,)</f>
        <v>#REF!</v>
      </c>
      <c r="AF60" s="151"/>
      <c r="AG60" s="111">
        <f>' الشركه 2018'!$W60+' الشركه 2018'!$Z60+' الشركه 2018'!$AA60+' الشركه 2018'!$AC60+' الشركه 2018'!$AD60+' الشركه 2018'!$AF60</f>
        <v>2395</v>
      </c>
      <c r="AH60" s="111">
        <f>Table6[[#This Row],[راتب الضمان]]*8%</f>
        <v>383.2</v>
      </c>
      <c r="AI60" s="111">
        <f>' الشركه 2018'!$H60-' الشركه 2018'!$AG60-' الشركه 2018'!$AH60</f>
        <v>2011.8</v>
      </c>
      <c r="AJ60" s="111">
        <f>' الشركه 2018'!$CF60</f>
        <v>0</v>
      </c>
      <c r="AK60" s="117">
        <f>' الشركه 2018'!$AI60+' الشركه 2018'!$AJ60</f>
        <v>2011.8</v>
      </c>
      <c r="AL60" s="152"/>
      <c r="AM60" s="153"/>
      <c r="AN60" s="9">
        <f>Table6[[#This Row],[اجمالى الاستحقاق]]-Table6[[#This Row],[Column2]]+Table6[[#This Row],[حوافز غير مستقره]]</f>
        <v>2011.8</v>
      </c>
      <c r="AO60" s="59"/>
      <c r="AP60" s="169"/>
      <c r="AQ60" s="176"/>
      <c r="AR60" s="124"/>
      <c r="AS60" s="155"/>
      <c r="AT60" s="170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24"/>
      <c r="BZ60" s="159"/>
      <c r="CA60" s="160"/>
      <c r="CB6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0" s="131">
        <f>' الشركه 2018'!$H60*67%*1.5*' الشركه 2018'!$CB60/208</f>
        <v>0</v>
      </c>
      <c r="CE60" s="132">
        <f>' الشركه 2018'!$H60*67%*2*' الشركه 2018'!$CC60/208</f>
        <v>0</v>
      </c>
      <c r="CF60" s="133">
        <f>' الشركه 2018'!$CD60+' الشركه 2018'!$CE60</f>
        <v>0</v>
      </c>
      <c r="CG60" s="124"/>
      <c r="CH60" s="177">
        <f>SUMIF(C60:C258,' الشركه 2018'!$CG60,L60:L258)</f>
        <v>0</v>
      </c>
      <c r="CI60" s="124"/>
      <c r="CJ60" s="177">
        <f>' الشركه 2018'!$CH60*' الشركه 2018'!$CI60</f>
        <v>0</v>
      </c>
      <c r="CK60" s="177">
        <f>' الشركه 2018'!$CJ60*8%</f>
        <v>0</v>
      </c>
      <c r="CL60" s="177">
        <f>' الشركه 2018'!$CJ60*17%</f>
        <v>0</v>
      </c>
      <c r="CM60" s="177">
        <f>' الشركه 2018'!$CJ60*25%</f>
        <v>0</v>
      </c>
      <c r="CN60" s="162"/>
      <c r="CO60" s="162"/>
      <c r="CP60" s="163">
        <v>400</v>
      </c>
      <c r="CQ60" s="164" t="e">
        <f>VLOOKUP(Table6[[#This Row],[الرقم الوظيفى]],[4]!Table3[#Data],26,FALSE)</f>
        <v>#REF!</v>
      </c>
      <c r="CR60" s="165">
        <v>400</v>
      </c>
      <c r="CS60" s="124"/>
    </row>
    <row r="61" spans="1:97" ht="28" customHeight="1" thickTop="1" thickBot="1">
      <c r="A61" s="141">
        <v>128</v>
      </c>
      <c r="B61" s="142" t="s">
        <v>243</v>
      </c>
      <c r="C61" s="59" t="s">
        <v>90</v>
      </c>
      <c r="D61" s="143" t="s">
        <v>74</v>
      </c>
      <c r="E61" s="174" t="s">
        <v>654</v>
      </c>
      <c r="F61" s="143" t="s">
        <v>655</v>
      </c>
      <c r="G61" s="145">
        <v>40919</v>
      </c>
      <c r="H61" s="146">
        <v>4250</v>
      </c>
      <c r="I61" s="106">
        <f>Table6[[#This Row],[مرتب]]/30</f>
        <v>141.66666666666666</v>
      </c>
      <c r="J61" s="107">
        <v>30</v>
      </c>
      <c r="K61" s="107">
        <f t="shared" si="0"/>
        <v>4250</v>
      </c>
      <c r="L61" s="108">
        <v>4250</v>
      </c>
      <c r="M61" s="107">
        <f>Table6[[#This Row],[مرتب الضمان]]*17%</f>
        <v>722.5</v>
      </c>
      <c r="N61" s="107">
        <f>' الشركه 2018'!$H61*35%</f>
        <v>1487.5</v>
      </c>
      <c r="O61" s="107">
        <f>' الشركه 2018'!$H61*32%</f>
        <v>1360</v>
      </c>
      <c r="P61" s="107">
        <f>' الشركه 2018'!$H61*12%</f>
        <v>510</v>
      </c>
      <c r="Q61" s="107">
        <f>' الشركه 2018'!$H61*13%</f>
        <v>552.5</v>
      </c>
      <c r="R61" s="107">
        <f>' الشركه 2018'!$H61*6%</f>
        <v>255</v>
      </c>
      <c r="S61" s="107">
        <f>' الشركه 2018'!$H61*2%</f>
        <v>85</v>
      </c>
      <c r="T61" s="107">
        <f>' الشركه 2018'!$O61+' الشركه 2018'!$P61+' الشركه 2018'!$Q61+' الشركه 2018'!$R61+' الشركه 2018'!$S61</f>
        <v>2762.5</v>
      </c>
      <c r="U61" s="109">
        <f>VLOOKUP(Table6[[#This Row],[الرقم الوظيفى]],[2]بالخصم!$B$1:$AK$1200,35,)</f>
        <v>0</v>
      </c>
      <c r="V61" s="147"/>
      <c r="W61" s="111">
        <f>Table6[[#This Row],[عدد ايام الاجازه]]*Table6[[#This Row],[ح راتب اليوم]]</f>
        <v>0</v>
      </c>
      <c r="X61" s="148"/>
      <c r="Y61" s="60"/>
      <c r="Z61" s="111">
        <f>Table6[[#This Row],[عدد ايام الجزاء]]*Table6[[#This Row],[ح راتب اليوم]]</f>
        <v>0</v>
      </c>
      <c r="AA61" s="112">
        <f>Table6[[#This Row],[مرتب]]*50%</f>
        <v>2125</v>
      </c>
      <c r="AB61" s="113" t="e">
        <f>VLOOKUP(Table6[[#This Row],[الرقم الوظيفى]],[3]!Table25289[#Data],23,)</f>
        <v>#REF!</v>
      </c>
      <c r="AC61" s="149"/>
      <c r="AD61" s="150"/>
      <c r="AE61" s="113" t="e">
        <f>VLOOKUP(Table6[[#This Row],[الرقم الوظيفى]],[3]!Table252894[#Data],22,)</f>
        <v>#REF!</v>
      </c>
      <c r="AF61" s="151"/>
      <c r="AG61" s="111">
        <f>' الشركه 2018'!$W61+' الشركه 2018'!$Z61+' الشركه 2018'!$AA61+' الشركه 2018'!$AC61+' الشركه 2018'!$AD61+' الشركه 2018'!$AF61</f>
        <v>2125</v>
      </c>
      <c r="AH61" s="111">
        <f>Table6[[#This Row],[راتب الضمان]]*8%</f>
        <v>340</v>
      </c>
      <c r="AI61" s="111">
        <f>' الشركه 2018'!$H61-' الشركه 2018'!$AG61-' الشركه 2018'!$AH61</f>
        <v>1785</v>
      </c>
      <c r="AJ61" s="111">
        <f>' الشركه 2018'!$CF61</f>
        <v>328.55769230769232</v>
      </c>
      <c r="AK61" s="117">
        <f>' الشركه 2018'!$AI61+' الشركه 2018'!$AJ61</f>
        <v>2113.5576923076924</v>
      </c>
      <c r="AL61" s="152"/>
      <c r="AM61" s="153"/>
      <c r="AN61" s="9">
        <f>Table6[[#This Row],[اجمالى الاستحقاق]]-Table6[[#This Row],[Column2]]+Table6[[#This Row],[حوافز غير مستقره]]</f>
        <v>2113.5576923076924</v>
      </c>
      <c r="AO61" s="59"/>
      <c r="AP61" s="169"/>
      <c r="AQ61" s="176"/>
      <c r="AR61" s="124"/>
      <c r="AS61" s="155"/>
      <c r="AT61" s="170"/>
      <c r="AU61" s="124"/>
      <c r="AV61" s="124"/>
      <c r="AW61" s="124"/>
      <c r="AX61" s="124"/>
      <c r="AY61" s="124"/>
      <c r="AZ61" s="124"/>
      <c r="BA61" s="124"/>
      <c r="BB61" s="124"/>
      <c r="BC61" s="124">
        <v>12</v>
      </c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  <c r="BQ61" s="124"/>
      <c r="BR61" s="124"/>
      <c r="BS61" s="124"/>
      <c r="BT61" s="124"/>
      <c r="BU61" s="124"/>
      <c r="BV61" s="124"/>
      <c r="BW61" s="124"/>
      <c r="BX61" s="124"/>
      <c r="BY61" s="124"/>
      <c r="BZ61" s="171"/>
      <c r="CA61" s="172"/>
      <c r="CB6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1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61" s="131">
        <f>' الشركه 2018'!$H61*67%*1.5*' الشركه 2018'!$CB61/208</f>
        <v>0</v>
      </c>
      <c r="CE61" s="132">
        <f>' الشركه 2018'!$H61*67%*2*' الشركه 2018'!$CC61/208</f>
        <v>328.55769230769232</v>
      </c>
      <c r="CF61" s="133">
        <f>' الشركه 2018'!$CD61+' الشركه 2018'!$CE61</f>
        <v>328.55769230769232</v>
      </c>
      <c r="CG61" s="124"/>
      <c r="CH61" s="177">
        <f>SUMIF(C61:C259,' الشركه 2018'!$CG61,L61:L259)</f>
        <v>0</v>
      </c>
      <c r="CI61" s="124"/>
      <c r="CJ61" s="177">
        <f>' الشركه 2018'!$CH61*' الشركه 2018'!$CI61</f>
        <v>0</v>
      </c>
      <c r="CK61" s="177">
        <f>' الشركه 2018'!$CJ61*8%</f>
        <v>0</v>
      </c>
      <c r="CL61" s="177">
        <f>' الشركه 2018'!$CJ61*17%</f>
        <v>0</v>
      </c>
      <c r="CM61" s="177">
        <f>' الشركه 2018'!$CJ61*25%</f>
        <v>0</v>
      </c>
      <c r="CN61" s="162"/>
      <c r="CO61" s="162"/>
      <c r="CP61" s="163">
        <v>700</v>
      </c>
      <c r="CQ61" s="164" t="e">
        <f>VLOOKUP(Table6[[#This Row],[الرقم الوظيفى]],[4]!Table3[#Data],26,FALSE)</f>
        <v>#REF!</v>
      </c>
      <c r="CR61" s="165">
        <v>1000</v>
      </c>
      <c r="CS61" s="124"/>
    </row>
    <row r="62" spans="1:97" ht="28" customHeight="1" thickTop="1" thickBot="1">
      <c r="A62" s="141">
        <v>130</v>
      </c>
      <c r="B62" s="200" t="s">
        <v>387</v>
      </c>
      <c r="C62" s="201" t="s">
        <v>90</v>
      </c>
      <c r="D62" s="11" t="s">
        <v>81</v>
      </c>
      <c r="E62" s="202"/>
      <c r="F62" s="11"/>
      <c r="G62" s="145">
        <v>43041</v>
      </c>
      <c r="H62" s="154">
        <v>3500</v>
      </c>
      <c r="I62" s="203">
        <f>Table6[[#This Row],[مرتب]]/30</f>
        <v>116.66666666666667</v>
      </c>
      <c r="J62" s="107">
        <v>30</v>
      </c>
      <c r="K62" s="107">
        <f t="shared" si="0"/>
        <v>3500</v>
      </c>
      <c r="L62" s="107">
        <v>3500</v>
      </c>
      <c r="M62" s="107">
        <f>Table6[[#This Row],[مرتب الضمان]]*17%</f>
        <v>595</v>
      </c>
      <c r="N62" s="107">
        <f>' الشركه 2018'!$H62*35%</f>
        <v>1225</v>
      </c>
      <c r="O62" s="107">
        <f>' الشركه 2018'!$H62*32%</f>
        <v>1120</v>
      </c>
      <c r="P62" s="107">
        <f>' الشركه 2018'!$H62*12%</f>
        <v>420</v>
      </c>
      <c r="Q62" s="107">
        <f>' الشركه 2018'!$H62*13%</f>
        <v>455</v>
      </c>
      <c r="R62" s="107">
        <f>' الشركه 2018'!$H62*6%</f>
        <v>210</v>
      </c>
      <c r="S62" s="107">
        <f>' الشركه 2018'!$H62*2%</f>
        <v>70</v>
      </c>
      <c r="T62" s="107">
        <f>' الشركه 2018'!$O62+' الشركه 2018'!$P62+' الشركه 2018'!$Q62+' الشركه 2018'!$R62+' الشركه 2018'!$S62</f>
        <v>2275</v>
      </c>
      <c r="U62" s="109">
        <f>VLOOKUP(Table6[[#This Row],[الرقم الوظيفى]],[2]بالخصم!$B$1:$AK$1200,35,)</f>
        <v>0</v>
      </c>
      <c r="V62" s="204"/>
      <c r="W62" s="111">
        <f>Table6[[#This Row],[عدد ايام الاجازه]]*Table6[[#This Row],[ح راتب اليوم]]</f>
        <v>0</v>
      </c>
      <c r="X62" s="148"/>
      <c r="Y62" s="201"/>
      <c r="Z62" s="111">
        <f>Table6[[#This Row],[عدد ايام الجزاء]]*Table6[[#This Row],[ح راتب اليوم]]</f>
        <v>0</v>
      </c>
      <c r="AA62" s="112">
        <f>Table6[[#This Row],[مرتب]]*50%</f>
        <v>1750</v>
      </c>
      <c r="AB62" s="113" t="e">
        <f>VLOOKUP(Table6[[#This Row],[الرقم الوظيفى]],[3]!Table25289[#Data],23,)</f>
        <v>#REF!</v>
      </c>
      <c r="AC62" s="205"/>
      <c r="AD62" s="206"/>
      <c r="AE62" s="113" t="e">
        <f>VLOOKUP(Table6[[#This Row],[الرقم الوظيفى]],[3]!Table252894[#Data],22,)</f>
        <v>#REF!</v>
      </c>
      <c r="AF62" s="207"/>
      <c r="AG62" s="111">
        <f>' الشركه 2018'!$W62+' الشركه 2018'!$Z62+' الشركه 2018'!$AA62+' الشركه 2018'!$AC62+' الشركه 2018'!$AD62+' الشركه 2018'!$AF62</f>
        <v>1750</v>
      </c>
      <c r="AH62" s="111">
        <f>Table6[[#This Row],[راتب الضمان]]*8%</f>
        <v>280</v>
      </c>
      <c r="AI62" s="111">
        <f>' الشركه 2018'!$H62-' الشركه 2018'!$AG62-' الشركه 2018'!$AH62</f>
        <v>1470</v>
      </c>
      <c r="AJ62" s="111">
        <f>' الشركه 2018'!$CF62</f>
        <v>0</v>
      </c>
      <c r="AK62" s="117">
        <f>' الشركه 2018'!$AI62+' الشركه 2018'!$AJ62</f>
        <v>1470</v>
      </c>
      <c r="AL62" s="152"/>
      <c r="AM62" s="153"/>
      <c r="AN62" s="9">
        <f>Table6[[#This Row],[اجمالى الاستحقاق]]-Table6[[#This Row],[Column2]]+Table6[[#This Row],[حوافز غير مستقره]]</f>
        <v>1470</v>
      </c>
      <c r="AO62" s="59"/>
      <c r="AP62" s="169"/>
      <c r="AQ62" s="176"/>
      <c r="AR62" s="124"/>
      <c r="AS62" s="208"/>
      <c r="AT62" s="170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77"/>
      <c r="BN62" s="177"/>
      <c r="BO62" s="177"/>
      <c r="BP62" s="177"/>
      <c r="BQ62" s="177"/>
      <c r="BR62" s="177"/>
      <c r="BS62" s="177"/>
      <c r="BT62" s="124"/>
      <c r="BU62" s="124"/>
      <c r="BV62" s="177"/>
      <c r="BW62" s="177"/>
      <c r="BX62" s="177"/>
      <c r="BY62" s="177"/>
      <c r="BZ62" s="177"/>
      <c r="CA62" s="177"/>
      <c r="CB6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2" s="131">
        <f>' الشركه 2018'!$H62*67%*1.5*' الشركه 2018'!$CB62/208</f>
        <v>0</v>
      </c>
      <c r="CE62" s="132">
        <f>' الشركه 2018'!$H62*67%*2*' الشركه 2018'!$CC62/208</f>
        <v>0</v>
      </c>
      <c r="CF62" s="133">
        <f>' الشركه 2018'!$CD62+' الشركه 2018'!$CE62</f>
        <v>0</v>
      </c>
      <c r="CG62" s="124"/>
      <c r="CH62" s="177"/>
      <c r="CI62" s="124"/>
      <c r="CJ62" s="162"/>
      <c r="CK62" s="162"/>
      <c r="CL62" s="162"/>
      <c r="CM62" s="162"/>
      <c r="CN62" s="162"/>
      <c r="CO62" s="162"/>
      <c r="CP62" s="163"/>
      <c r="CQ62" s="164" t="e">
        <f>VLOOKUP(Table6[[#This Row],[الرقم الوظيفى]],[4]!Table3[#Data],26,FALSE)</f>
        <v>#REF!</v>
      </c>
      <c r="CR62" s="199"/>
      <c r="CS62" s="124"/>
    </row>
    <row r="63" spans="1:97" ht="28" customHeight="1" thickTop="1" thickBot="1">
      <c r="A63" s="141">
        <v>138</v>
      </c>
      <c r="B63" s="142" t="s">
        <v>95</v>
      </c>
      <c r="C63" s="59" t="s">
        <v>90</v>
      </c>
      <c r="D63" s="143" t="s">
        <v>75</v>
      </c>
      <c r="E63" s="174"/>
      <c r="F63" s="143" t="s">
        <v>657</v>
      </c>
      <c r="G63" s="145">
        <v>40925</v>
      </c>
      <c r="H63" s="146">
        <v>5300</v>
      </c>
      <c r="I63" s="106">
        <f>Table6[[#This Row],[مرتب]]/30</f>
        <v>176.66666666666666</v>
      </c>
      <c r="J63" s="107">
        <v>30</v>
      </c>
      <c r="K63" s="107">
        <f t="shared" si="0"/>
        <v>5300</v>
      </c>
      <c r="L63" s="108">
        <v>5300</v>
      </c>
      <c r="M63" s="107">
        <f>Table6[[#This Row],[مرتب الضمان]]*17%</f>
        <v>901.00000000000011</v>
      </c>
      <c r="N63" s="107">
        <f>' الشركه 2018'!$H63*35%</f>
        <v>1854.9999999999998</v>
      </c>
      <c r="O63" s="107">
        <f>' الشركه 2018'!$H63*32%</f>
        <v>1696</v>
      </c>
      <c r="P63" s="107">
        <f>' الشركه 2018'!$H63*12%</f>
        <v>636</v>
      </c>
      <c r="Q63" s="107">
        <f>' الشركه 2018'!$H63*13%</f>
        <v>689</v>
      </c>
      <c r="R63" s="107">
        <f>' الشركه 2018'!$H63*6%</f>
        <v>318</v>
      </c>
      <c r="S63" s="107">
        <f>' الشركه 2018'!$H63*2%</f>
        <v>106</v>
      </c>
      <c r="T63" s="107">
        <f>' الشركه 2018'!$O63+' الشركه 2018'!$P63+' الشركه 2018'!$Q63+' الشركه 2018'!$R63+' الشركه 2018'!$S63</f>
        <v>3445</v>
      </c>
      <c r="U63" s="109">
        <f>VLOOKUP(Table6[[#This Row],[الرقم الوظيفى]],[2]بالخصم!$B$1:$AK$1200,35,)</f>
        <v>0</v>
      </c>
      <c r="V63" s="147"/>
      <c r="W63" s="111">
        <f>Table6[[#This Row],[عدد ايام الاجازه]]*Table6[[#This Row],[ح راتب اليوم]]</f>
        <v>0</v>
      </c>
      <c r="X63" s="148"/>
      <c r="Y63" s="60"/>
      <c r="Z63" s="111">
        <f>Table6[[#This Row],[عدد ايام الجزاء]]*Table6[[#This Row],[ح راتب اليوم]]</f>
        <v>0</v>
      </c>
      <c r="AA63" s="112">
        <f>Table6[[#This Row],[مرتب]]*50%</f>
        <v>2650</v>
      </c>
      <c r="AB63" s="113" t="e">
        <f>VLOOKUP(Table6[[#This Row],[الرقم الوظيفى]],[3]!Table25289[#Data],23,)</f>
        <v>#REF!</v>
      </c>
      <c r="AC63" s="149">
        <v>1000</v>
      </c>
      <c r="AD63" s="150"/>
      <c r="AE63" s="113" t="e">
        <f>VLOOKUP(Table6[[#This Row],[الرقم الوظيفى]],[3]!Table252894[#Data],22,)</f>
        <v>#REF!</v>
      </c>
      <c r="AF63" s="151"/>
      <c r="AG63" s="111">
        <f>' الشركه 2018'!$W63+' الشركه 2018'!$Z63+' الشركه 2018'!$AA63+' الشركه 2018'!$AC63+' الشركه 2018'!$AD63+' الشركه 2018'!$AF63</f>
        <v>3650</v>
      </c>
      <c r="AH63" s="111">
        <f>Table6[[#This Row],[راتب الضمان]]*8%</f>
        <v>424</v>
      </c>
      <c r="AI63" s="111">
        <f>' الشركه 2018'!$H63-' الشركه 2018'!$AG63-' الشركه 2018'!$AH63</f>
        <v>1226</v>
      </c>
      <c r="AJ63" s="111">
        <f>' الشركه 2018'!$CF63</f>
        <v>0</v>
      </c>
      <c r="AK63" s="117">
        <f>' الشركه 2018'!$AI63+' الشركه 2018'!$AJ63</f>
        <v>1226</v>
      </c>
      <c r="AL63" s="152"/>
      <c r="AM63" s="153"/>
      <c r="AN63" s="9">
        <f>Table6[[#This Row],[اجمالى الاستحقاق]]-Table6[[#This Row],[Column2]]+Table6[[#This Row],[حوافز غير مستقره]]</f>
        <v>1226</v>
      </c>
      <c r="AO63" s="59"/>
      <c r="AP63" s="169"/>
      <c r="AQ63" s="176"/>
      <c r="AR63" s="124"/>
      <c r="AS63" s="155"/>
      <c r="AT63" s="170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  <c r="BN63" s="124"/>
      <c r="BO63" s="124"/>
      <c r="BP63" s="124"/>
      <c r="BQ63" s="124"/>
      <c r="BR63" s="124"/>
      <c r="BS63" s="124"/>
      <c r="BT63" s="124"/>
      <c r="BU63" s="124"/>
      <c r="BV63" s="124"/>
      <c r="BW63" s="124"/>
      <c r="BX63" s="124"/>
      <c r="BY63" s="124"/>
      <c r="BZ63" s="171"/>
      <c r="CA63" s="172"/>
      <c r="CB6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3" s="131">
        <f>' الشركه 2018'!$H63*67%*1.5*' الشركه 2018'!$CB63/208</f>
        <v>0</v>
      </c>
      <c r="CE63" s="132">
        <f>' الشركه 2018'!$H63*67%*2*' الشركه 2018'!$CC63/208</f>
        <v>0</v>
      </c>
      <c r="CF63" s="133">
        <f>' الشركه 2018'!$CD63+' الشركه 2018'!$CE63</f>
        <v>0</v>
      </c>
      <c r="CG63" s="124"/>
      <c r="CH63" s="177">
        <f>SUMIF(C63:C259,' الشركه 2018'!$CG62,L63:L259)</f>
        <v>0</v>
      </c>
      <c r="CI63" s="124"/>
      <c r="CJ63" s="177">
        <f>' الشركه 2018'!$CH62*' الشركه 2018'!$CI62</f>
        <v>0</v>
      </c>
      <c r="CK63" s="177">
        <f>' الشركه 2018'!$CJ62*8%</f>
        <v>0</v>
      </c>
      <c r="CL63" s="177">
        <f>' الشركه 2018'!$CJ62*17%</f>
        <v>0</v>
      </c>
      <c r="CM63" s="177">
        <f>' الشركه 2018'!$CJ62*25%</f>
        <v>0</v>
      </c>
      <c r="CN63" s="162"/>
      <c r="CO63" s="162"/>
      <c r="CP63" s="163">
        <v>500</v>
      </c>
      <c r="CQ63" s="164" t="e">
        <f>VLOOKUP(Table6[[#This Row],[الرقم الوظيفى]],[4]!Table3[#Data],26,FALSE)</f>
        <v>#REF!</v>
      </c>
      <c r="CR63" s="165">
        <v>500</v>
      </c>
      <c r="CS63" s="124"/>
    </row>
    <row r="64" spans="1:97" ht="28" customHeight="1" thickTop="1" thickBot="1">
      <c r="A64" s="167">
        <v>140</v>
      </c>
      <c r="B64" s="142" t="s">
        <v>228</v>
      </c>
      <c r="C64" s="59" t="s">
        <v>90</v>
      </c>
      <c r="D64" s="143" t="s">
        <v>74</v>
      </c>
      <c r="E64" s="174" t="s">
        <v>622</v>
      </c>
      <c r="F64" s="143" t="s">
        <v>205</v>
      </c>
      <c r="G64" s="145">
        <v>40926</v>
      </c>
      <c r="H64" s="146">
        <v>4260</v>
      </c>
      <c r="I64" s="106">
        <f>Table6[[#This Row],[مرتب]]/30</f>
        <v>142</v>
      </c>
      <c r="J64" s="107">
        <v>30</v>
      </c>
      <c r="K64" s="107">
        <f t="shared" si="0"/>
        <v>0</v>
      </c>
      <c r="L64" s="108">
        <v>0</v>
      </c>
      <c r="M64" s="107">
        <f>Table6[[#This Row],[مرتب الضمان]]*17%</f>
        <v>0</v>
      </c>
      <c r="N64" s="107">
        <f>' الشركه 2018'!$H64*35%</f>
        <v>1491</v>
      </c>
      <c r="O64" s="107">
        <f>' الشركه 2018'!$H64*32%</f>
        <v>1363.2</v>
      </c>
      <c r="P64" s="107">
        <f>' الشركه 2018'!$H64*12%</f>
        <v>511.2</v>
      </c>
      <c r="Q64" s="107">
        <f>' الشركه 2018'!$H64*13%</f>
        <v>553.80000000000007</v>
      </c>
      <c r="R64" s="107">
        <f>' الشركه 2018'!$H64*6%</f>
        <v>255.6</v>
      </c>
      <c r="S64" s="107">
        <f>' الشركه 2018'!$H64*2%</f>
        <v>85.2</v>
      </c>
      <c r="T64" s="107">
        <f>' الشركه 2018'!$O64+' الشركه 2018'!$P64+' الشركه 2018'!$Q64+' الشركه 2018'!$R64+' الشركه 2018'!$S64</f>
        <v>2769</v>
      </c>
      <c r="U64" s="109">
        <f>VLOOKUP(Table6[[#This Row],[الرقم الوظيفى]],[2]بالخصم!$B$1:$AK$1200,35,)</f>
        <v>0</v>
      </c>
      <c r="V64" s="147"/>
      <c r="W64" s="111">
        <f>Table6[[#This Row],[عدد ايام الاجازه]]*Table6[[#This Row],[ح راتب اليوم]]</f>
        <v>0</v>
      </c>
      <c r="X64" s="148"/>
      <c r="Y64" s="60"/>
      <c r="Z64" s="111">
        <f>Table6[[#This Row],[عدد ايام الجزاء]]*Table6[[#This Row],[ح راتب اليوم]]</f>
        <v>0</v>
      </c>
      <c r="AA64" s="112">
        <f>Table6[[#This Row],[مرتب]]*50%</f>
        <v>2130</v>
      </c>
      <c r="AB64" s="113" t="e">
        <f>VLOOKUP(Table6[[#This Row],[الرقم الوظيفى]],[3]!Table25289[#Data],23,)</f>
        <v>#REF!</v>
      </c>
      <c r="AC64" s="149"/>
      <c r="AD64" s="168"/>
      <c r="AE64" s="113" t="e">
        <f>VLOOKUP(Table6[[#This Row],[الرقم الوظيفى]],[3]!Table252894[#Data],22,)</f>
        <v>#REF!</v>
      </c>
      <c r="AF64" s="151"/>
      <c r="AG64" s="111">
        <f>' الشركه 2018'!$W64+' الشركه 2018'!$Z64+' الشركه 2018'!$AA64+' الشركه 2018'!$AC64+' الشركه 2018'!$AD64+' الشركه 2018'!$AF64</f>
        <v>2130</v>
      </c>
      <c r="AH64" s="111">
        <f>Table6[[#This Row],[راتب الضمان]]*8%</f>
        <v>0</v>
      </c>
      <c r="AI64" s="111">
        <f>' الشركه 2018'!$H64-' الشركه 2018'!$AG64-' الشركه 2018'!$AH64</f>
        <v>2130</v>
      </c>
      <c r="AJ64" s="111">
        <f>' الشركه 2018'!$CF64</f>
        <v>0</v>
      </c>
      <c r="AK64" s="117">
        <f>' الشركه 2018'!$AI64+' الشركه 2018'!$AJ64</f>
        <v>2130</v>
      </c>
      <c r="AL64" s="152"/>
      <c r="AM64" s="153"/>
      <c r="AN64" s="9">
        <f>Table6[[#This Row],[اجمالى الاستحقاق]]-Table6[[#This Row],[Column2]]+Table6[[#This Row],[حوافز غير مستقره]]</f>
        <v>2130</v>
      </c>
      <c r="AO64" s="59"/>
      <c r="AP64" s="169"/>
      <c r="AQ64" s="176"/>
      <c r="AR64" s="124"/>
      <c r="AS64" s="155"/>
      <c r="AT64" s="170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  <c r="BN64" s="124"/>
      <c r="BO64" s="124"/>
      <c r="BP64" s="124"/>
      <c r="BQ64" s="124"/>
      <c r="BR64" s="124"/>
      <c r="BS64" s="124"/>
      <c r="BT64" s="124"/>
      <c r="BU64" s="124"/>
      <c r="BV64" s="124"/>
      <c r="BW64" s="124"/>
      <c r="BX64" s="124"/>
      <c r="BY64" s="124"/>
      <c r="BZ64" s="171"/>
      <c r="CA64" s="172"/>
      <c r="CB6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4" s="131">
        <f>' الشركه 2018'!$H64*67%*1.5*' الشركه 2018'!$CB64/208</f>
        <v>0</v>
      </c>
      <c r="CE64" s="132">
        <f>' الشركه 2018'!$H64*67%*2*' الشركه 2018'!$CC64/208</f>
        <v>0</v>
      </c>
      <c r="CF64" s="133">
        <f>' الشركه 2018'!$CD64+' الشركه 2018'!$CE64</f>
        <v>0</v>
      </c>
      <c r="CG64" s="124"/>
      <c r="CH64" s="177">
        <f>SUMIF(C64:C310,' الشركه 2018'!$CG63,L64:L310)</f>
        <v>0</v>
      </c>
      <c r="CI64" s="124"/>
      <c r="CJ64" s="177">
        <f>' الشركه 2018'!$CH63*' الشركه 2018'!$CI63</f>
        <v>0</v>
      </c>
      <c r="CK64" s="177">
        <f>' الشركه 2018'!$CJ63*8%</f>
        <v>0</v>
      </c>
      <c r="CL64" s="177">
        <f>' الشركه 2018'!$CJ63*17%</f>
        <v>0</v>
      </c>
      <c r="CM64" s="177">
        <f>' الشركه 2018'!$CJ63*25%</f>
        <v>0</v>
      </c>
      <c r="CN64" s="162"/>
      <c r="CO64" s="162"/>
      <c r="CP64" s="163">
        <v>300</v>
      </c>
      <c r="CQ64" s="164" t="e">
        <f>VLOOKUP(Table6[[#This Row],[الرقم الوظيفى]],[4]!Table3[#Data],26,FALSE)</f>
        <v>#REF!</v>
      </c>
      <c r="CR64" s="165">
        <v>300</v>
      </c>
      <c r="CS64" s="124"/>
    </row>
    <row r="65" spans="1:97" ht="28" customHeight="1" thickTop="1" thickBot="1">
      <c r="A65" s="173">
        <v>141</v>
      </c>
      <c r="B65" s="142" t="s">
        <v>97</v>
      </c>
      <c r="C65" s="59" t="s">
        <v>90</v>
      </c>
      <c r="D65" s="143" t="s">
        <v>77</v>
      </c>
      <c r="E65" s="174"/>
      <c r="F65" s="143" t="s">
        <v>109</v>
      </c>
      <c r="G65" s="145">
        <v>40892</v>
      </c>
      <c r="H65" s="146">
        <v>10220</v>
      </c>
      <c r="I65" s="106">
        <f>Table6[[#This Row],[مرتب]]/30</f>
        <v>340.66666666666669</v>
      </c>
      <c r="J65" s="107">
        <v>30</v>
      </c>
      <c r="K65" s="107">
        <f t="shared" si="0"/>
        <v>10220</v>
      </c>
      <c r="L65" s="108">
        <v>10220</v>
      </c>
      <c r="M65" s="107">
        <f>Table6[[#This Row],[مرتب الضمان]]*17%</f>
        <v>1737.4</v>
      </c>
      <c r="N65" s="107">
        <f>' الشركه 2018'!$H65*35%</f>
        <v>3577</v>
      </c>
      <c r="O65" s="107">
        <f>' الشركه 2018'!$H65*32%</f>
        <v>3270.4</v>
      </c>
      <c r="P65" s="107">
        <f>' الشركه 2018'!$H65*12%</f>
        <v>1226.3999999999999</v>
      </c>
      <c r="Q65" s="107">
        <f>' الشركه 2018'!$H65*13%</f>
        <v>1328.6000000000001</v>
      </c>
      <c r="R65" s="107">
        <f>' الشركه 2018'!$H65*6%</f>
        <v>613.19999999999993</v>
      </c>
      <c r="S65" s="107">
        <f>' الشركه 2018'!$H65*2%</f>
        <v>204.4</v>
      </c>
      <c r="T65" s="107">
        <f>' الشركه 2018'!$O65+' الشركه 2018'!$P65+' الشركه 2018'!$Q65+' الشركه 2018'!$R65+' الشركه 2018'!$S65</f>
        <v>6643</v>
      </c>
      <c r="U65" s="109">
        <f>VLOOKUP(Table6[[#This Row],[الرقم الوظيفى]],[2]بالخصم!$B$1:$AK$1200,35,)</f>
        <v>0</v>
      </c>
      <c r="V65" s="147"/>
      <c r="W65" s="111">
        <f>Table6[[#This Row],[عدد ايام الاجازه]]*Table6[[#This Row],[ح راتب اليوم]]</f>
        <v>0</v>
      </c>
      <c r="X65" s="148"/>
      <c r="Y65" s="60"/>
      <c r="Z65" s="111">
        <f>Table6[[#This Row],[عدد ايام الجزاء]]*Table6[[#This Row],[ح راتب اليوم]]</f>
        <v>0</v>
      </c>
      <c r="AA65" s="112">
        <f>Table6[[#This Row],[مرتب]]*50%</f>
        <v>5110</v>
      </c>
      <c r="AB65" s="113" t="e">
        <f>VLOOKUP(Table6[[#This Row],[الرقم الوظيفى]],[3]!Table25289[#Data],23,)</f>
        <v>#REF!</v>
      </c>
      <c r="AC65" s="149">
        <v>500</v>
      </c>
      <c r="AD65" s="150"/>
      <c r="AE65" s="113" t="e">
        <f>VLOOKUP(Table6[[#This Row],[الرقم الوظيفى]],[3]!Table252894[#Data],22,)</f>
        <v>#REF!</v>
      </c>
      <c r="AF65" s="151"/>
      <c r="AG65" s="111">
        <f>' الشركه 2018'!$W65+' الشركه 2018'!$Z65+' الشركه 2018'!$AA65+' الشركه 2018'!$AC65+' الشركه 2018'!$AD65+' الشركه 2018'!$AF65</f>
        <v>5610</v>
      </c>
      <c r="AH65" s="111">
        <f>Table6[[#This Row],[راتب الضمان]]*8%</f>
        <v>817.6</v>
      </c>
      <c r="AI65" s="111">
        <f>' الشركه 2018'!$H65-' الشركه 2018'!$AG65-' الشركه 2018'!$AH65</f>
        <v>3792.4</v>
      </c>
      <c r="AJ65" s="111">
        <f>' الشركه 2018'!$CF65</f>
        <v>0</v>
      </c>
      <c r="AK65" s="117">
        <f>' الشركه 2018'!$AI65+' الشركه 2018'!$AJ65</f>
        <v>3792.4</v>
      </c>
      <c r="AL65" s="152"/>
      <c r="AM65" s="153"/>
      <c r="AN65" s="9">
        <f>Table6[[#This Row],[اجمالى الاستحقاق]]-Table6[[#This Row],[Column2]]+Table6[[#This Row],[حوافز غير مستقره]]</f>
        <v>3792.4</v>
      </c>
      <c r="AO65" s="59"/>
      <c r="AP65" s="169"/>
      <c r="AQ65" s="176"/>
      <c r="AR65" s="124"/>
      <c r="AS65" s="155"/>
      <c r="AT65" s="170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  <c r="BN65" s="124"/>
      <c r="BO65" s="124"/>
      <c r="BP65" s="124"/>
      <c r="BQ65" s="124"/>
      <c r="BR65" s="124"/>
      <c r="BS65" s="124"/>
      <c r="BT65" s="124"/>
      <c r="BU65" s="124"/>
      <c r="BV65" s="124"/>
      <c r="BW65" s="124"/>
      <c r="BX65" s="124"/>
      <c r="BY65" s="124"/>
      <c r="BZ65" s="171"/>
      <c r="CA65" s="172"/>
      <c r="CB6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5" s="131">
        <f>' الشركه 2018'!$H65*67%*1.5*' الشركه 2018'!$CB65/208</f>
        <v>0</v>
      </c>
      <c r="CE65" s="132">
        <f>' الشركه 2018'!$H65*67%*2*' الشركه 2018'!$CC65/208</f>
        <v>0</v>
      </c>
      <c r="CF65" s="133">
        <f>' الشركه 2018'!$CD65+' الشركه 2018'!$CE65</f>
        <v>0</v>
      </c>
      <c r="CG65" s="124"/>
      <c r="CH65" s="177">
        <f>SUMIF(C65:C355,' الشركه 2018'!$CG64,L65:L355)</f>
        <v>0</v>
      </c>
      <c r="CI65" s="124"/>
      <c r="CJ65" s="177">
        <f>' الشركه 2018'!$CH64*' الشركه 2018'!$CI64</f>
        <v>0</v>
      </c>
      <c r="CK65" s="177">
        <f>' الشركه 2018'!$CJ64*8%</f>
        <v>0</v>
      </c>
      <c r="CL65" s="177">
        <f>' الشركه 2018'!$CJ64*17%</f>
        <v>0</v>
      </c>
      <c r="CM65" s="177">
        <f>' الشركه 2018'!$CJ64*25%</f>
        <v>0</v>
      </c>
      <c r="CN65" s="162"/>
      <c r="CO65" s="162"/>
      <c r="CP65" s="163">
        <v>3000</v>
      </c>
      <c r="CQ65" s="164" t="e">
        <f>VLOOKUP(Table6[[#This Row],[الرقم الوظيفى]],[4]!Table3[#Data],26,FALSE)</f>
        <v>#REF!</v>
      </c>
      <c r="CR65" s="165">
        <v>3000</v>
      </c>
      <c r="CS65" s="124"/>
    </row>
    <row r="66" spans="1:97" ht="28" customHeight="1" thickTop="1" thickBot="1">
      <c r="A66" s="141">
        <v>144</v>
      </c>
      <c r="B66" s="142" t="s">
        <v>321</v>
      </c>
      <c r="C66" s="59" t="s">
        <v>90</v>
      </c>
      <c r="D66" s="143" t="s">
        <v>75</v>
      </c>
      <c r="E66" s="174"/>
      <c r="F66" s="143" t="s">
        <v>657</v>
      </c>
      <c r="G66" s="145">
        <v>40936</v>
      </c>
      <c r="H66" s="146">
        <v>3220</v>
      </c>
      <c r="I66" s="106">
        <f>Table6[[#This Row],[مرتب]]/30</f>
        <v>107.33333333333333</v>
      </c>
      <c r="J66" s="107">
        <v>30</v>
      </c>
      <c r="K66" s="107">
        <f t="shared" si="0"/>
        <v>3220</v>
      </c>
      <c r="L66" s="108">
        <v>3220</v>
      </c>
      <c r="M66" s="107">
        <f>Table6[[#This Row],[مرتب الضمان]]*17%</f>
        <v>547.40000000000009</v>
      </c>
      <c r="N66" s="107">
        <f>' الشركه 2018'!$H66*35%</f>
        <v>1127</v>
      </c>
      <c r="O66" s="107">
        <f>' الشركه 2018'!$H66*32%</f>
        <v>1030.4000000000001</v>
      </c>
      <c r="P66" s="107">
        <f>' الشركه 2018'!$H66*12%</f>
        <v>386.4</v>
      </c>
      <c r="Q66" s="107">
        <f>' الشركه 2018'!$H66*13%</f>
        <v>418.6</v>
      </c>
      <c r="R66" s="107">
        <f>' الشركه 2018'!$H66*6%</f>
        <v>193.2</v>
      </c>
      <c r="S66" s="107">
        <f>' الشركه 2018'!$H66*2%</f>
        <v>64.400000000000006</v>
      </c>
      <c r="T66" s="107">
        <f>' الشركه 2018'!$O66+' الشركه 2018'!$P66+' الشركه 2018'!$Q66+' الشركه 2018'!$R66+' الشركه 2018'!$S66</f>
        <v>2093</v>
      </c>
      <c r="U66" s="109">
        <f>VLOOKUP(Table6[[#This Row],[الرقم الوظيفى]],[2]بالخصم!$B$1:$AK$1200,35,)</f>
        <v>0</v>
      </c>
      <c r="V66" s="147"/>
      <c r="W66" s="111">
        <f>Table6[[#This Row],[عدد ايام الاجازه]]*Table6[[#This Row],[ح راتب اليوم]]</f>
        <v>0</v>
      </c>
      <c r="X66" s="148"/>
      <c r="Y66" s="60"/>
      <c r="Z66" s="111">
        <f>Table6[[#This Row],[عدد ايام الجزاء]]*Table6[[#This Row],[ح راتب اليوم]]</f>
        <v>0</v>
      </c>
      <c r="AA66" s="112">
        <f>Table6[[#This Row],[مرتب]]*50%</f>
        <v>1610</v>
      </c>
      <c r="AB66" s="113" t="e">
        <f>VLOOKUP(Table6[[#This Row],[الرقم الوظيفى]],[3]!Table25289[#Data],23,)</f>
        <v>#REF!</v>
      </c>
      <c r="AC66" s="149">
        <v>500</v>
      </c>
      <c r="AD66" s="150"/>
      <c r="AE66" s="113" t="e">
        <f>VLOOKUP(Table6[[#This Row],[الرقم الوظيفى]],[3]!Table252894[#Data],22,)</f>
        <v>#REF!</v>
      </c>
      <c r="AF66" s="151"/>
      <c r="AG66" s="111">
        <f>' الشركه 2018'!$W66+' الشركه 2018'!$Z66+' الشركه 2018'!$AA66+' الشركه 2018'!$AC66+' الشركه 2018'!$AD66+' الشركه 2018'!$AF66</f>
        <v>2110</v>
      </c>
      <c r="AH66" s="111">
        <f>Table6[[#This Row],[راتب الضمان]]*8%</f>
        <v>257.60000000000002</v>
      </c>
      <c r="AI66" s="111">
        <f>' الشركه 2018'!$H66-' الشركه 2018'!$AG66-' الشركه 2018'!$AH66</f>
        <v>852.4</v>
      </c>
      <c r="AJ66" s="111">
        <f>' الشركه 2018'!$CF66</f>
        <v>0</v>
      </c>
      <c r="AK66" s="117">
        <f>' الشركه 2018'!$AI66+' الشركه 2018'!$AJ66</f>
        <v>852.4</v>
      </c>
      <c r="AL66" s="152"/>
      <c r="AM66" s="153"/>
      <c r="AN66" s="9">
        <f>Table6[[#This Row],[اجمالى الاستحقاق]]-Table6[[#This Row],[Column2]]+Table6[[#This Row],[حوافز غير مستقره]]</f>
        <v>852.4</v>
      </c>
      <c r="AO66" s="59"/>
      <c r="AP66" s="169"/>
      <c r="AQ66" s="176"/>
      <c r="AR66" s="124"/>
      <c r="AS66" s="155"/>
      <c r="AT66" s="170"/>
      <c r="AU66" s="124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  <c r="BN66" s="124"/>
      <c r="BO66" s="124"/>
      <c r="BP66" s="124"/>
      <c r="BQ66" s="124"/>
      <c r="BR66" s="124"/>
      <c r="BS66" s="124"/>
      <c r="BT66" s="124"/>
      <c r="BU66" s="124"/>
      <c r="BV66" s="124"/>
      <c r="BW66" s="124"/>
      <c r="BX66" s="124"/>
      <c r="BY66" s="124"/>
      <c r="BZ66" s="171"/>
      <c r="CA66" s="172"/>
      <c r="CB6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6" s="131">
        <f>' الشركه 2018'!$H66*67%*1.5*' الشركه 2018'!$CB66/208</f>
        <v>0</v>
      </c>
      <c r="CE66" s="132">
        <f>' الشركه 2018'!$H66*67%*2*' الشركه 2018'!$CC66/208</f>
        <v>0</v>
      </c>
      <c r="CF66" s="133">
        <f>' الشركه 2018'!$CD66+' الشركه 2018'!$CE66</f>
        <v>0</v>
      </c>
      <c r="CG66" s="124"/>
      <c r="CH66" s="177">
        <f>SUMIF(C66:C318,' الشركه 2018'!$CG65,L66:L318)</f>
        <v>0</v>
      </c>
      <c r="CI66" s="124"/>
      <c r="CJ66" s="177">
        <f>' الشركه 2018'!$CH65*' الشركه 2018'!$CI65</f>
        <v>0</v>
      </c>
      <c r="CK66" s="177">
        <f>' الشركه 2018'!$CJ65*8%</f>
        <v>0</v>
      </c>
      <c r="CL66" s="177">
        <f>' الشركه 2018'!$CJ65*17%</f>
        <v>0</v>
      </c>
      <c r="CM66" s="177">
        <f>' الشركه 2018'!$CJ65*25%</f>
        <v>0</v>
      </c>
      <c r="CN66" s="162"/>
      <c r="CO66" s="162"/>
      <c r="CP66" s="163">
        <v>600</v>
      </c>
      <c r="CQ66" s="164" t="e">
        <f>VLOOKUP(Table6[[#This Row],[الرقم الوظيفى]],[4]!Table3[#Data],26,FALSE)</f>
        <v>#REF!</v>
      </c>
      <c r="CR66" s="165">
        <v>1000</v>
      </c>
      <c r="CS66" s="124"/>
    </row>
    <row r="67" spans="1:97" ht="28" customHeight="1" thickTop="1" thickBot="1">
      <c r="A67" s="209">
        <v>147</v>
      </c>
      <c r="B67" s="142" t="s">
        <v>354</v>
      </c>
      <c r="C67" s="59" t="s">
        <v>90</v>
      </c>
      <c r="D67" s="143" t="s">
        <v>79</v>
      </c>
      <c r="E67" s="174"/>
      <c r="F67" s="143" t="s">
        <v>351</v>
      </c>
      <c r="G67" s="145">
        <v>42583</v>
      </c>
      <c r="H67" s="210">
        <v>4190</v>
      </c>
      <c r="I67" s="211">
        <f>Table6[[#This Row],[مرتب]]/30</f>
        <v>139.66666666666666</v>
      </c>
      <c r="J67" s="107">
        <v>30</v>
      </c>
      <c r="K67" s="107">
        <f t="shared" si="0"/>
        <v>4190</v>
      </c>
      <c r="L67" s="212">
        <v>4190</v>
      </c>
      <c r="M67" s="107">
        <f>Table6[[#This Row],[مرتب الضمان]]*17%</f>
        <v>712.30000000000007</v>
      </c>
      <c r="N67" s="107">
        <f>' الشركه 2018'!$H67*35%</f>
        <v>1466.5</v>
      </c>
      <c r="O67" s="107">
        <f>' الشركه 2018'!$H67*32%</f>
        <v>1340.8</v>
      </c>
      <c r="P67" s="107">
        <f>' الشركه 2018'!$H67*12%</f>
        <v>502.79999999999995</v>
      </c>
      <c r="Q67" s="107">
        <f>' الشركه 2018'!$H67*13%</f>
        <v>544.70000000000005</v>
      </c>
      <c r="R67" s="107">
        <f>' الشركه 2018'!$H67*6%</f>
        <v>251.39999999999998</v>
      </c>
      <c r="S67" s="107">
        <f>' الشركه 2018'!$H67*2%</f>
        <v>83.8</v>
      </c>
      <c r="T67" s="107">
        <f>' الشركه 2018'!$O67+' الشركه 2018'!$P67+' الشركه 2018'!$Q67+' الشركه 2018'!$R67+' الشركه 2018'!$S67</f>
        <v>2723.5000000000005</v>
      </c>
      <c r="U67" s="109">
        <f>VLOOKUP(Table6[[#This Row],[الرقم الوظيفى]],[2]بالخصم!$B$1:$AK$1200,35,)</f>
        <v>0</v>
      </c>
      <c r="V67" s="213"/>
      <c r="W67" s="111">
        <f>Table6[[#This Row],[عدد ايام الاجازه]]*Table6[[#This Row],[ح راتب اليوم]]</f>
        <v>0</v>
      </c>
      <c r="X67" s="148"/>
      <c r="Y67" s="214"/>
      <c r="Z67" s="111">
        <f>Table6[[#This Row],[عدد ايام الجزاء]]*Table6[[#This Row],[ح راتب اليوم]]</f>
        <v>0</v>
      </c>
      <c r="AA67" s="112">
        <f>Table6[[#This Row],[مرتب]]*50%</f>
        <v>2095</v>
      </c>
      <c r="AB67" s="113" t="e">
        <f>VLOOKUP(Table6[[#This Row],[الرقم الوظيفى]],[3]!Table25289[#Data],23,)</f>
        <v>#REF!</v>
      </c>
      <c r="AC67" s="215"/>
      <c r="AD67" s="206"/>
      <c r="AE67" s="113" t="e">
        <f>VLOOKUP(Table6[[#This Row],[الرقم الوظيفى]],[3]!Table252894[#Data],22,)</f>
        <v>#REF!</v>
      </c>
      <c r="AF67" s="179"/>
      <c r="AG67" s="111">
        <f>' الشركه 2018'!$W67+' الشركه 2018'!$Z67+' الشركه 2018'!$AA67+' الشركه 2018'!$AC67+' الشركه 2018'!$AD67+' الشركه 2018'!$AF67</f>
        <v>2095</v>
      </c>
      <c r="AH67" s="111">
        <f>Table6[[#This Row],[راتب الضمان]]*8%</f>
        <v>335.2</v>
      </c>
      <c r="AI67" s="111">
        <f>' الشركه 2018'!$H67-' الشركه 2018'!$AG67-' الشركه 2018'!$AH67</f>
        <v>1759.8</v>
      </c>
      <c r="AJ67" s="111">
        <f>' الشركه 2018'!$CF67</f>
        <v>0</v>
      </c>
      <c r="AK67" s="117">
        <f>' الشركه 2018'!$AI67+' الشركه 2018'!$AJ67</f>
        <v>1759.8</v>
      </c>
      <c r="AL67" s="152"/>
      <c r="AM67" s="153"/>
      <c r="AN67" s="9">
        <f>Table6[[#This Row],[اجمالى الاستحقاق]]-Table6[[#This Row],[Column2]]+Table6[[#This Row],[حوافز غير مستقره]]</f>
        <v>1759.8</v>
      </c>
      <c r="AO67" s="201"/>
      <c r="AP67" s="169"/>
      <c r="AQ67" s="176"/>
      <c r="AR67" s="124"/>
      <c r="AS67" s="155"/>
      <c r="AT67" s="170"/>
      <c r="AU67" s="124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4"/>
      <c r="BG67" s="124"/>
      <c r="BH67" s="124"/>
      <c r="BI67" s="124"/>
      <c r="BJ67" s="124"/>
      <c r="BK67" s="124"/>
      <c r="BL67" s="124"/>
      <c r="BM67" s="124"/>
      <c r="BN67" s="124"/>
      <c r="BO67" s="124"/>
      <c r="BP67" s="124"/>
      <c r="BQ67" s="124"/>
      <c r="BR67" s="124"/>
      <c r="BS67" s="124"/>
      <c r="BT67" s="124"/>
      <c r="BU67" s="124"/>
      <c r="BV67" s="124"/>
      <c r="BW67" s="124"/>
      <c r="BX67" s="124"/>
      <c r="BY67" s="124"/>
      <c r="BZ67" s="171"/>
      <c r="CA67" s="172"/>
      <c r="CB6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7" s="131">
        <f>' الشركه 2018'!$H67*67%*1.5*' الشركه 2018'!$CB67/208</f>
        <v>0</v>
      </c>
      <c r="CE67" s="132">
        <f>' الشركه 2018'!$H67*67%*2*' الشركه 2018'!$CC67/208</f>
        <v>0</v>
      </c>
      <c r="CF67" s="133">
        <f>' الشركه 2018'!$CD67+' الشركه 2018'!$CE67</f>
        <v>0</v>
      </c>
      <c r="CG67" s="216"/>
      <c r="CH67" s="217">
        <f>SUMIF(C67:C319,' الشركه 2018'!$CG66,L67:L319)</f>
        <v>0</v>
      </c>
      <c r="CI67" s="216"/>
      <c r="CJ67" s="217">
        <f>' الشركه 2018'!$CH66*' الشركه 2018'!$CI66</f>
        <v>0</v>
      </c>
      <c r="CK67" s="217">
        <f>' الشركه 2018'!$CJ66*8%</f>
        <v>0</v>
      </c>
      <c r="CL67" s="217">
        <f>' الشركه 2018'!$CJ66*17%</f>
        <v>0</v>
      </c>
      <c r="CM67" s="217">
        <f>' الشركه 2018'!$CJ66*25%</f>
        <v>0</v>
      </c>
      <c r="CN67" s="162"/>
      <c r="CO67" s="162"/>
      <c r="CP67" s="163"/>
      <c r="CQ67" s="164" t="e">
        <f>VLOOKUP(Table6[[#This Row],[الرقم الوظيفى]],[4]!Table3[#Data],26,FALSE)</f>
        <v>#REF!</v>
      </c>
      <c r="CR67" s="165"/>
      <c r="CS67" s="124"/>
    </row>
    <row r="68" spans="1:97" ht="28" customHeight="1" thickTop="1" thickBot="1">
      <c r="A68" s="178">
        <v>151</v>
      </c>
      <c r="B68" s="142" t="s">
        <v>316</v>
      </c>
      <c r="C68" s="59" t="s">
        <v>90</v>
      </c>
      <c r="D68" s="143" t="s">
        <v>75</v>
      </c>
      <c r="E68" s="174"/>
      <c r="F68" s="143" t="s">
        <v>657</v>
      </c>
      <c r="G68" s="145">
        <v>40947</v>
      </c>
      <c r="H68" s="146">
        <v>4240</v>
      </c>
      <c r="I68" s="106">
        <f>Table6[[#This Row],[مرتب]]/30</f>
        <v>141.33333333333334</v>
      </c>
      <c r="J68" s="107">
        <v>30</v>
      </c>
      <c r="K68" s="107">
        <f t="shared" ref="K68:K129" si="1">L68/30*J68</f>
        <v>4240</v>
      </c>
      <c r="L68" s="108">
        <v>4240</v>
      </c>
      <c r="M68" s="107">
        <f>Table6[[#This Row],[مرتب الضمان]]*17%</f>
        <v>720.80000000000007</v>
      </c>
      <c r="N68" s="107">
        <f>' الشركه 2018'!$H68*35%</f>
        <v>1484</v>
      </c>
      <c r="O68" s="107">
        <f>' الشركه 2018'!$H68*32%</f>
        <v>1356.8</v>
      </c>
      <c r="P68" s="107">
        <f>' الشركه 2018'!$H68*12%</f>
        <v>508.79999999999995</v>
      </c>
      <c r="Q68" s="107">
        <f>' الشركه 2018'!$H68*13%</f>
        <v>551.20000000000005</v>
      </c>
      <c r="R68" s="107">
        <f>' الشركه 2018'!$H68*6%</f>
        <v>254.39999999999998</v>
      </c>
      <c r="S68" s="107">
        <f>' الشركه 2018'!$H68*2%</f>
        <v>84.8</v>
      </c>
      <c r="T68" s="107">
        <f>' الشركه 2018'!$O68+' الشركه 2018'!$P68+' الشركه 2018'!$Q68+' الشركه 2018'!$R68+' الشركه 2018'!$S68</f>
        <v>2756.0000000000005</v>
      </c>
      <c r="U68" s="109">
        <f>VLOOKUP(Table6[[#This Row],[الرقم الوظيفى]],[2]بالخصم!$B$1:$AK$1200,35,)</f>
        <v>0</v>
      </c>
      <c r="V68" s="147"/>
      <c r="W68" s="111">
        <f>Table6[[#This Row],[عدد ايام الاجازه]]*Table6[[#This Row],[ح راتب اليوم]]</f>
        <v>0</v>
      </c>
      <c r="X68" s="148"/>
      <c r="Y68" s="60"/>
      <c r="Z68" s="111">
        <f>Table6[[#This Row],[عدد ايام الجزاء]]*Table6[[#This Row],[ح راتب اليوم]]</f>
        <v>0</v>
      </c>
      <c r="AA68" s="112">
        <f>Table6[[#This Row],[مرتب]]*50%</f>
        <v>2120</v>
      </c>
      <c r="AB68" s="113" t="e">
        <f>VLOOKUP(Table6[[#This Row],[الرقم الوظيفى]],[3]!Table25289[#Data],23,)</f>
        <v>#REF!</v>
      </c>
      <c r="AC68" s="149"/>
      <c r="AD68" s="150"/>
      <c r="AE68" s="113" t="e">
        <f>VLOOKUP(Table6[[#This Row],[الرقم الوظيفى]],[3]!Table252894[#Data],22,)</f>
        <v>#REF!</v>
      </c>
      <c r="AF68" s="151"/>
      <c r="AG68" s="111">
        <f>' الشركه 2018'!$W68+' الشركه 2018'!$Z68+' الشركه 2018'!$AA68+' الشركه 2018'!$AC68+' الشركه 2018'!$AD68+' الشركه 2018'!$AF68</f>
        <v>2120</v>
      </c>
      <c r="AH68" s="111">
        <f>Table6[[#This Row],[راتب الضمان]]*8%</f>
        <v>339.2</v>
      </c>
      <c r="AI68" s="111">
        <f>' الشركه 2018'!$H68-' الشركه 2018'!$AG68-' الشركه 2018'!$AH68</f>
        <v>1780.8</v>
      </c>
      <c r="AJ68" s="111">
        <f>' الشركه 2018'!$CF68</f>
        <v>327.78461538461545</v>
      </c>
      <c r="AK68" s="117">
        <f>' الشركه 2018'!$AI68+' الشركه 2018'!$AJ68</f>
        <v>2108.5846153846155</v>
      </c>
      <c r="AL68" s="152"/>
      <c r="AM68" s="153"/>
      <c r="AN68" s="9">
        <f>Table6[[#This Row],[اجمالى الاستحقاق]]-Table6[[#This Row],[Column2]]+Table6[[#This Row],[حوافز غير مستقره]]</f>
        <v>2108.5846153846155</v>
      </c>
      <c r="AO68" s="59"/>
      <c r="AP68" s="169"/>
      <c r="AQ68" s="176"/>
      <c r="AR68" s="124"/>
      <c r="AS68" s="155"/>
      <c r="AT68" s="170"/>
      <c r="AU68" s="124"/>
      <c r="AV68" s="124">
        <v>12</v>
      </c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  <c r="BR68" s="124"/>
      <c r="BS68" s="124"/>
      <c r="BT68" s="124"/>
      <c r="BU68" s="124"/>
      <c r="BV68" s="124"/>
      <c r="BW68" s="124"/>
      <c r="BX68" s="124"/>
      <c r="BY68" s="124"/>
      <c r="BZ68" s="171"/>
      <c r="CA68" s="172"/>
      <c r="CB6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8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68" s="131">
        <f>' الشركه 2018'!$H68*67%*1.5*' الشركه 2018'!$CB68/208</f>
        <v>0</v>
      </c>
      <c r="CE68" s="132">
        <f>' الشركه 2018'!$H68*67%*2*' الشركه 2018'!$CC68/208</f>
        <v>327.78461538461545</v>
      </c>
      <c r="CF68" s="133">
        <f>' الشركه 2018'!$CD68+' الشركه 2018'!$CE68</f>
        <v>327.78461538461545</v>
      </c>
      <c r="CG68" s="124"/>
      <c r="CH68" s="177">
        <f>SUMIF(C68:C320,' الشركه 2018'!$CG67,L68:L320)</f>
        <v>0</v>
      </c>
      <c r="CI68" s="124"/>
      <c r="CJ68" s="177">
        <f>' الشركه 2018'!$CH67*' الشركه 2018'!$CI67</f>
        <v>0</v>
      </c>
      <c r="CK68" s="177">
        <f>' الشركه 2018'!$CJ67*8%</f>
        <v>0</v>
      </c>
      <c r="CL68" s="177">
        <f>' الشركه 2018'!$CJ67*17%</f>
        <v>0</v>
      </c>
      <c r="CM68" s="177">
        <f>' الشركه 2018'!$CJ67*25%</f>
        <v>0</v>
      </c>
      <c r="CN68" s="162"/>
      <c r="CO68" s="162"/>
      <c r="CP68" s="163">
        <v>500</v>
      </c>
      <c r="CQ68" s="164" t="e">
        <f>VLOOKUP(Table6[[#This Row],[الرقم الوظيفى]],[4]!Table3[#Data],26,FALSE)</f>
        <v>#REF!</v>
      </c>
      <c r="CR68" s="165">
        <v>700</v>
      </c>
      <c r="CS68" s="124"/>
    </row>
    <row r="69" spans="1:97" ht="28" customHeight="1" thickTop="1" thickBot="1">
      <c r="A69" s="178">
        <v>168</v>
      </c>
      <c r="B69" s="142" t="s">
        <v>399</v>
      </c>
      <c r="C69" s="59" t="s">
        <v>90</v>
      </c>
      <c r="D69" s="143" t="s">
        <v>81</v>
      </c>
      <c r="E69" s="174" t="s">
        <v>633</v>
      </c>
      <c r="F69" s="143" t="s">
        <v>634</v>
      </c>
      <c r="G69" s="145">
        <v>40982</v>
      </c>
      <c r="H69" s="146">
        <v>4230</v>
      </c>
      <c r="I69" s="106">
        <f>Table6[[#This Row],[مرتب]]/30</f>
        <v>141</v>
      </c>
      <c r="J69" s="107">
        <v>30</v>
      </c>
      <c r="K69" s="107">
        <f t="shared" si="1"/>
        <v>4230</v>
      </c>
      <c r="L69" s="108">
        <v>4230</v>
      </c>
      <c r="M69" s="107">
        <f>Table6[[#This Row],[مرتب الضمان]]*17%</f>
        <v>719.1</v>
      </c>
      <c r="N69" s="107">
        <f>' الشركه 2018'!$H69*35%</f>
        <v>1480.5</v>
      </c>
      <c r="O69" s="107">
        <f>' الشركه 2018'!$H69*32%</f>
        <v>1353.6000000000001</v>
      </c>
      <c r="P69" s="107">
        <f>' الشركه 2018'!$H69*12%</f>
        <v>507.59999999999997</v>
      </c>
      <c r="Q69" s="107">
        <f>' الشركه 2018'!$H69*13%</f>
        <v>549.9</v>
      </c>
      <c r="R69" s="107">
        <f>' الشركه 2018'!$H69*6%</f>
        <v>253.79999999999998</v>
      </c>
      <c r="S69" s="107">
        <f>' الشركه 2018'!$H69*2%</f>
        <v>84.600000000000009</v>
      </c>
      <c r="T69" s="107">
        <f>' الشركه 2018'!$O69+' الشركه 2018'!$P69+' الشركه 2018'!$Q69+' الشركه 2018'!$R69+' الشركه 2018'!$S69</f>
        <v>2749.5</v>
      </c>
      <c r="U69" s="109">
        <f>VLOOKUP(Table6[[#This Row],[الرقم الوظيفى]],[2]بالخصم!$B$1:$AK$1200,35,)</f>
        <v>0</v>
      </c>
      <c r="V69" s="147"/>
      <c r="W69" s="111">
        <f>Table6[[#This Row],[عدد ايام الاجازه]]*Table6[[#This Row],[ح راتب اليوم]]</f>
        <v>0</v>
      </c>
      <c r="X69" s="148"/>
      <c r="Y69" s="60"/>
      <c r="Z69" s="111">
        <f>Table6[[#This Row],[عدد ايام الجزاء]]*Table6[[#This Row],[ح راتب اليوم]]</f>
        <v>0</v>
      </c>
      <c r="AA69" s="112">
        <f>Table6[[#This Row],[مرتب]]*50%</f>
        <v>2115</v>
      </c>
      <c r="AB69" s="113" t="e">
        <f>VLOOKUP(Table6[[#This Row],[الرقم الوظيفى]],[3]!Table25289[#Data],23,)</f>
        <v>#REF!</v>
      </c>
      <c r="AC69" s="149">
        <v>500</v>
      </c>
      <c r="AD69" s="168"/>
      <c r="AE69" s="113" t="e">
        <f>VLOOKUP(Table6[[#This Row],[الرقم الوظيفى]],[3]!Table252894[#Data],22,)</f>
        <v>#REF!</v>
      </c>
      <c r="AF69" s="151"/>
      <c r="AG69" s="111">
        <f>' الشركه 2018'!$W69+' الشركه 2018'!$Z69+' الشركه 2018'!$AA69+' الشركه 2018'!$AC69+' الشركه 2018'!$AD69+' الشركه 2018'!$AF69</f>
        <v>2615</v>
      </c>
      <c r="AH69" s="111">
        <f>Table6[[#This Row],[راتب الضمان]]*8%</f>
        <v>338.40000000000003</v>
      </c>
      <c r="AI69" s="111">
        <f>' الشركه 2018'!$H69-' الشركه 2018'!$AG69-' الشركه 2018'!$AH69</f>
        <v>1276.5999999999999</v>
      </c>
      <c r="AJ69" s="111">
        <f>' الشركه 2018'!$CF69</f>
        <v>0</v>
      </c>
      <c r="AK69" s="117">
        <f>' الشركه 2018'!$AI69+' الشركه 2018'!$AJ69</f>
        <v>1276.5999999999999</v>
      </c>
      <c r="AL69" s="152"/>
      <c r="AM69" s="153"/>
      <c r="AN69" s="9">
        <f>Table6[[#This Row],[اجمالى الاستحقاق]]-Table6[[#This Row],[Column2]]+Table6[[#This Row],[حوافز غير مستقره]]</f>
        <v>1276.5999999999999</v>
      </c>
      <c r="AO69" s="59"/>
      <c r="AP69" s="169"/>
      <c r="AQ69" s="176"/>
      <c r="AR69" s="124"/>
      <c r="AS69" s="155"/>
      <c r="AT69" s="170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BG69" s="124"/>
      <c r="BH69" s="124"/>
      <c r="BI69" s="124"/>
      <c r="BJ69" s="124"/>
      <c r="BK69" s="124"/>
      <c r="BL69" s="124"/>
      <c r="BM69" s="124"/>
      <c r="BN69" s="124"/>
      <c r="BO69" s="124"/>
      <c r="BP69" s="124"/>
      <c r="BQ69" s="124"/>
      <c r="BR69" s="124"/>
      <c r="BS69" s="124"/>
      <c r="BT69" s="124"/>
      <c r="BU69" s="124"/>
      <c r="BV69" s="124"/>
      <c r="BW69" s="124"/>
      <c r="BX69" s="124"/>
      <c r="BY69" s="124"/>
      <c r="BZ69" s="171"/>
      <c r="CA69" s="172"/>
      <c r="CB6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6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69" s="131">
        <f>' الشركه 2018'!$H69*67%*1.5*' الشركه 2018'!$CB69/208</f>
        <v>0</v>
      </c>
      <c r="CE69" s="132">
        <f>' الشركه 2018'!$H69*67%*2*' الشركه 2018'!$CC69/208</f>
        <v>0</v>
      </c>
      <c r="CF69" s="133">
        <f>' الشركه 2018'!$CD69+' الشركه 2018'!$CE69</f>
        <v>0</v>
      </c>
      <c r="CG69" s="124"/>
      <c r="CH69" s="177">
        <f>SUMIF(C69:C322,' الشركه 2018'!$CG68,L69:L322)</f>
        <v>0</v>
      </c>
      <c r="CI69" s="124"/>
      <c r="CJ69" s="177">
        <f>' الشركه 2018'!$CH68*' الشركه 2018'!$CI68</f>
        <v>0</v>
      </c>
      <c r="CK69" s="177">
        <f>' الشركه 2018'!$CJ68*8%</f>
        <v>0</v>
      </c>
      <c r="CL69" s="177">
        <f>' الشركه 2018'!$CJ68*17%</f>
        <v>0</v>
      </c>
      <c r="CM69" s="177">
        <f>' الشركه 2018'!$CJ68*25%</f>
        <v>0</v>
      </c>
      <c r="CN69" s="162"/>
      <c r="CO69" s="162"/>
      <c r="CP69" s="163">
        <v>700</v>
      </c>
      <c r="CQ69" s="164" t="e">
        <f>VLOOKUP(Table6[[#This Row],[الرقم الوظيفى]],[4]!Table3[#Data],26,FALSE)</f>
        <v>#REF!</v>
      </c>
      <c r="CR69" s="165">
        <v>1500</v>
      </c>
      <c r="CS69" s="124"/>
    </row>
    <row r="70" spans="1:97" ht="28" customHeight="1" thickTop="1" thickBot="1">
      <c r="A70" s="178">
        <v>206</v>
      </c>
      <c r="B70" s="142" t="s">
        <v>315</v>
      </c>
      <c r="C70" s="59" t="s">
        <v>90</v>
      </c>
      <c r="D70" s="143" t="s">
        <v>75</v>
      </c>
      <c r="E70" s="174"/>
      <c r="F70" s="143" t="s">
        <v>657</v>
      </c>
      <c r="G70" s="145">
        <v>41000</v>
      </c>
      <c r="H70" s="146">
        <v>4230</v>
      </c>
      <c r="I70" s="106">
        <f>Table6[[#This Row],[مرتب]]/30</f>
        <v>141</v>
      </c>
      <c r="J70" s="107">
        <v>30</v>
      </c>
      <c r="K70" s="107">
        <f t="shared" si="1"/>
        <v>4230</v>
      </c>
      <c r="L70" s="108">
        <v>4230</v>
      </c>
      <c r="M70" s="107">
        <f>Table6[[#This Row],[مرتب الضمان]]*17%</f>
        <v>719.1</v>
      </c>
      <c r="N70" s="107">
        <f>' الشركه 2018'!$H70*35%</f>
        <v>1480.5</v>
      </c>
      <c r="O70" s="107">
        <f>' الشركه 2018'!$H70*32%</f>
        <v>1353.6000000000001</v>
      </c>
      <c r="P70" s="107">
        <f>' الشركه 2018'!$H70*12%</f>
        <v>507.59999999999997</v>
      </c>
      <c r="Q70" s="107">
        <f>' الشركه 2018'!$H70*13%</f>
        <v>549.9</v>
      </c>
      <c r="R70" s="107">
        <f>' الشركه 2018'!$H70*6%</f>
        <v>253.79999999999998</v>
      </c>
      <c r="S70" s="107">
        <f>' الشركه 2018'!$H70*2%</f>
        <v>84.600000000000009</v>
      </c>
      <c r="T70" s="107">
        <f>' الشركه 2018'!$O70+' الشركه 2018'!$P70+' الشركه 2018'!$Q70+' الشركه 2018'!$R70+' الشركه 2018'!$S70</f>
        <v>2749.5</v>
      </c>
      <c r="U70" s="109">
        <f>VLOOKUP(Table6[[#This Row],[الرقم الوظيفى]],[2]بالخصم!$B$1:$AK$1200,35,)</f>
        <v>0</v>
      </c>
      <c r="V70" s="147"/>
      <c r="W70" s="111">
        <f>Table6[[#This Row],[عدد ايام الاجازه]]*Table6[[#This Row],[ح راتب اليوم]]</f>
        <v>0</v>
      </c>
      <c r="X70" s="148"/>
      <c r="Y70" s="60"/>
      <c r="Z70" s="111">
        <f>Table6[[#This Row],[عدد ايام الجزاء]]*Table6[[#This Row],[ح راتب اليوم]]</f>
        <v>0</v>
      </c>
      <c r="AA70" s="112">
        <f>Table6[[#This Row],[مرتب]]*50%</f>
        <v>2115</v>
      </c>
      <c r="AB70" s="113" t="e">
        <f>VLOOKUP(Table6[[#This Row],[الرقم الوظيفى]],[3]!Table25289[#Data],23,)</f>
        <v>#REF!</v>
      </c>
      <c r="AC70" s="149"/>
      <c r="AD70" s="150"/>
      <c r="AE70" s="113" t="e">
        <f>VLOOKUP(Table6[[#This Row],[الرقم الوظيفى]],[3]!Table252894[#Data],22,)</f>
        <v>#REF!</v>
      </c>
      <c r="AF70" s="151"/>
      <c r="AG70" s="111">
        <f>' الشركه 2018'!$W70+' الشركه 2018'!$Z70+' الشركه 2018'!$AA70+' الشركه 2018'!$AC70+' الشركه 2018'!$AD70+' الشركه 2018'!$AF70</f>
        <v>2115</v>
      </c>
      <c r="AH70" s="111">
        <f>Table6[[#This Row],[راتب الضمان]]*8%</f>
        <v>338.40000000000003</v>
      </c>
      <c r="AI70" s="111">
        <f>' الشركه 2018'!$H70-' الشركه 2018'!$AG70-' الشركه 2018'!$AH70</f>
        <v>1776.6</v>
      </c>
      <c r="AJ70" s="111">
        <f>' الشركه 2018'!$CF70</f>
        <v>2125.5750000000003</v>
      </c>
      <c r="AK70" s="117">
        <f>' الشركه 2018'!$AI70+' الشركه 2018'!$AJ70</f>
        <v>3902.1750000000002</v>
      </c>
      <c r="AL70" s="152"/>
      <c r="AM70" s="153"/>
      <c r="AN70" s="9">
        <f>Table6[[#This Row],[اجمالى الاستحقاق]]-Table6[[#This Row],[Column2]]+Table6[[#This Row],[حوافز غير مستقره]]</f>
        <v>3902.1750000000002</v>
      </c>
      <c r="AO70" s="59"/>
      <c r="AP70" s="169"/>
      <c r="AQ70" s="176"/>
      <c r="AR70" s="124"/>
      <c r="AS70" s="155"/>
      <c r="AT70" s="170">
        <v>8</v>
      </c>
      <c r="AU70" s="124">
        <v>8</v>
      </c>
      <c r="AV70" s="124">
        <v>12</v>
      </c>
      <c r="AW70" s="124">
        <v>8</v>
      </c>
      <c r="AX70" s="124"/>
      <c r="AY70" s="124">
        <v>8</v>
      </c>
      <c r="AZ70" s="124"/>
      <c r="BA70" s="124"/>
      <c r="BB70" s="124"/>
      <c r="BC70" s="124">
        <v>12</v>
      </c>
      <c r="BD70" s="124"/>
      <c r="BE70" s="124"/>
      <c r="BF70" s="124"/>
      <c r="BG70" s="124">
        <v>8</v>
      </c>
      <c r="BH70" s="124"/>
      <c r="BI70" s="124">
        <v>8</v>
      </c>
      <c r="BJ70" s="124"/>
      <c r="BK70" s="124"/>
      <c r="BL70" s="124"/>
      <c r="BM70" s="124"/>
      <c r="BN70" s="124">
        <v>8</v>
      </c>
      <c r="BO70" s="124"/>
      <c r="BP70" s="124">
        <v>8</v>
      </c>
      <c r="BQ70" s="124"/>
      <c r="BR70" s="124">
        <v>8</v>
      </c>
      <c r="BS70" s="124"/>
      <c r="BT70" s="124"/>
      <c r="BU70" s="124"/>
      <c r="BV70" s="124"/>
      <c r="BW70" s="124"/>
      <c r="BX70" s="124"/>
      <c r="BY70" s="124"/>
      <c r="BZ70" s="159"/>
      <c r="CA70" s="160"/>
      <c r="CB7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72</v>
      </c>
      <c r="CC70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70" s="131">
        <f>' الشركه 2018'!$H70*67%*1.5*' الشركه 2018'!$CB70/208</f>
        <v>1471.5519230769232</v>
      </c>
      <c r="CE70" s="132">
        <f>' الشركه 2018'!$H70*67%*2*' الشركه 2018'!$CC70/208</f>
        <v>654.02307692307704</v>
      </c>
      <c r="CF70" s="133">
        <f>' الشركه 2018'!$CD70+' الشركه 2018'!$CE70</f>
        <v>2125.5750000000003</v>
      </c>
      <c r="CG70" s="124"/>
      <c r="CH70" s="177">
        <f>SUMIF(C70:C323,' الشركه 2018'!$CG69,L70:L323)</f>
        <v>0</v>
      </c>
      <c r="CI70" s="124"/>
      <c r="CJ70" s="177">
        <f>' الشركه 2018'!$CH69*' الشركه 2018'!$CI69</f>
        <v>0</v>
      </c>
      <c r="CK70" s="177">
        <f>' الشركه 2018'!$CJ69*8%</f>
        <v>0</v>
      </c>
      <c r="CL70" s="177">
        <f>' الشركه 2018'!$CJ69*17%</f>
        <v>0</v>
      </c>
      <c r="CM70" s="177">
        <f>' الشركه 2018'!$CJ69*25%</f>
        <v>0</v>
      </c>
      <c r="CN70" s="162"/>
      <c r="CO70" s="162"/>
      <c r="CP70" s="163">
        <v>500</v>
      </c>
      <c r="CQ70" s="164" t="e">
        <f>VLOOKUP(Table6[[#This Row],[الرقم الوظيفى]],[4]!Table3[#Data],26,FALSE)</f>
        <v>#REF!</v>
      </c>
      <c r="CR70" s="165">
        <v>500</v>
      </c>
      <c r="CS70" s="124"/>
    </row>
    <row r="71" spans="1:97" ht="28" customHeight="1" thickTop="1" thickBot="1">
      <c r="A71" s="141">
        <v>207</v>
      </c>
      <c r="B71" s="142" t="s">
        <v>214</v>
      </c>
      <c r="C71" s="59" t="s">
        <v>90</v>
      </c>
      <c r="D71" s="143" t="s">
        <v>74</v>
      </c>
      <c r="E71" s="174" t="s">
        <v>658</v>
      </c>
      <c r="F71" s="143" t="s">
        <v>207</v>
      </c>
      <c r="G71" s="145">
        <v>41000</v>
      </c>
      <c r="H71" s="146">
        <v>4800</v>
      </c>
      <c r="I71" s="106">
        <f>Table6[[#This Row],[مرتب]]/30</f>
        <v>160</v>
      </c>
      <c r="J71" s="107">
        <v>30</v>
      </c>
      <c r="K71" s="107">
        <f t="shared" si="1"/>
        <v>4800</v>
      </c>
      <c r="L71" s="108">
        <v>4800</v>
      </c>
      <c r="M71" s="107">
        <f>Table6[[#This Row],[مرتب الضمان]]*17%</f>
        <v>816.00000000000011</v>
      </c>
      <c r="N71" s="107">
        <f>' الشركه 2018'!$H71*35%</f>
        <v>1680</v>
      </c>
      <c r="O71" s="107">
        <f>' الشركه 2018'!$H71*32%</f>
        <v>1536</v>
      </c>
      <c r="P71" s="107">
        <f>' الشركه 2018'!$H71*12%</f>
        <v>576</v>
      </c>
      <c r="Q71" s="107">
        <f>' الشركه 2018'!$H71*13%</f>
        <v>624</v>
      </c>
      <c r="R71" s="107">
        <f>' الشركه 2018'!$H71*6%</f>
        <v>288</v>
      </c>
      <c r="S71" s="107">
        <f>' الشركه 2018'!$H71*2%</f>
        <v>96</v>
      </c>
      <c r="T71" s="107">
        <f>' الشركه 2018'!$O71+' الشركه 2018'!$P71+' الشركه 2018'!$Q71+' الشركه 2018'!$R71+' الشركه 2018'!$S71</f>
        <v>3120</v>
      </c>
      <c r="U71" s="109">
        <f>VLOOKUP(Table6[[#This Row],[الرقم الوظيفى]],[2]بالخصم!$B$1:$AK$1200,35,)</f>
        <v>0</v>
      </c>
      <c r="V71" s="147"/>
      <c r="W71" s="111">
        <f>Table6[[#This Row],[عدد ايام الاجازه]]*Table6[[#This Row],[ح راتب اليوم]]</f>
        <v>0</v>
      </c>
      <c r="X71" s="148"/>
      <c r="Y71" s="60"/>
      <c r="Z71" s="111">
        <f>Table6[[#This Row],[عدد ايام الجزاء]]*Table6[[#This Row],[ح راتب اليوم]]</f>
        <v>0</v>
      </c>
      <c r="AA71" s="112">
        <f>Table6[[#This Row],[مرتب]]*50%</f>
        <v>2400</v>
      </c>
      <c r="AB71" s="113" t="e">
        <f>VLOOKUP(Table6[[#This Row],[الرقم الوظيفى]],[3]!Table25289[#Data],23,)</f>
        <v>#REF!</v>
      </c>
      <c r="AC71" s="149"/>
      <c r="AD71" s="150"/>
      <c r="AE71" s="113" t="e">
        <f>VLOOKUP(Table6[[#This Row],[الرقم الوظيفى]],[3]!Table252894[#Data],22,)</f>
        <v>#REF!</v>
      </c>
      <c r="AF71" s="151"/>
      <c r="AG71" s="111">
        <f>' الشركه 2018'!$W71+' الشركه 2018'!$Z71+' الشركه 2018'!$AA71+' الشركه 2018'!$AC71+' الشركه 2018'!$AD71+' الشركه 2018'!$AF71</f>
        <v>2400</v>
      </c>
      <c r="AH71" s="111">
        <f>Table6[[#This Row],[راتب الضمان]]*8%</f>
        <v>384</v>
      </c>
      <c r="AI71" s="111">
        <f>' الشركه 2018'!$H71-' الشركه 2018'!$AG71-' الشركه 2018'!$AH71</f>
        <v>2016</v>
      </c>
      <c r="AJ71" s="111">
        <f>' الشركه 2018'!$CF71</f>
        <v>0</v>
      </c>
      <c r="AK71" s="117">
        <f>' الشركه 2018'!$AI71+' الشركه 2018'!$AJ71</f>
        <v>2016</v>
      </c>
      <c r="AL71" s="152"/>
      <c r="AM71" s="153"/>
      <c r="AN71" s="9">
        <f>Table6[[#This Row],[اجمالى الاستحقاق]]-Table6[[#This Row],[Column2]]+Table6[[#This Row],[حوافز غير مستقره]]</f>
        <v>2016</v>
      </c>
      <c r="AO71" s="59"/>
      <c r="AP71" s="169"/>
      <c r="AQ71" s="176"/>
      <c r="AR71" s="124"/>
      <c r="AS71" s="155"/>
      <c r="AT71" s="170"/>
      <c r="AU71" s="124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4"/>
      <c r="BG71" s="124"/>
      <c r="BH71" s="124"/>
      <c r="BI71" s="124"/>
      <c r="BJ71" s="124"/>
      <c r="BK71" s="124"/>
      <c r="BL71" s="124"/>
      <c r="BM71" s="124"/>
      <c r="BN71" s="124"/>
      <c r="BO71" s="124"/>
      <c r="BP71" s="124"/>
      <c r="BQ71" s="124"/>
      <c r="BR71" s="124"/>
      <c r="BS71" s="124"/>
      <c r="BT71" s="124"/>
      <c r="BU71" s="124"/>
      <c r="BV71" s="124"/>
      <c r="BW71" s="124"/>
      <c r="BX71" s="124"/>
      <c r="BY71" s="124"/>
      <c r="BZ71" s="171"/>
      <c r="CA71" s="172"/>
      <c r="CB7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1" s="131">
        <f>' الشركه 2018'!$H71*67%*1.5*' الشركه 2018'!$CB71/208</f>
        <v>0</v>
      </c>
      <c r="CE71" s="132">
        <f>' الشركه 2018'!$H71*67%*2*' الشركه 2018'!$CC71/208</f>
        <v>0</v>
      </c>
      <c r="CF71" s="133">
        <f>' الشركه 2018'!$CD71+' الشركه 2018'!$CE71</f>
        <v>0</v>
      </c>
      <c r="CG71" s="124"/>
      <c r="CH71" s="177">
        <f>SUMIF(C71:C324,' الشركه 2018'!$CG70,L71:L324)</f>
        <v>0</v>
      </c>
      <c r="CI71" s="124"/>
      <c r="CJ71" s="177">
        <f>' الشركه 2018'!$CH70*' الشركه 2018'!$CI70</f>
        <v>0</v>
      </c>
      <c r="CK71" s="177">
        <f>' الشركه 2018'!$CJ70*8%</f>
        <v>0</v>
      </c>
      <c r="CL71" s="177">
        <f>' الشركه 2018'!$CJ70*17%</f>
        <v>0</v>
      </c>
      <c r="CM71" s="177">
        <f>' الشركه 2018'!$CJ70*25%</f>
        <v>0</v>
      </c>
      <c r="CN71" s="162"/>
      <c r="CO71" s="162"/>
      <c r="CP71" s="163">
        <v>500</v>
      </c>
      <c r="CQ71" s="164" t="e">
        <f>VLOOKUP(Table6[[#This Row],[الرقم الوظيفى]],[4]!Table3[#Data],26,FALSE)</f>
        <v>#REF!</v>
      </c>
      <c r="CR71" s="165">
        <v>900</v>
      </c>
      <c r="CS71" s="124"/>
    </row>
    <row r="72" spans="1:97" ht="28" customHeight="1" thickTop="1" thickBot="1">
      <c r="A72" s="141">
        <v>213</v>
      </c>
      <c r="B72" s="142" t="s">
        <v>234</v>
      </c>
      <c r="C72" s="59" t="s">
        <v>90</v>
      </c>
      <c r="D72" s="143" t="s">
        <v>74</v>
      </c>
      <c r="E72" s="174" t="s">
        <v>622</v>
      </c>
      <c r="F72" s="143" t="s">
        <v>205</v>
      </c>
      <c r="G72" s="145">
        <v>41000</v>
      </c>
      <c r="H72" s="146">
        <v>4260</v>
      </c>
      <c r="I72" s="106">
        <f>Table6[[#This Row],[مرتب]]/30</f>
        <v>142</v>
      </c>
      <c r="J72" s="107">
        <v>30</v>
      </c>
      <c r="K72" s="107">
        <f t="shared" si="1"/>
        <v>4260</v>
      </c>
      <c r="L72" s="108">
        <v>4260</v>
      </c>
      <c r="M72" s="107">
        <f>Table6[[#This Row],[مرتب الضمان]]*17%</f>
        <v>724.2</v>
      </c>
      <c r="N72" s="107">
        <f>' الشركه 2018'!$H72*35%</f>
        <v>1491</v>
      </c>
      <c r="O72" s="107">
        <f>' الشركه 2018'!$H72*32%</f>
        <v>1363.2</v>
      </c>
      <c r="P72" s="107">
        <f>' الشركه 2018'!$H72*12%</f>
        <v>511.2</v>
      </c>
      <c r="Q72" s="107">
        <f>' الشركه 2018'!$H72*13%</f>
        <v>553.80000000000007</v>
      </c>
      <c r="R72" s="107">
        <f>' الشركه 2018'!$H72*6%</f>
        <v>255.6</v>
      </c>
      <c r="S72" s="107">
        <f>' الشركه 2018'!$H72*2%</f>
        <v>85.2</v>
      </c>
      <c r="T72" s="107">
        <f>' الشركه 2018'!$O72+' الشركه 2018'!$P72+' الشركه 2018'!$Q72+' الشركه 2018'!$R72+' الشركه 2018'!$S72</f>
        <v>2769</v>
      </c>
      <c r="U72" s="109">
        <f>VLOOKUP(Table6[[#This Row],[الرقم الوظيفى]],[2]بالخصم!$B$1:$AK$1200,35,)</f>
        <v>0</v>
      </c>
      <c r="V72" s="147"/>
      <c r="W72" s="111">
        <f>Table6[[#This Row],[عدد ايام الاجازه]]*Table6[[#This Row],[ح راتب اليوم]]</f>
        <v>0</v>
      </c>
      <c r="X72" s="148"/>
      <c r="Y72" s="60"/>
      <c r="Z72" s="111">
        <f>Table6[[#This Row],[عدد ايام الجزاء]]*Table6[[#This Row],[ح راتب اليوم]]</f>
        <v>0</v>
      </c>
      <c r="AA72" s="112">
        <f>Table6[[#This Row],[مرتب]]*50%</f>
        <v>2130</v>
      </c>
      <c r="AB72" s="113" t="e">
        <f>VLOOKUP(Table6[[#This Row],[الرقم الوظيفى]],[3]!Table25289[#Data],23,)</f>
        <v>#REF!</v>
      </c>
      <c r="AC72" s="149"/>
      <c r="AD72" s="150"/>
      <c r="AE72" s="113" t="e">
        <f>VLOOKUP(Table6[[#This Row],[الرقم الوظيفى]],[3]!Table252894[#Data],22,)</f>
        <v>#REF!</v>
      </c>
      <c r="AF72" s="151"/>
      <c r="AG72" s="111">
        <f>' الشركه 2018'!$W72+' الشركه 2018'!$Z72+' الشركه 2018'!$AA72+' الشركه 2018'!$AC72+' الشركه 2018'!$AD72+' الشركه 2018'!$AF72</f>
        <v>2130</v>
      </c>
      <c r="AH72" s="111">
        <f>Table6[[#This Row],[راتب الضمان]]*8%</f>
        <v>340.8</v>
      </c>
      <c r="AI72" s="111">
        <f>' الشركه 2018'!$H72-' الشركه 2018'!$AG72-' الشركه 2018'!$AH72</f>
        <v>1789.2</v>
      </c>
      <c r="AJ72" s="111">
        <f>' الشركه 2018'!$CF72</f>
        <v>0</v>
      </c>
      <c r="AK72" s="117">
        <f>' الشركه 2018'!$AI72+' الشركه 2018'!$AJ72</f>
        <v>1789.2</v>
      </c>
      <c r="AL72" s="152"/>
      <c r="AM72" s="153"/>
      <c r="AN72" s="9">
        <f>Table6[[#This Row],[اجمالى الاستحقاق]]-Table6[[#This Row],[Column2]]+Table6[[#This Row],[حوافز غير مستقره]]</f>
        <v>1789.2</v>
      </c>
      <c r="AO72" s="59"/>
      <c r="AP72" s="169"/>
      <c r="AQ72" s="176"/>
      <c r="AR72" s="124"/>
      <c r="AS72" s="155"/>
      <c r="AT72" s="170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  <c r="BR72" s="124"/>
      <c r="BS72" s="124"/>
      <c r="BT72" s="124"/>
      <c r="BU72" s="124"/>
      <c r="BV72" s="124"/>
      <c r="BW72" s="124"/>
      <c r="BX72" s="124"/>
      <c r="BY72" s="124"/>
      <c r="BZ72" s="171"/>
      <c r="CA72" s="172"/>
      <c r="CB7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2" s="131">
        <f>' الشركه 2018'!$H72*67%*1.5*' الشركه 2018'!$CB72/208</f>
        <v>0</v>
      </c>
      <c r="CE72" s="132">
        <f>' الشركه 2018'!$H72*67%*2*' الشركه 2018'!$CC72/208</f>
        <v>0</v>
      </c>
      <c r="CF72" s="133">
        <f>' الشركه 2018'!$CD72+' الشركه 2018'!$CE72</f>
        <v>0</v>
      </c>
      <c r="CG72" s="124"/>
      <c r="CH72" s="177">
        <f>SUMIF(C72:C325,' الشركه 2018'!$CG71,L72:L325)</f>
        <v>0</v>
      </c>
      <c r="CI72" s="124"/>
      <c r="CJ72" s="177">
        <f>' الشركه 2018'!$CH71*' الشركه 2018'!$CI71</f>
        <v>0</v>
      </c>
      <c r="CK72" s="177">
        <f>' الشركه 2018'!$CJ71*8%</f>
        <v>0</v>
      </c>
      <c r="CL72" s="177">
        <f>' الشركه 2018'!$CJ71*17%</f>
        <v>0</v>
      </c>
      <c r="CM72" s="177">
        <f>' الشركه 2018'!$CJ71*25%</f>
        <v>0</v>
      </c>
      <c r="CN72" s="162"/>
      <c r="CO72" s="162"/>
      <c r="CP72" s="163"/>
      <c r="CQ72" s="164" t="e">
        <f>VLOOKUP(Table6[[#This Row],[الرقم الوظيفى]],[4]!Table3[#Data],26,FALSE)</f>
        <v>#REF!</v>
      </c>
      <c r="CR72" s="165"/>
      <c r="CS72" s="124"/>
    </row>
    <row r="73" spans="1:97" ht="28" customHeight="1" thickTop="1" thickBot="1">
      <c r="A73" s="141">
        <v>241</v>
      </c>
      <c r="B73" s="142" t="s">
        <v>236</v>
      </c>
      <c r="C73" s="59" t="s">
        <v>90</v>
      </c>
      <c r="D73" s="143" t="s">
        <v>74</v>
      </c>
      <c r="E73" s="174" t="s">
        <v>629</v>
      </c>
      <c r="F73" s="143" t="s">
        <v>205</v>
      </c>
      <c r="G73" s="145">
        <v>41023</v>
      </c>
      <c r="H73" s="146">
        <v>4220</v>
      </c>
      <c r="I73" s="106">
        <f>Table6[[#This Row],[مرتب]]/30</f>
        <v>140.66666666666666</v>
      </c>
      <c r="J73" s="107">
        <v>30</v>
      </c>
      <c r="K73" s="107">
        <f t="shared" si="1"/>
        <v>4220</v>
      </c>
      <c r="L73" s="108">
        <v>4220</v>
      </c>
      <c r="M73" s="107">
        <f>Table6[[#This Row],[مرتب الضمان]]*17%</f>
        <v>717.40000000000009</v>
      </c>
      <c r="N73" s="107">
        <f>' الشركه 2018'!$H73*35%</f>
        <v>1477</v>
      </c>
      <c r="O73" s="107">
        <f>' الشركه 2018'!$H73*32%</f>
        <v>1350.4</v>
      </c>
      <c r="P73" s="107">
        <f>' الشركه 2018'!$H73*12%</f>
        <v>506.4</v>
      </c>
      <c r="Q73" s="107">
        <f>' الشركه 2018'!$H73*13%</f>
        <v>548.6</v>
      </c>
      <c r="R73" s="107">
        <f>' الشركه 2018'!$H73*6%</f>
        <v>253.2</v>
      </c>
      <c r="S73" s="107">
        <f>' الشركه 2018'!$H73*2%</f>
        <v>84.4</v>
      </c>
      <c r="T73" s="107">
        <f>' الشركه 2018'!$O73+' الشركه 2018'!$P73+' الشركه 2018'!$Q73+' الشركه 2018'!$R73+' الشركه 2018'!$S73</f>
        <v>2743</v>
      </c>
      <c r="U73" s="109">
        <f>VLOOKUP(Table6[[#This Row],[الرقم الوظيفى]],[2]بالخصم!$B$1:$AK$1200,35,)</f>
        <v>0</v>
      </c>
      <c r="V73" s="147"/>
      <c r="W73" s="111">
        <f>Table6[[#This Row],[عدد ايام الاجازه]]*Table6[[#This Row],[ح راتب اليوم]]</f>
        <v>0</v>
      </c>
      <c r="X73" s="148"/>
      <c r="Y73" s="60"/>
      <c r="Z73" s="111">
        <f>Table6[[#This Row],[عدد ايام الجزاء]]*Table6[[#This Row],[ح راتب اليوم]]</f>
        <v>0</v>
      </c>
      <c r="AA73" s="112">
        <f>Table6[[#This Row],[مرتب]]*50%</f>
        <v>2110</v>
      </c>
      <c r="AB73" s="113" t="e">
        <f>VLOOKUP(Table6[[#This Row],[الرقم الوظيفى]],[3]!Table25289[#Data],23,)</f>
        <v>#REF!</v>
      </c>
      <c r="AC73" s="149"/>
      <c r="AD73" s="150"/>
      <c r="AE73" s="113" t="e">
        <f>VLOOKUP(Table6[[#This Row],[الرقم الوظيفى]],[3]!Table252894[#Data],22,)</f>
        <v>#REF!</v>
      </c>
      <c r="AF73" s="151"/>
      <c r="AG73" s="111">
        <f>' الشركه 2018'!$W73+' الشركه 2018'!$Z73+' الشركه 2018'!$AA73+' الشركه 2018'!$AC73+' الشركه 2018'!$AD73+' الشركه 2018'!$AF73</f>
        <v>2110</v>
      </c>
      <c r="AH73" s="111">
        <f>Table6[[#This Row],[راتب الضمان]]*8%</f>
        <v>337.6</v>
      </c>
      <c r="AI73" s="111">
        <f>' الشركه 2018'!$H73-' الشركه 2018'!$AG73-' الشركه 2018'!$AH73</f>
        <v>1772.4</v>
      </c>
      <c r="AJ73" s="111">
        <f>' الشركه 2018'!$CF73</f>
        <v>0</v>
      </c>
      <c r="AK73" s="117">
        <f>' الشركه 2018'!$AI73+' الشركه 2018'!$AJ73</f>
        <v>1772.4</v>
      </c>
      <c r="AL73" s="152"/>
      <c r="AM73" s="153"/>
      <c r="AN73" s="9">
        <f>Table6[[#This Row],[اجمالى الاستحقاق]]-Table6[[#This Row],[Column2]]+Table6[[#This Row],[حوافز غير مستقره]]</f>
        <v>1772.4</v>
      </c>
      <c r="AO73" s="59"/>
      <c r="AP73" s="169"/>
      <c r="AQ73" s="176"/>
      <c r="AR73" s="124"/>
      <c r="AS73" s="155"/>
      <c r="AT73" s="170"/>
      <c r="AU73" s="124"/>
      <c r="AV73" s="124"/>
      <c r="AW73" s="124"/>
      <c r="AX73" s="124"/>
      <c r="AY73" s="124"/>
      <c r="AZ73" s="124"/>
      <c r="BA73" s="124"/>
      <c r="BB73" s="124"/>
      <c r="BC73" s="124"/>
      <c r="BD73" s="124"/>
      <c r="BE73" s="124"/>
      <c r="BF73" s="124"/>
      <c r="BG73" s="124"/>
      <c r="BH73" s="124"/>
      <c r="BI73" s="124"/>
      <c r="BJ73" s="124"/>
      <c r="BK73" s="124"/>
      <c r="BL73" s="124"/>
      <c r="BM73" s="124"/>
      <c r="BN73" s="124"/>
      <c r="BO73" s="124"/>
      <c r="BP73" s="124"/>
      <c r="BQ73" s="124"/>
      <c r="BR73" s="124"/>
      <c r="BS73" s="124"/>
      <c r="BT73" s="124"/>
      <c r="BU73" s="124"/>
      <c r="BV73" s="124"/>
      <c r="BW73" s="124"/>
      <c r="BX73" s="124"/>
      <c r="BY73" s="124"/>
      <c r="BZ73" s="171"/>
      <c r="CA73" s="172"/>
      <c r="CB7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3" s="131">
        <f>' الشركه 2018'!$H73*67%*1.5*' الشركه 2018'!$CB73/208</f>
        <v>0</v>
      </c>
      <c r="CE73" s="132">
        <f>' الشركه 2018'!$H73*67%*2*' الشركه 2018'!$CC73/208</f>
        <v>0</v>
      </c>
      <c r="CF73" s="133">
        <f>' الشركه 2018'!$CD73+' الشركه 2018'!$CE73</f>
        <v>0</v>
      </c>
      <c r="CG73" s="124"/>
      <c r="CH73" s="177">
        <f>SUMIF(C73:C325,' الشركه 2018'!$CG72,L73:L325)</f>
        <v>0</v>
      </c>
      <c r="CI73" s="124"/>
      <c r="CJ73" s="177">
        <f>' الشركه 2018'!$CH72*' الشركه 2018'!$CI72</f>
        <v>0</v>
      </c>
      <c r="CK73" s="177">
        <f>' الشركه 2018'!$CJ72*8%</f>
        <v>0</v>
      </c>
      <c r="CL73" s="177">
        <f>' الشركه 2018'!$CJ72*17%</f>
        <v>0</v>
      </c>
      <c r="CM73" s="177">
        <f>' الشركه 2018'!$CJ72*25%</f>
        <v>0</v>
      </c>
      <c r="CN73" s="162"/>
      <c r="CO73" s="162"/>
      <c r="CP73" s="163">
        <v>500</v>
      </c>
      <c r="CQ73" s="164" t="e">
        <f>VLOOKUP(Table6[[#This Row],[الرقم الوظيفى]],[4]!Table3[#Data],26,FALSE)</f>
        <v>#REF!</v>
      </c>
      <c r="CR73" s="165">
        <v>500</v>
      </c>
      <c r="CS73" s="124"/>
    </row>
    <row r="74" spans="1:97" ht="28" customHeight="1" thickTop="1" thickBot="1">
      <c r="A74" s="141">
        <v>242</v>
      </c>
      <c r="B74" s="200" t="s">
        <v>163</v>
      </c>
      <c r="C74" s="218" t="s">
        <v>90</v>
      </c>
      <c r="D74" s="11" t="s">
        <v>611</v>
      </c>
      <c r="E74" s="144"/>
      <c r="F74" s="11" t="s">
        <v>173</v>
      </c>
      <c r="G74" s="184">
        <v>41022</v>
      </c>
      <c r="H74" s="210">
        <v>4290</v>
      </c>
      <c r="I74" s="219">
        <f>Table6[[#This Row],[مرتب]]/30</f>
        <v>143</v>
      </c>
      <c r="J74" s="107">
        <v>30</v>
      </c>
      <c r="K74" s="107">
        <f t="shared" si="1"/>
        <v>4290</v>
      </c>
      <c r="L74" s="212">
        <v>4290</v>
      </c>
      <c r="M74" s="107">
        <f>Table6[[#This Row],[مرتب الضمان]]*17%</f>
        <v>729.30000000000007</v>
      </c>
      <c r="N74" s="107">
        <f>' الشركه 2018'!$H74*35%</f>
        <v>1501.5</v>
      </c>
      <c r="O74" s="107">
        <f>' الشركه 2018'!$H74*32%</f>
        <v>1372.8</v>
      </c>
      <c r="P74" s="107">
        <f>' الشركه 2018'!$H74*12%</f>
        <v>514.79999999999995</v>
      </c>
      <c r="Q74" s="107">
        <f>' الشركه 2018'!$H74*13%</f>
        <v>557.70000000000005</v>
      </c>
      <c r="R74" s="107">
        <f>' الشركه 2018'!$H74*6%</f>
        <v>257.39999999999998</v>
      </c>
      <c r="S74" s="107">
        <f>' الشركه 2018'!$H74*2%</f>
        <v>85.8</v>
      </c>
      <c r="T74" s="107">
        <f>' الشركه 2018'!$O74+' الشركه 2018'!$P74+' الشركه 2018'!$Q74+' الشركه 2018'!$R74+' الشركه 2018'!$S74</f>
        <v>2788.5000000000005</v>
      </c>
      <c r="U74" s="109">
        <f>VLOOKUP(Table6[[#This Row],[الرقم الوظيفى]],[2]بالخصم!$B$1:$AK$1200,35,)</f>
        <v>0</v>
      </c>
      <c r="V74" s="213"/>
      <c r="W74" s="111">
        <f>Table6[[#This Row],[عدد ايام الاجازه]]*Table6[[#This Row],[ح راتب اليوم]]</f>
        <v>0</v>
      </c>
      <c r="X74" s="148"/>
      <c r="Y74" s="214"/>
      <c r="Z74" s="111">
        <f>Table6[[#This Row],[عدد ايام الجزاء]]*Table6[[#This Row],[ح راتب اليوم]]</f>
        <v>0</v>
      </c>
      <c r="AA74" s="112">
        <f>Table6[[#This Row],[مرتب]]*50%</f>
        <v>2145</v>
      </c>
      <c r="AB74" s="113" t="e">
        <f>VLOOKUP(Table6[[#This Row],[الرقم الوظيفى]],[3]!Table25289[#Data],23,)</f>
        <v>#REF!</v>
      </c>
      <c r="AC74" s="215">
        <v>1000</v>
      </c>
      <c r="AD74" s="220"/>
      <c r="AE74" s="113" t="e">
        <f>VLOOKUP(Table6[[#This Row],[الرقم الوظيفى]],[3]!Table252894[#Data],22,)</f>
        <v>#REF!</v>
      </c>
      <c r="AF74" s="179">
        <v>300</v>
      </c>
      <c r="AG74" s="111">
        <f>' الشركه 2018'!$W74+' الشركه 2018'!$Z74+' الشركه 2018'!$AA74+' الشركه 2018'!$AC74+' الشركه 2018'!$AD74+' الشركه 2018'!$AF74</f>
        <v>3445</v>
      </c>
      <c r="AH74" s="111">
        <f>Table6[[#This Row],[راتب الضمان]]*8%</f>
        <v>343.2</v>
      </c>
      <c r="AI74" s="111">
        <f>' الشركه 2018'!$H74-' الشركه 2018'!$AG74-' الشركه 2018'!$AH74</f>
        <v>501.8</v>
      </c>
      <c r="AJ74" s="111">
        <f>' الشركه 2018'!$CF74</f>
        <v>221.10000000000002</v>
      </c>
      <c r="AK74" s="117">
        <f>' الشركه 2018'!$AI74+' الشركه 2018'!$AJ74</f>
        <v>722.90000000000009</v>
      </c>
      <c r="AL74" s="152"/>
      <c r="AM74" s="153"/>
      <c r="AN74" s="9">
        <f>Table6[[#This Row],[اجمالى الاستحقاق]]-Table6[[#This Row],[Column2]]+Table6[[#This Row],[حوافز غير مستقره]]</f>
        <v>722.90000000000009</v>
      </c>
      <c r="AO74" s="201"/>
      <c r="AP74" s="169"/>
      <c r="AQ74" s="176"/>
      <c r="AR74" s="124"/>
      <c r="AS74" s="155"/>
      <c r="AT74" s="170"/>
      <c r="AU74" s="124"/>
      <c r="AV74" s="124"/>
      <c r="AW74" s="124"/>
      <c r="AX74" s="124"/>
      <c r="AY74" s="124"/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>
        <v>8</v>
      </c>
      <c r="BK74" s="124"/>
      <c r="BL74" s="124"/>
      <c r="BM74" s="124"/>
      <c r="BN74" s="124"/>
      <c r="BO74" s="124"/>
      <c r="BP74" s="124"/>
      <c r="BQ74" s="124"/>
      <c r="BR74" s="124"/>
      <c r="BS74" s="124"/>
      <c r="BT74" s="124"/>
      <c r="BU74" s="124"/>
      <c r="BV74" s="124"/>
      <c r="BW74" s="124"/>
      <c r="BX74" s="124"/>
      <c r="BY74" s="124"/>
      <c r="BZ74" s="171"/>
      <c r="CA74" s="172"/>
      <c r="CB7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4" s="130">
        <f>Table6[[#This Row],[Friday, November 23, 2018]]+Table6[[#This Row],[Friday, November 30, 2018]]+Table6[[#This Row],[Friday, December 07, 2018]]+Table6[[#This Row],[Friday, December 14, 2018]]+Table6[[#This Row],[فروقات عطله]]</f>
        <v>8</v>
      </c>
      <c r="CD74" s="131">
        <f>' الشركه 2018'!$H74*67%*1.5*' الشركه 2018'!$CB74/208</f>
        <v>0</v>
      </c>
      <c r="CE74" s="132">
        <f>' الشركه 2018'!$H74*67%*2*' الشركه 2018'!$CC74/208</f>
        <v>221.10000000000002</v>
      </c>
      <c r="CF74" s="133">
        <f>' الشركه 2018'!$CD74+' الشركه 2018'!$CE74</f>
        <v>221.10000000000002</v>
      </c>
      <c r="CG74" s="124"/>
      <c r="CH74" s="177">
        <f>SUMIF(C74:C325,' الشركه 2018'!$CG73,L74:L325)</f>
        <v>0</v>
      </c>
      <c r="CI74" s="124"/>
      <c r="CJ74" s="177">
        <f>' الشركه 2018'!$CH73*' الشركه 2018'!$CI73</f>
        <v>0</v>
      </c>
      <c r="CK74" s="177">
        <f>' الشركه 2018'!$CJ73*8%</f>
        <v>0</v>
      </c>
      <c r="CL74" s="177">
        <f>' الشركه 2018'!$CJ73*17%</f>
        <v>0</v>
      </c>
      <c r="CM74" s="177">
        <f>' الشركه 2018'!$CJ73*25%</f>
        <v>0</v>
      </c>
      <c r="CN74" s="162"/>
      <c r="CO74" s="162"/>
      <c r="CP74" s="163"/>
      <c r="CQ74" s="164" t="e">
        <f>VLOOKUP(Table6[[#This Row],[الرقم الوظيفى]],[4]!Table3[#Data],26,FALSE)</f>
        <v>#REF!</v>
      </c>
      <c r="CR74" s="165"/>
      <c r="CS74" s="124"/>
    </row>
    <row r="75" spans="1:97" ht="28" customHeight="1" thickTop="1" thickBot="1">
      <c r="A75" s="221">
        <v>260</v>
      </c>
      <c r="B75" s="142" t="s">
        <v>250</v>
      </c>
      <c r="C75" s="59" t="s">
        <v>90</v>
      </c>
      <c r="D75" s="143" t="s">
        <v>74</v>
      </c>
      <c r="E75" s="174" t="s">
        <v>658</v>
      </c>
      <c r="F75" s="143"/>
      <c r="G75" s="145">
        <v>42312</v>
      </c>
      <c r="H75" s="146">
        <v>4100</v>
      </c>
      <c r="I75" s="106">
        <f>Table6[[#This Row],[مرتب]]/30</f>
        <v>136.66666666666666</v>
      </c>
      <c r="J75" s="107">
        <v>30</v>
      </c>
      <c r="K75" s="107">
        <f t="shared" si="1"/>
        <v>4100</v>
      </c>
      <c r="L75" s="108">
        <v>4100</v>
      </c>
      <c r="M75" s="107">
        <f>Table6[[#This Row],[مرتب الضمان]]*17%</f>
        <v>697</v>
      </c>
      <c r="N75" s="107">
        <f>' الشركه 2018'!$H75*35%</f>
        <v>1435</v>
      </c>
      <c r="O75" s="107">
        <f>' الشركه 2018'!$H75*32%</f>
        <v>1312</v>
      </c>
      <c r="P75" s="107">
        <f>' الشركه 2018'!$H75*12%</f>
        <v>492</v>
      </c>
      <c r="Q75" s="107">
        <f>' الشركه 2018'!$H75*13%</f>
        <v>533</v>
      </c>
      <c r="R75" s="107">
        <f>' الشركه 2018'!$H75*6%</f>
        <v>246</v>
      </c>
      <c r="S75" s="107">
        <f>' الشركه 2018'!$H75*2%</f>
        <v>82</v>
      </c>
      <c r="T75" s="107">
        <f>' الشركه 2018'!$O75+' الشركه 2018'!$P75+' الشركه 2018'!$Q75+' الشركه 2018'!$R75+' الشركه 2018'!$S75</f>
        <v>2665</v>
      </c>
      <c r="U75" s="109">
        <f>VLOOKUP(Table6[[#This Row],[الرقم الوظيفى]],[2]بالخصم!$B$1:$AK$1200,35,)</f>
        <v>0</v>
      </c>
      <c r="V75" s="147"/>
      <c r="W75" s="111">
        <f>Table6[[#This Row],[عدد ايام الاجازه]]*Table6[[#This Row],[ح راتب اليوم]]</f>
        <v>0</v>
      </c>
      <c r="X75" s="148"/>
      <c r="Y75" s="60"/>
      <c r="Z75" s="111">
        <f>Table6[[#This Row],[عدد ايام الجزاء]]*Table6[[#This Row],[ح راتب اليوم]]</f>
        <v>0</v>
      </c>
      <c r="AA75" s="112">
        <f>Table6[[#This Row],[مرتب]]*50%</f>
        <v>2050</v>
      </c>
      <c r="AB75" s="113" t="e">
        <f>VLOOKUP(Table6[[#This Row],[الرقم الوظيفى]],[3]!Table25289[#Data],23,)</f>
        <v>#REF!</v>
      </c>
      <c r="AC75" s="149"/>
      <c r="AD75" s="150"/>
      <c r="AE75" s="113" t="e">
        <f>VLOOKUP(Table6[[#This Row],[الرقم الوظيفى]],[3]!Table252894[#Data],22,)</f>
        <v>#REF!</v>
      </c>
      <c r="AF75" s="151"/>
      <c r="AG75" s="111">
        <f>' الشركه 2018'!$W75+' الشركه 2018'!$Z75+' الشركه 2018'!$AA75+' الشركه 2018'!$AC75+' الشركه 2018'!$AD75+' الشركه 2018'!$AF75</f>
        <v>2050</v>
      </c>
      <c r="AH75" s="111">
        <f>Table6[[#This Row],[راتب الضمان]]*8%</f>
        <v>328</v>
      </c>
      <c r="AI75" s="111">
        <f>' الشركه 2018'!$H75-' الشركه 2018'!$AG75-' الشركه 2018'!$AH75</f>
        <v>1722</v>
      </c>
      <c r="AJ75" s="111">
        <f>' الشركه 2018'!$CF75</f>
        <v>0</v>
      </c>
      <c r="AK75" s="117">
        <f>' الشركه 2018'!$AI75+' الشركه 2018'!$AJ75</f>
        <v>1722</v>
      </c>
      <c r="AL75" s="152"/>
      <c r="AM75" s="153"/>
      <c r="AN75" s="9">
        <f>Table6[[#This Row],[اجمالى الاستحقاق]]-Table6[[#This Row],[Column2]]+Table6[[#This Row],[حوافز غير مستقره]]</f>
        <v>1722</v>
      </c>
      <c r="AO75" s="59"/>
      <c r="AP75" s="169"/>
      <c r="AQ75" s="176"/>
      <c r="AR75" s="124"/>
      <c r="AS75" s="155"/>
      <c r="AT75" s="170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  <c r="BR75" s="124"/>
      <c r="BS75" s="124"/>
      <c r="BT75" s="124"/>
      <c r="BU75" s="124"/>
      <c r="BV75" s="124"/>
      <c r="BW75" s="124"/>
      <c r="BX75" s="124"/>
      <c r="BY75" s="124"/>
      <c r="BZ75" s="171"/>
      <c r="CA75" s="172"/>
      <c r="CB7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5" s="131">
        <f>' الشركه 2018'!$H75*67%*1.5*' الشركه 2018'!$CB75/208</f>
        <v>0</v>
      </c>
      <c r="CE75" s="132">
        <f>' الشركه 2018'!$H75*67%*2*' الشركه 2018'!$CC75/208</f>
        <v>0</v>
      </c>
      <c r="CF75" s="133">
        <f>' الشركه 2018'!$CD75+' الشركه 2018'!$CE75</f>
        <v>0</v>
      </c>
      <c r="CG75" s="124"/>
      <c r="CH75" s="177">
        <f>SUMIF(C75:C327,' الشركه 2018'!$CG74,L75:L327)</f>
        <v>0</v>
      </c>
      <c r="CI75" s="124"/>
      <c r="CJ75" s="177">
        <f>' الشركه 2018'!$CH74*' الشركه 2018'!$CI74</f>
        <v>0</v>
      </c>
      <c r="CK75" s="177">
        <f>' الشركه 2018'!$CJ74*8%</f>
        <v>0</v>
      </c>
      <c r="CL75" s="177">
        <f>' الشركه 2018'!$CJ74*17%</f>
        <v>0</v>
      </c>
      <c r="CM75" s="177">
        <f>' الشركه 2018'!$CJ74*25%</f>
        <v>0</v>
      </c>
      <c r="CN75" s="162"/>
      <c r="CO75" s="162"/>
      <c r="CP75" s="163">
        <v>400</v>
      </c>
      <c r="CQ75" s="164" t="e">
        <f>VLOOKUP(Table6[[#This Row],[الرقم الوظيفى]],[4]!Table3[#Data],26,FALSE)</f>
        <v>#REF!</v>
      </c>
      <c r="CR75" s="165">
        <v>700</v>
      </c>
      <c r="CS75" s="124"/>
    </row>
    <row r="76" spans="1:97" ht="28" customHeight="1" thickTop="1" thickBot="1">
      <c r="A76" s="222">
        <v>293</v>
      </c>
      <c r="B76" s="142" t="s">
        <v>226</v>
      </c>
      <c r="C76" s="59" t="s">
        <v>90</v>
      </c>
      <c r="D76" s="143" t="s">
        <v>74</v>
      </c>
      <c r="E76" s="174" t="s">
        <v>622</v>
      </c>
      <c r="F76" s="143" t="s">
        <v>205</v>
      </c>
      <c r="G76" s="145">
        <v>41100</v>
      </c>
      <c r="H76" s="146">
        <v>4210</v>
      </c>
      <c r="I76" s="106">
        <f>Table6[[#This Row],[مرتب]]/30</f>
        <v>140.33333333333334</v>
      </c>
      <c r="J76" s="107">
        <v>30</v>
      </c>
      <c r="K76" s="107">
        <f t="shared" si="1"/>
        <v>4210</v>
      </c>
      <c r="L76" s="108">
        <v>4210</v>
      </c>
      <c r="M76" s="107">
        <f>Table6[[#This Row],[مرتب الضمان]]*17%</f>
        <v>715.7</v>
      </c>
      <c r="N76" s="107">
        <f>' الشركه 2018'!$H76*35%</f>
        <v>1473.5</v>
      </c>
      <c r="O76" s="107">
        <f>' الشركه 2018'!$H76*32%</f>
        <v>1347.2</v>
      </c>
      <c r="P76" s="107">
        <f>' الشركه 2018'!$H76*12%</f>
        <v>505.2</v>
      </c>
      <c r="Q76" s="107">
        <f>' الشركه 2018'!$H76*13%</f>
        <v>547.30000000000007</v>
      </c>
      <c r="R76" s="107">
        <f>' الشركه 2018'!$H76*6%</f>
        <v>252.6</v>
      </c>
      <c r="S76" s="107">
        <f>' الشركه 2018'!$H76*2%</f>
        <v>84.2</v>
      </c>
      <c r="T76" s="107">
        <f>' الشركه 2018'!$O76+' الشركه 2018'!$P76+' الشركه 2018'!$Q76+' الشركه 2018'!$R76+' الشركه 2018'!$S76</f>
        <v>2736.5</v>
      </c>
      <c r="U76" s="109">
        <f>VLOOKUP(Table6[[#This Row],[الرقم الوظيفى]],[2]بالخصم!$B$1:$AK$1200,35,)</f>
        <v>0</v>
      </c>
      <c r="V76" s="147"/>
      <c r="W76" s="111">
        <f>Table6[[#This Row],[عدد ايام الاجازه]]*Table6[[#This Row],[ح راتب اليوم]]</f>
        <v>0</v>
      </c>
      <c r="X76" s="148"/>
      <c r="Y76" s="60"/>
      <c r="Z76" s="111">
        <f>Table6[[#This Row],[عدد ايام الجزاء]]*Table6[[#This Row],[ح راتب اليوم]]</f>
        <v>0</v>
      </c>
      <c r="AA76" s="112">
        <f>Table6[[#This Row],[مرتب]]*50%</f>
        <v>2105</v>
      </c>
      <c r="AB76" s="113" t="e">
        <f>VLOOKUP(Table6[[#This Row],[الرقم الوظيفى]],[3]!Table25289[#Data],23,)</f>
        <v>#REF!</v>
      </c>
      <c r="AC76" s="149"/>
      <c r="AD76" s="150"/>
      <c r="AE76" s="113" t="e">
        <f>VLOOKUP(Table6[[#This Row],[الرقم الوظيفى]],[3]!Table252894[#Data],22,)</f>
        <v>#REF!</v>
      </c>
      <c r="AF76" s="151"/>
      <c r="AG76" s="111">
        <f>' الشركه 2018'!$W76+' الشركه 2018'!$Z76+' الشركه 2018'!$AA76+' الشركه 2018'!$AC76+' الشركه 2018'!$AD76+' الشركه 2018'!$AF76</f>
        <v>2105</v>
      </c>
      <c r="AH76" s="111">
        <f>Table6[[#This Row],[راتب الضمان]]*8%</f>
        <v>336.8</v>
      </c>
      <c r="AI76" s="111">
        <f>' الشركه 2018'!$H76-' الشركه 2018'!$AG76-' الشركه 2018'!$AH76</f>
        <v>1768.2</v>
      </c>
      <c r="AJ76" s="111">
        <f>' الشركه 2018'!$CF76</f>
        <v>0</v>
      </c>
      <c r="AK76" s="117">
        <f>' الشركه 2018'!$AI76+' الشركه 2018'!$AJ76</f>
        <v>1768.2</v>
      </c>
      <c r="AL76" s="152"/>
      <c r="AM76" s="153"/>
      <c r="AN76" s="9">
        <f>Table6[[#This Row],[اجمالى الاستحقاق]]-Table6[[#This Row],[Column2]]+Table6[[#This Row],[حوافز غير مستقره]]</f>
        <v>1768.2</v>
      </c>
      <c r="AO76" s="59"/>
      <c r="AP76" s="169"/>
      <c r="AQ76" s="176"/>
      <c r="AR76" s="124"/>
      <c r="AS76" s="155"/>
      <c r="AT76" s="170"/>
      <c r="AU76" s="124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  <c r="BO76" s="124"/>
      <c r="BP76" s="124"/>
      <c r="BQ76" s="124"/>
      <c r="BR76" s="124"/>
      <c r="BS76" s="124"/>
      <c r="BT76" s="124"/>
      <c r="BU76" s="124"/>
      <c r="BV76" s="124"/>
      <c r="BW76" s="124"/>
      <c r="BX76" s="124"/>
      <c r="BY76" s="124"/>
      <c r="BZ76" s="159"/>
      <c r="CA76" s="160"/>
      <c r="CB7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6" s="131">
        <f>' الشركه 2018'!$H76*67%*1.5*' الشركه 2018'!$CB76/208</f>
        <v>0</v>
      </c>
      <c r="CE76" s="132">
        <f>' الشركه 2018'!$H76*67%*2*' الشركه 2018'!$CC76/208</f>
        <v>0</v>
      </c>
      <c r="CF76" s="133">
        <f>' الشركه 2018'!$CD76+' الشركه 2018'!$CE76</f>
        <v>0</v>
      </c>
      <c r="CG76" s="124"/>
      <c r="CH76" s="177">
        <f>SUMIF(C76:C329,' الشركه 2018'!#REF!,L76:L329)</f>
        <v>0</v>
      </c>
      <c r="CI76" s="124"/>
      <c r="CJ76" s="177" t="e">
        <f>' الشركه 2018'!#REF!*' الشركه 2018'!#REF!</f>
        <v>#REF!</v>
      </c>
      <c r="CK76" s="177" t="e">
        <f>' الشركه 2018'!#REF!*8%</f>
        <v>#REF!</v>
      </c>
      <c r="CL76" s="177" t="e">
        <f>' الشركه 2018'!#REF!*17%</f>
        <v>#REF!</v>
      </c>
      <c r="CM76" s="177" t="e">
        <f>' الشركه 2018'!#REF!*25%</f>
        <v>#REF!</v>
      </c>
      <c r="CN76" s="162"/>
      <c r="CO76" s="162"/>
      <c r="CP76" s="163">
        <v>500</v>
      </c>
      <c r="CQ76" s="164" t="e">
        <f>VLOOKUP(Table6[[#This Row],[الرقم الوظيفى]],[4]!Table3[#Data],26,FALSE)</f>
        <v>#REF!</v>
      </c>
      <c r="CR76" s="165">
        <v>500</v>
      </c>
      <c r="CS76" s="124"/>
    </row>
    <row r="77" spans="1:97" ht="28" customHeight="1" thickTop="1" thickBot="1">
      <c r="A77" s="222">
        <v>297</v>
      </c>
      <c r="B77" s="142" t="s">
        <v>254</v>
      </c>
      <c r="C77" s="59" t="s">
        <v>90</v>
      </c>
      <c r="D77" s="143" t="s">
        <v>74</v>
      </c>
      <c r="E77" s="174" t="s">
        <v>658</v>
      </c>
      <c r="F77" s="143" t="s">
        <v>63</v>
      </c>
      <c r="G77" s="145">
        <v>41101</v>
      </c>
      <c r="H77" s="146">
        <v>4260</v>
      </c>
      <c r="I77" s="106">
        <f>Table6[[#This Row],[مرتب]]/30</f>
        <v>142</v>
      </c>
      <c r="J77" s="107">
        <v>30</v>
      </c>
      <c r="K77" s="107">
        <f t="shared" si="1"/>
        <v>4260</v>
      </c>
      <c r="L77" s="108">
        <v>4260</v>
      </c>
      <c r="M77" s="107">
        <f>Table6[[#This Row],[مرتب الضمان]]*17%</f>
        <v>724.2</v>
      </c>
      <c r="N77" s="107">
        <f>' الشركه 2018'!$H77*35%</f>
        <v>1491</v>
      </c>
      <c r="O77" s="107">
        <f>' الشركه 2018'!$H77*32%</f>
        <v>1363.2</v>
      </c>
      <c r="P77" s="107">
        <f>' الشركه 2018'!$H77*12%</f>
        <v>511.2</v>
      </c>
      <c r="Q77" s="107">
        <f>' الشركه 2018'!$H77*13%</f>
        <v>553.80000000000007</v>
      </c>
      <c r="R77" s="107">
        <f>' الشركه 2018'!$H77*6%</f>
        <v>255.6</v>
      </c>
      <c r="S77" s="107">
        <f>' الشركه 2018'!$H77*2%</f>
        <v>85.2</v>
      </c>
      <c r="T77" s="107">
        <f>' الشركه 2018'!$O77+' الشركه 2018'!$P77+' الشركه 2018'!$Q77+' الشركه 2018'!$R77+' الشركه 2018'!$S77</f>
        <v>2769</v>
      </c>
      <c r="U77" s="109">
        <f>VLOOKUP(Table6[[#This Row],[الرقم الوظيفى]],[2]بالخصم!$B$1:$AK$1200,35,)</f>
        <v>0</v>
      </c>
      <c r="V77" s="147"/>
      <c r="W77" s="111">
        <f>Table6[[#This Row],[عدد ايام الاجازه]]*Table6[[#This Row],[ح راتب اليوم]]</f>
        <v>0</v>
      </c>
      <c r="X77" s="148"/>
      <c r="Y77" s="60"/>
      <c r="Z77" s="111">
        <f>Table6[[#This Row],[عدد ايام الجزاء]]*Table6[[#This Row],[ح راتب اليوم]]</f>
        <v>0</v>
      </c>
      <c r="AA77" s="112">
        <f>Table6[[#This Row],[مرتب]]*50%</f>
        <v>2130</v>
      </c>
      <c r="AB77" s="113" t="e">
        <f>VLOOKUP(Table6[[#This Row],[الرقم الوظيفى]],[3]!Table25289[#Data],23,)</f>
        <v>#REF!</v>
      </c>
      <c r="AC77" s="149"/>
      <c r="AD77" s="150"/>
      <c r="AE77" s="113" t="e">
        <f>VLOOKUP(Table6[[#This Row],[الرقم الوظيفى]],[3]!Table252894[#Data],22,)</f>
        <v>#REF!</v>
      </c>
      <c r="AF77" s="151"/>
      <c r="AG77" s="111">
        <f>' الشركه 2018'!$W77+' الشركه 2018'!$Z77+' الشركه 2018'!$AA77+' الشركه 2018'!$AC77+' الشركه 2018'!$AD77+' الشركه 2018'!$AF77</f>
        <v>2130</v>
      </c>
      <c r="AH77" s="111">
        <f>Table6[[#This Row],[راتب الضمان]]*8%</f>
        <v>340.8</v>
      </c>
      <c r="AI77" s="111">
        <f>' الشركه 2018'!$H77-' الشركه 2018'!$AG77-' الشركه 2018'!$AH77</f>
        <v>1789.2</v>
      </c>
      <c r="AJ77" s="111">
        <f>' الشركه 2018'!$CF77</f>
        <v>658.6615384615385</v>
      </c>
      <c r="AK77" s="117">
        <f>' الشركه 2018'!$AI77+' الشركه 2018'!$AJ77</f>
        <v>2447.8615384615387</v>
      </c>
      <c r="AL77" s="152"/>
      <c r="AM77" s="153"/>
      <c r="AN77" s="9">
        <f>Table6[[#This Row],[اجمالى الاستحقاق]]-Table6[[#This Row],[Column2]]+Table6[[#This Row],[حوافز غير مستقره]]</f>
        <v>2447.8615384615387</v>
      </c>
      <c r="AO77" s="59"/>
      <c r="AP77" s="169"/>
      <c r="AQ77" s="176"/>
      <c r="AR77" s="124"/>
      <c r="AS77" s="155"/>
      <c r="AT77" s="170"/>
      <c r="AU77" s="124"/>
      <c r="AV77" s="124">
        <v>12</v>
      </c>
      <c r="AW77" s="124"/>
      <c r="AX77" s="124"/>
      <c r="AY77" s="124"/>
      <c r="AZ77" s="124"/>
      <c r="BA77" s="124"/>
      <c r="BB77" s="124"/>
      <c r="BC77" s="124">
        <v>12</v>
      </c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  <c r="BO77" s="124"/>
      <c r="BP77" s="124"/>
      <c r="BQ77" s="124"/>
      <c r="BR77" s="124"/>
      <c r="BS77" s="124"/>
      <c r="BT77" s="124"/>
      <c r="BU77" s="124"/>
      <c r="BV77" s="124"/>
      <c r="BW77" s="124"/>
      <c r="BX77" s="124"/>
      <c r="BY77" s="124"/>
      <c r="BZ77" s="171"/>
      <c r="CA77" s="172"/>
      <c r="CB7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7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77" s="131">
        <f>' الشركه 2018'!$H77*67%*1.5*' الشركه 2018'!$CB77/208</f>
        <v>0</v>
      </c>
      <c r="CE77" s="132">
        <f>' الشركه 2018'!$H77*67%*2*' الشركه 2018'!$CC77/208</f>
        <v>658.6615384615385</v>
      </c>
      <c r="CF77" s="133">
        <f>' الشركه 2018'!$CD77+' الشركه 2018'!$CE77</f>
        <v>658.6615384615385</v>
      </c>
      <c r="CG77" s="124"/>
      <c r="CH77" s="177">
        <f>SUMIF(C77:C329,' الشركه 2018'!$CG76,L77:L329)</f>
        <v>0</v>
      </c>
      <c r="CI77" s="124"/>
      <c r="CJ77" s="177">
        <f>' الشركه 2018'!$CH76*' الشركه 2018'!$CI76</f>
        <v>0</v>
      </c>
      <c r="CK77" s="177" t="e">
        <f>' الشركه 2018'!$CJ76*8%</f>
        <v>#REF!</v>
      </c>
      <c r="CL77" s="177" t="e">
        <f>' الشركه 2018'!$CJ76*17%</f>
        <v>#REF!</v>
      </c>
      <c r="CM77" s="177" t="e">
        <f>' الشركه 2018'!$CJ76*25%</f>
        <v>#REF!</v>
      </c>
      <c r="CN77" s="162"/>
      <c r="CO77" s="162"/>
      <c r="CP77" s="163">
        <v>400</v>
      </c>
      <c r="CQ77" s="164" t="e">
        <f>VLOOKUP(Table6[[#This Row],[الرقم الوظيفى]],[4]!Table3[#Data],26,FALSE)</f>
        <v>#REF!</v>
      </c>
      <c r="CR77" s="165">
        <v>900</v>
      </c>
      <c r="CS77" s="124"/>
    </row>
    <row r="78" spans="1:97" ht="28" customHeight="1" thickTop="1" thickBot="1">
      <c r="A78" s="222">
        <v>301</v>
      </c>
      <c r="B78" s="142" t="s">
        <v>255</v>
      </c>
      <c r="C78" s="59" t="s">
        <v>90</v>
      </c>
      <c r="D78" s="143" t="s">
        <v>81</v>
      </c>
      <c r="E78" s="174" t="s">
        <v>629</v>
      </c>
      <c r="F78" s="143" t="s">
        <v>63</v>
      </c>
      <c r="G78" s="145">
        <v>41692</v>
      </c>
      <c r="H78" s="146">
        <v>4150</v>
      </c>
      <c r="I78" s="106">
        <f>Table6[[#This Row],[مرتب]]/30</f>
        <v>138.33333333333334</v>
      </c>
      <c r="J78" s="107">
        <v>30</v>
      </c>
      <c r="K78" s="107">
        <f t="shared" si="1"/>
        <v>4150</v>
      </c>
      <c r="L78" s="108">
        <v>4150</v>
      </c>
      <c r="M78" s="107">
        <f>Table6[[#This Row],[مرتب الضمان]]*17%</f>
        <v>705.5</v>
      </c>
      <c r="N78" s="107">
        <f>' الشركه 2018'!$H78*35%</f>
        <v>1452.5</v>
      </c>
      <c r="O78" s="107">
        <f>' الشركه 2018'!$H78*32%</f>
        <v>1328</v>
      </c>
      <c r="P78" s="107">
        <f>' الشركه 2018'!$H78*12%</f>
        <v>498</v>
      </c>
      <c r="Q78" s="107">
        <f>' الشركه 2018'!$H78*13%</f>
        <v>539.5</v>
      </c>
      <c r="R78" s="107">
        <f>' الشركه 2018'!$H78*6%</f>
        <v>249</v>
      </c>
      <c r="S78" s="107">
        <f>' الشركه 2018'!$H78*2%</f>
        <v>83</v>
      </c>
      <c r="T78" s="107">
        <f>' الشركه 2018'!$O78+' الشركه 2018'!$P78+' الشركه 2018'!$Q78+' الشركه 2018'!$R78+' الشركه 2018'!$S78</f>
        <v>2697.5</v>
      </c>
      <c r="U78" s="109">
        <f>VLOOKUP(Table6[[#This Row],[الرقم الوظيفى]],[2]بالخصم!$B$1:$AK$1200,35,)</f>
        <v>0</v>
      </c>
      <c r="V78" s="147"/>
      <c r="W78" s="111">
        <f>Table6[[#This Row],[عدد ايام الاجازه]]*Table6[[#This Row],[ح راتب اليوم]]</f>
        <v>0</v>
      </c>
      <c r="X78" s="148"/>
      <c r="Y78" s="60"/>
      <c r="Z78" s="111">
        <f>Table6[[#This Row],[عدد ايام الجزاء]]*Table6[[#This Row],[ح راتب اليوم]]</f>
        <v>0</v>
      </c>
      <c r="AA78" s="112">
        <f>Table6[[#This Row],[مرتب]]*50%</f>
        <v>2075</v>
      </c>
      <c r="AB78" s="113" t="e">
        <f>VLOOKUP(Table6[[#This Row],[الرقم الوظيفى]],[3]!Table25289[#Data],23,)</f>
        <v>#REF!</v>
      </c>
      <c r="AC78" s="149"/>
      <c r="AD78" s="168"/>
      <c r="AE78" s="113" t="e">
        <f>VLOOKUP(Table6[[#This Row],[الرقم الوظيفى]],[3]!Table252894[#Data],22,)</f>
        <v>#REF!</v>
      </c>
      <c r="AF78" s="151"/>
      <c r="AG78" s="111">
        <f>' الشركه 2018'!$W78+' الشركه 2018'!$Z78+' الشركه 2018'!$AA78+' الشركه 2018'!$AC78+' الشركه 2018'!$AD78+' الشركه 2018'!$AF78</f>
        <v>2075</v>
      </c>
      <c r="AH78" s="111">
        <f>Table6[[#This Row],[راتب الضمان]]*8%</f>
        <v>332</v>
      </c>
      <c r="AI78" s="111">
        <f>' الشركه 2018'!$H78-' الشركه 2018'!$AG78-' الشركه 2018'!$AH78</f>
        <v>1743</v>
      </c>
      <c r="AJ78" s="111">
        <f>' الشركه 2018'!$CF78</f>
        <v>0</v>
      </c>
      <c r="AK78" s="117">
        <f>' الشركه 2018'!$AI78+' الشركه 2018'!$AJ78</f>
        <v>1743</v>
      </c>
      <c r="AL78" s="152"/>
      <c r="AM78" s="153"/>
      <c r="AN78" s="9">
        <f>Table6[[#This Row],[اجمالى الاستحقاق]]-Table6[[#This Row],[Column2]]+Table6[[#This Row],[حوافز غير مستقره]]</f>
        <v>1743</v>
      </c>
      <c r="AO78" s="59"/>
      <c r="AP78" s="169"/>
      <c r="AQ78" s="176"/>
      <c r="AR78" s="124"/>
      <c r="AS78" s="155"/>
      <c r="AT78" s="170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71"/>
      <c r="CA78" s="172"/>
      <c r="CB7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8" s="131">
        <f>' الشركه 2018'!$H78*67%*1.5*' الشركه 2018'!$CB78/208</f>
        <v>0</v>
      </c>
      <c r="CE78" s="132">
        <f>' الشركه 2018'!$H78*67%*2*' الشركه 2018'!$CC78/208</f>
        <v>0</v>
      </c>
      <c r="CF78" s="133">
        <f>' الشركه 2018'!$CD78+' الشركه 2018'!$CE78</f>
        <v>0</v>
      </c>
      <c r="CG78" s="124"/>
      <c r="CH78" s="177">
        <f>SUMIF(C78:C329,' الشركه 2018'!$CG77,L78:L329)</f>
        <v>0</v>
      </c>
      <c r="CI78" s="124"/>
      <c r="CJ78" s="177">
        <f>' الشركه 2018'!$CH77*' الشركه 2018'!$CI77</f>
        <v>0</v>
      </c>
      <c r="CK78" s="177">
        <f>' الشركه 2018'!$CJ77*8%</f>
        <v>0</v>
      </c>
      <c r="CL78" s="177">
        <f>' الشركه 2018'!$CJ77*17%</f>
        <v>0</v>
      </c>
      <c r="CM78" s="177">
        <f>' الشركه 2018'!$CJ77*25%</f>
        <v>0</v>
      </c>
      <c r="CN78" s="162"/>
      <c r="CO78" s="162"/>
      <c r="CP78" s="163">
        <v>300</v>
      </c>
      <c r="CQ78" s="164" t="e">
        <f>VLOOKUP(Table6[[#This Row],[الرقم الوظيفى]],[4]!Table3[#Data],26,FALSE)</f>
        <v>#REF!</v>
      </c>
      <c r="CR78" s="165">
        <v>700</v>
      </c>
      <c r="CS78" s="124"/>
    </row>
    <row r="79" spans="1:97" ht="28" customHeight="1" thickTop="1" thickBot="1">
      <c r="A79" s="222">
        <v>322</v>
      </c>
      <c r="B79" s="142" t="s">
        <v>256</v>
      </c>
      <c r="C79" s="59" t="s">
        <v>90</v>
      </c>
      <c r="D79" s="143" t="s">
        <v>74</v>
      </c>
      <c r="E79" s="174" t="s">
        <v>659</v>
      </c>
      <c r="F79" s="143" t="s">
        <v>655</v>
      </c>
      <c r="G79" s="145">
        <v>41161</v>
      </c>
      <c r="H79" s="146">
        <v>4200</v>
      </c>
      <c r="I79" s="106">
        <f>Table6[[#This Row],[مرتب]]/30</f>
        <v>140</v>
      </c>
      <c r="J79" s="107">
        <v>30</v>
      </c>
      <c r="K79" s="107">
        <f t="shared" si="1"/>
        <v>4200</v>
      </c>
      <c r="L79" s="108">
        <v>4200</v>
      </c>
      <c r="M79" s="107">
        <f>Table6[[#This Row],[مرتب الضمان]]*17%</f>
        <v>714</v>
      </c>
      <c r="N79" s="107">
        <f>' الشركه 2018'!$H79*35%</f>
        <v>1470</v>
      </c>
      <c r="O79" s="107">
        <f>' الشركه 2018'!$H79*32%</f>
        <v>1344</v>
      </c>
      <c r="P79" s="107">
        <f>' الشركه 2018'!$H79*12%</f>
        <v>504</v>
      </c>
      <c r="Q79" s="107">
        <f>' الشركه 2018'!$H79*13%</f>
        <v>546</v>
      </c>
      <c r="R79" s="107">
        <f>' الشركه 2018'!$H79*6%</f>
        <v>252</v>
      </c>
      <c r="S79" s="107">
        <f>' الشركه 2018'!$H79*2%</f>
        <v>84</v>
      </c>
      <c r="T79" s="107">
        <f>' الشركه 2018'!$O79+' الشركه 2018'!$P79+' الشركه 2018'!$Q79+' الشركه 2018'!$R79+' الشركه 2018'!$S79</f>
        <v>2730</v>
      </c>
      <c r="U79" s="109">
        <f>VLOOKUP(Table6[[#This Row],[الرقم الوظيفى]],[2]بالخصم!$B$1:$AK$1200,35,)</f>
        <v>0</v>
      </c>
      <c r="V79" s="147"/>
      <c r="W79" s="111">
        <f>Table6[[#This Row],[عدد ايام الاجازه]]*Table6[[#This Row],[ح راتب اليوم]]</f>
        <v>0</v>
      </c>
      <c r="X79" s="148"/>
      <c r="Y79" s="60"/>
      <c r="Z79" s="111">
        <f>Table6[[#This Row],[عدد ايام الجزاء]]*Table6[[#This Row],[ح راتب اليوم]]</f>
        <v>0</v>
      </c>
      <c r="AA79" s="112">
        <f>Table6[[#This Row],[مرتب]]*50%</f>
        <v>2100</v>
      </c>
      <c r="AB79" s="113" t="e">
        <f>VLOOKUP(Table6[[#This Row],[الرقم الوظيفى]],[3]!Table25289[#Data],23,)</f>
        <v>#REF!</v>
      </c>
      <c r="AC79" s="149"/>
      <c r="AD79" s="150"/>
      <c r="AE79" s="113" t="e">
        <f>VLOOKUP(Table6[[#This Row],[الرقم الوظيفى]],[3]!Table252894[#Data],22,)</f>
        <v>#REF!</v>
      </c>
      <c r="AF79" s="151"/>
      <c r="AG79" s="111">
        <f>' الشركه 2018'!$W79+' الشركه 2018'!$Z79+' الشركه 2018'!$AA79+' الشركه 2018'!$AC79+' الشركه 2018'!$AD79+' الشركه 2018'!$AF79</f>
        <v>2100</v>
      </c>
      <c r="AH79" s="111">
        <f>Table6[[#This Row],[راتب الضمان]]*8%</f>
        <v>336</v>
      </c>
      <c r="AI79" s="111">
        <f>' الشركه 2018'!$H79-' الشركه 2018'!$AG79-' الشركه 2018'!$AH79</f>
        <v>1764</v>
      </c>
      <c r="AJ79" s="111">
        <f>' الشركه 2018'!$CF79</f>
        <v>0</v>
      </c>
      <c r="AK79" s="117">
        <f>' الشركه 2018'!$AI79+' الشركه 2018'!$AJ79</f>
        <v>1764</v>
      </c>
      <c r="AL79" s="152"/>
      <c r="AM79" s="153"/>
      <c r="AN79" s="9">
        <f>Table6[[#This Row],[اجمالى الاستحقاق]]-Table6[[#This Row],[Column2]]+Table6[[#This Row],[حوافز غير مستقره]]</f>
        <v>1764</v>
      </c>
      <c r="AO79" s="59"/>
      <c r="AP79" s="169"/>
      <c r="AQ79" s="176"/>
      <c r="AR79" s="124"/>
      <c r="AS79" s="155"/>
      <c r="AT79" s="170"/>
      <c r="AU79" s="124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  <c r="BO79" s="124"/>
      <c r="BP79" s="124"/>
      <c r="BQ79" s="124"/>
      <c r="BR79" s="124"/>
      <c r="BS79" s="124"/>
      <c r="BT79" s="124"/>
      <c r="BU79" s="124"/>
      <c r="BV79" s="124"/>
      <c r="BW79" s="124"/>
      <c r="BX79" s="124"/>
      <c r="BY79" s="124"/>
      <c r="BZ79" s="171"/>
      <c r="CA79" s="172"/>
      <c r="CB7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7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79" s="131">
        <f>' الشركه 2018'!$H79*67%*1.5*' الشركه 2018'!$CB79/208</f>
        <v>0</v>
      </c>
      <c r="CE79" s="132">
        <f>' الشركه 2018'!$H79*67%*2*' الشركه 2018'!$CC79/208</f>
        <v>0</v>
      </c>
      <c r="CF79" s="133">
        <f>' الشركه 2018'!$CD79+' الشركه 2018'!$CE79</f>
        <v>0</v>
      </c>
      <c r="CG79" s="124"/>
      <c r="CH79" s="177">
        <f>SUMIF(C79:C331,' الشركه 2018'!$CG78,L79:L331)</f>
        <v>0</v>
      </c>
      <c r="CI79" s="124"/>
      <c r="CJ79" s="177">
        <f>' الشركه 2018'!$CH78*' الشركه 2018'!$CI78</f>
        <v>0</v>
      </c>
      <c r="CK79" s="177">
        <f>' الشركه 2018'!$CJ78*8%</f>
        <v>0</v>
      </c>
      <c r="CL79" s="177">
        <f>' الشركه 2018'!$CJ78*17%</f>
        <v>0</v>
      </c>
      <c r="CM79" s="177">
        <f>' الشركه 2018'!$CJ78*25%</f>
        <v>0</v>
      </c>
      <c r="CN79" s="162"/>
      <c r="CO79" s="162"/>
      <c r="CP79" s="163">
        <v>400</v>
      </c>
      <c r="CQ79" s="164" t="e">
        <f>VLOOKUP(Table6[[#This Row],[الرقم الوظيفى]],[4]!Table3[#Data],26,FALSE)</f>
        <v>#REF!</v>
      </c>
      <c r="CR79" s="165">
        <v>500</v>
      </c>
      <c r="CS79" s="124"/>
    </row>
    <row r="80" spans="1:97" ht="21.65" customHeight="1" thickTop="1" thickBot="1">
      <c r="A80" s="181">
        <v>330</v>
      </c>
      <c r="B80" s="223" t="s">
        <v>139</v>
      </c>
      <c r="C80" s="11" t="s">
        <v>137</v>
      </c>
      <c r="D80" s="11" t="s">
        <v>70</v>
      </c>
      <c r="E80" s="174"/>
      <c r="F80" s="143" t="s">
        <v>127</v>
      </c>
      <c r="G80" s="184">
        <v>41177</v>
      </c>
      <c r="H80" s="185">
        <v>4740</v>
      </c>
      <c r="I80" s="103">
        <f>Table6[[#This Row],[مرتب]]/30</f>
        <v>158</v>
      </c>
      <c r="J80" s="143">
        <v>30</v>
      </c>
      <c r="K80" s="143">
        <f t="shared" si="1"/>
        <v>4740</v>
      </c>
      <c r="L80" s="12">
        <v>4740</v>
      </c>
      <c r="M80" s="143">
        <f>Table6[[#This Row],[مرتب الضمان]]*17%</f>
        <v>805.80000000000007</v>
      </c>
      <c r="N80" s="143">
        <f>' الشركه 2018'!$H80*35%</f>
        <v>1659</v>
      </c>
      <c r="O80" s="143">
        <f>' الشركه 2018'!$H80*32%</f>
        <v>1516.8</v>
      </c>
      <c r="P80" s="143">
        <f>' الشركه 2018'!$H80*12%</f>
        <v>568.79999999999995</v>
      </c>
      <c r="Q80" s="143">
        <f>' الشركه 2018'!$H80*13%</f>
        <v>616.20000000000005</v>
      </c>
      <c r="R80" s="143">
        <f>' الشركه 2018'!$H80*6%</f>
        <v>284.39999999999998</v>
      </c>
      <c r="S80" s="143">
        <f>' الشركه 2018'!$H80*2%</f>
        <v>94.8</v>
      </c>
      <c r="T80" s="143">
        <f>' الشركه 2018'!$O80+' الشركه 2018'!$P80+' الشركه 2018'!$Q80+' الشركه 2018'!$R80+' الشركه 2018'!$S80</f>
        <v>3081.0000000000005</v>
      </c>
      <c r="U80" s="109">
        <f>VLOOKUP(Table6[[#This Row],[الرقم الوظيفى]],[2]بالخصم!$B$1:$AK$1200,35,)</f>
        <v>0</v>
      </c>
      <c r="V80" s="186"/>
      <c r="W80" s="187">
        <f>Table6[[#This Row],[عدد ايام الاجازه]]*Table6[[#This Row],[ح راتب اليوم]]</f>
        <v>0</v>
      </c>
      <c r="X80" s="188"/>
      <c r="Y80" s="189"/>
      <c r="Z80" s="187">
        <f>Table6[[#This Row],[عدد ايام الجزاء]]*Table6[[#This Row],[ح راتب اليوم]]</f>
        <v>0</v>
      </c>
      <c r="AA80" s="190"/>
      <c r="AB80" s="191" t="e">
        <f>VLOOKUP(Table6[[#This Row],[الرقم الوظيفى]],[3]!Table25289[#Data],23,)</f>
        <v>#REF!</v>
      </c>
      <c r="AC80" s="224"/>
      <c r="AD80" s="225"/>
      <c r="AE80" s="113" t="e">
        <f>VLOOKUP(Table6[[#This Row],[الرقم الوظيفى]],[3]!Table252894[#Data],22,)</f>
        <v>#REF!</v>
      </c>
      <c r="AF80" s="226"/>
      <c r="AG80" s="111">
        <f>' الشركه 2018'!$W80+' الشركه 2018'!$Z80+' الشركه 2018'!$AA80+' الشركه 2018'!$AC80+' الشركه 2018'!$AD80+' الشركه 2018'!$AF80</f>
        <v>0</v>
      </c>
      <c r="AH80" s="111">
        <f>Table6[[#This Row],[راتب الضمان]]*8%</f>
        <v>379.2</v>
      </c>
      <c r="AI80" s="111">
        <f>' الشركه 2018'!$H80-' الشركه 2018'!$AG80-' الشركه 2018'!$AH80</f>
        <v>4360.8</v>
      </c>
      <c r="AJ80" s="111">
        <f>' الشركه 2018'!$CF80</f>
        <v>849.6791826923079</v>
      </c>
      <c r="AK80" s="117">
        <f>' الشركه 2018'!$AI80+' الشركه 2018'!$AJ80</f>
        <v>5210.4791826923083</v>
      </c>
      <c r="AL80" s="195"/>
      <c r="AM80" s="196"/>
      <c r="AN80" s="9">
        <f>Table6[[#This Row],[اجمالى الاستحقاق]]-Table6[[#This Row],[Column2]]+Table6[[#This Row],[حوافز غير مستقره]]</f>
        <v>5210.4791826923083</v>
      </c>
      <c r="AO80" s="197"/>
      <c r="AP80" s="198"/>
      <c r="AQ80" s="176"/>
      <c r="AR80" s="124"/>
      <c r="AS80" s="155"/>
      <c r="AT80" s="170">
        <v>2.5</v>
      </c>
      <c r="AU80" s="124">
        <v>1</v>
      </c>
      <c r="AV80" s="124"/>
      <c r="AW80" s="124"/>
      <c r="AX80" s="124">
        <v>2</v>
      </c>
      <c r="AY80" s="124">
        <v>3.3</v>
      </c>
      <c r="AZ80" s="124">
        <v>1.5</v>
      </c>
      <c r="BA80" s="124">
        <v>2.8</v>
      </c>
      <c r="BB80" s="124">
        <v>1.8</v>
      </c>
      <c r="BC80" s="124"/>
      <c r="BD80" s="124"/>
      <c r="BE80" s="124">
        <v>2.5</v>
      </c>
      <c r="BF80" s="124">
        <v>3.8</v>
      </c>
      <c r="BG80" s="124">
        <v>2</v>
      </c>
      <c r="BH80" s="124">
        <v>2.9</v>
      </c>
      <c r="BI80" s="124">
        <v>2.2000000000000002</v>
      </c>
      <c r="BJ80" s="124"/>
      <c r="BK80" s="124"/>
      <c r="BL80" s="124">
        <v>2.2000000000000002</v>
      </c>
      <c r="BM80" s="124">
        <v>2.1</v>
      </c>
      <c r="BN80" s="124">
        <v>2.5</v>
      </c>
      <c r="BO80" s="124"/>
      <c r="BP80" s="124"/>
      <c r="BQ80" s="124"/>
      <c r="BR80" s="124"/>
      <c r="BS80" s="124"/>
      <c r="BT80" s="124"/>
      <c r="BU80" s="124">
        <v>2</v>
      </c>
      <c r="BV80" s="124"/>
      <c r="BW80" s="124"/>
      <c r="BX80" s="124"/>
      <c r="BY80" s="124"/>
      <c r="BZ80" s="159"/>
      <c r="CA80" s="160"/>
      <c r="CB8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37.1</v>
      </c>
      <c r="CC8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0" s="131">
        <f>' الشركه 2018'!$H80*67%*1.5*' الشركه 2018'!$CB80/208</f>
        <v>849.6791826923079</v>
      </c>
      <c r="CE80" s="132">
        <f>' الشركه 2018'!$H80*67%*2*' الشركه 2018'!$CC80/208</f>
        <v>0</v>
      </c>
      <c r="CF80" s="133">
        <f>' الشركه 2018'!$CD80+' الشركه 2018'!$CE80</f>
        <v>849.6791826923079</v>
      </c>
      <c r="CG80" s="124"/>
      <c r="CH80" s="177">
        <f>SUMIF(C80:C333,' الشركه 2018'!$CG79,L80:L333)</f>
        <v>0</v>
      </c>
      <c r="CI80" s="124"/>
      <c r="CJ80" s="177">
        <f>' الشركه 2018'!$CH79*' الشركه 2018'!$CI79</f>
        <v>0</v>
      </c>
      <c r="CK80" s="177">
        <f>' الشركه 2018'!$CJ79*8%</f>
        <v>0</v>
      </c>
      <c r="CL80" s="177">
        <f>' الشركه 2018'!$CJ79*17%</f>
        <v>0</v>
      </c>
      <c r="CM80" s="177">
        <f>' الشركه 2018'!$CJ79*25%</f>
        <v>0</v>
      </c>
      <c r="CN80" s="162"/>
      <c r="CO80" s="162"/>
      <c r="CP80" s="163"/>
      <c r="CQ80" s="164" t="e">
        <f>VLOOKUP(Table6[[#This Row],[الرقم الوظيفى]],[4]!Table3[#Data],26,FALSE)</f>
        <v>#REF!</v>
      </c>
      <c r="CR80" s="199"/>
      <c r="CS80" s="124"/>
    </row>
    <row r="81" spans="1:97" ht="28" customHeight="1" thickTop="1" thickBot="1">
      <c r="A81" s="222">
        <v>346</v>
      </c>
      <c r="B81" s="142" t="s">
        <v>444</v>
      </c>
      <c r="C81" s="59" t="s">
        <v>90</v>
      </c>
      <c r="D81" s="143" t="s">
        <v>660</v>
      </c>
      <c r="E81" s="174" t="s">
        <v>660</v>
      </c>
      <c r="F81" s="143" t="s">
        <v>443</v>
      </c>
      <c r="G81" s="145">
        <v>41197</v>
      </c>
      <c r="H81" s="146">
        <v>4230</v>
      </c>
      <c r="I81" s="106">
        <f>Table6[[#This Row],[مرتب]]/30</f>
        <v>141</v>
      </c>
      <c r="J81" s="107">
        <v>30</v>
      </c>
      <c r="K81" s="107">
        <f t="shared" si="1"/>
        <v>0</v>
      </c>
      <c r="L81" s="108">
        <v>0</v>
      </c>
      <c r="M81" s="107">
        <f>Table6[[#This Row],[مرتب الضمان]]*17%</f>
        <v>0</v>
      </c>
      <c r="N81" s="107">
        <f>' الشركه 2018'!$H81*35%</f>
        <v>1480.5</v>
      </c>
      <c r="O81" s="107">
        <f>' الشركه 2018'!$H81*32%</f>
        <v>1353.6000000000001</v>
      </c>
      <c r="P81" s="107">
        <f>' الشركه 2018'!$H81*12%</f>
        <v>507.59999999999997</v>
      </c>
      <c r="Q81" s="107">
        <f>' الشركه 2018'!$H81*13%</f>
        <v>549.9</v>
      </c>
      <c r="R81" s="107">
        <f>' الشركه 2018'!$H81*6%</f>
        <v>253.79999999999998</v>
      </c>
      <c r="S81" s="107">
        <f>' الشركه 2018'!$H81*2%</f>
        <v>84.600000000000009</v>
      </c>
      <c r="T81" s="107">
        <f>' الشركه 2018'!$O81+' الشركه 2018'!$P81+' الشركه 2018'!$Q81+' الشركه 2018'!$R81+' الشركه 2018'!$S81</f>
        <v>2749.5</v>
      </c>
      <c r="U81" s="109">
        <f>VLOOKUP(Table6[[#This Row],[الرقم الوظيفى]],[2]بالخصم!$B$1:$AK$1200,35,)</f>
        <v>0</v>
      </c>
      <c r="V81" s="147"/>
      <c r="W81" s="111">
        <f>Table6[[#This Row],[عدد ايام الاجازه]]*Table6[[#This Row],[ح راتب اليوم]]</f>
        <v>0</v>
      </c>
      <c r="X81" s="148"/>
      <c r="Y81" s="60"/>
      <c r="Z81" s="111">
        <f>Table6[[#This Row],[عدد ايام الجزاء]]*Table6[[#This Row],[ح راتب اليوم]]</f>
        <v>0</v>
      </c>
      <c r="AA81" s="112">
        <f>Table6[[#This Row],[مرتب]]*50%</f>
        <v>2115</v>
      </c>
      <c r="AB81" s="113" t="e">
        <f>VLOOKUP(Table6[[#This Row],[الرقم الوظيفى]],[3]!Table25289[#Data],23,)</f>
        <v>#REF!</v>
      </c>
      <c r="AC81" s="149"/>
      <c r="AD81" s="168"/>
      <c r="AE81" s="113" t="e">
        <f>VLOOKUP(Table6[[#This Row],[الرقم الوظيفى]],[3]!Table252894[#Data],22,)</f>
        <v>#REF!</v>
      </c>
      <c r="AF81" s="151"/>
      <c r="AG81" s="111">
        <f>' الشركه 2018'!$W81+' الشركه 2018'!$Z81+' الشركه 2018'!$AA81+' الشركه 2018'!$AC81+' الشركه 2018'!$AD81+' الشركه 2018'!$AF81</f>
        <v>2115</v>
      </c>
      <c r="AH81" s="111">
        <f>Table6[[#This Row],[راتب الضمان]]*8%</f>
        <v>0</v>
      </c>
      <c r="AI81" s="111">
        <f>' الشركه 2018'!$H81-' الشركه 2018'!$AG81-' الشركه 2018'!$AH81</f>
        <v>2115</v>
      </c>
      <c r="AJ81" s="111">
        <f>' الشركه 2018'!$CF81</f>
        <v>0</v>
      </c>
      <c r="AK81" s="117">
        <f>' الشركه 2018'!$AI81+' الشركه 2018'!$AJ81</f>
        <v>2115</v>
      </c>
      <c r="AL81" s="152"/>
      <c r="AM81" s="153"/>
      <c r="AN81" s="9">
        <f>Table6[[#This Row],[اجمالى الاستحقاق]]-Table6[[#This Row],[Column2]]+Table6[[#This Row],[حوافز غير مستقره]]</f>
        <v>2115</v>
      </c>
      <c r="AO81" s="59"/>
      <c r="AP81" s="169"/>
      <c r="AQ81" s="176"/>
      <c r="AR81" s="124"/>
      <c r="AS81" s="155"/>
      <c r="AT81" s="170"/>
      <c r="AU81" s="124"/>
      <c r="AV81" s="124"/>
      <c r="AW81" s="124"/>
      <c r="AX81" s="124"/>
      <c r="AY81" s="124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  <c r="BO81" s="124"/>
      <c r="BP81" s="124"/>
      <c r="BQ81" s="124"/>
      <c r="BR81" s="124"/>
      <c r="BS81" s="124"/>
      <c r="BT81" s="124"/>
      <c r="BU81" s="124"/>
      <c r="BV81" s="124"/>
      <c r="BW81" s="124"/>
      <c r="BX81" s="124"/>
      <c r="BY81" s="124"/>
      <c r="BZ81" s="171"/>
      <c r="CA81" s="172"/>
      <c r="CB8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1" s="131">
        <f>' الشركه 2018'!$H81*67%*1.5*' الشركه 2018'!$CB81/208</f>
        <v>0</v>
      </c>
      <c r="CE81" s="132">
        <f>' الشركه 2018'!$H81*67%*2*' الشركه 2018'!$CC81/208</f>
        <v>0</v>
      </c>
      <c r="CF81" s="133">
        <f>' الشركه 2018'!$CD81+' الشركه 2018'!$CE81</f>
        <v>0</v>
      </c>
      <c r="CG81" s="124"/>
      <c r="CH81" s="177">
        <f>SUMIF(C81:C334,' الشركه 2018'!$CG80,L81:L334)</f>
        <v>0</v>
      </c>
      <c r="CI81" s="124"/>
      <c r="CJ81" s="177">
        <f>' الشركه 2018'!$CH80*' الشركه 2018'!$CI80</f>
        <v>0</v>
      </c>
      <c r="CK81" s="177">
        <f>' الشركه 2018'!$CJ80*8%</f>
        <v>0</v>
      </c>
      <c r="CL81" s="177">
        <f>' الشركه 2018'!$CJ80*17%</f>
        <v>0</v>
      </c>
      <c r="CM81" s="177">
        <f>' الشركه 2018'!$CJ80*25%</f>
        <v>0</v>
      </c>
      <c r="CN81" s="162"/>
      <c r="CO81" s="162"/>
      <c r="CP81" s="163">
        <v>500</v>
      </c>
      <c r="CQ81" s="164" t="e">
        <f>VLOOKUP(Table6[[#This Row],[الرقم الوظيفى]],[4]!Table3[#Data],26,FALSE)</f>
        <v>#REF!</v>
      </c>
      <c r="CR81" s="165">
        <v>500</v>
      </c>
      <c r="CS81" s="124"/>
    </row>
    <row r="82" spans="1:97" ht="28" customHeight="1" thickTop="1" thickBot="1">
      <c r="A82" s="222">
        <v>363</v>
      </c>
      <c r="B82" s="142" t="s">
        <v>249</v>
      </c>
      <c r="C82" s="59" t="s">
        <v>90</v>
      </c>
      <c r="D82" s="143" t="s">
        <v>74</v>
      </c>
      <c r="E82" s="174" t="s">
        <v>622</v>
      </c>
      <c r="F82" s="143" t="s">
        <v>655</v>
      </c>
      <c r="G82" s="145">
        <v>41232</v>
      </c>
      <c r="H82" s="146">
        <v>4220</v>
      </c>
      <c r="I82" s="106">
        <f>Table6[[#This Row],[مرتب]]/30</f>
        <v>140.66666666666666</v>
      </c>
      <c r="J82" s="107">
        <v>30</v>
      </c>
      <c r="K82" s="107">
        <f t="shared" si="1"/>
        <v>4220</v>
      </c>
      <c r="L82" s="108">
        <v>4220</v>
      </c>
      <c r="M82" s="107">
        <f>Table6[[#This Row],[مرتب الضمان]]*17%</f>
        <v>717.40000000000009</v>
      </c>
      <c r="N82" s="107">
        <f>' الشركه 2018'!$H82*35%</f>
        <v>1477</v>
      </c>
      <c r="O82" s="107">
        <f>' الشركه 2018'!$H82*32%</f>
        <v>1350.4</v>
      </c>
      <c r="P82" s="107">
        <f>' الشركه 2018'!$H82*12%</f>
        <v>506.4</v>
      </c>
      <c r="Q82" s="107">
        <f>' الشركه 2018'!$H82*13%</f>
        <v>548.6</v>
      </c>
      <c r="R82" s="107">
        <f>' الشركه 2018'!$H82*6%</f>
        <v>253.2</v>
      </c>
      <c r="S82" s="107">
        <f>' الشركه 2018'!$H82*2%</f>
        <v>84.4</v>
      </c>
      <c r="T82" s="107">
        <f>' الشركه 2018'!$O82+' الشركه 2018'!$P82+' الشركه 2018'!$Q82+' الشركه 2018'!$R82+' الشركه 2018'!$S82</f>
        <v>2743</v>
      </c>
      <c r="U82" s="109">
        <f>VLOOKUP(Table6[[#This Row],[الرقم الوظيفى]],[2]بالخصم!$B$1:$AK$1200,35,)</f>
        <v>0</v>
      </c>
      <c r="V82" s="147"/>
      <c r="W82" s="111">
        <f>Table6[[#This Row],[عدد ايام الاجازه]]*Table6[[#This Row],[ح راتب اليوم]]</f>
        <v>0</v>
      </c>
      <c r="X82" s="148"/>
      <c r="Y82" s="60"/>
      <c r="Z82" s="111">
        <f>Table6[[#This Row],[عدد ايام الجزاء]]*Table6[[#This Row],[ح راتب اليوم]]</f>
        <v>0</v>
      </c>
      <c r="AA82" s="112">
        <f>Table6[[#This Row],[مرتب]]*50%</f>
        <v>2110</v>
      </c>
      <c r="AB82" s="113" t="e">
        <f>VLOOKUP(Table6[[#This Row],[الرقم الوظيفى]],[3]!Table25289[#Data],23,)</f>
        <v>#REF!</v>
      </c>
      <c r="AC82" s="149"/>
      <c r="AD82" s="150"/>
      <c r="AE82" s="113" t="e">
        <f>VLOOKUP(Table6[[#This Row],[الرقم الوظيفى]],[3]!Table252894[#Data],22,)</f>
        <v>#REF!</v>
      </c>
      <c r="AF82" s="151"/>
      <c r="AG82" s="111">
        <f>' الشركه 2018'!$W82+' الشركه 2018'!$Z82+' الشركه 2018'!$AA82+' الشركه 2018'!$AC82+' الشركه 2018'!$AD82+' الشركه 2018'!$AF82</f>
        <v>2110</v>
      </c>
      <c r="AH82" s="111">
        <f>Table6[[#This Row],[راتب الضمان]]*8%</f>
        <v>337.6</v>
      </c>
      <c r="AI82" s="111">
        <f>' الشركه 2018'!$H82-' الشركه 2018'!$AG82-' الشركه 2018'!$AH82</f>
        <v>1772.4</v>
      </c>
      <c r="AJ82" s="111">
        <f>' الشركه 2018'!$CF82</f>
        <v>0</v>
      </c>
      <c r="AK82" s="117">
        <f>' الشركه 2018'!$AI82+' الشركه 2018'!$AJ82</f>
        <v>1772.4</v>
      </c>
      <c r="AL82" s="152"/>
      <c r="AM82" s="153"/>
      <c r="AN82" s="9">
        <f>Table6[[#This Row],[اجمالى الاستحقاق]]-Table6[[#This Row],[Column2]]+Table6[[#This Row],[حوافز غير مستقره]]</f>
        <v>1772.4</v>
      </c>
      <c r="AO82" s="59"/>
      <c r="AP82" s="169"/>
      <c r="AQ82" s="176"/>
      <c r="AR82" s="124"/>
      <c r="AS82" s="155"/>
      <c r="AT82" s="170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71"/>
      <c r="CA82" s="172"/>
      <c r="CB8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2" s="131">
        <f>' الشركه 2018'!$H82*67%*1.5*' الشركه 2018'!$CB82/208</f>
        <v>0</v>
      </c>
      <c r="CE82" s="132">
        <f>' الشركه 2018'!$H82*67%*2*' الشركه 2018'!$CC82/208</f>
        <v>0</v>
      </c>
      <c r="CF82" s="133">
        <f>' الشركه 2018'!$CD82+' الشركه 2018'!$CE82</f>
        <v>0</v>
      </c>
      <c r="CG82" s="124"/>
      <c r="CH82" s="177">
        <f>SUMIF(C82:C335,' الشركه 2018'!$CG81,L82:L335)</f>
        <v>0</v>
      </c>
      <c r="CI82" s="124"/>
      <c r="CJ82" s="177">
        <f>' الشركه 2018'!$CH81*' الشركه 2018'!$CI81</f>
        <v>0</v>
      </c>
      <c r="CK82" s="177">
        <f>' الشركه 2018'!$CJ81*8%</f>
        <v>0</v>
      </c>
      <c r="CL82" s="177">
        <f>' الشركه 2018'!$CJ81*17%</f>
        <v>0</v>
      </c>
      <c r="CM82" s="177">
        <f>' الشركه 2018'!$CJ81*25%</f>
        <v>0</v>
      </c>
      <c r="CN82" s="162"/>
      <c r="CO82" s="162"/>
      <c r="CP82" s="163">
        <v>500</v>
      </c>
      <c r="CQ82" s="164" t="e">
        <f>VLOOKUP(Table6[[#This Row],[الرقم الوظيفى]],[4]!Table3[#Data],26,FALSE)</f>
        <v>#REF!</v>
      </c>
      <c r="CR82" s="165">
        <v>500</v>
      </c>
      <c r="CS82" s="124"/>
    </row>
    <row r="83" spans="1:97" ht="28" customHeight="1" thickTop="1" thickBot="1">
      <c r="A83" s="227">
        <v>372</v>
      </c>
      <c r="B83" s="142" t="s">
        <v>661</v>
      </c>
      <c r="C83" s="59" t="s">
        <v>90</v>
      </c>
      <c r="D83" s="11" t="s">
        <v>75</v>
      </c>
      <c r="E83" s="202"/>
      <c r="F83" s="11"/>
      <c r="G83" s="184">
        <v>43144</v>
      </c>
      <c r="H83" s="154">
        <v>3000</v>
      </c>
      <c r="I83" s="203">
        <f>Table6[[#This Row],[مرتب]]/30</f>
        <v>100</v>
      </c>
      <c r="J83" s="107">
        <v>30</v>
      </c>
      <c r="K83" s="107">
        <f t="shared" si="1"/>
        <v>3000</v>
      </c>
      <c r="L83" s="107">
        <v>3000</v>
      </c>
      <c r="M83" s="107">
        <f>Table6[[#This Row],[مرتب الضمان]]*17%</f>
        <v>510.00000000000006</v>
      </c>
      <c r="N83" s="107">
        <f>' الشركه 2018'!$H83*35%</f>
        <v>1050</v>
      </c>
      <c r="O83" s="107">
        <f>' الشركه 2018'!$H83*32%</f>
        <v>960</v>
      </c>
      <c r="P83" s="107">
        <f>' الشركه 2018'!$H83*12%</f>
        <v>360</v>
      </c>
      <c r="Q83" s="107">
        <f>' الشركه 2018'!$H83*13%</f>
        <v>390</v>
      </c>
      <c r="R83" s="107">
        <f>' الشركه 2018'!$H83*6%</f>
        <v>180</v>
      </c>
      <c r="S83" s="107">
        <f>' الشركه 2018'!$H83*2%</f>
        <v>60</v>
      </c>
      <c r="T83" s="107">
        <f>' الشركه 2018'!$O83+' الشركه 2018'!$P83+' الشركه 2018'!$Q83+' الشركه 2018'!$R83+' الشركه 2018'!$S83</f>
        <v>1950</v>
      </c>
      <c r="U83" s="109">
        <f>VLOOKUP(Table6[[#This Row],[الرقم الوظيفى]],[2]بالخصم!$B$1:$AK$1200,35,)</f>
        <v>1</v>
      </c>
      <c r="V83" s="204">
        <v>1</v>
      </c>
      <c r="W83" s="111">
        <f>Table6[[#This Row],[عدد ايام الاجازه]]*Table6[[#This Row],[ح راتب اليوم]]</f>
        <v>100</v>
      </c>
      <c r="X83" s="148"/>
      <c r="Y83" s="201"/>
      <c r="Z83" s="111">
        <f>Table6[[#This Row],[عدد ايام الجزاء]]*Table6[[#This Row],[ح راتب اليوم]]</f>
        <v>0</v>
      </c>
      <c r="AA83" s="112">
        <f>Table6[[#This Row],[مرتب]]*50%</f>
        <v>1500</v>
      </c>
      <c r="AB83" s="113" t="e">
        <f>VLOOKUP(Table6[[#This Row],[الرقم الوظيفى]],[3]!Table25289[#Data],23,)</f>
        <v>#REF!</v>
      </c>
      <c r="AC83" s="205"/>
      <c r="AD83" s="206"/>
      <c r="AE83" s="113" t="e">
        <f>VLOOKUP(Table6[[#This Row],[الرقم الوظيفى]],[3]!Table252894[#Data],22,)</f>
        <v>#REF!</v>
      </c>
      <c r="AF83" s="207"/>
      <c r="AG83" s="111">
        <f>' الشركه 2018'!$W83+' الشركه 2018'!$Z83+' الشركه 2018'!$AA83+' الشركه 2018'!$AC83+' الشركه 2018'!$AD83+' الشركه 2018'!$AF83</f>
        <v>1600</v>
      </c>
      <c r="AH83" s="111">
        <f>Table6[[#This Row],[راتب الضمان]]*8%</f>
        <v>240</v>
      </c>
      <c r="AI83" s="111">
        <f>' الشركه 2018'!$H83-' الشركه 2018'!$AG83-' الشركه 2018'!$AH83</f>
        <v>1160</v>
      </c>
      <c r="AJ83" s="111">
        <f>' الشركه 2018'!$CF83</f>
        <v>0</v>
      </c>
      <c r="AK83" s="117">
        <f>' الشركه 2018'!$AI83+' الشركه 2018'!$AJ83</f>
        <v>1160</v>
      </c>
      <c r="AL83" s="152"/>
      <c r="AM83" s="153"/>
      <c r="AN83" s="9">
        <f>Table6[[#This Row],[اجمالى الاستحقاق]]-Table6[[#This Row],[Column2]]+Table6[[#This Row],[حوافز غير مستقره]]</f>
        <v>1160</v>
      </c>
      <c r="AO83" s="59"/>
      <c r="AP83" s="169"/>
      <c r="AQ83" s="176"/>
      <c r="AR83" s="124"/>
      <c r="AS83" s="208"/>
      <c r="AT83" s="170"/>
      <c r="AU83" s="124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4"/>
      <c r="BG83" s="124"/>
      <c r="BH83" s="228"/>
      <c r="BI83" s="124"/>
      <c r="BJ83" s="228"/>
      <c r="BK83" s="124"/>
      <c r="BL83" s="124"/>
      <c r="BM83" s="177"/>
      <c r="BN83" s="177"/>
      <c r="BO83" s="124"/>
      <c r="BP83" s="177"/>
      <c r="BQ83" s="124"/>
      <c r="BR83" s="177"/>
      <c r="BS83" s="177"/>
      <c r="BT83" s="124"/>
      <c r="BU83" s="124"/>
      <c r="BV83" s="124"/>
      <c r="BW83" s="177"/>
      <c r="BX83" s="177"/>
      <c r="BY83" s="177"/>
      <c r="BZ83" s="177"/>
      <c r="CA83" s="177"/>
      <c r="CB8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3" s="131">
        <f>' الشركه 2018'!$H83*67%*1.5*' الشركه 2018'!$CB83/208</f>
        <v>0</v>
      </c>
      <c r="CE83" s="132">
        <f>' الشركه 2018'!$H83*67%*2*' الشركه 2018'!$CC83/208</f>
        <v>0</v>
      </c>
      <c r="CF83" s="133">
        <f>' الشركه 2018'!$CD83+' الشركه 2018'!$CE83</f>
        <v>0</v>
      </c>
      <c r="CG83" s="124"/>
      <c r="CH83" s="177"/>
      <c r="CI83" s="124"/>
      <c r="CJ83" s="162"/>
      <c r="CK83" s="162"/>
      <c r="CL83" s="177"/>
      <c r="CM83" s="162"/>
      <c r="CN83" s="162"/>
      <c r="CO83" s="162"/>
      <c r="CP83" s="163"/>
      <c r="CQ83" s="164" t="e">
        <f>VLOOKUP(Table6[[#This Row],[الرقم الوظيفى]],[4]!Table3[#Data],26,FALSE)</f>
        <v>#REF!</v>
      </c>
      <c r="CR83" s="165">
        <v>500</v>
      </c>
      <c r="CS83" s="124"/>
    </row>
    <row r="84" spans="1:97" ht="28" customHeight="1" thickTop="1" thickBot="1">
      <c r="A84" s="222">
        <v>373</v>
      </c>
      <c r="B84" s="142" t="s">
        <v>239</v>
      </c>
      <c r="C84" s="59" t="s">
        <v>90</v>
      </c>
      <c r="D84" s="143" t="s">
        <v>74</v>
      </c>
      <c r="E84" s="174" t="s">
        <v>622</v>
      </c>
      <c r="F84" s="143" t="s">
        <v>655</v>
      </c>
      <c r="G84" s="145">
        <v>41214</v>
      </c>
      <c r="H84" s="146">
        <v>4220</v>
      </c>
      <c r="I84" s="106">
        <f>Table6[[#This Row],[مرتب]]/30</f>
        <v>140.66666666666666</v>
      </c>
      <c r="J84" s="107">
        <v>30</v>
      </c>
      <c r="K84" s="107">
        <f t="shared" si="1"/>
        <v>4220</v>
      </c>
      <c r="L84" s="108">
        <v>4220</v>
      </c>
      <c r="M84" s="107">
        <f>Table6[[#This Row],[مرتب الضمان]]*17%</f>
        <v>717.40000000000009</v>
      </c>
      <c r="N84" s="107">
        <f>' الشركه 2018'!$H84*35%</f>
        <v>1477</v>
      </c>
      <c r="O84" s="107">
        <f>' الشركه 2018'!$H84*32%</f>
        <v>1350.4</v>
      </c>
      <c r="P84" s="107">
        <f>' الشركه 2018'!$H84*12%</f>
        <v>506.4</v>
      </c>
      <c r="Q84" s="107">
        <f>' الشركه 2018'!$H84*13%</f>
        <v>548.6</v>
      </c>
      <c r="R84" s="107">
        <f>' الشركه 2018'!$H84*6%</f>
        <v>253.2</v>
      </c>
      <c r="S84" s="107">
        <f>' الشركه 2018'!$H84*2%</f>
        <v>84.4</v>
      </c>
      <c r="T84" s="107">
        <f>' الشركه 2018'!$O84+' الشركه 2018'!$P84+' الشركه 2018'!$Q84+' الشركه 2018'!$R84+' الشركه 2018'!$S84</f>
        <v>2743</v>
      </c>
      <c r="U84" s="109">
        <f>VLOOKUP(Table6[[#This Row],[الرقم الوظيفى]],[2]بالخصم!$B$1:$AK$1200,35,)</f>
        <v>0</v>
      </c>
      <c r="V84" s="147"/>
      <c r="W84" s="111">
        <f>Table6[[#This Row],[عدد ايام الاجازه]]*Table6[[#This Row],[ح راتب اليوم]]</f>
        <v>0</v>
      </c>
      <c r="X84" s="148"/>
      <c r="Y84" s="60"/>
      <c r="Z84" s="111">
        <f>Table6[[#This Row],[عدد ايام الجزاء]]*Table6[[#This Row],[ح راتب اليوم]]</f>
        <v>0</v>
      </c>
      <c r="AA84" s="112">
        <f>Table6[[#This Row],[مرتب]]*50%</f>
        <v>2110</v>
      </c>
      <c r="AB84" s="113" t="e">
        <f>VLOOKUP(Table6[[#This Row],[الرقم الوظيفى]],[3]!Table25289[#Data],23,)</f>
        <v>#REF!</v>
      </c>
      <c r="AC84" s="149"/>
      <c r="AD84" s="150"/>
      <c r="AE84" s="113" t="e">
        <f>VLOOKUP(Table6[[#This Row],[الرقم الوظيفى]],[3]!Table252894[#Data],22,)</f>
        <v>#REF!</v>
      </c>
      <c r="AF84" s="151"/>
      <c r="AG84" s="111">
        <f>' الشركه 2018'!$W84+' الشركه 2018'!$Z84+' الشركه 2018'!$AA84+' الشركه 2018'!$AC84+' الشركه 2018'!$AD84+' الشركه 2018'!$AF84</f>
        <v>2110</v>
      </c>
      <c r="AH84" s="111">
        <f>Table6[[#This Row],[راتب الضمان]]*8%</f>
        <v>337.6</v>
      </c>
      <c r="AI84" s="111">
        <f>' الشركه 2018'!$H84-' الشركه 2018'!$AG84-' الشركه 2018'!$AH84</f>
        <v>1772.4</v>
      </c>
      <c r="AJ84" s="111">
        <f>' الشركه 2018'!$CF84</f>
        <v>0</v>
      </c>
      <c r="AK84" s="117">
        <f>' الشركه 2018'!$AI84+' الشركه 2018'!$AJ84</f>
        <v>1772.4</v>
      </c>
      <c r="AL84" s="152"/>
      <c r="AM84" s="153"/>
      <c r="AN84" s="9">
        <f>Table6[[#This Row],[اجمالى الاستحقاق]]-Table6[[#This Row],[Column2]]+Table6[[#This Row],[حوافز غير مستقره]]</f>
        <v>1772.4</v>
      </c>
      <c r="AO84" s="59"/>
      <c r="AP84" s="169"/>
      <c r="AQ84" s="176"/>
      <c r="AR84" s="124"/>
      <c r="AS84" s="155"/>
      <c r="AT84" s="170"/>
      <c r="AU84" s="12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  <c r="BO84" s="124"/>
      <c r="BP84" s="124"/>
      <c r="BQ84" s="124"/>
      <c r="BR84" s="124"/>
      <c r="BS84" s="124"/>
      <c r="BT84" s="124"/>
      <c r="BU84" s="124"/>
      <c r="BV84" s="124"/>
      <c r="BW84" s="124"/>
      <c r="BX84" s="124"/>
      <c r="BY84" s="124"/>
      <c r="BZ84" s="159"/>
      <c r="CA84" s="160"/>
      <c r="CB8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4" s="131">
        <f>' الشركه 2018'!$H84*67%*1.5*' الشركه 2018'!$CB84/208</f>
        <v>0</v>
      </c>
      <c r="CE84" s="132">
        <f>' الشركه 2018'!$H84*67%*2*' الشركه 2018'!$CC84/208</f>
        <v>0</v>
      </c>
      <c r="CF84" s="133">
        <f>' الشركه 2018'!$CD84+' الشركه 2018'!$CE84</f>
        <v>0</v>
      </c>
      <c r="CG84" s="124"/>
      <c r="CH84" s="177">
        <f>SUMIF(C84:C338,' الشركه 2018'!#REF!,L84:L338)</f>
        <v>0</v>
      </c>
      <c r="CI84" s="124"/>
      <c r="CJ84" s="177" t="e">
        <f>' الشركه 2018'!#REF!*' الشركه 2018'!#REF!</f>
        <v>#REF!</v>
      </c>
      <c r="CK84" s="177" t="e">
        <f>' الشركه 2018'!#REF!*8%</f>
        <v>#REF!</v>
      </c>
      <c r="CL84" s="177" t="e">
        <f>' الشركه 2018'!#REF!*17%</f>
        <v>#REF!</v>
      </c>
      <c r="CM84" s="177" t="e">
        <f>' الشركه 2018'!#REF!*25%</f>
        <v>#REF!</v>
      </c>
      <c r="CN84" s="162"/>
      <c r="CO84" s="162"/>
      <c r="CP84" s="163">
        <v>500</v>
      </c>
      <c r="CQ84" s="164" t="e">
        <f>VLOOKUP(Table6[[#This Row],[الرقم الوظيفى]],[4]!Table3[#Data],26,FALSE)</f>
        <v>#REF!</v>
      </c>
      <c r="CR84" s="165">
        <v>1500</v>
      </c>
      <c r="CS84" s="124"/>
    </row>
    <row r="85" spans="1:97" ht="28" customHeight="1" thickTop="1" thickBot="1">
      <c r="A85" s="222">
        <v>374</v>
      </c>
      <c r="B85" s="142" t="s">
        <v>182</v>
      </c>
      <c r="C85" s="59" t="s">
        <v>90</v>
      </c>
      <c r="D85" s="143" t="s">
        <v>611</v>
      </c>
      <c r="E85" s="174" t="s">
        <v>662</v>
      </c>
      <c r="F85" s="143" t="s">
        <v>177</v>
      </c>
      <c r="G85" s="145">
        <v>41247</v>
      </c>
      <c r="H85" s="146">
        <v>4200</v>
      </c>
      <c r="I85" s="106">
        <f>Table6[[#This Row],[مرتب]]/30</f>
        <v>140</v>
      </c>
      <c r="J85" s="107">
        <v>30</v>
      </c>
      <c r="K85" s="107">
        <f t="shared" si="1"/>
        <v>4200</v>
      </c>
      <c r="L85" s="108">
        <v>4200</v>
      </c>
      <c r="M85" s="107">
        <f>Table6[[#This Row],[مرتب الضمان]]*17%</f>
        <v>714</v>
      </c>
      <c r="N85" s="107">
        <f>' الشركه 2018'!$H85*35%</f>
        <v>1470</v>
      </c>
      <c r="O85" s="107">
        <f>' الشركه 2018'!$H85*32%</f>
        <v>1344</v>
      </c>
      <c r="P85" s="107">
        <f>' الشركه 2018'!$H85*12%</f>
        <v>504</v>
      </c>
      <c r="Q85" s="107">
        <f>' الشركه 2018'!$H85*13%</f>
        <v>546</v>
      </c>
      <c r="R85" s="107">
        <f>' الشركه 2018'!$H85*6%</f>
        <v>252</v>
      </c>
      <c r="S85" s="107">
        <f>' الشركه 2018'!$H85*2%</f>
        <v>84</v>
      </c>
      <c r="T85" s="107">
        <f>' الشركه 2018'!$O85+' الشركه 2018'!$P85+' الشركه 2018'!$Q85+' الشركه 2018'!$R85+' الشركه 2018'!$S85</f>
        <v>2730</v>
      </c>
      <c r="U85" s="109">
        <f>VLOOKUP(Table6[[#This Row],[الرقم الوظيفى]],[2]بالخصم!$B$1:$AK$1200,35,)</f>
        <v>0</v>
      </c>
      <c r="V85" s="147"/>
      <c r="W85" s="111">
        <f>Table6[[#This Row],[عدد ايام الاجازه]]*Table6[[#This Row],[ح راتب اليوم]]</f>
        <v>0</v>
      </c>
      <c r="X85" s="148"/>
      <c r="Y85" s="60"/>
      <c r="Z85" s="111">
        <f>Table6[[#This Row],[عدد ايام الجزاء]]*Table6[[#This Row],[ح راتب اليوم]]</f>
        <v>0</v>
      </c>
      <c r="AA85" s="112">
        <f>Table6[[#This Row],[مرتب]]*50%</f>
        <v>2100</v>
      </c>
      <c r="AB85" s="113" t="e">
        <f>VLOOKUP(Table6[[#This Row],[الرقم الوظيفى]],[3]!Table25289[#Data],23,)</f>
        <v>#REF!</v>
      </c>
      <c r="AC85" s="149"/>
      <c r="AD85" s="150"/>
      <c r="AE85" s="113" t="e">
        <f>VLOOKUP(Table6[[#This Row],[الرقم الوظيفى]],[3]!Table252894[#Data],22,)</f>
        <v>#REF!</v>
      </c>
      <c r="AF85" s="151"/>
      <c r="AG85" s="111">
        <f>' الشركه 2018'!$W85+' الشركه 2018'!$Z85+' الشركه 2018'!$AA85+' الشركه 2018'!$AC85+' الشركه 2018'!$AD85+' الشركه 2018'!$AF85</f>
        <v>2100</v>
      </c>
      <c r="AH85" s="111">
        <f>Table6[[#This Row],[راتب الضمان]]*8%</f>
        <v>336</v>
      </c>
      <c r="AI85" s="111">
        <f>' الشركه 2018'!$H85-' الشركه 2018'!$AG85-' الشركه 2018'!$AH85</f>
        <v>1764</v>
      </c>
      <c r="AJ85" s="111">
        <f>' الشركه 2018'!$CF85</f>
        <v>60.879807692307693</v>
      </c>
      <c r="AK85" s="117">
        <f>' الشركه 2018'!$AI85+' الشركه 2018'!$AJ85</f>
        <v>1824.8798076923076</v>
      </c>
      <c r="AL85" s="152"/>
      <c r="AM85" s="153"/>
      <c r="AN85" s="9">
        <f>Table6[[#This Row],[اجمالى الاستحقاق]]-Table6[[#This Row],[Column2]]+Table6[[#This Row],[حوافز غير مستقره]]</f>
        <v>1824.8798076923076</v>
      </c>
      <c r="AO85" s="59"/>
      <c r="AP85" s="169"/>
      <c r="AQ85" s="176"/>
      <c r="AR85" s="124"/>
      <c r="AS85" s="155"/>
      <c r="AT85" s="170"/>
      <c r="AU85" s="124"/>
      <c r="AV85" s="124"/>
      <c r="AW85" s="124"/>
      <c r="AX85" s="124"/>
      <c r="AY85" s="124">
        <v>3</v>
      </c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  <c r="BO85" s="124"/>
      <c r="BP85" s="124"/>
      <c r="BQ85" s="124"/>
      <c r="BR85" s="124"/>
      <c r="BS85" s="124"/>
      <c r="BT85" s="124"/>
      <c r="BU85" s="124"/>
      <c r="BV85" s="124"/>
      <c r="BW85" s="124"/>
      <c r="BX85" s="124"/>
      <c r="BY85" s="124"/>
      <c r="BZ85" s="159"/>
      <c r="CA85" s="160"/>
      <c r="CB8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8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5" s="131">
        <f>' الشركه 2018'!$H85*67%*1.5*' الشركه 2018'!$CB85/208</f>
        <v>60.879807692307693</v>
      </c>
      <c r="CE85" s="132">
        <f>' الشركه 2018'!$H85*67%*2*' الشركه 2018'!$CC85/208</f>
        <v>0</v>
      </c>
      <c r="CF85" s="133">
        <f>' الشركه 2018'!$CD85+' الشركه 2018'!$CE85</f>
        <v>60.879807692307693</v>
      </c>
      <c r="CG85" s="124"/>
      <c r="CH85" s="177">
        <f>SUMIF(C85:C338,' الشركه 2018'!$CG83,L85:L338)</f>
        <v>0</v>
      </c>
      <c r="CI85" s="124"/>
      <c r="CJ85" s="177">
        <f>' الشركه 2018'!$CH83*' الشركه 2018'!$CI83</f>
        <v>0</v>
      </c>
      <c r="CK85" s="177">
        <f>' الشركه 2018'!$CJ83*8%</f>
        <v>0</v>
      </c>
      <c r="CL85" s="177">
        <f>' الشركه 2018'!$CJ83*17%</f>
        <v>0</v>
      </c>
      <c r="CM85" s="177">
        <f>' الشركه 2018'!$CJ83*25%</f>
        <v>0</v>
      </c>
      <c r="CN85" s="162"/>
      <c r="CO85" s="162"/>
      <c r="CP85" s="163">
        <v>700</v>
      </c>
      <c r="CQ85" s="164" t="e">
        <f>VLOOKUP(Table6[[#This Row],[الرقم الوظيفى]],[4]!Table3[#Data],26,FALSE)</f>
        <v>#REF!</v>
      </c>
      <c r="CR85" s="165">
        <v>1000</v>
      </c>
      <c r="CS85" s="124"/>
    </row>
    <row r="86" spans="1:97" ht="28" customHeight="1" thickTop="1" thickBot="1">
      <c r="A86" s="222">
        <v>376</v>
      </c>
      <c r="B86" s="142" t="s">
        <v>285</v>
      </c>
      <c r="C86" s="59" t="s">
        <v>90</v>
      </c>
      <c r="D86" s="143" t="s">
        <v>74</v>
      </c>
      <c r="E86" s="174" t="s">
        <v>659</v>
      </c>
      <c r="F86" s="143" t="s">
        <v>63</v>
      </c>
      <c r="G86" s="145">
        <v>41249</v>
      </c>
      <c r="H86" s="146">
        <v>3200</v>
      </c>
      <c r="I86" s="106">
        <f>Table6[[#This Row],[مرتب]]/30</f>
        <v>106.66666666666667</v>
      </c>
      <c r="J86" s="107">
        <v>30</v>
      </c>
      <c r="K86" s="107">
        <f t="shared" si="1"/>
        <v>3200</v>
      </c>
      <c r="L86" s="108">
        <v>3200</v>
      </c>
      <c r="M86" s="107">
        <f>Table6[[#This Row],[مرتب الضمان]]*17%</f>
        <v>544</v>
      </c>
      <c r="N86" s="107">
        <f>' الشركه 2018'!$H86*35%</f>
        <v>1120</v>
      </c>
      <c r="O86" s="107">
        <f>' الشركه 2018'!$H86*32%</f>
        <v>1024</v>
      </c>
      <c r="P86" s="107">
        <f>' الشركه 2018'!$H86*12%</f>
        <v>384</v>
      </c>
      <c r="Q86" s="107">
        <f>' الشركه 2018'!$H86*13%</f>
        <v>416</v>
      </c>
      <c r="R86" s="107">
        <f>' الشركه 2018'!$H86*6%</f>
        <v>192</v>
      </c>
      <c r="S86" s="107">
        <f>' الشركه 2018'!$H86*2%</f>
        <v>64</v>
      </c>
      <c r="T86" s="107">
        <f>' الشركه 2018'!$O86+' الشركه 2018'!$P86+' الشركه 2018'!$Q86+' الشركه 2018'!$R86+' الشركه 2018'!$S86</f>
        <v>2080</v>
      </c>
      <c r="U86" s="109">
        <f>VLOOKUP(Table6[[#This Row],[الرقم الوظيفى]],[2]بالخصم!$B$1:$AK$1200,35,)</f>
        <v>0</v>
      </c>
      <c r="V86" s="147"/>
      <c r="W86" s="111">
        <f>Table6[[#This Row],[عدد ايام الاجازه]]*Table6[[#This Row],[ح راتب اليوم]]</f>
        <v>0</v>
      </c>
      <c r="X86" s="148"/>
      <c r="Y86" s="60"/>
      <c r="Z86" s="111">
        <f>Table6[[#This Row],[عدد ايام الجزاء]]*Table6[[#This Row],[ح راتب اليوم]]</f>
        <v>0</v>
      </c>
      <c r="AA86" s="112">
        <f>Table6[[#This Row],[مرتب]]*50%</f>
        <v>1600</v>
      </c>
      <c r="AB86" s="113" t="e">
        <f>VLOOKUP(Table6[[#This Row],[الرقم الوظيفى]],[3]!Table25289[#Data],23,)</f>
        <v>#REF!</v>
      </c>
      <c r="AC86" s="149"/>
      <c r="AD86" s="150"/>
      <c r="AE86" s="113" t="e">
        <f>VLOOKUP(Table6[[#This Row],[الرقم الوظيفى]],[3]!Table252894[#Data],22,)</f>
        <v>#REF!</v>
      </c>
      <c r="AF86" s="151"/>
      <c r="AG86" s="111">
        <f>' الشركه 2018'!$W86+' الشركه 2018'!$Z86+' الشركه 2018'!$AA86+' الشركه 2018'!$AC86+' الشركه 2018'!$AD86+' الشركه 2018'!$AF86</f>
        <v>1600</v>
      </c>
      <c r="AH86" s="111">
        <f>Table6[[#This Row],[راتب الضمان]]*8%</f>
        <v>256</v>
      </c>
      <c r="AI86" s="111">
        <f>' الشركه 2018'!$H86-' الشركه 2018'!$AG86-' الشركه 2018'!$AH86</f>
        <v>1344</v>
      </c>
      <c r="AJ86" s="111">
        <f>' الشركه 2018'!$CF86</f>
        <v>0</v>
      </c>
      <c r="AK86" s="117">
        <f>' الشركه 2018'!$AI86+' الشركه 2018'!$AJ86</f>
        <v>1344</v>
      </c>
      <c r="AL86" s="152"/>
      <c r="AM86" s="153"/>
      <c r="AN86" s="9">
        <f>Table6[[#This Row],[اجمالى الاستحقاق]]-Table6[[#This Row],[Column2]]+Table6[[#This Row],[حوافز غير مستقره]]</f>
        <v>1344</v>
      </c>
      <c r="AO86" s="59"/>
      <c r="AP86" s="169"/>
      <c r="AQ86" s="176"/>
      <c r="AR86" s="124"/>
      <c r="AS86" s="155"/>
      <c r="AT86" s="170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  <c r="BO86" s="124"/>
      <c r="BP86" s="124"/>
      <c r="BQ86" s="124"/>
      <c r="BR86" s="124"/>
      <c r="BS86" s="124"/>
      <c r="BT86" s="124"/>
      <c r="BU86" s="124"/>
      <c r="BV86" s="124"/>
      <c r="BW86" s="124"/>
      <c r="BX86" s="124"/>
      <c r="BY86" s="124"/>
      <c r="BZ86" s="171"/>
      <c r="CA86" s="172"/>
      <c r="CB8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6" s="131">
        <f>' الشركه 2018'!$H86*67%*1.5*' الشركه 2018'!$CB86/208</f>
        <v>0</v>
      </c>
      <c r="CE86" s="132">
        <f>' الشركه 2018'!$H86*67%*2*' الشركه 2018'!$CC86/208</f>
        <v>0</v>
      </c>
      <c r="CF86" s="133">
        <f>' الشركه 2018'!$CD86+' الشركه 2018'!$CE86</f>
        <v>0</v>
      </c>
      <c r="CG86" s="124"/>
      <c r="CH86" s="177">
        <f>SUMIF(C86:C338,' الشركه 2018'!$CG84,L86:L338)</f>
        <v>0</v>
      </c>
      <c r="CI86" s="124"/>
      <c r="CJ86" s="177">
        <f>' الشركه 2018'!$CH84*' الشركه 2018'!$CI84</f>
        <v>0</v>
      </c>
      <c r="CK86" s="177" t="e">
        <f>' الشركه 2018'!$CJ84*8%</f>
        <v>#REF!</v>
      </c>
      <c r="CL86" s="177" t="e">
        <f>' الشركه 2018'!$CJ84*17%</f>
        <v>#REF!</v>
      </c>
      <c r="CM86" s="177" t="e">
        <f>' الشركه 2018'!$CJ84*25%</f>
        <v>#REF!</v>
      </c>
      <c r="CN86" s="162"/>
      <c r="CO86" s="162"/>
      <c r="CP86" s="163"/>
      <c r="CQ86" s="164" t="e">
        <f>VLOOKUP(Table6[[#This Row],[الرقم الوظيفى]],[4]!Table3[#Data],26,FALSE)</f>
        <v>#REF!</v>
      </c>
      <c r="CR86" s="165">
        <v>400</v>
      </c>
      <c r="CS86" s="124"/>
    </row>
    <row r="87" spans="1:97" ht="28" customHeight="1" thickTop="1" thickBot="1">
      <c r="A87" s="222">
        <v>403</v>
      </c>
      <c r="B87" s="200" t="s">
        <v>366</v>
      </c>
      <c r="C87" s="201" t="s">
        <v>90</v>
      </c>
      <c r="D87" s="11" t="s">
        <v>81</v>
      </c>
      <c r="E87" s="144" t="s">
        <v>606</v>
      </c>
      <c r="F87" s="11" t="s">
        <v>365</v>
      </c>
      <c r="G87" s="184">
        <v>42472</v>
      </c>
      <c r="H87" s="210">
        <v>5070</v>
      </c>
      <c r="I87" s="211">
        <f>Table6[[#This Row],[مرتب]]/30</f>
        <v>169</v>
      </c>
      <c r="J87" s="107">
        <v>30</v>
      </c>
      <c r="K87" s="107">
        <f t="shared" si="1"/>
        <v>5070</v>
      </c>
      <c r="L87" s="212">
        <v>5070</v>
      </c>
      <c r="M87" s="107">
        <f>Table6[[#This Row],[مرتب الضمان]]*17%</f>
        <v>861.90000000000009</v>
      </c>
      <c r="N87" s="107">
        <f>' الشركه 2018'!$H87*35%</f>
        <v>1774.5</v>
      </c>
      <c r="O87" s="107">
        <f>' الشركه 2018'!$H87*32%</f>
        <v>1622.4</v>
      </c>
      <c r="P87" s="107">
        <f>' الشركه 2018'!$H87*12%</f>
        <v>608.4</v>
      </c>
      <c r="Q87" s="107">
        <f>' الشركه 2018'!$H87*13%</f>
        <v>659.1</v>
      </c>
      <c r="R87" s="107">
        <f>' الشركه 2018'!$H87*6%</f>
        <v>304.2</v>
      </c>
      <c r="S87" s="107">
        <f>' الشركه 2018'!$H87*2%</f>
        <v>101.4</v>
      </c>
      <c r="T87" s="107">
        <f>' الشركه 2018'!$O87+' الشركه 2018'!$P87+' الشركه 2018'!$Q87+' الشركه 2018'!$R87+' الشركه 2018'!$S87</f>
        <v>3295.5</v>
      </c>
      <c r="U87" s="109">
        <f>VLOOKUP(Table6[[#This Row],[الرقم الوظيفى]],[2]بالخصم!$B$1:$AK$1200,35,)</f>
        <v>0</v>
      </c>
      <c r="V87" s="213"/>
      <c r="W87" s="111">
        <f>Table6[[#This Row],[عدد ايام الاجازه]]*Table6[[#This Row],[ح راتب اليوم]]</f>
        <v>0</v>
      </c>
      <c r="X87" s="148"/>
      <c r="Y87" s="214"/>
      <c r="Z87" s="111">
        <f>Table6[[#This Row],[عدد ايام الجزاء]]*Table6[[#This Row],[ح راتب اليوم]]</f>
        <v>0</v>
      </c>
      <c r="AA87" s="112">
        <f>Table6[[#This Row],[مرتب]]*50%</f>
        <v>2535</v>
      </c>
      <c r="AB87" s="113" t="e">
        <f>VLOOKUP(Table6[[#This Row],[الرقم الوظيفى]],[3]!Table25289[#Data],23,)</f>
        <v>#REF!</v>
      </c>
      <c r="AC87" s="215"/>
      <c r="AD87" s="206"/>
      <c r="AE87" s="113" t="e">
        <f>VLOOKUP(Table6[[#This Row],[الرقم الوظيفى]],[3]!Table252894[#Data],22,)</f>
        <v>#REF!</v>
      </c>
      <c r="AF87" s="179"/>
      <c r="AG87" s="111">
        <f>' الشركه 2018'!$W87+' الشركه 2018'!$Z87+' الشركه 2018'!$AA87+' الشركه 2018'!$AC87+' الشركه 2018'!$AD87+' الشركه 2018'!$AF87</f>
        <v>2535</v>
      </c>
      <c r="AH87" s="111">
        <f>Table6[[#This Row],[راتب الضمان]]*8%</f>
        <v>405.6</v>
      </c>
      <c r="AI87" s="111">
        <f>' الشركه 2018'!$H87-' الشركه 2018'!$AG87-' الشركه 2018'!$AH87</f>
        <v>2129.4</v>
      </c>
      <c r="AJ87" s="111">
        <f>' الشركه 2018'!$CF87</f>
        <v>0</v>
      </c>
      <c r="AK87" s="117">
        <f>' الشركه 2018'!$AI87+' الشركه 2018'!$AJ87</f>
        <v>2129.4</v>
      </c>
      <c r="AL87" s="152"/>
      <c r="AM87" s="153"/>
      <c r="AN87" s="9">
        <f>Table6[[#This Row],[اجمالى الاستحقاق]]-Table6[[#This Row],[Column2]]+Table6[[#This Row],[حوافز غير مستقره]]</f>
        <v>2129.4</v>
      </c>
      <c r="AO87" s="201"/>
      <c r="AP87" s="169"/>
      <c r="AQ87" s="176"/>
      <c r="AR87" s="124"/>
      <c r="AS87" s="155"/>
      <c r="AT87" s="170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  <c r="BO87" s="124"/>
      <c r="BP87" s="124"/>
      <c r="BQ87" s="124"/>
      <c r="BR87" s="124"/>
      <c r="BS87" s="124"/>
      <c r="BT87" s="124"/>
      <c r="BU87" s="124"/>
      <c r="BV87" s="124"/>
      <c r="BW87" s="124"/>
      <c r="BX87" s="124"/>
      <c r="BY87" s="124"/>
      <c r="BZ87" s="171"/>
      <c r="CA87" s="172"/>
      <c r="CB8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7" s="131">
        <f>' الشركه 2018'!$H87*67%*1.5*' الشركه 2018'!$CB87/208</f>
        <v>0</v>
      </c>
      <c r="CE87" s="132">
        <f>' الشركه 2018'!$H87*67%*2*' الشركه 2018'!$CC87/208</f>
        <v>0</v>
      </c>
      <c r="CF87" s="133">
        <f>' الشركه 2018'!$CD87+' الشركه 2018'!$CE87</f>
        <v>0</v>
      </c>
      <c r="CG87" s="124"/>
      <c r="CH87" s="177">
        <f>SUMIF(C87:C338,' الشركه 2018'!$CG85,L87:L338)</f>
        <v>0</v>
      </c>
      <c r="CI87" s="124"/>
      <c r="CJ87" s="177">
        <f>' الشركه 2018'!$CH85*' الشركه 2018'!$CI85</f>
        <v>0</v>
      </c>
      <c r="CK87" s="177">
        <f>' الشركه 2018'!$CJ85*8%</f>
        <v>0</v>
      </c>
      <c r="CL87" s="177">
        <f>' الشركه 2018'!$CJ85*17%</f>
        <v>0</v>
      </c>
      <c r="CM87" s="177">
        <f>' الشركه 2018'!$CJ85*25%</f>
        <v>0</v>
      </c>
      <c r="CN87" s="162"/>
      <c r="CO87" s="162"/>
      <c r="CP87" s="163">
        <v>400</v>
      </c>
      <c r="CQ87" s="164" t="e">
        <f>VLOOKUP(Table6[[#This Row],[الرقم الوظيفى]],[4]!Table3[#Data],26,FALSE)</f>
        <v>#REF!</v>
      </c>
      <c r="CR87" s="165">
        <v>700</v>
      </c>
      <c r="CS87" s="124"/>
    </row>
    <row r="88" spans="1:97" ht="28" customHeight="1" thickTop="1" thickBot="1">
      <c r="A88" s="222">
        <v>408</v>
      </c>
      <c r="B88" s="142" t="s">
        <v>200</v>
      </c>
      <c r="C88" s="59" t="s">
        <v>90</v>
      </c>
      <c r="D88" s="143" t="s">
        <v>74</v>
      </c>
      <c r="E88" s="174" t="s">
        <v>651</v>
      </c>
      <c r="F88" s="143" t="s">
        <v>199</v>
      </c>
      <c r="G88" s="145">
        <v>41282</v>
      </c>
      <c r="H88" s="146">
        <v>4800</v>
      </c>
      <c r="I88" s="106">
        <f>Table6[[#This Row],[مرتب]]/30</f>
        <v>160</v>
      </c>
      <c r="J88" s="107">
        <v>30</v>
      </c>
      <c r="K88" s="107">
        <f t="shared" si="1"/>
        <v>4800</v>
      </c>
      <c r="L88" s="108">
        <v>4800</v>
      </c>
      <c r="M88" s="107">
        <f>Table6[[#This Row],[مرتب الضمان]]*17%</f>
        <v>816.00000000000011</v>
      </c>
      <c r="N88" s="107">
        <f>' الشركه 2018'!$H88*35%</f>
        <v>1680</v>
      </c>
      <c r="O88" s="107">
        <f>' الشركه 2018'!$H88*32%</f>
        <v>1536</v>
      </c>
      <c r="P88" s="107">
        <f>' الشركه 2018'!$H88*12%</f>
        <v>576</v>
      </c>
      <c r="Q88" s="107">
        <f>' الشركه 2018'!$H88*13%</f>
        <v>624</v>
      </c>
      <c r="R88" s="107">
        <f>' الشركه 2018'!$H88*6%</f>
        <v>288</v>
      </c>
      <c r="S88" s="107">
        <f>' الشركه 2018'!$H88*2%</f>
        <v>96</v>
      </c>
      <c r="T88" s="107">
        <f>' الشركه 2018'!$O88+' الشركه 2018'!$P88+' الشركه 2018'!$Q88+' الشركه 2018'!$R88+' الشركه 2018'!$S88</f>
        <v>3120</v>
      </c>
      <c r="U88" s="109">
        <f>VLOOKUP(Table6[[#This Row],[الرقم الوظيفى]],[2]بالخصم!$B$1:$AK$1200,35,)</f>
        <v>0</v>
      </c>
      <c r="V88" s="147"/>
      <c r="W88" s="111">
        <f>Table6[[#This Row],[عدد ايام الاجازه]]*Table6[[#This Row],[ح راتب اليوم]]</f>
        <v>0</v>
      </c>
      <c r="X88" s="148"/>
      <c r="Y88" s="60"/>
      <c r="Z88" s="111">
        <f>Table6[[#This Row],[عدد ايام الجزاء]]*Table6[[#This Row],[ح راتب اليوم]]</f>
        <v>0</v>
      </c>
      <c r="AA88" s="112">
        <f>Table6[[#This Row],[مرتب]]*50%</f>
        <v>2400</v>
      </c>
      <c r="AB88" s="113" t="e">
        <f>VLOOKUP(Table6[[#This Row],[الرقم الوظيفى]],[3]!Table25289[#Data],23,)</f>
        <v>#REF!</v>
      </c>
      <c r="AC88" s="149">
        <v>300</v>
      </c>
      <c r="AD88" s="150"/>
      <c r="AE88" s="113" t="e">
        <f>VLOOKUP(Table6[[#This Row],[الرقم الوظيفى]],[3]!Table252894[#Data],22,)</f>
        <v>#REF!</v>
      </c>
      <c r="AF88" s="151"/>
      <c r="AG88" s="111">
        <f>' الشركه 2018'!$W88+' الشركه 2018'!$Z88+' الشركه 2018'!$AA88+' الشركه 2018'!$AC88+' الشركه 2018'!$AD88+' الشركه 2018'!$AF88</f>
        <v>2700</v>
      </c>
      <c r="AH88" s="111">
        <f>Table6[[#This Row],[راتب الضمان]]*8%</f>
        <v>384</v>
      </c>
      <c r="AI88" s="111">
        <f>' الشركه 2018'!$H88-' الشركه 2018'!$AG88-' الشركه 2018'!$AH88</f>
        <v>1716</v>
      </c>
      <c r="AJ88" s="111">
        <f>' الشركه 2018'!$CF88</f>
        <v>4870.3846153846152</v>
      </c>
      <c r="AK88" s="117">
        <f>' الشركه 2018'!$AI88+' الشركه 2018'!$AJ88</f>
        <v>6586.3846153846152</v>
      </c>
      <c r="AL88" s="152"/>
      <c r="AM88" s="153"/>
      <c r="AN88" s="9">
        <f>Table6[[#This Row],[اجمالى الاستحقاق]]-Table6[[#This Row],[Column2]]+Table6[[#This Row],[حوافز غير مستقره]]</f>
        <v>6586.3846153846152</v>
      </c>
      <c r="AO88" s="59"/>
      <c r="AP88" s="169"/>
      <c r="AQ88" s="176"/>
      <c r="AR88" s="124"/>
      <c r="AS88" s="155"/>
      <c r="AT88" s="170"/>
      <c r="AU88" s="124"/>
      <c r="AV88" s="124">
        <v>24</v>
      </c>
      <c r="AW88" s="124">
        <v>8</v>
      </c>
      <c r="AX88" s="124">
        <v>8</v>
      </c>
      <c r="AY88" s="124">
        <v>8</v>
      </c>
      <c r="AZ88" s="124"/>
      <c r="BA88" s="124"/>
      <c r="BB88" s="124"/>
      <c r="BC88" s="124">
        <v>22.5</v>
      </c>
      <c r="BD88" s="124"/>
      <c r="BE88" s="124"/>
      <c r="BF88" s="124"/>
      <c r="BG88" s="124">
        <v>4</v>
      </c>
      <c r="BH88" s="124">
        <v>8</v>
      </c>
      <c r="BI88" s="124"/>
      <c r="BJ88" s="124">
        <v>24</v>
      </c>
      <c r="BK88" s="124"/>
      <c r="BL88" s="124">
        <v>8</v>
      </c>
      <c r="BM88" s="124">
        <v>8</v>
      </c>
      <c r="BN88" s="124">
        <v>8</v>
      </c>
      <c r="BO88" s="124">
        <v>8</v>
      </c>
      <c r="BP88" s="124">
        <v>8</v>
      </c>
      <c r="BQ88" s="124">
        <v>24</v>
      </c>
      <c r="BR88" s="124"/>
      <c r="BS88" s="124">
        <v>8</v>
      </c>
      <c r="BT88" s="124"/>
      <c r="BU88" s="124"/>
      <c r="BV88" s="124"/>
      <c r="BW88" s="124"/>
      <c r="BX88" s="124"/>
      <c r="BY88" s="124"/>
      <c r="BZ88" s="159"/>
      <c r="CA88" s="160"/>
      <c r="CB8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84</v>
      </c>
      <c r="CC88" s="130">
        <f>Table6[[#This Row],[Friday, November 23, 2018]]+Table6[[#This Row],[Friday, November 30, 2018]]+Table6[[#This Row],[Friday, December 07, 2018]]+Table6[[#This Row],[Friday, December 14, 2018]]+Table6[[#This Row],[فروقات عطله]]</f>
        <v>94.5</v>
      </c>
      <c r="CD88" s="131">
        <f>' الشركه 2018'!$H88*67%*1.5*' الشركه 2018'!$CB88/208</f>
        <v>1948.1538461538462</v>
      </c>
      <c r="CE88" s="132">
        <f>' الشركه 2018'!$H88*67%*2*' الشركه 2018'!$CC88/208</f>
        <v>2922.2307692307691</v>
      </c>
      <c r="CF88" s="133">
        <f>' الشركه 2018'!$CD88+' الشركه 2018'!$CE88</f>
        <v>4870.3846153846152</v>
      </c>
      <c r="CG88" s="124"/>
      <c r="CH88" s="177">
        <f>SUMIF(C88:C338,' الشركه 2018'!$CG86,L88:L338)</f>
        <v>0</v>
      </c>
      <c r="CI88" s="124"/>
      <c r="CJ88" s="177">
        <f>' الشركه 2018'!$CH86*' الشركه 2018'!$CI86</f>
        <v>0</v>
      </c>
      <c r="CK88" s="177">
        <f>' الشركه 2018'!$CJ86*8%</f>
        <v>0</v>
      </c>
      <c r="CL88" s="177">
        <f>' الشركه 2018'!$CJ86*17%</f>
        <v>0</v>
      </c>
      <c r="CM88" s="177">
        <f>' الشركه 2018'!$CJ86*25%</f>
        <v>0</v>
      </c>
      <c r="CN88" s="162"/>
      <c r="CO88" s="162"/>
      <c r="CP88" s="163">
        <v>700</v>
      </c>
      <c r="CQ88" s="164" t="e">
        <f>VLOOKUP(Table6[[#This Row],[الرقم الوظيفى]],[4]!Table3[#Data],26,FALSE)</f>
        <v>#REF!</v>
      </c>
      <c r="CR88" s="165"/>
      <c r="CS88" s="124"/>
    </row>
    <row r="89" spans="1:97" ht="28" customHeight="1" thickTop="1" thickBot="1">
      <c r="A89" s="222">
        <v>410</v>
      </c>
      <c r="B89" s="142" t="s">
        <v>342</v>
      </c>
      <c r="C89" s="59" t="s">
        <v>90</v>
      </c>
      <c r="D89" s="143" t="s">
        <v>663</v>
      </c>
      <c r="E89" s="174" t="s">
        <v>78</v>
      </c>
      <c r="F89" s="143" t="s">
        <v>341</v>
      </c>
      <c r="G89" s="145">
        <v>41275</v>
      </c>
      <c r="H89" s="146">
        <v>5260</v>
      </c>
      <c r="I89" s="106">
        <f>Table6[[#This Row],[مرتب]]/30</f>
        <v>175.33333333333334</v>
      </c>
      <c r="J89" s="107">
        <v>30</v>
      </c>
      <c r="K89" s="107">
        <f t="shared" si="1"/>
        <v>5260</v>
      </c>
      <c r="L89" s="108">
        <v>5260</v>
      </c>
      <c r="M89" s="107">
        <f>Table6[[#This Row],[مرتب الضمان]]*17%</f>
        <v>894.2</v>
      </c>
      <c r="N89" s="107">
        <f>' الشركه 2018'!$H89*35%</f>
        <v>1840.9999999999998</v>
      </c>
      <c r="O89" s="107">
        <f>' الشركه 2018'!$H89*32%</f>
        <v>1683.2</v>
      </c>
      <c r="P89" s="107">
        <f>' الشركه 2018'!$H89*12%</f>
        <v>631.19999999999993</v>
      </c>
      <c r="Q89" s="107">
        <f>' الشركه 2018'!$H89*13%</f>
        <v>683.80000000000007</v>
      </c>
      <c r="R89" s="107">
        <f>' الشركه 2018'!$H89*6%</f>
        <v>315.59999999999997</v>
      </c>
      <c r="S89" s="107">
        <f>' الشركه 2018'!$H89*2%</f>
        <v>105.2</v>
      </c>
      <c r="T89" s="107">
        <f>' الشركه 2018'!$O89+' الشركه 2018'!$P89+' الشركه 2018'!$Q89+' الشركه 2018'!$R89+' الشركه 2018'!$S89</f>
        <v>3419</v>
      </c>
      <c r="U89" s="109">
        <f>VLOOKUP(Table6[[#This Row],[الرقم الوظيفى]],[2]بالخصم!$B$1:$AK$1200,35,)</f>
        <v>0</v>
      </c>
      <c r="V89" s="147"/>
      <c r="W89" s="111">
        <f>Table6[[#This Row],[عدد ايام الاجازه]]*Table6[[#This Row],[ح راتب اليوم]]</f>
        <v>0</v>
      </c>
      <c r="X89" s="148"/>
      <c r="Y89" s="60"/>
      <c r="Z89" s="111">
        <f>Table6[[#This Row],[عدد ايام الجزاء]]*Table6[[#This Row],[ح راتب اليوم]]</f>
        <v>0</v>
      </c>
      <c r="AA89" s="112">
        <f>Table6[[#This Row],[مرتب]]*50%</f>
        <v>2630</v>
      </c>
      <c r="AB89" s="113" t="e">
        <f>VLOOKUP(Table6[[#This Row],[الرقم الوظيفى]],[3]!Table25289[#Data],23,)</f>
        <v>#REF!</v>
      </c>
      <c r="AC89" s="149"/>
      <c r="AD89" s="150"/>
      <c r="AE89" s="113" t="e">
        <f>VLOOKUP(Table6[[#This Row],[الرقم الوظيفى]],[3]!Table252894[#Data],22,)</f>
        <v>#REF!</v>
      </c>
      <c r="AF89" s="151"/>
      <c r="AG89" s="111">
        <f>' الشركه 2018'!$W89+' الشركه 2018'!$Z89+' الشركه 2018'!$AA89+' الشركه 2018'!$AC89+' الشركه 2018'!$AD89+' الشركه 2018'!$AF89</f>
        <v>2630</v>
      </c>
      <c r="AH89" s="111">
        <f>Table6[[#This Row],[راتب الضمان]]*8%</f>
        <v>420.8</v>
      </c>
      <c r="AI89" s="111">
        <f>' الشركه 2018'!$H89-' الشركه 2018'!$AG89-' الشركه 2018'!$AH89</f>
        <v>2209.1999999999998</v>
      </c>
      <c r="AJ89" s="111">
        <f>' الشركه 2018'!$CF89</f>
        <v>0</v>
      </c>
      <c r="AK89" s="117">
        <f>' الشركه 2018'!$AI89+' الشركه 2018'!$AJ89</f>
        <v>2209.1999999999998</v>
      </c>
      <c r="AL89" s="152"/>
      <c r="AM89" s="153"/>
      <c r="AN89" s="9">
        <f>Table6[[#This Row],[اجمالى الاستحقاق]]-Table6[[#This Row],[Column2]]+Table6[[#This Row],[حوافز غير مستقره]]</f>
        <v>2209.1999999999998</v>
      </c>
      <c r="AO89" s="59"/>
      <c r="AP89" s="169"/>
      <c r="AQ89" s="176"/>
      <c r="AR89" s="124"/>
      <c r="AS89" s="155"/>
      <c r="AT89" s="170"/>
      <c r="AU89" s="124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  <c r="BO89" s="124"/>
      <c r="BP89" s="124"/>
      <c r="BQ89" s="124"/>
      <c r="BR89" s="124"/>
      <c r="BS89" s="124"/>
      <c r="BT89" s="124"/>
      <c r="BU89" s="124"/>
      <c r="BV89" s="124"/>
      <c r="BW89" s="124"/>
      <c r="BX89" s="124"/>
      <c r="BY89" s="124"/>
      <c r="BZ89" s="171"/>
      <c r="CA89" s="172"/>
      <c r="CB8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8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89" s="131">
        <f>' الشركه 2018'!$H89*67%*1.5*' الشركه 2018'!$CB89/208</f>
        <v>0</v>
      </c>
      <c r="CE89" s="132">
        <f>' الشركه 2018'!$H89*67%*2*' الشركه 2018'!$CC89/208</f>
        <v>0</v>
      </c>
      <c r="CF89" s="133">
        <f>' الشركه 2018'!$CD89+' الشركه 2018'!$CE89</f>
        <v>0</v>
      </c>
      <c r="CG89" s="124"/>
      <c r="CH89" s="177">
        <f>SUMIF(C89:C338,' الشركه 2018'!$CG87,L89:L338)</f>
        <v>0</v>
      </c>
      <c r="CI89" s="124"/>
      <c r="CJ89" s="177">
        <f>' الشركه 2018'!$CH87*' الشركه 2018'!$CI87</f>
        <v>0</v>
      </c>
      <c r="CK89" s="177">
        <f>' الشركه 2018'!$CJ87*8%</f>
        <v>0</v>
      </c>
      <c r="CL89" s="177">
        <f>' الشركه 2018'!$CJ87*17%</f>
        <v>0</v>
      </c>
      <c r="CM89" s="177">
        <f>' الشركه 2018'!$CJ87*25%</f>
        <v>0</v>
      </c>
      <c r="CN89" s="162"/>
      <c r="CO89" s="162"/>
      <c r="CP89" s="163"/>
      <c r="CQ89" s="164" t="e">
        <f>VLOOKUP(Table6[[#This Row],[الرقم الوظيفى]],[4]!Table3[#Data],26,FALSE)</f>
        <v>#REF!</v>
      </c>
      <c r="CR89" s="165"/>
      <c r="CS89" s="124"/>
    </row>
    <row r="90" spans="1:97" ht="28" customHeight="1" thickTop="1" thickBot="1">
      <c r="A90" s="222">
        <v>411</v>
      </c>
      <c r="B90" s="142" t="s">
        <v>178</v>
      </c>
      <c r="C90" s="59" t="s">
        <v>90</v>
      </c>
      <c r="D90" s="143" t="s">
        <v>74</v>
      </c>
      <c r="E90" s="174" t="s">
        <v>662</v>
      </c>
      <c r="F90" s="143" t="s">
        <v>177</v>
      </c>
      <c r="G90" s="145">
        <v>41296</v>
      </c>
      <c r="H90" s="146">
        <v>4200</v>
      </c>
      <c r="I90" s="106">
        <f>Table6[[#This Row],[مرتب]]/30</f>
        <v>140</v>
      </c>
      <c r="J90" s="107">
        <v>30</v>
      </c>
      <c r="K90" s="107">
        <f t="shared" si="1"/>
        <v>4200</v>
      </c>
      <c r="L90" s="108">
        <v>4200</v>
      </c>
      <c r="M90" s="107">
        <f>Table6[[#This Row],[مرتب الضمان]]*17%</f>
        <v>714</v>
      </c>
      <c r="N90" s="107">
        <f>' الشركه 2018'!$H90*35%</f>
        <v>1470</v>
      </c>
      <c r="O90" s="107">
        <f>' الشركه 2018'!$H90*32%</f>
        <v>1344</v>
      </c>
      <c r="P90" s="107">
        <f>' الشركه 2018'!$H90*12%</f>
        <v>504</v>
      </c>
      <c r="Q90" s="107">
        <f>' الشركه 2018'!$H90*13%</f>
        <v>546</v>
      </c>
      <c r="R90" s="107">
        <f>' الشركه 2018'!$H90*6%</f>
        <v>252</v>
      </c>
      <c r="S90" s="107">
        <f>' الشركه 2018'!$H90*2%</f>
        <v>84</v>
      </c>
      <c r="T90" s="107">
        <f>' الشركه 2018'!$O90+' الشركه 2018'!$P90+' الشركه 2018'!$Q90+' الشركه 2018'!$R90+' الشركه 2018'!$S90</f>
        <v>2730</v>
      </c>
      <c r="U90" s="109">
        <f>VLOOKUP(Table6[[#This Row],[الرقم الوظيفى]],[2]بالخصم!$B$1:$AK$1200,35,)</f>
        <v>0</v>
      </c>
      <c r="V90" s="147"/>
      <c r="W90" s="111">
        <f>Table6[[#This Row],[عدد ايام الاجازه]]*Table6[[#This Row],[ح راتب اليوم]]</f>
        <v>0</v>
      </c>
      <c r="X90" s="148"/>
      <c r="Y90" s="60"/>
      <c r="Z90" s="111">
        <f>Table6[[#This Row],[عدد ايام الجزاء]]*Table6[[#This Row],[ح راتب اليوم]]</f>
        <v>0</v>
      </c>
      <c r="AA90" s="112">
        <f>Table6[[#This Row],[مرتب]]*50%</f>
        <v>2100</v>
      </c>
      <c r="AB90" s="113" t="e">
        <f>VLOOKUP(Table6[[#This Row],[الرقم الوظيفى]],[3]!Table25289[#Data],23,)</f>
        <v>#REF!</v>
      </c>
      <c r="AC90" s="149">
        <v>500</v>
      </c>
      <c r="AD90" s="150"/>
      <c r="AE90" s="113" t="e">
        <f>VLOOKUP(Table6[[#This Row],[الرقم الوظيفى]],[3]!Table252894[#Data],22,)</f>
        <v>#REF!</v>
      </c>
      <c r="AF90" s="151"/>
      <c r="AG90" s="111">
        <f>' الشركه 2018'!$W90+' الشركه 2018'!$Z90+' الشركه 2018'!$AA90+' الشركه 2018'!$AC90+' الشركه 2018'!$AD90+' الشركه 2018'!$AF90</f>
        <v>2600</v>
      </c>
      <c r="AH90" s="111">
        <f>Table6[[#This Row],[راتب الضمان]]*8%</f>
        <v>336</v>
      </c>
      <c r="AI90" s="111">
        <f>' الشركه 2018'!$H90-' الشركه 2018'!$AG90-' الشركه 2018'!$AH90</f>
        <v>1264</v>
      </c>
      <c r="AJ90" s="111">
        <f>' الشركه 2018'!$CF90</f>
        <v>649.38461538461536</v>
      </c>
      <c r="AK90" s="117">
        <f>' الشركه 2018'!$AI90+' الشركه 2018'!$AJ90</f>
        <v>1913.3846153846152</v>
      </c>
      <c r="AL90" s="152"/>
      <c r="AM90" s="153"/>
      <c r="AN90" s="9">
        <f>Table6[[#This Row],[اجمالى الاستحقاق]]-Table6[[#This Row],[Column2]]+Table6[[#This Row],[حوافز غير مستقره]]</f>
        <v>1913.3846153846152</v>
      </c>
      <c r="AO90" s="59"/>
      <c r="AP90" s="169"/>
      <c r="AQ90" s="176"/>
      <c r="AR90" s="124"/>
      <c r="AS90" s="155"/>
      <c r="AT90" s="170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  <c r="BO90" s="124"/>
      <c r="BP90" s="124"/>
      <c r="BQ90" s="124">
        <v>24</v>
      </c>
      <c r="BR90" s="124"/>
      <c r="BS90" s="124"/>
      <c r="BT90" s="124"/>
      <c r="BU90" s="124"/>
      <c r="BV90" s="124"/>
      <c r="BW90" s="124"/>
      <c r="BX90" s="124"/>
      <c r="BY90" s="124"/>
      <c r="BZ90" s="159"/>
      <c r="CA90" s="160"/>
      <c r="CB9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0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90" s="131">
        <f>' الشركه 2018'!$H90*67%*1.5*' الشركه 2018'!$CB90/208</f>
        <v>0</v>
      </c>
      <c r="CE90" s="132">
        <f>' الشركه 2018'!$H90*67%*2*' الشركه 2018'!$CC90/208</f>
        <v>649.38461538461536</v>
      </c>
      <c r="CF90" s="133">
        <f>' الشركه 2018'!$CD90+' الشركه 2018'!$CE90</f>
        <v>649.38461538461536</v>
      </c>
      <c r="CG90" s="124"/>
      <c r="CH90" s="177">
        <f>SUMIF(C90:C338,' الشركه 2018'!$CG88,L90:L338)</f>
        <v>0</v>
      </c>
      <c r="CI90" s="124"/>
      <c r="CJ90" s="177">
        <f>' الشركه 2018'!$CH88*' الشركه 2018'!$CI88</f>
        <v>0</v>
      </c>
      <c r="CK90" s="177">
        <f>' الشركه 2018'!$CJ88*8%</f>
        <v>0</v>
      </c>
      <c r="CL90" s="177">
        <f>' الشركه 2018'!$CJ88*17%</f>
        <v>0</v>
      </c>
      <c r="CM90" s="177">
        <f>' الشركه 2018'!$CJ88*25%</f>
        <v>0</v>
      </c>
      <c r="CN90" s="162"/>
      <c r="CO90" s="162"/>
      <c r="CP90" s="163"/>
      <c r="CQ90" s="164" t="e">
        <f>VLOOKUP(Table6[[#This Row],[الرقم الوظيفى]],[4]!Table3[#Data],26,FALSE)</f>
        <v>#REF!</v>
      </c>
      <c r="CR90" s="165">
        <v>1000</v>
      </c>
      <c r="CS90" s="124"/>
    </row>
    <row r="91" spans="1:97" ht="28" customHeight="1" thickTop="1" thickBot="1">
      <c r="A91" s="222">
        <v>415</v>
      </c>
      <c r="B91" s="142" t="s">
        <v>420</v>
      </c>
      <c r="C91" s="59" t="s">
        <v>90</v>
      </c>
      <c r="D91" s="143" t="s">
        <v>83</v>
      </c>
      <c r="E91" s="174" t="s">
        <v>83</v>
      </c>
      <c r="F91" s="143" t="s">
        <v>418</v>
      </c>
      <c r="G91" s="145">
        <v>41312</v>
      </c>
      <c r="H91" s="146">
        <v>4730</v>
      </c>
      <c r="I91" s="106">
        <f>Table6[[#This Row],[مرتب]]/30</f>
        <v>157.66666666666666</v>
      </c>
      <c r="J91" s="107">
        <v>30</v>
      </c>
      <c r="K91" s="107">
        <f t="shared" si="1"/>
        <v>4730</v>
      </c>
      <c r="L91" s="108">
        <v>4730</v>
      </c>
      <c r="M91" s="107">
        <f>Table6[[#This Row],[مرتب الضمان]]*17%</f>
        <v>804.1</v>
      </c>
      <c r="N91" s="107">
        <f>' الشركه 2018'!$H91*35%</f>
        <v>1655.5</v>
      </c>
      <c r="O91" s="107">
        <f>' الشركه 2018'!$H91*32%</f>
        <v>1513.6000000000001</v>
      </c>
      <c r="P91" s="107">
        <f>' الشركه 2018'!$H91*12%</f>
        <v>567.6</v>
      </c>
      <c r="Q91" s="107">
        <f>' الشركه 2018'!$H91*13%</f>
        <v>614.9</v>
      </c>
      <c r="R91" s="107">
        <f>' الشركه 2018'!$H91*6%</f>
        <v>283.8</v>
      </c>
      <c r="S91" s="107">
        <f>' الشركه 2018'!$H91*2%</f>
        <v>94.600000000000009</v>
      </c>
      <c r="T91" s="107">
        <f>' الشركه 2018'!$O91+' الشركه 2018'!$P91+' الشركه 2018'!$Q91+' الشركه 2018'!$R91+' الشركه 2018'!$S91</f>
        <v>3074.5000000000005</v>
      </c>
      <c r="U91" s="109">
        <f>VLOOKUP(Table6[[#This Row],[الرقم الوظيفى]],[2]بالخصم!$B$1:$AK$1200,35,)</f>
        <v>0</v>
      </c>
      <c r="V91" s="147"/>
      <c r="W91" s="111">
        <f>Table6[[#This Row],[عدد ايام الاجازه]]*Table6[[#This Row],[ح راتب اليوم]]</f>
        <v>0</v>
      </c>
      <c r="X91" s="148"/>
      <c r="Y91" s="60"/>
      <c r="Z91" s="111">
        <f>Table6[[#This Row],[عدد ايام الجزاء]]*Table6[[#This Row],[ح راتب اليوم]]</f>
        <v>0</v>
      </c>
      <c r="AA91" s="112">
        <f>Table6[[#This Row],[مرتب]]*50%</f>
        <v>2365</v>
      </c>
      <c r="AB91" s="113" t="e">
        <f>VLOOKUP(Table6[[#This Row],[الرقم الوظيفى]],[3]!Table25289[#Data],23,)</f>
        <v>#REF!</v>
      </c>
      <c r="AC91" s="149"/>
      <c r="AD91" s="150"/>
      <c r="AE91" s="113" t="e">
        <f>VLOOKUP(Table6[[#This Row],[الرقم الوظيفى]],[3]!Table252894[#Data],22,)</f>
        <v>#REF!</v>
      </c>
      <c r="AF91" s="151"/>
      <c r="AG91" s="111">
        <f>' الشركه 2018'!$W91+' الشركه 2018'!$Z91+' الشركه 2018'!$AA91+' الشركه 2018'!$AC91+' الشركه 2018'!$AD91+' الشركه 2018'!$AF91</f>
        <v>2365</v>
      </c>
      <c r="AH91" s="111">
        <f>Table6[[#This Row],[راتب الضمان]]*8%</f>
        <v>378.40000000000003</v>
      </c>
      <c r="AI91" s="111">
        <f>' الشركه 2018'!$H91-' الشركه 2018'!$AG91-' الشركه 2018'!$AH91</f>
        <v>1986.6</v>
      </c>
      <c r="AJ91" s="111">
        <f>' الشركه 2018'!$CF91</f>
        <v>868.45528846153866</v>
      </c>
      <c r="AK91" s="117">
        <f>' الشركه 2018'!$AI91+' الشركه 2018'!$AJ91</f>
        <v>2855.0552884615386</v>
      </c>
      <c r="AL91" s="152"/>
      <c r="AM91" s="153"/>
      <c r="AN91" s="9">
        <f>Table6[[#This Row],[اجمالى الاستحقاق]]-Table6[[#This Row],[Column2]]+Table6[[#This Row],[حوافز غير مستقره]]</f>
        <v>2855.0552884615386</v>
      </c>
      <c r="AO91" s="59"/>
      <c r="AP91" s="169"/>
      <c r="AQ91" s="176"/>
      <c r="AR91" s="124"/>
      <c r="AS91" s="155"/>
      <c r="AT91" s="170"/>
      <c r="AU91" s="124"/>
      <c r="AV91" s="124">
        <v>11</v>
      </c>
      <c r="AW91" s="124"/>
      <c r="AX91" s="124"/>
      <c r="AY91" s="124"/>
      <c r="AZ91" s="124"/>
      <c r="BA91" s="124"/>
      <c r="BB91" s="124"/>
      <c r="BC91" s="124">
        <v>11.5</v>
      </c>
      <c r="BD91" s="124"/>
      <c r="BE91" s="124"/>
      <c r="BF91" s="124"/>
      <c r="BG91" s="124">
        <v>8</v>
      </c>
      <c r="BH91" s="124"/>
      <c r="BI91" s="124"/>
      <c r="BJ91" s="124"/>
      <c r="BK91" s="124"/>
      <c r="BL91" s="124"/>
      <c r="BM91" s="124"/>
      <c r="BN91" s="124"/>
      <c r="BO91" s="124"/>
      <c r="BP91" s="124"/>
      <c r="BQ91" s="124"/>
      <c r="BR91" s="124"/>
      <c r="BS91" s="124"/>
      <c r="BT91" s="124"/>
      <c r="BU91" s="124"/>
      <c r="BV91" s="124"/>
      <c r="BW91" s="124"/>
      <c r="BX91" s="124"/>
      <c r="BY91" s="124"/>
      <c r="BZ91" s="159"/>
      <c r="CA91" s="160"/>
      <c r="CB9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91" s="130">
        <f>Table6[[#This Row],[Friday, November 23, 2018]]+Table6[[#This Row],[Friday, November 30, 2018]]+Table6[[#This Row],[Friday, December 07, 2018]]+Table6[[#This Row],[Friday, December 14, 2018]]+Table6[[#This Row],[فروقات عطله]]</f>
        <v>22.5</v>
      </c>
      <c r="CD91" s="131">
        <f>' الشركه 2018'!$H91*67%*1.5*' الشركه 2018'!$CB91/208</f>
        <v>182.83269230769233</v>
      </c>
      <c r="CE91" s="132">
        <f>' الشركه 2018'!$H91*67%*2*' الشركه 2018'!$CC91/208</f>
        <v>685.6225961538463</v>
      </c>
      <c r="CF91" s="133">
        <f>' الشركه 2018'!$CD91+' الشركه 2018'!$CE91</f>
        <v>868.45528846153866</v>
      </c>
      <c r="CG91" s="124"/>
      <c r="CH91" s="177">
        <f>SUMIF(C91:C338,' الشركه 2018'!$CG89,L91:L338)</f>
        <v>0</v>
      </c>
      <c r="CI91" s="124"/>
      <c r="CJ91" s="177">
        <f>' الشركه 2018'!$CH89*' الشركه 2018'!$CI89</f>
        <v>0</v>
      </c>
      <c r="CK91" s="177">
        <f>' الشركه 2018'!$CJ89*8%</f>
        <v>0</v>
      </c>
      <c r="CL91" s="177">
        <f>' الشركه 2018'!$CJ89*17%</f>
        <v>0</v>
      </c>
      <c r="CM91" s="177">
        <f>' الشركه 2018'!$CJ89*25%</f>
        <v>0</v>
      </c>
      <c r="CN91" s="162"/>
      <c r="CO91" s="162"/>
      <c r="CP91" s="163">
        <v>500</v>
      </c>
      <c r="CQ91" s="164" t="e">
        <f>VLOOKUP(Table6[[#This Row],[الرقم الوظيفى]],[4]!Table3[#Data],26,FALSE)</f>
        <v>#REF!</v>
      </c>
      <c r="CR91" s="165">
        <v>3000</v>
      </c>
      <c r="CS91" s="124"/>
    </row>
    <row r="92" spans="1:97" ht="28" customHeight="1" thickTop="1" thickBot="1">
      <c r="A92" s="229">
        <v>418</v>
      </c>
      <c r="B92" s="214" t="s">
        <v>664</v>
      </c>
      <c r="C92" s="201" t="s">
        <v>90</v>
      </c>
      <c r="D92" s="11" t="s">
        <v>75</v>
      </c>
      <c r="E92" s="202"/>
      <c r="F92" s="11" t="s">
        <v>657</v>
      </c>
      <c r="G92" s="184">
        <v>43193</v>
      </c>
      <c r="H92" s="154">
        <v>3000</v>
      </c>
      <c r="I92" s="203">
        <f>Table6[[#This Row],[مرتب]]/30</f>
        <v>100</v>
      </c>
      <c r="J92" s="107">
        <v>30</v>
      </c>
      <c r="K92" s="107">
        <f t="shared" si="1"/>
        <v>3000</v>
      </c>
      <c r="L92" s="107">
        <v>3000</v>
      </c>
      <c r="M92" s="107">
        <f>Table6[[#This Row],[مرتب الضمان]]*17%</f>
        <v>510.00000000000006</v>
      </c>
      <c r="N92" s="107">
        <f>' الشركه 2018'!$H92*35%</f>
        <v>1050</v>
      </c>
      <c r="O92" s="107">
        <f>' الشركه 2018'!$H92*32%</f>
        <v>960</v>
      </c>
      <c r="P92" s="107">
        <f>' الشركه 2018'!$H92*12%</f>
        <v>360</v>
      </c>
      <c r="Q92" s="107">
        <f>' الشركه 2018'!$H92*13%</f>
        <v>390</v>
      </c>
      <c r="R92" s="107">
        <f>' الشركه 2018'!$H92*6%</f>
        <v>180</v>
      </c>
      <c r="S92" s="107">
        <f>' الشركه 2018'!$H92*2%</f>
        <v>60</v>
      </c>
      <c r="T92" s="107">
        <f>' الشركه 2018'!$O92+' الشركه 2018'!$P92+' الشركه 2018'!$Q92+' الشركه 2018'!$R92+' الشركه 2018'!$S92</f>
        <v>1950</v>
      </c>
      <c r="U92" s="109">
        <f>VLOOKUP(Table6[[#This Row],[الرقم الوظيفى]],[2]بالخصم!$B$1:$AK$1200,35,)</f>
        <v>3</v>
      </c>
      <c r="V92" s="204">
        <v>3</v>
      </c>
      <c r="W92" s="111">
        <f>Table6[[#This Row],[عدد ايام الاجازه]]*Table6[[#This Row],[ح راتب اليوم]]</f>
        <v>300</v>
      </c>
      <c r="X92" s="148"/>
      <c r="Y92" s="201"/>
      <c r="Z92" s="111">
        <f>Table6[[#This Row],[عدد ايام الجزاء]]*Table6[[#This Row],[ح راتب اليوم]]</f>
        <v>0</v>
      </c>
      <c r="AA92" s="112">
        <f>Table6[[#This Row],[مرتب]]*50%</f>
        <v>1500</v>
      </c>
      <c r="AB92" s="113" t="e">
        <f>VLOOKUP(Table6[[#This Row],[الرقم الوظيفى]],[3]!Table25289[#Data],23,)</f>
        <v>#REF!</v>
      </c>
      <c r="AC92" s="205"/>
      <c r="AD92" s="206"/>
      <c r="AE92" s="113" t="e">
        <f>VLOOKUP(Table6[[#This Row],[الرقم الوظيفى]],[3]!Table252894[#Data],22,)</f>
        <v>#REF!</v>
      </c>
      <c r="AF92" s="207"/>
      <c r="AG92" s="111">
        <f>' الشركه 2018'!$W92+' الشركه 2018'!$Z92+' الشركه 2018'!$AA92+' الشركه 2018'!$AC92+' الشركه 2018'!$AD92+' الشركه 2018'!$AF92</f>
        <v>1800</v>
      </c>
      <c r="AH92" s="111">
        <f>Table6[[#This Row],[راتب الضمان]]*8%</f>
        <v>240</v>
      </c>
      <c r="AI92" s="111">
        <f>' الشركه 2018'!$H92-' الشركه 2018'!$AG92-' الشركه 2018'!$AH92</f>
        <v>960</v>
      </c>
      <c r="AJ92" s="111">
        <f>' الشركه 2018'!$CF92</f>
        <v>0</v>
      </c>
      <c r="AK92" s="117">
        <f>' الشركه 2018'!$AI92+' الشركه 2018'!$AJ92</f>
        <v>960</v>
      </c>
      <c r="AL92" s="152"/>
      <c r="AM92" s="153"/>
      <c r="AN92" s="9">
        <f>Table6[[#This Row],[اجمالى الاستحقاق]]-Table6[[#This Row],[Column2]]+Table6[[#This Row],[حوافز غير مستقره]]</f>
        <v>960</v>
      </c>
      <c r="AO92" s="59"/>
      <c r="AP92" s="169"/>
      <c r="AQ92" s="176"/>
      <c r="AR92" s="124"/>
      <c r="AS92" s="208"/>
      <c r="AT92" s="170"/>
      <c r="AU92" s="124"/>
      <c r="AV92" s="124"/>
      <c r="AW92" s="124"/>
      <c r="AX92" s="124"/>
      <c r="AY92" s="124"/>
      <c r="AZ92" s="124"/>
      <c r="BA92" s="124"/>
      <c r="BB92" s="124"/>
      <c r="BC92" s="124"/>
      <c r="BD92" s="124"/>
      <c r="BE92" s="124"/>
      <c r="BF92" s="124"/>
      <c r="BG92" s="124"/>
      <c r="BH92" s="228"/>
      <c r="BI92" s="124"/>
      <c r="BJ92" s="228"/>
      <c r="BK92" s="124"/>
      <c r="BL92" s="124"/>
      <c r="BM92" s="177"/>
      <c r="BN92" s="177"/>
      <c r="BO92" s="124"/>
      <c r="BP92" s="177"/>
      <c r="BQ92" s="124"/>
      <c r="BR92" s="177"/>
      <c r="BS92" s="177"/>
      <c r="BT92" s="124"/>
      <c r="BU92" s="124"/>
      <c r="BV92" s="124"/>
      <c r="BW92" s="177"/>
      <c r="BX92" s="177"/>
      <c r="BY92" s="177"/>
      <c r="BZ92" s="177"/>
      <c r="CA92" s="177"/>
      <c r="CB9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92" s="131">
        <f>' الشركه 2018'!$H92*67%*1.5*' الشركه 2018'!$CB92/208</f>
        <v>0</v>
      </c>
      <c r="CE92" s="132">
        <f>' الشركه 2018'!$H92*67%*2*' الشركه 2018'!$CC92/208</f>
        <v>0</v>
      </c>
      <c r="CF92" s="133">
        <f>' الشركه 2018'!$CD92+' الشركه 2018'!$CE92</f>
        <v>0</v>
      </c>
      <c r="CG92" s="124"/>
      <c r="CH92" s="177"/>
      <c r="CI92" s="124"/>
      <c r="CJ92" s="162"/>
      <c r="CK92" s="162"/>
      <c r="CL92" s="177"/>
      <c r="CM92" s="162"/>
      <c r="CN92" s="162"/>
      <c r="CO92" s="162"/>
      <c r="CP92" s="163"/>
      <c r="CQ92" s="164" t="e">
        <f>VLOOKUP(Table6[[#This Row],[الرقم الوظيفى]],[4]!Table3[#Data],26,FALSE)</f>
        <v>#REF!</v>
      </c>
      <c r="CR92" s="165">
        <v>500</v>
      </c>
      <c r="CS92" s="124"/>
    </row>
    <row r="93" spans="1:97" s="231" customFormat="1" ht="28" customHeight="1" thickTop="1" thickBot="1">
      <c r="A93" s="222">
        <v>425</v>
      </c>
      <c r="B93" s="142" t="s">
        <v>440</v>
      </c>
      <c r="C93" s="59" t="s">
        <v>90</v>
      </c>
      <c r="D93" s="143" t="s">
        <v>83</v>
      </c>
      <c r="E93" s="174" t="s">
        <v>439</v>
      </c>
      <c r="F93" s="143" t="s">
        <v>665</v>
      </c>
      <c r="G93" s="145">
        <v>41334</v>
      </c>
      <c r="H93" s="146">
        <v>7460</v>
      </c>
      <c r="I93" s="106">
        <f>Table6[[#This Row],[مرتب]]/30</f>
        <v>248.66666666666666</v>
      </c>
      <c r="J93" s="107">
        <v>30</v>
      </c>
      <c r="K93" s="107">
        <f t="shared" si="1"/>
        <v>7460</v>
      </c>
      <c r="L93" s="108">
        <v>7460</v>
      </c>
      <c r="M93" s="107">
        <f>Table6[[#This Row],[مرتب الضمان]]*17%</f>
        <v>1268.2</v>
      </c>
      <c r="N93" s="107">
        <f>' الشركه 2018'!$H93*35%</f>
        <v>2611</v>
      </c>
      <c r="O93" s="107">
        <f>' الشركه 2018'!$H93*32%</f>
        <v>2387.2000000000003</v>
      </c>
      <c r="P93" s="107">
        <f>' الشركه 2018'!$H93*12%</f>
        <v>895.19999999999993</v>
      </c>
      <c r="Q93" s="107">
        <f>' الشركه 2018'!$H93*13%</f>
        <v>969.80000000000007</v>
      </c>
      <c r="R93" s="107">
        <f>' الشركه 2018'!$H93*6%</f>
        <v>447.59999999999997</v>
      </c>
      <c r="S93" s="107">
        <f>' الشركه 2018'!$H93*2%</f>
        <v>149.20000000000002</v>
      </c>
      <c r="T93" s="107">
        <f>' الشركه 2018'!$O93+' الشركه 2018'!$P93+' الشركه 2018'!$Q93+' الشركه 2018'!$R93+' الشركه 2018'!$S93</f>
        <v>4849</v>
      </c>
      <c r="U93" s="109">
        <f>VLOOKUP(Table6[[#This Row],[الرقم الوظيفى]],[2]بالخصم!$B$1:$AK$1200,35,)</f>
        <v>0</v>
      </c>
      <c r="V93" s="147"/>
      <c r="W93" s="111">
        <f>Table6[[#This Row],[عدد ايام الاجازه]]*Table6[[#This Row],[ح راتب اليوم]]</f>
        <v>0</v>
      </c>
      <c r="X93" s="148"/>
      <c r="Y93" s="60"/>
      <c r="Z93" s="111">
        <f>Table6[[#This Row],[عدد ايام الجزاء]]*Table6[[#This Row],[ح راتب اليوم]]</f>
        <v>0</v>
      </c>
      <c r="AA93" s="112">
        <f>Table6[[#This Row],[مرتب]]*50%</f>
        <v>3730</v>
      </c>
      <c r="AB93" s="113" t="e">
        <f>VLOOKUP(Table6[[#This Row],[الرقم الوظيفى]],[3]!Table25289[#Data],23,)</f>
        <v>#REF!</v>
      </c>
      <c r="AC93" s="149">
        <v>500</v>
      </c>
      <c r="AD93" s="150"/>
      <c r="AE93" s="113" t="e">
        <f>VLOOKUP(Table6[[#This Row],[الرقم الوظيفى]],[3]!Table252894[#Data],22,)</f>
        <v>#REF!</v>
      </c>
      <c r="AF93" s="151"/>
      <c r="AG93" s="111">
        <f>' الشركه 2018'!$W93+' الشركه 2018'!$Z93+' الشركه 2018'!$AA93+' الشركه 2018'!$AC93+' الشركه 2018'!$AD93+' الشركه 2018'!$AF93</f>
        <v>4230</v>
      </c>
      <c r="AH93" s="111">
        <f>Table6[[#This Row],[راتب الضمان]]*8%</f>
        <v>596.80000000000007</v>
      </c>
      <c r="AI93" s="111">
        <f>' الشركه 2018'!$H93-' الشركه 2018'!$AG93-' الشركه 2018'!$AH93</f>
        <v>2633.2</v>
      </c>
      <c r="AJ93" s="111">
        <f>' الشركه 2018'!$CF93</f>
        <v>1585.9673076923077</v>
      </c>
      <c r="AK93" s="117">
        <f>' الشركه 2018'!$AI93+' الشركه 2018'!$AJ93</f>
        <v>4219.1673076923071</v>
      </c>
      <c r="AL93" s="152"/>
      <c r="AM93" s="153"/>
      <c r="AN93" s="9">
        <f>Table6[[#This Row],[اجمالى الاستحقاق]]-Table6[[#This Row],[Column2]]+Table6[[#This Row],[حوافز غير مستقره]]</f>
        <v>4219.1673076923071</v>
      </c>
      <c r="AO93" s="59"/>
      <c r="AP93" s="169"/>
      <c r="AQ93" s="176"/>
      <c r="AR93" s="124"/>
      <c r="AS93" s="155"/>
      <c r="AT93" s="170"/>
      <c r="AU93" s="124"/>
      <c r="AV93" s="124">
        <v>12</v>
      </c>
      <c r="AW93" s="124"/>
      <c r="AX93" s="124">
        <v>5</v>
      </c>
      <c r="AY93" s="124"/>
      <c r="AZ93" s="124"/>
      <c r="BA93" s="124"/>
      <c r="BB93" s="124"/>
      <c r="BC93" s="124">
        <v>12</v>
      </c>
      <c r="BD93" s="124"/>
      <c r="BE93" s="124"/>
      <c r="BF93" s="124"/>
      <c r="BG93" s="124">
        <v>3</v>
      </c>
      <c r="BH93" s="124"/>
      <c r="BI93" s="124"/>
      <c r="BJ93" s="124"/>
      <c r="BK93" s="124">
        <v>4</v>
      </c>
      <c r="BL93" s="124"/>
      <c r="BM93" s="124"/>
      <c r="BN93" s="124"/>
      <c r="BO93" s="124"/>
      <c r="BP93" s="124"/>
      <c r="BQ93" s="124"/>
      <c r="BR93" s="124"/>
      <c r="BS93" s="124"/>
      <c r="BT93" s="124"/>
      <c r="BU93" s="124"/>
      <c r="BV93" s="124"/>
      <c r="BW93" s="124"/>
      <c r="BX93" s="124"/>
      <c r="BY93" s="124"/>
      <c r="BZ93" s="159"/>
      <c r="CA93" s="160"/>
      <c r="CB9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12</v>
      </c>
      <c r="CC93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93" s="131">
        <f>' الشركه 2018'!$H93*67%*1.5*' الشركه 2018'!$CB93/208</f>
        <v>432.5365384615385</v>
      </c>
      <c r="CE93" s="132">
        <f>' الشركه 2018'!$H93*67%*2*' الشركه 2018'!$CC93/208</f>
        <v>1153.4307692307693</v>
      </c>
      <c r="CF93" s="133">
        <f>' الشركه 2018'!$CD93+' الشركه 2018'!$CE93</f>
        <v>1585.9673076923077</v>
      </c>
      <c r="CG93" s="124"/>
      <c r="CH93" s="177">
        <f>SUMIF(C93:C338,' الشركه 2018'!$CG90,L93:L338)</f>
        <v>0</v>
      </c>
      <c r="CI93" s="124"/>
      <c r="CJ93" s="177">
        <f>' الشركه 2018'!$CH90*' الشركه 2018'!$CI90</f>
        <v>0</v>
      </c>
      <c r="CK93" s="177">
        <f>' الشركه 2018'!$CJ90*8%</f>
        <v>0</v>
      </c>
      <c r="CL93" s="177">
        <f>' الشركه 2018'!$CJ90*17%</f>
        <v>0</v>
      </c>
      <c r="CM93" s="177">
        <f>' الشركه 2018'!$CJ90*25%</f>
        <v>0</v>
      </c>
      <c r="CN93" s="162"/>
      <c r="CO93" s="162"/>
      <c r="CP93" s="163">
        <v>1000</v>
      </c>
      <c r="CQ93" s="164" t="e">
        <f>VLOOKUP(Table6[[#This Row],[الرقم الوظيفى]],[4]!Table3[#Data],26,FALSE)</f>
        <v>#REF!</v>
      </c>
      <c r="CR93" s="165"/>
      <c r="CS93" s="230"/>
    </row>
    <row r="94" spans="1:97" ht="28" customHeight="1" thickTop="1" thickBot="1">
      <c r="A94" s="222">
        <v>434</v>
      </c>
      <c r="B94" s="142" t="s">
        <v>253</v>
      </c>
      <c r="C94" s="59" t="s">
        <v>90</v>
      </c>
      <c r="D94" s="143" t="s">
        <v>74</v>
      </c>
      <c r="E94" s="174" t="s">
        <v>666</v>
      </c>
      <c r="F94" s="143" t="s">
        <v>205</v>
      </c>
      <c r="G94" s="145">
        <v>41352</v>
      </c>
      <c r="H94" s="146">
        <v>4220</v>
      </c>
      <c r="I94" s="106">
        <f>Table6[[#This Row],[مرتب]]/30</f>
        <v>140.66666666666666</v>
      </c>
      <c r="J94" s="107">
        <v>30</v>
      </c>
      <c r="K94" s="107">
        <f t="shared" si="1"/>
        <v>4220</v>
      </c>
      <c r="L94" s="108">
        <v>4220</v>
      </c>
      <c r="M94" s="107">
        <f>Table6[[#This Row],[مرتب الضمان]]*17%</f>
        <v>717.40000000000009</v>
      </c>
      <c r="N94" s="107">
        <f>' الشركه 2018'!$H94*35%</f>
        <v>1477</v>
      </c>
      <c r="O94" s="107">
        <f>' الشركه 2018'!$H94*32%</f>
        <v>1350.4</v>
      </c>
      <c r="P94" s="107">
        <f>' الشركه 2018'!$H94*12%</f>
        <v>506.4</v>
      </c>
      <c r="Q94" s="107">
        <f>' الشركه 2018'!$H94*13%</f>
        <v>548.6</v>
      </c>
      <c r="R94" s="107">
        <f>' الشركه 2018'!$H94*6%</f>
        <v>253.2</v>
      </c>
      <c r="S94" s="107">
        <f>' الشركه 2018'!$H94*2%</f>
        <v>84.4</v>
      </c>
      <c r="T94" s="107">
        <f>' الشركه 2018'!$O94+' الشركه 2018'!$P94+' الشركه 2018'!$Q94+' الشركه 2018'!$R94+' الشركه 2018'!$S94</f>
        <v>2743</v>
      </c>
      <c r="U94" s="109">
        <f>VLOOKUP(Table6[[#This Row],[الرقم الوظيفى]],[2]بالخصم!$B$1:$AK$1200,35,)</f>
        <v>0</v>
      </c>
      <c r="V94" s="147"/>
      <c r="W94" s="111">
        <f>Table6[[#This Row],[عدد ايام الاجازه]]*Table6[[#This Row],[ح راتب اليوم]]</f>
        <v>0</v>
      </c>
      <c r="X94" s="148"/>
      <c r="Y94" s="60"/>
      <c r="Z94" s="111">
        <f>Table6[[#This Row],[عدد ايام الجزاء]]*Table6[[#This Row],[ح راتب اليوم]]</f>
        <v>0</v>
      </c>
      <c r="AA94" s="112">
        <f>Table6[[#This Row],[مرتب]]*50%</f>
        <v>2110</v>
      </c>
      <c r="AB94" s="113" t="e">
        <f>VLOOKUP(Table6[[#This Row],[الرقم الوظيفى]],[3]!Table25289[#Data],23,)</f>
        <v>#REF!</v>
      </c>
      <c r="AC94" s="149"/>
      <c r="AD94" s="150"/>
      <c r="AE94" s="113" t="e">
        <f>VLOOKUP(Table6[[#This Row],[الرقم الوظيفى]],[3]!Table252894[#Data],22,)</f>
        <v>#REF!</v>
      </c>
      <c r="AF94" s="151"/>
      <c r="AG94" s="111">
        <f>' الشركه 2018'!$W94+' الشركه 2018'!$Z94+' الشركه 2018'!$AA94+' الشركه 2018'!$AC94+' الشركه 2018'!$AD94+' الشركه 2018'!$AF94</f>
        <v>2110</v>
      </c>
      <c r="AH94" s="111">
        <f>Table6[[#This Row],[راتب الضمان]]*8%</f>
        <v>337.6</v>
      </c>
      <c r="AI94" s="111">
        <f>' الشركه 2018'!$H94-' الشركه 2018'!$AG94-' الشركه 2018'!$AH94</f>
        <v>1772.4</v>
      </c>
      <c r="AJ94" s="111">
        <f>' الشركه 2018'!$CF94</f>
        <v>951.52884615384619</v>
      </c>
      <c r="AK94" s="117">
        <f>' الشركه 2018'!$AI94+' الشركه 2018'!$AJ94</f>
        <v>2723.9288461538463</v>
      </c>
      <c r="AL94" s="152"/>
      <c r="AM94" s="153"/>
      <c r="AN94" s="9">
        <f>Table6[[#This Row],[اجمالى الاستحقاق]]-Table6[[#This Row],[Column2]]+Table6[[#This Row],[حوافز غير مستقره]]</f>
        <v>2723.9288461538463</v>
      </c>
      <c r="AO94" s="59"/>
      <c r="AP94" s="169"/>
      <c r="AQ94" s="176"/>
      <c r="AR94" s="124"/>
      <c r="AS94" s="155"/>
      <c r="AT94" s="170"/>
      <c r="AU94" s="124"/>
      <c r="AV94" s="124">
        <v>12</v>
      </c>
      <c r="AW94" s="124"/>
      <c r="AX94" s="124"/>
      <c r="AY94" s="124"/>
      <c r="AZ94" s="124"/>
      <c r="BA94" s="124"/>
      <c r="BB94" s="124"/>
      <c r="BC94" s="124">
        <v>12</v>
      </c>
      <c r="BD94" s="124"/>
      <c r="BE94" s="124"/>
      <c r="BF94" s="124"/>
      <c r="BG94" s="124"/>
      <c r="BH94" s="124"/>
      <c r="BI94" s="124"/>
      <c r="BJ94" s="124">
        <v>11</v>
      </c>
      <c r="BK94" s="124"/>
      <c r="BL94" s="124"/>
      <c r="BM94" s="124"/>
      <c r="BN94" s="124"/>
      <c r="BO94" s="124"/>
      <c r="BP94" s="124"/>
      <c r="BQ94" s="124"/>
      <c r="BR94" s="124"/>
      <c r="BS94" s="124"/>
      <c r="BT94" s="124"/>
      <c r="BU94" s="124"/>
      <c r="BV94" s="124"/>
      <c r="BW94" s="124"/>
      <c r="BX94" s="124"/>
      <c r="BY94" s="124"/>
      <c r="BZ94" s="159"/>
      <c r="CA94" s="160"/>
      <c r="CB9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4" s="130">
        <f>Table6[[#This Row],[Friday, November 23, 2018]]+Table6[[#This Row],[Friday, November 30, 2018]]+Table6[[#This Row],[Friday, December 07, 2018]]+Table6[[#This Row],[Friday, December 14, 2018]]+Table6[[#This Row],[فروقات عطله]]</f>
        <v>35</v>
      </c>
      <c r="CD94" s="131">
        <f>' الشركه 2018'!$H94*67%*1.5*' الشركه 2018'!$CB94/208</f>
        <v>0</v>
      </c>
      <c r="CE94" s="132">
        <f>' الشركه 2018'!$H94*67%*2*' الشركه 2018'!$CC94/208</f>
        <v>951.52884615384619</v>
      </c>
      <c r="CF94" s="133">
        <f>' الشركه 2018'!$CD94+' الشركه 2018'!$CE94</f>
        <v>951.52884615384619</v>
      </c>
      <c r="CG94" s="124"/>
      <c r="CH94" s="177">
        <f>SUMIF(C94:C338,' الشركه 2018'!$CG91,L94:L338)</f>
        <v>0</v>
      </c>
      <c r="CI94" s="124"/>
      <c r="CJ94" s="177">
        <f>' الشركه 2018'!$CH91*' الشركه 2018'!$CI91</f>
        <v>0</v>
      </c>
      <c r="CK94" s="177">
        <f>' الشركه 2018'!$CJ91*8%</f>
        <v>0</v>
      </c>
      <c r="CL94" s="177">
        <f>' الشركه 2018'!$CJ91*17%</f>
        <v>0</v>
      </c>
      <c r="CM94" s="177">
        <f>' الشركه 2018'!$CJ91*25%</f>
        <v>0</v>
      </c>
      <c r="CN94" s="162"/>
      <c r="CO94" s="162"/>
      <c r="CP94" s="163">
        <v>500</v>
      </c>
      <c r="CQ94" s="164" t="e">
        <f>VLOOKUP(Table6[[#This Row],[الرقم الوظيفى]],[4]!Table3[#Data],26,FALSE)</f>
        <v>#REF!</v>
      </c>
      <c r="CR94" s="165"/>
      <c r="CS94" s="124"/>
    </row>
    <row r="95" spans="1:97" ht="28" customHeight="1" thickTop="1" thickBot="1">
      <c r="A95" s="222">
        <v>436</v>
      </c>
      <c r="B95" s="142" t="s">
        <v>257</v>
      </c>
      <c r="C95" s="59" t="s">
        <v>90</v>
      </c>
      <c r="D95" s="143" t="s">
        <v>74</v>
      </c>
      <c r="E95" s="174" t="s">
        <v>622</v>
      </c>
      <c r="F95" s="143" t="s">
        <v>656</v>
      </c>
      <c r="G95" s="145">
        <v>41356</v>
      </c>
      <c r="H95" s="146">
        <v>4220</v>
      </c>
      <c r="I95" s="106">
        <f>Table6[[#This Row],[مرتب]]/30</f>
        <v>140.66666666666666</v>
      </c>
      <c r="J95" s="107">
        <v>30</v>
      </c>
      <c r="K95" s="107">
        <f t="shared" si="1"/>
        <v>4220</v>
      </c>
      <c r="L95" s="108">
        <v>4220</v>
      </c>
      <c r="M95" s="107">
        <f>Table6[[#This Row],[مرتب الضمان]]*17%</f>
        <v>717.40000000000009</v>
      </c>
      <c r="N95" s="107">
        <f>' الشركه 2018'!$H95*35%</f>
        <v>1477</v>
      </c>
      <c r="O95" s="107">
        <f>' الشركه 2018'!$H95*32%</f>
        <v>1350.4</v>
      </c>
      <c r="P95" s="107">
        <f>' الشركه 2018'!$H95*12%</f>
        <v>506.4</v>
      </c>
      <c r="Q95" s="107">
        <f>' الشركه 2018'!$H95*13%</f>
        <v>548.6</v>
      </c>
      <c r="R95" s="107">
        <f>' الشركه 2018'!$H95*6%</f>
        <v>253.2</v>
      </c>
      <c r="S95" s="107">
        <f>' الشركه 2018'!$H95*2%</f>
        <v>84.4</v>
      </c>
      <c r="T95" s="107">
        <f>' الشركه 2018'!$O95+' الشركه 2018'!$P95+' الشركه 2018'!$Q95+' الشركه 2018'!$R95+' الشركه 2018'!$S95</f>
        <v>2743</v>
      </c>
      <c r="U95" s="109">
        <f>VLOOKUP(Table6[[#This Row],[الرقم الوظيفى]],[2]بالخصم!$B$1:$AK$1200,35,)</f>
        <v>0</v>
      </c>
      <c r="V95" s="147"/>
      <c r="W95" s="111">
        <f>Table6[[#This Row],[عدد ايام الاجازه]]*Table6[[#This Row],[ح راتب اليوم]]</f>
        <v>0</v>
      </c>
      <c r="X95" s="148"/>
      <c r="Y95" s="60"/>
      <c r="Z95" s="111">
        <f>Table6[[#This Row],[عدد ايام الجزاء]]*Table6[[#This Row],[ح راتب اليوم]]</f>
        <v>0</v>
      </c>
      <c r="AA95" s="112">
        <f>Table6[[#This Row],[مرتب]]*50%</f>
        <v>2110</v>
      </c>
      <c r="AB95" s="113" t="e">
        <f>VLOOKUP(Table6[[#This Row],[الرقم الوظيفى]],[3]!Table25289[#Data],23,)</f>
        <v>#REF!</v>
      </c>
      <c r="AC95" s="149"/>
      <c r="AD95" s="150"/>
      <c r="AE95" s="113" t="e">
        <f>VLOOKUP(Table6[[#This Row],[الرقم الوظيفى]],[3]!Table252894[#Data],22,)</f>
        <v>#REF!</v>
      </c>
      <c r="AF95" s="151"/>
      <c r="AG95" s="111">
        <f>' الشركه 2018'!$W95+' الشركه 2018'!$Z95+' الشركه 2018'!$AA95+' الشركه 2018'!$AC95+' الشركه 2018'!$AD95+' الشركه 2018'!$AF95</f>
        <v>2110</v>
      </c>
      <c r="AH95" s="111">
        <f>Table6[[#This Row],[راتب الضمان]]*8%</f>
        <v>337.6</v>
      </c>
      <c r="AI95" s="111">
        <f>' الشركه 2018'!$H95-' الشركه 2018'!$AG95-' الشركه 2018'!$AH95</f>
        <v>1772.4</v>
      </c>
      <c r="AJ95" s="111">
        <f>' الشركه 2018'!$CF95</f>
        <v>0</v>
      </c>
      <c r="AK95" s="117">
        <f>' الشركه 2018'!$AI95+' الشركه 2018'!$AJ95</f>
        <v>1772.4</v>
      </c>
      <c r="AL95" s="152"/>
      <c r="AM95" s="153"/>
      <c r="AN95" s="9">
        <f>Table6[[#This Row],[اجمالى الاستحقاق]]-Table6[[#This Row],[Column2]]+Table6[[#This Row],[حوافز غير مستقره]]</f>
        <v>1772.4</v>
      </c>
      <c r="AO95" s="59"/>
      <c r="AP95" s="169"/>
      <c r="AQ95" s="176"/>
      <c r="AR95" s="124"/>
      <c r="AS95" s="155"/>
      <c r="AT95" s="170"/>
      <c r="AU95" s="124"/>
      <c r="AV95" s="124"/>
      <c r="AW95" s="124"/>
      <c r="AX95" s="124"/>
      <c r="AY95" s="124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  <c r="BO95" s="124"/>
      <c r="BP95" s="124"/>
      <c r="BQ95" s="124"/>
      <c r="BR95" s="124"/>
      <c r="BS95" s="124"/>
      <c r="BT95" s="124"/>
      <c r="BU95" s="124"/>
      <c r="BV95" s="124"/>
      <c r="BW95" s="124"/>
      <c r="BX95" s="124"/>
      <c r="BY95" s="124"/>
      <c r="BZ95" s="171"/>
      <c r="CA95" s="172"/>
      <c r="CB9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95" s="131">
        <f>' الشركه 2018'!$H95*67%*1.5*' الشركه 2018'!$CB95/208</f>
        <v>0</v>
      </c>
      <c r="CE95" s="132">
        <f>' الشركه 2018'!$H95*67%*2*' الشركه 2018'!$CC95/208</f>
        <v>0</v>
      </c>
      <c r="CF95" s="133">
        <f>' الشركه 2018'!$CD95+' الشركه 2018'!$CE95</f>
        <v>0</v>
      </c>
      <c r="CG95" s="124"/>
      <c r="CH95" s="177">
        <f>SUMIF(C95:C355,' الشركه 2018'!$CG92,L95:L355)</f>
        <v>0</v>
      </c>
      <c r="CI95" s="124"/>
      <c r="CJ95" s="177">
        <f>' الشركه 2018'!$CH92*' الشركه 2018'!$CI92</f>
        <v>0</v>
      </c>
      <c r="CK95" s="177">
        <f>' الشركه 2018'!$CJ92*8%</f>
        <v>0</v>
      </c>
      <c r="CL95" s="177">
        <f>' الشركه 2018'!$CJ92*17%</f>
        <v>0</v>
      </c>
      <c r="CM95" s="177">
        <f>' الشركه 2018'!$CJ92*25%</f>
        <v>0</v>
      </c>
      <c r="CN95" s="162"/>
      <c r="CO95" s="162"/>
      <c r="CP95" s="163"/>
      <c r="CQ95" s="164" t="e">
        <f>VLOOKUP(Table6[[#This Row],[الرقم الوظيفى]],[4]!Table3[#Data],26,FALSE)</f>
        <v>#REF!</v>
      </c>
      <c r="CR95" s="165"/>
      <c r="CS95" s="124"/>
    </row>
    <row r="96" spans="1:97" ht="28" customHeight="1" thickTop="1" thickBot="1">
      <c r="A96" s="222">
        <v>439</v>
      </c>
      <c r="B96" s="142" t="s">
        <v>204</v>
      </c>
      <c r="C96" s="59" t="s">
        <v>90</v>
      </c>
      <c r="D96" s="143" t="s">
        <v>74</v>
      </c>
      <c r="E96" s="174" t="s">
        <v>667</v>
      </c>
      <c r="F96" s="143" t="s">
        <v>109</v>
      </c>
      <c r="G96" s="145">
        <v>41356</v>
      </c>
      <c r="H96" s="146">
        <v>4710</v>
      </c>
      <c r="I96" s="106">
        <f>Table6[[#This Row],[مرتب]]/30</f>
        <v>157</v>
      </c>
      <c r="J96" s="107">
        <v>30</v>
      </c>
      <c r="K96" s="107">
        <f t="shared" si="1"/>
        <v>4710</v>
      </c>
      <c r="L96" s="108">
        <v>4710</v>
      </c>
      <c r="M96" s="107">
        <f>Table6[[#This Row],[مرتب الضمان]]*17%</f>
        <v>800.7</v>
      </c>
      <c r="N96" s="107">
        <f>' الشركه 2018'!$H96*35%</f>
        <v>1648.5</v>
      </c>
      <c r="O96" s="107">
        <f>' الشركه 2018'!$H96*32%</f>
        <v>1507.2</v>
      </c>
      <c r="P96" s="107">
        <f>' الشركه 2018'!$H96*12%</f>
        <v>565.19999999999993</v>
      </c>
      <c r="Q96" s="107">
        <f>' الشركه 2018'!$H96*13%</f>
        <v>612.30000000000007</v>
      </c>
      <c r="R96" s="107">
        <f>' الشركه 2018'!$H96*6%</f>
        <v>282.59999999999997</v>
      </c>
      <c r="S96" s="107">
        <f>' الشركه 2018'!$H96*2%</f>
        <v>94.2</v>
      </c>
      <c r="T96" s="107">
        <f>' الشركه 2018'!$O96+' الشركه 2018'!$P96+' الشركه 2018'!$Q96+' الشركه 2018'!$R96+' الشركه 2018'!$S96</f>
        <v>3061.5</v>
      </c>
      <c r="U96" s="109">
        <f>VLOOKUP(Table6[[#This Row],[الرقم الوظيفى]],[2]بالخصم!$B$1:$AK$1200,35,)</f>
        <v>0</v>
      </c>
      <c r="V96" s="147"/>
      <c r="W96" s="111">
        <f>Table6[[#This Row],[عدد ايام الاجازه]]*Table6[[#This Row],[ح راتب اليوم]]</f>
        <v>0</v>
      </c>
      <c r="X96" s="148"/>
      <c r="Y96" s="60"/>
      <c r="Z96" s="111">
        <f>Table6[[#This Row],[عدد ايام الجزاء]]*Table6[[#This Row],[ح راتب اليوم]]</f>
        <v>0</v>
      </c>
      <c r="AA96" s="112">
        <f>Table6[[#This Row],[مرتب]]*50%</f>
        <v>2355</v>
      </c>
      <c r="AB96" s="113" t="e">
        <f>VLOOKUP(Table6[[#This Row],[الرقم الوظيفى]],[3]!Table25289[#Data],23,)</f>
        <v>#REF!</v>
      </c>
      <c r="AC96" s="149"/>
      <c r="AD96" s="150"/>
      <c r="AE96" s="113" t="e">
        <f>VLOOKUP(Table6[[#This Row],[الرقم الوظيفى]],[3]!Table252894[#Data],22,)</f>
        <v>#REF!</v>
      </c>
      <c r="AF96" s="151"/>
      <c r="AG96" s="111">
        <f>' الشركه 2018'!$W96+' الشركه 2018'!$Z96+' الشركه 2018'!$AA96+' الشركه 2018'!$AC96+' الشركه 2018'!$AD96+' الشركه 2018'!$AF96</f>
        <v>2355</v>
      </c>
      <c r="AH96" s="111">
        <f>Table6[[#This Row],[راتب الضمان]]*8%</f>
        <v>376.8</v>
      </c>
      <c r="AI96" s="111">
        <f>' الشركه 2018'!$H96-' الشركه 2018'!$AG96-' الشركه 2018'!$AH96</f>
        <v>1978.2</v>
      </c>
      <c r="AJ96" s="111">
        <f>' الشركه 2018'!$CF96</f>
        <v>0</v>
      </c>
      <c r="AK96" s="117">
        <f>' الشركه 2018'!$AI96+' الشركه 2018'!$AJ96</f>
        <v>1978.2</v>
      </c>
      <c r="AL96" s="152"/>
      <c r="AM96" s="153"/>
      <c r="AN96" s="9">
        <f>Table6[[#This Row],[اجمالى الاستحقاق]]-Table6[[#This Row],[Column2]]+Table6[[#This Row],[حوافز غير مستقره]]</f>
        <v>1978.2</v>
      </c>
      <c r="AO96" s="59"/>
      <c r="AP96" s="169"/>
      <c r="AQ96" s="176"/>
      <c r="AR96" s="124"/>
      <c r="AS96" s="155"/>
      <c r="AT96" s="170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  <c r="BO96" s="124"/>
      <c r="BP96" s="124"/>
      <c r="BQ96" s="124"/>
      <c r="BR96" s="124"/>
      <c r="BS96" s="124"/>
      <c r="BT96" s="124"/>
      <c r="BU96" s="124"/>
      <c r="BV96" s="124"/>
      <c r="BW96" s="124"/>
      <c r="BX96" s="124"/>
      <c r="BY96" s="124"/>
      <c r="BZ96" s="171"/>
      <c r="CA96" s="172"/>
      <c r="CB9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96" s="131">
        <f>' الشركه 2018'!$H96*67%*1.5*' الشركه 2018'!$CB96/208</f>
        <v>0</v>
      </c>
      <c r="CE96" s="132">
        <f>' الشركه 2018'!$H96*67%*2*' الشركه 2018'!$CC96/208</f>
        <v>0</v>
      </c>
      <c r="CF96" s="133">
        <f>' الشركه 2018'!$CD96+' الشركه 2018'!$CE96</f>
        <v>0</v>
      </c>
      <c r="CG96" s="124"/>
      <c r="CH96" s="177">
        <f>SUMIF(C96:C339,' الشركه 2018'!$CG93,L96:L339)</f>
        <v>0</v>
      </c>
      <c r="CI96" s="124"/>
      <c r="CJ96" s="177">
        <f>' الشركه 2018'!$CH93*' الشركه 2018'!$CI93</f>
        <v>0</v>
      </c>
      <c r="CK96" s="177">
        <f>' الشركه 2018'!$CJ93*8%</f>
        <v>0</v>
      </c>
      <c r="CL96" s="177">
        <f>' الشركه 2018'!$CJ93*17%</f>
        <v>0</v>
      </c>
      <c r="CM96" s="177">
        <f>' الشركه 2018'!$CJ93*25%</f>
        <v>0</v>
      </c>
      <c r="CN96" s="162"/>
      <c r="CO96" s="162"/>
      <c r="CP96" s="163"/>
      <c r="CQ96" s="164" t="e">
        <f>VLOOKUP(Table6[[#This Row],[الرقم الوظيفى]],[4]!Table3[#Data],26,FALSE)</f>
        <v>#REF!</v>
      </c>
      <c r="CR96" s="165"/>
      <c r="CS96" s="124"/>
    </row>
    <row r="97" spans="1:97" ht="28" customHeight="1" thickTop="1" thickBot="1">
      <c r="A97" s="222">
        <v>440</v>
      </c>
      <c r="B97" s="142" t="s">
        <v>408</v>
      </c>
      <c r="C97" s="59" t="s">
        <v>90</v>
      </c>
      <c r="D97" s="143" t="s">
        <v>81</v>
      </c>
      <c r="E97" s="180" t="s">
        <v>668</v>
      </c>
      <c r="F97" s="143" t="s">
        <v>405</v>
      </c>
      <c r="G97" s="145">
        <v>41357</v>
      </c>
      <c r="H97" s="146">
        <v>3710</v>
      </c>
      <c r="I97" s="106">
        <f>Table6[[#This Row],[مرتب]]/30</f>
        <v>123.66666666666667</v>
      </c>
      <c r="J97" s="107">
        <v>30</v>
      </c>
      <c r="K97" s="107">
        <f t="shared" si="1"/>
        <v>3710</v>
      </c>
      <c r="L97" s="108">
        <v>3710</v>
      </c>
      <c r="M97" s="107">
        <f>Table6[[#This Row],[مرتب الضمان]]*17%</f>
        <v>630.70000000000005</v>
      </c>
      <c r="N97" s="107">
        <f>' الشركه 2018'!$H97*35%</f>
        <v>1298.5</v>
      </c>
      <c r="O97" s="107">
        <f>' الشركه 2018'!$H97*32%</f>
        <v>1187.2</v>
      </c>
      <c r="P97" s="107">
        <f>' الشركه 2018'!$H97*12%</f>
        <v>445.2</v>
      </c>
      <c r="Q97" s="107">
        <f>' الشركه 2018'!$H97*13%</f>
        <v>482.3</v>
      </c>
      <c r="R97" s="107">
        <f>' الشركه 2018'!$H97*6%</f>
        <v>222.6</v>
      </c>
      <c r="S97" s="107">
        <f>' الشركه 2018'!$H97*2%</f>
        <v>74.2</v>
      </c>
      <c r="T97" s="107">
        <f>' الشركه 2018'!$O97+' الشركه 2018'!$P97+' الشركه 2018'!$Q97+' الشركه 2018'!$R97+' الشركه 2018'!$S97</f>
        <v>2411.5</v>
      </c>
      <c r="U97" s="109">
        <f>VLOOKUP(Table6[[#This Row],[الرقم الوظيفى]],[2]بالخصم!$B$1:$AK$1200,35,)</f>
        <v>0</v>
      </c>
      <c r="V97" s="147"/>
      <c r="W97" s="111">
        <f>Table6[[#This Row],[عدد ايام الاجازه]]*Table6[[#This Row],[ح راتب اليوم]]</f>
        <v>0</v>
      </c>
      <c r="X97" s="148"/>
      <c r="Y97" s="60"/>
      <c r="Z97" s="111">
        <f>Table6[[#This Row],[عدد ايام الجزاء]]*Table6[[#This Row],[ح راتب اليوم]]</f>
        <v>0</v>
      </c>
      <c r="AA97" s="112">
        <f>Table6[[#This Row],[مرتب]]*50%</f>
        <v>1855</v>
      </c>
      <c r="AB97" s="113" t="e">
        <f>VLOOKUP(Table6[[#This Row],[الرقم الوظيفى]],[3]!Table25289[#Data],23,)</f>
        <v>#REF!</v>
      </c>
      <c r="AC97" s="149"/>
      <c r="AD97" s="150"/>
      <c r="AE97" s="113" t="e">
        <f>VLOOKUP(Table6[[#This Row],[الرقم الوظيفى]],[3]!Table252894[#Data],22,)</f>
        <v>#REF!</v>
      </c>
      <c r="AF97" s="151"/>
      <c r="AG97" s="111">
        <f>' الشركه 2018'!$W97+' الشركه 2018'!$Z97+' الشركه 2018'!$AA97+' الشركه 2018'!$AC97+' الشركه 2018'!$AD97+' الشركه 2018'!$AF97</f>
        <v>1855</v>
      </c>
      <c r="AH97" s="111">
        <f>Table6[[#This Row],[راتب الضمان]]*8%</f>
        <v>296.8</v>
      </c>
      <c r="AI97" s="111">
        <f>' الشركه 2018'!$H97-' الشركه 2018'!$AG97-' الشركه 2018'!$AH97</f>
        <v>1558.2</v>
      </c>
      <c r="AJ97" s="111">
        <f>' الشركه 2018'!$CF97</f>
        <v>0</v>
      </c>
      <c r="AK97" s="117">
        <f>' الشركه 2018'!$AI97+' الشركه 2018'!$AJ97</f>
        <v>1558.2</v>
      </c>
      <c r="AL97" s="152"/>
      <c r="AM97" s="153"/>
      <c r="AN97" s="9">
        <f>Table6[[#This Row],[اجمالى الاستحقاق]]-Table6[[#This Row],[Column2]]+Table6[[#This Row],[حوافز غير مستقره]]</f>
        <v>1558.2</v>
      </c>
      <c r="AO97" s="59"/>
      <c r="AP97" s="169"/>
      <c r="AQ97" s="176"/>
      <c r="AR97" s="124"/>
      <c r="AS97" s="155"/>
      <c r="AT97" s="170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  <c r="BO97" s="124"/>
      <c r="BP97" s="124"/>
      <c r="BQ97" s="124"/>
      <c r="BR97" s="124"/>
      <c r="BS97" s="124"/>
      <c r="BT97" s="124"/>
      <c r="BU97" s="124"/>
      <c r="BV97" s="124"/>
      <c r="BW97" s="124"/>
      <c r="BX97" s="124"/>
      <c r="BY97" s="124"/>
      <c r="BZ97" s="159"/>
      <c r="CA97" s="160"/>
      <c r="CB9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97" s="131">
        <f>' الشركه 2018'!$H97*67%*1.5*' الشركه 2018'!$CB97/208</f>
        <v>0</v>
      </c>
      <c r="CE97" s="132">
        <f>' الشركه 2018'!$H97*67%*2*' الشركه 2018'!$CC97/208</f>
        <v>0</v>
      </c>
      <c r="CF97" s="133">
        <f>' الشركه 2018'!$CD97+' الشركه 2018'!$CE97</f>
        <v>0</v>
      </c>
      <c r="CG97" s="124"/>
      <c r="CH97" s="177">
        <f>SUMIF(C97:C340,' الشركه 2018'!$CG94,L97:L340)</f>
        <v>0</v>
      </c>
      <c r="CI97" s="124"/>
      <c r="CJ97" s="177">
        <f>' الشركه 2018'!$CH94*' الشركه 2018'!$CI94</f>
        <v>0</v>
      </c>
      <c r="CK97" s="177">
        <f>' الشركه 2018'!$CJ94*8%</f>
        <v>0</v>
      </c>
      <c r="CL97" s="177">
        <f>' الشركه 2018'!$CJ94*17%</f>
        <v>0</v>
      </c>
      <c r="CM97" s="177">
        <f>' الشركه 2018'!$CJ94*25%</f>
        <v>0</v>
      </c>
      <c r="CN97" s="162"/>
      <c r="CO97" s="162"/>
      <c r="CP97" s="163"/>
      <c r="CQ97" s="164" t="e">
        <f>VLOOKUP(Table6[[#This Row],[الرقم الوظيفى]],[4]!Table3[#Data],26,FALSE)</f>
        <v>#REF!</v>
      </c>
      <c r="CR97" s="165">
        <v>1000</v>
      </c>
      <c r="CS97" s="124"/>
    </row>
    <row r="98" spans="1:97" s="231" customFormat="1" ht="28" customHeight="1" thickTop="1" thickBot="1">
      <c r="A98" s="222">
        <v>441</v>
      </c>
      <c r="B98" s="142" t="s">
        <v>310</v>
      </c>
      <c r="C98" s="59" t="s">
        <v>90</v>
      </c>
      <c r="D98" s="143" t="s">
        <v>74</v>
      </c>
      <c r="E98" s="174" t="s">
        <v>667</v>
      </c>
      <c r="F98" s="143" t="s">
        <v>63</v>
      </c>
      <c r="G98" s="145">
        <v>41357</v>
      </c>
      <c r="H98" s="146">
        <v>3180</v>
      </c>
      <c r="I98" s="106">
        <f>Table6[[#This Row],[مرتب]]/30</f>
        <v>106</v>
      </c>
      <c r="J98" s="107">
        <v>30</v>
      </c>
      <c r="K98" s="107">
        <f t="shared" si="1"/>
        <v>3180</v>
      </c>
      <c r="L98" s="108">
        <v>3180</v>
      </c>
      <c r="M98" s="107">
        <f>Table6[[#This Row],[مرتب الضمان]]*17%</f>
        <v>540.6</v>
      </c>
      <c r="N98" s="107">
        <f>' الشركه 2018'!$H98*35%</f>
        <v>1113</v>
      </c>
      <c r="O98" s="107">
        <f>' الشركه 2018'!$H98*32%</f>
        <v>1017.6</v>
      </c>
      <c r="P98" s="107">
        <f>' الشركه 2018'!$H98*12%</f>
        <v>381.59999999999997</v>
      </c>
      <c r="Q98" s="107">
        <f>' الشركه 2018'!$H98*13%</f>
        <v>413.40000000000003</v>
      </c>
      <c r="R98" s="107">
        <f>' الشركه 2018'!$H98*6%</f>
        <v>190.79999999999998</v>
      </c>
      <c r="S98" s="107">
        <f>' الشركه 2018'!$H98*2%</f>
        <v>63.6</v>
      </c>
      <c r="T98" s="107">
        <f>' الشركه 2018'!$O98+' الشركه 2018'!$P98+' الشركه 2018'!$Q98+' الشركه 2018'!$R98+' الشركه 2018'!$S98</f>
        <v>2067</v>
      </c>
      <c r="U98" s="109">
        <f>VLOOKUP(Table6[[#This Row],[الرقم الوظيفى]],[2]بالخصم!$B$1:$AK$1200,35,)</f>
        <v>0</v>
      </c>
      <c r="V98" s="147"/>
      <c r="W98" s="111">
        <f>Table6[[#This Row],[عدد ايام الاجازه]]*Table6[[#This Row],[ح راتب اليوم]]</f>
        <v>0</v>
      </c>
      <c r="X98" s="148"/>
      <c r="Y98" s="60"/>
      <c r="Z98" s="111">
        <f>Table6[[#This Row],[عدد ايام الجزاء]]*Table6[[#This Row],[ح راتب اليوم]]</f>
        <v>0</v>
      </c>
      <c r="AA98" s="112">
        <f>Table6[[#This Row],[مرتب]]*50%</f>
        <v>1590</v>
      </c>
      <c r="AB98" s="113" t="e">
        <f>VLOOKUP(Table6[[#This Row],[الرقم الوظيفى]],[3]!Table25289[#Data],23,)</f>
        <v>#REF!</v>
      </c>
      <c r="AC98" s="149"/>
      <c r="AD98" s="150"/>
      <c r="AE98" s="113" t="e">
        <f>VLOOKUP(Table6[[#This Row],[الرقم الوظيفى]],[3]!Table252894[#Data],22,)</f>
        <v>#REF!</v>
      </c>
      <c r="AF98" s="151"/>
      <c r="AG98" s="111">
        <f>' الشركه 2018'!$W98+' الشركه 2018'!$Z98+' الشركه 2018'!$AA98+' الشركه 2018'!$AC98+' الشركه 2018'!$AD98+' الشركه 2018'!$AF98</f>
        <v>1590</v>
      </c>
      <c r="AH98" s="111">
        <f>Table6[[#This Row],[راتب الضمان]]*8%</f>
        <v>254.4</v>
      </c>
      <c r="AI98" s="111">
        <f>' الشركه 2018'!$H98-' الشركه 2018'!$AG98-' الشركه 2018'!$AH98</f>
        <v>1335.6</v>
      </c>
      <c r="AJ98" s="111">
        <f>' الشركه 2018'!$CF98</f>
        <v>0</v>
      </c>
      <c r="AK98" s="117">
        <f>' الشركه 2018'!$AI98+' الشركه 2018'!$AJ98</f>
        <v>1335.6</v>
      </c>
      <c r="AL98" s="152"/>
      <c r="AM98" s="153"/>
      <c r="AN98" s="9">
        <f>Table6[[#This Row],[اجمالى الاستحقاق]]-Table6[[#This Row],[Column2]]+Table6[[#This Row],[حوافز غير مستقره]]</f>
        <v>1335.6</v>
      </c>
      <c r="AO98" s="59"/>
      <c r="AP98" s="169"/>
      <c r="AQ98" s="176"/>
      <c r="AR98" s="124"/>
      <c r="AS98" s="155"/>
      <c r="AT98" s="170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  <c r="BO98" s="124"/>
      <c r="BP98" s="124"/>
      <c r="BQ98" s="124"/>
      <c r="BR98" s="124"/>
      <c r="BS98" s="124"/>
      <c r="BT98" s="124"/>
      <c r="BU98" s="124"/>
      <c r="BV98" s="124"/>
      <c r="BW98" s="124"/>
      <c r="BX98" s="124"/>
      <c r="BY98" s="124"/>
      <c r="BZ98" s="171"/>
      <c r="CA98" s="172"/>
      <c r="CB9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98" s="131">
        <f>' الشركه 2018'!$H98*67%*1.5*' الشركه 2018'!$CB98/208</f>
        <v>0</v>
      </c>
      <c r="CE98" s="132">
        <f>' الشركه 2018'!$H98*67%*2*' الشركه 2018'!$CC98/208</f>
        <v>0</v>
      </c>
      <c r="CF98" s="133">
        <f>' الشركه 2018'!$CD98+' الشركه 2018'!$CE98</f>
        <v>0</v>
      </c>
      <c r="CG98" s="124"/>
      <c r="CH98" s="177">
        <f>SUMIF(C98:C355,' الشركه 2018'!$CG95,L98:L355)</f>
        <v>0</v>
      </c>
      <c r="CI98" s="124"/>
      <c r="CJ98" s="177">
        <f>' الشركه 2018'!$CH95*' الشركه 2018'!$CI95</f>
        <v>0</v>
      </c>
      <c r="CK98" s="177">
        <f>' الشركه 2018'!$CJ95*8%</f>
        <v>0</v>
      </c>
      <c r="CL98" s="177">
        <f>' الشركه 2018'!$CJ95*17%</f>
        <v>0</v>
      </c>
      <c r="CM98" s="177">
        <f>' الشركه 2018'!$CJ95*25%</f>
        <v>0</v>
      </c>
      <c r="CN98" s="162"/>
      <c r="CO98" s="162"/>
      <c r="CP98" s="163"/>
      <c r="CQ98" s="164" t="e">
        <f>VLOOKUP(Table6[[#This Row],[الرقم الوظيفى]],[4]!Table3[#Data],26,FALSE)</f>
        <v>#REF!</v>
      </c>
      <c r="CR98" s="165"/>
      <c r="CS98" s="230"/>
    </row>
    <row r="99" spans="1:97" s="231" customFormat="1" ht="28" customHeight="1" thickTop="1" thickBot="1">
      <c r="A99" s="222">
        <v>453</v>
      </c>
      <c r="B99" s="142" t="s">
        <v>208</v>
      </c>
      <c r="C99" s="59" t="s">
        <v>90</v>
      </c>
      <c r="D99" s="143" t="s">
        <v>74</v>
      </c>
      <c r="E99" s="174" t="s">
        <v>659</v>
      </c>
      <c r="F99" s="143" t="s">
        <v>207</v>
      </c>
      <c r="G99" s="145">
        <v>41365</v>
      </c>
      <c r="H99" s="146">
        <v>4750</v>
      </c>
      <c r="I99" s="106">
        <f>Table6[[#This Row],[مرتب]]/30</f>
        <v>158.33333333333334</v>
      </c>
      <c r="J99" s="107">
        <v>30</v>
      </c>
      <c r="K99" s="107">
        <f t="shared" si="1"/>
        <v>4750</v>
      </c>
      <c r="L99" s="108">
        <v>4750</v>
      </c>
      <c r="M99" s="107">
        <f>Table6[[#This Row],[مرتب الضمان]]*17%</f>
        <v>807.50000000000011</v>
      </c>
      <c r="N99" s="107">
        <f>' الشركه 2018'!$H99*35%</f>
        <v>1662.5</v>
      </c>
      <c r="O99" s="107">
        <f>' الشركه 2018'!$H99*32%</f>
        <v>1520</v>
      </c>
      <c r="P99" s="107">
        <f>' الشركه 2018'!$H99*12%</f>
        <v>570</v>
      </c>
      <c r="Q99" s="107">
        <f>' الشركه 2018'!$H99*13%</f>
        <v>617.5</v>
      </c>
      <c r="R99" s="107">
        <f>' الشركه 2018'!$H99*6%</f>
        <v>285</v>
      </c>
      <c r="S99" s="107">
        <f>' الشركه 2018'!$H99*2%</f>
        <v>95</v>
      </c>
      <c r="T99" s="107">
        <f>' الشركه 2018'!$O99+' الشركه 2018'!$P99+' الشركه 2018'!$Q99+' الشركه 2018'!$R99+' الشركه 2018'!$S99</f>
        <v>3087.5</v>
      </c>
      <c r="U99" s="109">
        <f>VLOOKUP(Table6[[#This Row],[الرقم الوظيفى]],[2]بالخصم!$B$1:$AK$1200,35,)</f>
        <v>0</v>
      </c>
      <c r="V99" s="147"/>
      <c r="W99" s="111">
        <f>Table6[[#This Row],[عدد ايام الاجازه]]*Table6[[#This Row],[ح راتب اليوم]]</f>
        <v>0</v>
      </c>
      <c r="X99" s="148"/>
      <c r="Y99" s="60"/>
      <c r="Z99" s="111">
        <f>Table6[[#This Row],[عدد ايام الجزاء]]*Table6[[#This Row],[ح راتب اليوم]]</f>
        <v>0</v>
      </c>
      <c r="AA99" s="112">
        <f>Table6[[#This Row],[مرتب]]*50%</f>
        <v>2375</v>
      </c>
      <c r="AB99" s="113" t="e">
        <f>VLOOKUP(Table6[[#This Row],[الرقم الوظيفى]],[3]!Table25289[#Data],23,)</f>
        <v>#REF!</v>
      </c>
      <c r="AC99" s="149"/>
      <c r="AD99" s="150"/>
      <c r="AE99" s="113" t="e">
        <f>VLOOKUP(Table6[[#This Row],[الرقم الوظيفى]],[3]!Table252894[#Data],22,)</f>
        <v>#REF!</v>
      </c>
      <c r="AF99" s="151"/>
      <c r="AG99" s="111">
        <f>' الشركه 2018'!$W99+' الشركه 2018'!$Z99+' الشركه 2018'!$AA99+' الشركه 2018'!$AC99+' الشركه 2018'!$AD99+' الشركه 2018'!$AF99</f>
        <v>2375</v>
      </c>
      <c r="AH99" s="111">
        <f>Table6[[#This Row],[راتب الضمان]]*8%</f>
        <v>380</v>
      </c>
      <c r="AI99" s="111">
        <f>' الشركه 2018'!$H99-' الشركه 2018'!$AG99-' الشركه 2018'!$AH99</f>
        <v>1995</v>
      </c>
      <c r="AJ99" s="111">
        <f>' الشركه 2018'!$CF99</f>
        <v>734.42307692307691</v>
      </c>
      <c r="AK99" s="117">
        <f>' الشركه 2018'!$AI99+' الشركه 2018'!$AJ99</f>
        <v>2729.4230769230771</v>
      </c>
      <c r="AL99" s="152"/>
      <c r="AM99" s="153"/>
      <c r="AN99" s="9">
        <f>Table6[[#This Row],[اجمالى الاستحقاق]]-Table6[[#This Row],[Column2]]+Table6[[#This Row],[حوافز غير مستقره]]</f>
        <v>2729.4230769230771</v>
      </c>
      <c r="AO99" s="59"/>
      <c r="AP99" s="169"/>
      <c r="AQ99" s="176"/>
      <c r="AR99" s="124"/>
      <c r="AS99" s="155"/>
      <c r="AT99" s="170"/>
      <c r="AU99" s="124"/>
      <c r="AV99" s="124">
        <v>12</v>
      </c>
      <c r="AW99" s="124"/>
      <c r="AX99" s="124"/>
      <c r="AY99" s="124"/>
      <c r="AZ99" s="124"/>
      <c r="BA99" s="124"/>
      <c r="BB99" s="124"/>
      <c r="BC99" s="124">
        <v>12</v>
      </c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  <c r="BO99" s="124"/>
      <c r="BP99" s="124"/>
      <c r="BQ99" s="124"/>
      <c r="BR99" s="124"/>
      <c r="BS99" s="124"/>
      <c r="BT99" s="124"/>
      <c r="BU99" s="124"/>
      <c r="BV99" s="124"/>
      <c r="BW99" s="124"/>
      <c r="BX99" s="124"/>
      <c r="BY99" s="124"/>
      <c r="BZ99" s="159"/>
      <c r="CA99" s="160"/>
      <c r="CB9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99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99" s="131">
        <f>' الشركه 2018'!$H99*67%*1.5*' الشركه 2018'!$CB99/208</f>
        <v>0</v>
      </c>
      <c r="CE99" s="132">
        <f>' الشركه 2018'!$H99*67%*2*' الشركه 2018'!$CC99/208</f>
        <v>734.42307692307691</v>
      </c>
      <c r="CF99" s="133">
        <f>' الشركه 2018'!$CD99+' الشركه 2018'!$CE99</f>
        <v>734.42307692307691</v>
      </c>
      <c r="CG99" s="124"/>
      <c r="CH99" s="177">
        <f>SUMIF(C99:C343,' الشركه 2018'!$CG96,L99:L343)</f>
        <v>0</v>
      </c>
      <c r="CI99" s="124"/>
      <c r="CJ99" s="177">
        <f>' الشركه 2018'!$CH96*' الشركه 2018'!$CI96</f>
        <v>0</v>
      </c>
      <c r="CK99" s="177">
        <f>' الشركه 2018'!$CJ96*8%</f>
        <v>0</v>
      </c>
      <c r="CL99" s="177">
        <f>' الشركه 2018'!$CJ96*17%</f>
        <v>0</v>
      </c>
      <c r="CM99" s="177">
        <f>' الشركه 2018'!$CJ96*25%</f>
        <v>0</v>
      </c>
      <c r="CN99" s="162"/>
      <c r="CO99" s="162"/>
      <c r="CP99" s="163">
        <v>700</v>
      </c>
      <c r="CQ99" s="164" t="e">
        <f>VLOOKUP(Table6[[#This Row],[الرقم الوظيفى]],[4]!Table3[#Data],26,FALSE)</f>
        <v>#REF!</v>
      </c>
      <c r="CR99" s="165"/>
      <c r="CS99" s="230"/>
    </row>
    <row r="100" spans="1:97" ht="28" customHeight="1" thickTop="1" thickBot="1">
      <c r="A100" s="222">
        <v>455</v>
      </c>
      <c r="B100" s="142" t="s">
        <v>445</v>
      </c>
      <c r="C100" s="59" t="s">
        <v>90</v>
      </c>
      <c r="D100" s="143" t="s">
        <v>660</v>
      </c>
      <c r="E100" s="174"/>
      <c r="F100" s="143" t="s">
        <v>443</v>
      </c>
      <c r="G100" s="145">
        <v>41365</v>
      </c>
      <c r="H100" s="146">
        <v>4220</v>
      </c>
      <c r="I100" s="106">
        <f>Table6[[#This Row],[مرتب]]/30</f>
        <v>140.66666666666666</v>
      </c>
      <c r="J100" s="107">
        <v>30</v>
      </c>
      <c r="K100" s="107">
        <f t="shared" si="1"/>
        <v>4220</v>
      </c>
      <c r="L100" s="108">
        <v>4220</v>
      </c>
      <c r="M100" s="107">
        <f>Table6[[#This Row],[مرتب الضمان]]*17%</f>
        <v>717.40000000000009</v>
      </c>
      <c r="N100" s="107">
        <f>' الشركه 2018'!$H100*35%</f>
        <v>1477</v>
      </c>
      <c r="O100" s="107">
        <f>' الشركه 2018'!$H100*32%</f>
        <v>1350.4</v>
      </c>
      <c r="P100" s="107">
        <f>' الشركه 2018'!$H100*12%</f>
        <v>506.4</v>
      </c>
      <c r="Q100" s="107">
        <f>' الشركه 2018'!$H100*13%</f>
        <v>548.6</v>
      </c>
      <c r="R100" s="107">
        <f>' الشركه 2018'!$H100*6%</f>
        <v>253.2</v>
      </c>
      <c r="S100" s="107">
        <f>' الشركه 2018'!$H100*2%</f>
        <v>84.4</v>
      </c>
      <c r="T100" s="107">
        <f>' الشركه 2018'!$O100+' الشركه 2018'!$P100+' الشركه 2018'!$Q100+' الشركه 2018'!$R100+' الشركه 2018'!$S100</f>
        <v>2743</v>
      </c>
      <c r="U100" s="109">
        <f>VLOOKUP(Table6[[#This Row],[الرقم الوظيفى]],[2]بالخصم!$B$1:$AK$1200,35,)</f>
        <v>0</v>
      </c>
      <c r="V100" s="147"/>
      <c r="W100" s="111">
        <f>Table6[[#This Row],[عدد ايام الاجازه]]*Table6[[#This Row],[ح راتب اليوم]]</f>
        <v>0</v>
      </c>
      <c r="X100" s="148"/>
      <c r="Y100" s="60"/>
      <c r="Z100" s="111">
        <f>Table6[[#This Row],[عدد ايام الجزاء]]*Table6[[#This Row],[ح راتب اليوم]]</f>
        <v>0</v>
      </c>
      <c r="AA100" s="112">
        <f>Table6[[#This Row],[مرتب]]*50%</f>
        <v>2110</v>
      </c>
      <c r="AB100" s="113" t="e">
        <f>VLOOKUP(Table6[[#This Row],[الرقم الوظيفى]],[3]!Table25289[#Data],23,)</f>
        <v>#REF!</v>
      </c>
      <c r="AC100" s="149"/>
      <c r="AD100" s="150"/>
      <c r="AE100" s="113" t="e">
        <f>VLOOKUP(Table6[[#This Row],[الرقم الوظيفى]],[3]!Table252894[#Data],22,)</f>
        <v>#REF!</v>
      </c>
      <c r="AF100" s="151"/>
      <c r="AG100" s="111">
        <f>' الشركه 2018'!$W100+' الشركه 2018'!$Z100+' الشركه 2018'!$AA100+' الشركه 2018'!$AC100+' الشركه 2018'!$AD100+' الشركه 2018'!$AF100</f>
        <v>2110</v>
      </c>
      <c r="AH100" s="111">
        <f>Table6[[#This Row],[راتب الضمان]]*8%</f>
        <v>337.6</v>
      </c>
      <c r="AI100" s="111">
        <f>' الشركه 2018'!$H100-' الشركه 2018'!$AG100-' الشركه 2018'!$AH100</f>
        <v>1772.4</v>
      </c>
      <c r="AJ100" s="111">
        <f>' الشركه 2018'!$CF100</f>
        <v>0</v>
      </c>
      <c r="AK100" s="117">
        <f>' الشركه 2018'!$AI100+' الشركه 2018'!$AJ100</f>
        <v>1772.4</v>
      </c>
      <c r="AL100" s="152"/>
      <c r="AM100" s="153"/>
      <c r="AN100" s="9">
        <f>Table6[[#This Row],[اجمالى الاستحقاق]]-Table6[[#This Row],[Column2]]+Table6[[#This Row],[حوافز غير مستقره]]</f>
        <v>1772.4</v>
      </c>
      <c r="AO100" s="59"/>
      <c r="AP100" s="169"/>
      <c r="AQ100" s="176"/>
      <c r="AR100" s="124"/>
      <c r="AS100" s="155"/>
      <c r="AT100" s="170"/>
      <c r="AU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  <c r="BO100" s="124"/>
      <c r="BP100" s="124"/>
      <c r="BQ100" s="124"/>
      <c r="BR100" s="124"/>
      <c r="BS100" s="124"/>
      <c r="BT100" s="124"/>
      <c r="BU100" s="124"/>
      <c r="BV100" s="124"/>
      <c r="BW100" s="124"/>
      <c r="BX100" s="124"/>
      <c r="BY100" s="124"/>
      <c r="BZ100" s="159"/>
      <c r="CA100" s="160"/>
      <c r="CB10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0" s="131">
        <f>' الشركه 2018'!$H100*67%*1.5*' الشركه 2018'!$CB100/208</f>
        <v>0</v>
      </c>
      <c r="CE100" s="132">
        <f>' الشركه 2018'!$H100*67%*2*' الشركه 2018'!$CC100/208</f>
        <v>0</v>
      </c>
      <c r="CF100" s="133">
        <f>' الشركه 2018'!$CD100+' الشركه 2018'!$CE100</f>
        <v>0</v>
      </c>
      <c r="CG100" s="124"/>
      <c r="CH100" s="177">
        <f>SUMIF(C100:C344,' الشركه 2018'!$CG97,L100:L344)</f>
        <v>0</v>
      </c>
      <c r="CI100" s="124"/>
      <c r="CJ100" s="177">
        <f>' الشركه 2018'!$CH97*' الشركه 2018'!$CI97</f>
        <v>0</v>
      </c>
      <c r="CK100" s="177">
        <f>' الشركه 2018'!$CJ97*8%</f>
        <v>0</v>
      </c>
      <c r="CL100" s="177">
        <f>' الشركه 2018'!$CJ97*17%</f>
        <v>0</v>
      </c>
      <c r="CM100" s="177">
        <f>' الشركه 2018'!$CJ97*25%</f>
        <v>0</v>
      </c>
      <c r="CN100" s="162"/>
      <c r="CO100" s="162"/>
      <c r="CP100" s="163"/>
      <c r="CQ100" s="164" t="e">
        <f>VLOOKUP(Table6[[#This Row],[الرقم الوظيفى]],[4]!Table3[#Data],26,FALSE)</f>
        <v>#REF!</v>
      </c>
      <c r="CR100" s="165">
        <v>500</v>
      </c>
      <c r="CS100" s="124"/>
    </row>
    <row r="101" spans="1:97" s="231" customFormat="1" ht="28" customHeight="1" thickTop="1" thickBot="1">
      <c r="A101" s="222">
        <v>459</v>
      </c>
      <c r="B101" s="142" t="s">
        <v>429</v>
      </c>
      <c r="C101" s="59" t="s">
        <v>90</v>
      </c>
      <c r="D101" s="143" t="s">
        <v>83</v>
      </c>
      <c r="E101" s="174" t="s">
        <v>637</v>
      </c>
      <c r="F101" s="143" t="s">
        <v>426</v>
      </c>
      <c r="G101" s="145">
        <v>41368</v>
      </c>
      <c r="H101" s="146">
        <v>4750</v>
      </c>
      <c r="I101" s="106">
        <f>Table6[[#This Row],[مرتب]]/30</f>
        <v>158.33333333333334</v>
      </c>
      <c r="J101" s="107">
        <v>30</v>
      </c>
      <c r="K101" s="107">
        <f t="shared" si="1"/>
        <v>4750</v>
      </c>
      <c r="L101" s="108">
        <v>4750</v>
      </c>
      <c r="M101" s="107">
        <f>Table6[[#This Row],[مرتب الضمان]]*17%</f>
        <v>807.50000000000011</v>
      </c>
      <c r="N101" s="107">
        <f>' الشركه 2018'!$H101*35%</f>
        <v>1662.5</v>
      </c>
      <c r="O101" s="107">
        <f>' الشركه 2018'!$H101*32%</f>
        <v>1520</v>
      </c>
      <c r="P101" s="107">
        <f>' الشركه 2018'!$H101*12%</f>
        <v>570</v>
      </c>
      <c r="Q101" s="107">
        <f>' الشركه 2018'!$H101*13%</f>
        <v>617.5</v>
      </c>
      <c r="R101" s="107">
        <f>' الشركه 2018'!$H101*6%</f>
        <v>285</v>
      </c>
      <c r="S101" s="107">
        <f>' الشركه 2018'!$H101*2%</f>
        <v>95</v>
      </c>
      <c r="T101" s="107">
        <f>' الشركه 2018'!$O101+' الشركه 2018'!$P101+' الشركه 2018'!$Q101+' الشركه 2018'!$R101+' الشركه 2018'!$S101</f>
        <v>3087.5</v>
      </c>
      <c r="U101" s="109">
        <f>VLOOKUP(Table6[[#This Row],[الرقم الوظيفى]],[2]بالخصم!$B$1:$AK$1200,35,)</f>
        <v>0</v>
      </c>
      <c r="V101" s="147"/>
      <c r="W101" s="111">
        <f>Table6[[#This Row],[عدد ايام الاجازه]]*Table6[[#This Row],[ح راتب اليوم]]</f>
        <v>0</v>
      </c>
      <c r="X101" s="148"/>
      <c r="Y101" s="60"/>
      <c r="Z101" s="111">
        <f>Table6[[#This Row],[عدد ايام الجزاء]]*Table6[[#This Row],[ح راتب اليوم]]</f>
        <v>0</v>
      </c>
      <c r="AA101" s="112">
        <f>Table6[[#This Row],[مرتب]]*50%</f>
        <v>2375</v>
      </c>
      <c r="AB101" s="113" t="e">
        <f>VLOOKUP(Table6[[#This Row],[الرقم الوظيفى]],[3]!Table25289[#Data],23,)</f>
        <v>#REF!</v>
      </c>
      <c r="AC101" s="149"/>
      <c r="AD101" s="150"/>
      <c r="AE101" s="113" t="e">
        <f>VLOOKUP(Table6[[#This Row],[الرقم الوظيفى]],[3]!Table252894[#Data],22,)</f>
        <v>#REF!</v>
      </c>
      <c r="AF101" s="151"/>
      <c r="AG101" s="111">
        <f>' الشركه 2018'!$W101+' الشركه 2018'!$Z101+' الشركه 2018'!$AA101+' الشركه 2018'!$AC101+' الشركه 2018'!$AD101+' الشركه 2018'!$AF101</f>
        <v>2375</v>
      </c>
      <c r="AH101" s="111">
        <f>Table6[[#This Row],[راتب الضمان]]*8%</f>
        <v>380</v>
      </c>
      <c r="AI101" s="111">
        <f>' الشركه 2018'!$H101-' الشركه 2018'!$AG101-' الشركه 2018'!$AH101</f>
        <v>1995</v>
      </c>
      <c r="AJ101" s="111">
        <f>' الشركه 2018'!$CF101</f>
        <v>0</v>
      </c>
      <c r="AK101" s="117">
        <f>' الشركه 2018'!$AI101+' الشركه 2018'!$AJ101</f>
        <v>1995</v>
      </c>
      <c r="AL101" s="152"/>
      <c r="AM101" s="153"/>
      <c r="AN101" s="9">
        <f>Table6[[#This Row],[اجمالى الاستحقاق]]-Table6[[#This Row],[Column2]]+Table6[[#This Row],[حوافز غير مستقره]]</f>
        <v>1995</v>
      </c>
      <c r="AO101" s="59"/>
      <c r="AP101" s="169"/>
      <c r="AQ101" s="176"/>
      <c r="AR101" s="124"/>
      <c r="AS101" s="155"/>
      <c r="AT101" s="170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  <c r="BR101" s="124"/>
      <c r="BS101" s="124"/>
      <c r="BT101" s="124"/>
      <c r="BU101" s="124"/>
      <c r="BV101" s="124"/>
      <c r="BW101" s="124"/>
      <c r="BX101" s="124"/>
      <c r="BY101" s="124"/>
      <c r="BZ101" s="171"/>
      <c r="CA101" s="172"/>
      <c r="CB10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1" s="131">
        <f>' الشركه 2018'!$H101*67%*1.5*' الشركه 2018'!$CB101/208</f>
        <v>0</v>
      </c>
      <c r="CE101" s="132">
        <f>' الشركه 2018'!$H101*67%*2*' الشركه 2018'!$CC101/208</f>
        <v>0</v>
      </c>
      <c r="CF101" s="133">
        <f>' الشركه 2018'!$CD101+' الشركه 2018'!$CE101</f>
        <v>0</v>
      </c>
      <c r="CG101" s="124"/>
      <c r="CH101" s="177">
        <f>SUMIF(C101:C345,' الشركه 2018'!$CG98,L101:L345)</f>
        <v>0</v>
      </c>
      <c r="CI101" s="124"/>
      <c r="CJ101" s="177">
        <f>' الشركه 2018'!$CH98*' الشركه 2018'!$CI98</f>
        <v>0</v>
      </c>
      <c r="CK101" s="177">
        <f>' الشركه 2018'!$CJ98*8%</f>
        <v>0</v>
      </c>
      <c r="CL101" s="177">
        <f>' الشركه 2018'!$CJ98*17%</f>
        <v>0</v>
      </c>
      <c r="CM101" s="177">
        <f>' الشركه 2018'!$CJ98*25%</f>
        <v>0</v>
      </c>
      <c r="CN101" s="162"/>
      <c r="CO101" s="162"/>
      <c r="CP101" s="163"/>
      <c r="CQ101" s="164" t="e">
        <f>VLOOKUP(Table6[[#This Row],[الرقم الوظيفى]],[4]!Table3[#Data],26,FALSE)</f>
        <v>#REF!</v>
      </c>
      <c r="CR101" s="165">
        <v>1000</v>
      </c>
      <c r="CS101" s="230"/>
    </row>
    <row r="102" spans="1:97" ht="28" customHeight="1" thickTop="1" thickBot="1">
      <c r="A102" s="222">
        <v>470</v>
      </c>
      <c r="B102" s="142" t="s">
        <v>210</v>
      </c>
      <c r="C102" s="59" t="s">
        <v>90</v>
      </c>
      <c r="D102" s="143" t="s">
        <v>74</v>
      </c>
      <c r="E102" s="174" t="s">
        <v>629</v>
      </c>
      <c r="F102" s="143" t="s">
        <v>207</v>
      </c>
      <c r="G102" s="145">
        <v>41365</v>
      </c>
      <c r="H102" s="146">
        <v>4710</v>
      </c>
      <c r="I102" s="106">
        <f>Table6[[#This Row],[مرتب]]/30</f>
        <v>157</v>
      </c>
      <c r="J102" s="107">
        <v>30</v>
      </c>
      <c r="K102" s="107">
        <f t="shared" si="1"/>
        <v>4710</v>
      </c>
      <c r="L102" s="108">
        <v>4710</v>
      </c>
      <c r="M102" s="107">
        <f>Table6[[#This Row],[مرتب الضمان]]*17%</f>
        <v>800.7</v>
      </c>
      <c r="N102" s="107">
        <f>' الشركه 2018'!$H102*35%</f>
        <v>1648.5</v>
      </c>
      <c r="O102" s="107">
        <f>' الشركه 2018'!$H102*32%</f>
        <v>1507.2</v>
      </c>
      <c r="P102" s="107">
        <f>' الشركه 2018'!$H102*12%</f>
        <v>565.19999999999993</v>
      </c>
      <c r="Q102" s="107">
        <f>' الشركه 2018'!$H102*13%</f>
        <v>612.30000000000007</v>
      </c>
      <c r="R102" s="107">
        <f>' الشركه 2018'!$H102*6%</f>
        <v>282.59999999999997</v>
      </c>
      <c r="S102" s="107">
        <f>' الشركه 2018'!$H102*2%</f>
        <v>94.2</v>
      </c>
      <c r="T102" s="107">
        <f>' الشركه 2018'!$O102+' الشركه 2018'!$P102+' الشركه 2018'!$Q102+' الشركه 2018'!$R102+' الشركه 2018'!$S102</f>
        <v>3061.5</v>
      </c>
      <c r="U102" s="109">
        <f>VLOOKUP(Table6[[#This Row],[الرقم الوظيفى]],[2]بالخصم!$B$1:$AK$1200,35,)</f>
        <v>0</v>
      </c>
      <c r="V102" s="147"/>
      <c r="W102" s="111">
        <f>Table6[[#This Row],[عدد ايام الاجازه]]*Table6[[#This Row],[ح راتب اليوم]]</f>
        <v>0</v>
      </c>
      <c r="X102" s="148"/>
      <c r="Y102" s="60"/>
      <c r="Z102" s="111">
        <f>Table6[[#This Row],[عدد ايام الجزاء]]*Table6[[#This Row],[ح راتب اليوم]]</f>
        <v>0</v>
      </c>
      <c r="AA102" s="112">
        <f>Table6[[#This Row],[مرتب]]*50%</f>
        <v>2355</v>
      </c>
      <c r="AB102" s="113" t="e">
        <f>VLOOKUP(Table6[[#This Row],[الرقم الوظيفى]],[3]!Table25289[#Data],23,)</f>
        <v>#REF!</v>
      </c>
      <c r="AC102" s="149">
        <v>200</v>
      </c>
      <c r="AD102" s="150"/>
      <c r="AE102" s="113" t="e">
        <f>VLOOKUP(Table6[[#This Row],[الرقم الوظيفى]],[3]!Table252894[#Data],22,)</f>
        <v>#REF!</v>
      </c>
      <c r="AF102" s="151"/>
      <c r="AG102" s="111">
        <f>' الشركه 2018'!$W102+' الشركه 2018'!$Z102+' الشركه 2018'!$AA102+' الشركه 2018'!$AC102+' الشركه 2018'!$AD102+' الشركه 2018'!$AF102</f>
        <v>2555</v>
      </c>
      <c r="AH102" s="111">
        <f>Table6[[#This Row],[راتب الضمان]]*8%</f>
        <v>376.8</v>
      </c>
      <c r="AI102" s="111">
        <f>' الشركه 2018'!$H102-' الشركه 2018'!$AG102-' الشركه 2018'!$AH102</f>
        <v>1778.2</v>
      </c>
      <c r="AJ102" s="111">
        <f>' الشركه 2018'!$CF102</f>
        <v>1092.3576923076923</v>
      </c>
      <c r="AK102" s="117">
        <f>' الشركه 2018'!$AI102+' الشركه 2018'!$AJ102</f>
        <v>2870.5576923076924</v>
      </c>
      <c r="AL102" s="152"/>
      <c r="AM102" s="153"/>
      <c r="AN102" s="9">
        <f>Table6[[#This Row],[اجمالى الاستحقاق]]-Table6[[#This Row],[Column2]]+Table6[[#This Row],[حوافز غير مستقره]]</f>
        <v>2870.5576923076924</v>
      </c>
      <c r="AO102" s="59"/>
      <c r="AP102" s="169"/>
      <c r="AQ102" s="176"/>
      <c r="AR102" s="124"/>
      <c r="AS102" s="155"/>
      <c r="AT102" s="170"/>
      <c r="AU102" s="124"/>
      <c r="AV102" s="124">
        <v>12</v>
      </c>
      <c r="AW102" s="124"/>
      <c r="AX102" s="124"/>
      <c r="AY102" s="124"/>
      <c r="AZ102" s="124"/>
      <c r="BA102" s="124"/>
      <c r="BB102" s="124"/>
      <c r="BC102" s="124">
        <v>12</v>
      </c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  <c r="BO102" s="124"/>
      <c r="BP102" s="124"/>
      <c r="BQ102" s="124"/>
      <c r="BR102" s="124"/>
      <c r="BS102" s="124"/>
      <c r="BT102" s="124"/>
      <c r="BU102" s="124"/>
      <c r="BV102" s="124"/>
      <c r="BW102" s="124"/>
      <c r="BX102" s="124"/>
      <c r="BY102" s="124"/>
      <c r="BZ102" s="171"/>
      <c r="CA102" s="172">
        <v>12</v>
      </c>
      <c r="CB10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2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102" s="131">
        <f>' الشركه 2018'!$H102*67%*1.5*' الشركه 2018'!$CB102/208</f>
        <v>0</v>
      </c>
      <c r="CE102" s="132">
        <f>' الشركه 2018'!$H102*67%*2*' الشركه 2018'!$CC102/208</f>
        <v>1092.3576923076923</v>
      </c>
      <c r="CF102" s="133">
        <f>' الشركه 2018'!$CD102+' الشركه 2018'!$CE102</f>
        <v>1092.3576923076923</v>
      </c>
      <c r="CG102" s="124"/>
      <c r="CH102" s="177">
        <f>SUMIF(C102:C346,' الشركه 2018'!$CG99,L102:L346)</f>
        <v>0</v>
      </c>
      <c r="CI102" s="124"/>
      <c r="CJ102" s="177">
        <f>' الشركه 2018'!$CH99*' الشركه 2018'!$CI99</f>
        <v>0</v>
      </c>
      <c r="CK102" s="177">
        <f>' الشركه 2018'!$CJ99*8%</f>
        <v>0</v>
      </c>
      <c r="CL102" s="177">
        <f>' الشركه 2018'!$CJ99*17%</f>
        <v>0</v>
      </c>
      <c r="CM102" s="177">
        <f>' الشركه 2018'!$CJ99*25%</f>
        <v>0</v>
      </c>
      <c r="CN102" s="162"/>
      <c r="CO102" s="162"/>
      <c r="CP102" s="163">
        <v>500</v>
      </c>
      <c r="CQ102" s="164" t="e">
        <f>VLOOKUP(Table6[[#This Row],[الرقم الوظيفى]],[4]!Table3[#Data],26,FALSE)</f>
        <v>#REF!</v>
      </c>
      <c r="CR102" s="165">
        <v>1000</v>
      </c>
      <c r="CS102" s="124"/>
    </row>
    <row r="103" spans="1:97" ht="28" customHeight="1" thickTop="1" thickBot="1">
      <c r="A103" s="222">
        <v>478</v>
      </c>
      <c r="B103" s="142" t="s">
        <v>220</v>
      </c>
      <c r="C103" s="59" t="s">
        <v>90</v>
      </c>
      <c r="D103" s="143" t="s">
        <v>74</v>
      </c>
      <c r="E103" s="174" t="s">
        <v>659</v>
      </c>
      <c r="F103" s="143" t="s">
        <v>207</v>
      </c>
      <c r="G103" s="145">
        <v>41370</v>
      </c>
      <c r="H103" s="146">
        <v>7000</v>
      </c>
      <c r="I103" s="106">
        <f>Table6[[#This Row],[مرتب]]/30</f>
        <v>233.33333333333334</v>
      </c>
      <c r="J103" s="107">
        <v>30</v>
      </c>
      <c r="K103" s="107">
        <f t="shared" si="1"/>
        <v>7000</v>
      </c>
      <c r="L103" s="108">
        <v>7000</v>
      </c>
      <c r="M103" s="107">
        <f>Table6[[#This Row],[مرتب الضمان]]*17%</f>
        <v>1190</v>
      </c>
      <c r="N103" s="107">
        <f>' الشركه 2018'!$H103*35%</f>
        <v>2450</v>
      </c>
      <c r="O103" s="107">
        <f>' الشركه 2018'!$H103*32%</f>
        <v>2240</v>
      </c>
      <c r="P103" s="107">
        <f>' الشركه 2018'!$H103*12%</f>
        <v>840</v>
      </c>
      <c r="Q103" s="107">
        <f>' الشركه 2018'!$H103*13%</f>
        <v>910</v>
      </c>
      <c r="R103" s="107">
        <f>' الشركه 2018'!$H103*6%</f>
        <v>420</v>
      </c>
      <c r="S103" s="107">
        <f>' الشركه 2018'!$H103*2%</f>
        <v>140</v>
      </c>
      <c r="T103" s="107">
        <f>' الشركه 2018'!$O103+' الشركه 2018'!$P103+' الشركه 2018'!$Q103+' الشركه 2018'!$R103+' الشركه 2018'!$S103</f>
        <v>4550</v>
      </c>
      <c r="U103" s="109">
        <f>VLOOKUP(Table6[[#This Row],[الرقم الوظيفى]],[2]بالخصم!$B$1:$AK$1200,35,)</f>
        <v>0</v>
      </c>
      <c r="V103" s="147"/>
      <c r="W103" s="111">
        <f>Table6[[#This Row],[عدد ايام الاجازه]]*Table6[[#This Row],[ح راتب اليوم]]</f>
        <v>0</v>
      </c>
      <c r="X103" s="148"/>
      <c r="Y103" s="60"/>
      <c r="Z103" s="111">
        <f>Table6[[#This Row],[عدد ايام الجزاء]]*Table6[[#This Row],[ح راتب اليوم]]</f>
        <v>0</v>
      </c>
      <c r="AA103" s="112">
        <f>Table6[[#This Row],[مرتب]]*50%</f>
        <v>3500</v>
      </c>
      <c r="AB103" s="113" t="e">
        <f>VLOOKUP(Table6[[#This Row],[الرقم الوظيفى]],[3]!Table25289[#Data],23,)</f>
        <v>#REF!</v>
      </c>
      <c r="AC103" s="149"/>
      <c r="AD103" s="150"/>
      <c r="AE103" s="113" t="e">
        <f>VLOOKUP(Table6[[#This Row],[الرقم الوظيفى]],[3]!Table252894[#Data],22,)</f>
        <v>#REF!</v>
      </c>
      <c r="AF103" s="151"/>
      <c r="AG103" s="111">
        <f>' الشركه 2018'!$W103+' الشركه 2018'!$Z103+' الشركه 2018'!$AA103+' الشركه 2018'!$AC103+' الشركه 2018'!$AD103+' الشركه 2018'!$AF103</f>
        <v>3500</v>
      </c>
      <c r="AH103" s="111">
        <f>Table6[[#This Row],[راتب الضمان]]*8%</f>
        <v>560</v>
      </c>
      <c r="AI103" s="111">
        <f>' الشركه 2018'!$H103-' الشركه 2018'!$AG103-' الشركه 2018'!$AH103</f>
        <v>2940</v>
      </c>
      <c r="AJ103" s="111">
        <f>' الشركه 2018'!$CF103</f>
        <v>1082.3076923076924</v>
      </c>
      <c r="AK103" s="117">
        <f>' الشركه 2018'!$AI103+' الشركه 2018'!$AJ103</f>
        <v>4022.3076923076924</v>
      </c>
      <c r="AL103" s="152"/>
      <c r="AM103" s="153"/>
      <c r="AN103" s="9">
        <f>Table6[[#This Row],[اجمالى الاستحقاق]]-Table6[[#This Row],[Column2]]+Table6[[#This Row],[حوافز غير مستقره]]</f>
        <v>4022.3076923076924</v>
      </c>
      <c r="AO103" s="59"/>
      <c r="AP103" s="169"/>
      <c r="AQ103" s="232"/>
      <c r="AR103" s="124"/>
      <c r="AS103" s="155"/>
      <c r="AT103" s="170"/>
      <c r="AU103" s="124"/>
      <c r="AV103" s="124">
        <v>12</v>
      </c>
      <c r="AW103" s="124"/>
      <c r="AX103" s="124"/>
      <c r="AY103" s="124"/>
      <c r="AZ103" s="124"/>
      <c r="BA103" s="124"/>
      <c r="BB103" s="124"/>
      <c r="BC103" s="124">
        <v>12</v>
      </c>
      <c r="BD103" s="124"/>
      <c r="BE103" s="124"/>
      <c r="BF103" s="233"/>
      <c r="BG103" s="124"/>
      <c r="BH103" s="233"/>
      <c r="BI103" s="124"/>
      <c r="BJ103" s="124"/>
      <c r="BK103" s="124"/>
      <c r="BL103" s="124"/>
      <c r="BM103" s="124"/>
      <c r="BN103" s="124"/>
      <c r="BO103" s="124"/>
      <c r="BP103" s="124"/>
      <c r="BQ103" s="124"/>
      <c r="BR103" s="124"/>
      <c r="BS103" s="124"/>
      <c r="BT103" s="124"/>
      <c r="BU103" s="124"/>
      <c r="BV103" s="124"/>
      <c r="BW103" s="124"/>
      <c r="BX103" s="124"/>
      <c r="BY103" s="230"/>
      <c r="BZ103" s="234"/>
      <c r="CA103" s="235"/>
      <c r="CB10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3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03" s="131">
        <f>' الشركه 2018'!$H103*67%*1.5*' الشركه 2018'!$CB103/208</f>
        <v>0</v>
      </c>
      <c r="CE103" s="132">
        <f>' الشركه 2018'!$H103*67%*2*' الشركه 2018'!$CC103/208</f>
        <v>1082.3076923076924</v>
      </c>
      <c r="CF103" s="133">
        <f>' الشركه 2018'!$CD103+' الشركه 2018'!$CE103</f>
        <v>1082.3076923076924</v>
      </c>
      <c r="CG103" s="230"/>
      <c r="CH103" s="236">
        <f>SUMIF(C103:C355,' الشركه 2018'!$CG100,L103:L355)</f>
        <v>0</v>
      </c>
      <c r="CI103" s="230"/>
      <c r="CJ103" s="236">
        <f>' الشركه 2018'!$CH100*' الشركه 2018'!$CI100</f>
        <v>0</v>
      </c>
      <c r="CK103" s="236">
        <f>' الشركه 2018'!$CJ100*8%</f>
        <v>0</v>
      </c>
      <c r="CL103" s="236">
        <f>' الشركه 2018'!$CJ100*17%</f>
        <v>0</v>
      </c>
      <c r="CM103" s="236">
        <f>' الشركه 2018'!$CJ100*25%</f>
        <v>0</v>
      </c>
      <c r="CN103" s="162"/>
      <c r="CO103" s="162"/>
      <c r="CP103" s="163">
        <v>800</v>
      </c>
      <c r="CQ103" s="164" t="e">
        <f>VLOOKUP(Table6[[#This Row],[الرقم الوظيفى]],[4]!Table3[#Data],26,FALSE)</f>
        <v>#REF!</v>
      </c>
      <c r="CR103" s="165">
        <v>1000</v>
      </c>
      <c r="CS103" s="124"/>
    </row>
    <row r="104" spans="1:97" ht="28" customHeight="1" thickTop="1" thickBot="1">
      <c r="A104" s="222">
        <v>479</v>
      </c>
      <c r="B104" s="142" t="s">
        <v>278</v>
      </c>
      <c r="C104" s="59" t="s">
        <v>90</v>
      </c>
      <c r="D104" s="143" t="s">
        <v>74</v>
      </c>
      <c r="E104" s="174" t="s">
        <v>629</v>
      </c>
      <c r="F104" s="143" t="s">
        <v>63</v>
      </c>
      <c r="G104" s="145">
        <v>41377</v>
      </c>
      <c r="H104" s="146">
        <v>3180</v>
      </c>
      <c r="I104" s="106">
        <f>Table6[[#This Row],[مرتب]]/30</f>
        <v>106</v>
      </c>
      <c r="J104" s="107">
        <v>30</v>
      </c>
      <c r="K104" s="107">
        <f t="shared" si="1"/>
        <v>3180</v>
      </c>
      <c r="L104" s="108">
        <v>3180</v>
      </c>
      <c r="M104" s="107">
        <f>Table6[[#This Row],[مرتب الضمان]]*17%</f>
        <v>540.6</v>
      </c>
      <c r="N104" s="107">
        <f>' الشركه 2018'!$H104*35%</f>
        <v>1113</v>
      </c>
      <c r="O104" s="107">
        <f>' الشركه 2018'!$H104*32%</f>
        <v>1017.6</v>
      </c>
      <c r="P104" s="107">
        <f>' الشركه 2018'!$H104*12%</f>
        <v>381.59999999999997</v>
      </c>
      <c r="Q104" s="107">
        <f>' الشركه 2018'!$H104*13%</f>
        <v>413.40000000000003</v>
      </c>
      <c r="R104" s="107">
        <f>' الشركه 2018'!$H104*6%</f>
        <v>190.79999999999998</v>
      </c>
      <c r="S104" s="107">
        <f>' الشركه 2018'!$H104*2%</f>
        <v>63.6</v>
      </c>
      <c r="T104" s="107">
        <f>' الشركه 2018'!$O104+' الشركه 2018'!$P104+' الشركه 2018'!$Q104+' الشركه 2018'!$R104+' الشركه 2018'!$S104</f>
        <v>2067</v>
      </c>
      <c r="U104" s="109">
        <f>VLOOKUP(Table6[[#This Row],[الرقم الوظيفى]],[2]بالخصم!$B$1:$AK$1200,35,)</f>
        <v>0</v>
      </c>
      <c r="V104" s="147"/>
      <c r="W104" s="111">
        <f>Table6[[#This Row],[عدد ايام الاجازه]]*Table6[[#This Row],[ح راتب اليوم]]</f>
        <v>0</v>
      </c>
      <c r="X104" s="148"/>
      <c r="Y104" s="60"/>
      <c r="Z104" s="111">
        <f>Table6[[#This Row],[عدد ايام الجزاء]]*Table6[[#This Row],[ح راتب اليوم]]</f>
        <v>0</v>
      </c>
      <c r="AA104" s="112">
        <f>Table6[[#This Row],[مرتب]]*50%</f>
        <v>1590</v>
      </c>
      <c r="AB104" s="113" t="e">
        <f>VLOOKUP(Table6[[#This Row],[الرقم الوظيفى]],[3]!Table25289[#Data],23,)</f>
        <v>#REF!</v>
      </c>
      <c r="AC104" s="149"/>
      <c r="AD104" s="150"/>
      <c r="AE104" s="113" t="e">
        <f>VLOOKUP(Table6[[#This Row],[الرقم الوظيفى]],[3]!Table252894[#Data],22,)</f>
        <v>#REF!</v>
      </c>
      <c r="AF104" s="151"/>
      <c r="AG104" s="111">
        <f>' الشركه 2018'!$W104+' الشركه 2018'!$Z104+' الشركه 2018'!$AA104+' الشركه 2018'!$AC104+' الشركه 2018'!$AD104+' الشركه 2018'!$AF104</f>
        <v>1590</v>
      </c>
      <c r="AH104" s="111">
        <f>Table6[[#This Row],[راتب الضمان]]*8%</f>
        <v>254.4</v>
      </c>
      <c r="AI104" s="111">
        <f>' الشركه 2018'!$H104-' الشركه 2018'!$AG104-' الشركه 2018'!$AH104</f>
        <v>1335.6</v>
      </c>
      <c r="AJ104" s="111">
        <f>' الشركه 2018'!$CF104</f>
        <v>1229.1923076923076</v>
      </c>
      <c r="AK104" s="117">
        <f>' الشركه 2018'!$AI104+' الشركه 2018'!$AJ104</f>
        <v>2564.7923076923075</v>
      </c>
      <c r="AL104" s="152"/>
      <c r="AM104" s="153"/>
      <c r="AN104" s="9">
        <f>Table6[[#This Row],[اجمالى الاستحقاق]]-Table6[[#This Row],[Column2]]+Table6[[#This Row],[حوافز غير مستقره]]</f>
        <v>2564.7923076923075</v>
      </c>
      <c r="AO104" s="59"/>
      <c r="AP104" s="169"/>
      <c r="AQ104" s="176"/>
      <c r="AR104" s="124"/>
      <c r="AS104" s="155"/>
      <c r="AT104" s="170"/>
      <c r="AU104" s="124"/>
      <c r="AV104" s="124"/>
      <c r="AW104" s="124">
        <v>8</v>
      </c>
      <c r="AX104" s="124">
        <v>8</v>
      </c>
      <c r="AY104" s="124">
        <v>8</v>
      </c>
      <c r="AZ104" s="124">
        <v>8</v>
      </c>
      <c r="BA104" s="124"/>
      <c r="BB104" s="124"/>
      <c r="BC104" s="124">
        <v>12</v>
      </c>
      <c r="BD104" s="124"/>
      <c r="BE104" s="124"/>
      <c r="BF104" s="124"/>
      <c r="BG104" s="124"/>
      <c r="BH104" s="124"/>
      <c r="BI104" s="124"/>
      <c r="BJ104" s="124"/>
      <c r="BK104" s="124">
        <v>8</v>
      </c>
      <c r="BL104" s="124">
        <v>8</v>
      </c>
      <c r="BM104" s="124">
        <v>8</v>
      </c>
      <c r="BN104" s="124">
        <v>8</v>
      </c>
      <c r="BO104" s="124"/>
      <c r="BP104" s="124"/>
      <c r="BQ104" s="124"/>
      <c r="BR104" s="124"/>
      <c r="BS104" s="124"/>
      <c r="BT104" s="124"/>
      <c r="BU104" s="124"/>
      <c r="BV104" s="124"/>
      <c r="BW104" s="124"/>
      <c r="BX104" s="124"/>
      <c r="BY104" s="124"/>
      <c r="BZ104" s="171"/>
      <c r="CA104" s="172"/>
      <c r="CB10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64</v>
      </c>
      <c r="CC104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04" s="131">
        <f>' الشركه 2018'!$H104*67%*1.5*' الشركه 2018'!$CB104/208</f>
        <v>983.35384615384601</v>
      </c>
      <c r="CE104" s="132">
        <f>' الشركه 2018'!$H104*67%*2*' الشركه 2018'!$CC104/208</f>
        <v>245.8384615384615</v>
      </c>
      <c r="CF104" s="133">
        <f>' الشركه 2018'!$CD104+' الشركه 2018'!$CE104</f>
        <v>1229.1923076923076</v>
      </c>
      <c r="CG104" s="124"/>
      <c r="CH104" s="177">
        <f>SUMIF(C104:C348,' الشركه 2018'!$CG101,L104:L348)</f>
        <v>0</v>
      </c>
      <c r="CI104" s="124"/>
      <c r="CJ104" s="177">
        <f>' الشركه 2018'!$CH101*' الشركه 2018'!$CI101</f>
        <v>0</v>
      </c>
      <c r="CK104" s="177">
        <f>' الشركه 2018'!$CJ101*8%</f>
        <v>0</v>
      </c>
      <c r="CL104" s="177">
        <f>' الشركه 2018'!$CJ101*17%</f>
        <v>0</v>
      </c>
      <c r="CM104" s="177">
        <f>' الشركه 2018'!$CJ101*25%</f>
        <v>0</v>
      </c>
      <c r="CN104" s="162"/>
      <c r="CO104" s="162"/>
      <c r="CP104" s="163">
        <v>500</v>
      </c>
      <c r="CQ104" s="164" t="e">
        <f>VLOOKUP(Table6[[#This Row],[الرقم الوظيفى]],[4]!Table3[#Data],26,FALSE)</f>
        <v>#REF!</v>
      </c>
      <c r="CR104" s="165">
        <v>900</v>
      </c>
      <c r="CS104" s="124"/>
    </row>
    <row r="105" spans="1:97" ht="28" customHeight="1" thickTop="1" thickBot="1">
      <c r="A105" s="222">
        <v>491</v>
      </c>
      <c r="B105" s="142" t="s">
        <v>356</v>
      </c>
      <c r="C105" s="59" t="s">
        <v>90</v>
      </c>
      <c r="D105" s="143" t="s">
        <v>79</v>
      </c>
      <c r="E105" s="174" t="s">
        <v>622</v>
      </c>
      <c r="F105" s="143" t="s">
        <v>207</v>
      </c>
      <c r="G105" s="145">
        <v>41401</v>
      </c>
      <c r="H105" s="146">
        <v>4200</v>
      </c>
      <c r="I105" s="106">
        <f>Table6[[#This Row],[مرتب]]/30</f>
        <v>140</v>
      </c>
      <c r="J105" s="107">
        <v>30</v>
      </c>
      <c r="K105" s="107">
        <f t="shared" si="1"/>
        <v>4200</v>
      </c>
      <c r="L105" s="108">
        <v>4200</v>
      </c>
      <c r="M105" s="107">
        <f>Table6[[#This Row],[مرتب الضمان]]*17%</f>
        <v>714</v>
      </c>
      <c r="N105" s="107">
        <f>' الشركه 2018'!$H105*35%</f>
        <v>1470</v>
      </c>
      <c r="O105" s="107">
        <f>' الشركه 2018'!$H105*32%</f>
        <v>1344</v>
      </c>
      <c r="P105" s="107">
        <f>' الشركه 2018'!$H105*12%</f>
        <v>504</v>
      </c>
      <c r="Q105" s="107">
        <f>' الشركه 2018'!$H105*13%</f>
        <v>546</v>
      </c>
      <c r="R105" s="107">
        <f>' الشركه 2018'!$H105*6%</f>
        <v>252</v>
      </c>
      <c r="S105" s="107">
        <f>' الشركه 2018'!$H105*2%</f>
        <v>84</v>
      </c>
      <c r="T105" s="107">
        <f>' الشركه 2018'!$O105+' الشركه 2018'!$P105+' الشركه 2018'!$Q105+' الشركه 2018'!$R105+' الشركه 2018'!$S105</f>
        <v>2730</v>
      </c>
      <c r="U105" s="109">
        <f>VLOOKUP(Table6[[#This Row],[الرقم الوظيفى]],[2]بالخصم!$B$1:$AK$1200,35,)</f>
        <v>0</v>
      </c>
      <c r="V105" s="147"/>
      <c r="W105" s="111">
        <f>Table6[[#This Row],[عدد ايام الاجازه]]*Table6[[#This Row],[ح راتب اليوم]]</f>
        <v>0</v>
      </c>
      <c r="X105" s="148"/>
      <c r="Y105" s="60"/>
      <c r="Z105" s="111">
        <f>Table6[[#This Row],[عدد ايام الجزاء]]*Table6[[#This Row],[ح راتب اليوم]]</f>
        <v>0</v>
      </c>
      <c r="AA105" s="112">
        <f>Table6[[#This Row],[مرتب]]*50%</f>
        <v>2100</v>
      </c>
      <c r="AB105" s="113" t="e">
        <f>VLOOKUP(Table6[[#This Row],[الرقم الوظيفى]],[3]!Table25289[#Data],23,)</f>
        <v>#REF!</v>
      </c>
      <c r="AC105" s="149"/>
      <c r="AD105" s="150"/>
      <c r="AE105" s="113" t="e">
        <f>VLOOKUP(Table6[[#This Row],[الرقم الوظيفى]],[3]!Table252894[#Data],22,)</f>
        <v>#REF!</v>
      </c>
      <c r="AF105" s="151"/>
      <c r="AG105" s="111">
        <f>' الشركه 2018'!$W105+' الشركه 2018'!$Z105+' الشركه 2018'!$AA105+' الشركه 2018'!$AC105+' الشركه 2018'!$AD105+' الشركه 2018'!$AF105</f>
        <v>2100</v>
      </c>
      <c r="AH105" s="111">
        <f>Table6[[#This Row],[راتب الضمان]]*8%</f>
        <v>336</v>
      </c>
      <c r="AI105" s="111">
        <f>' الشركه 2018'!$H105-' الشركه 2018'!$AG105-' الشركه 2018'!$AH105</f>
        <v>1764</v>
      </c>
      <c r="AJ105" s="111">
        <f>' الشركه 2018'!$CF105</f>
        <v>0</v>
      </c>
      <c r="AK105" s="117">
        <f>' الشركه 2018'!$AI105+' الشركه 2018'!$AJ105</f>
        <v>1764</v>
      </c>
      <c r="AL105" s="152"/>
      <c r="AM105" s="153"/>
      <c r="AN105" s="9">
        <f>Table6[[#This Row],[اجمالى الاستحقاق]]-Table6[[#This Row],[Column2]]+Table6[[#This Row],[حوافز غير مستقره]]</f>
        <v>1764</v>
      </c>
      <c r="AO105" s="59"/>
      <c r="AP105" s="169"/>
      <c r="AQ105" s="176"/>
      <c r="AR105" s="124"/>
      <c r="AS105" s="155"/>
      <c r="AT105" s="170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  <c r="BZ105" s="171"/>
      <c r="CA105" s="172"/>
      <c r="CB10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5" s="131">
        <f>' الشركه 2018'!$H105*67%*1.5*' الشركه 2018'!$CB105/208</f>
        <v>0</v>
      </c>
      <c r="CE105" s="132">
        <f>' الشركه 2018'!$H105*67%*2*' الشركه 2018'!$CC105/208</f>
        <v>0</v>
      </c>
      <c r="CF105" s="133">
        <f>' الشركه 2018'!$CD105+' الشركه 2018'!$CE105</f>
        <v>0</v>
      </c>
      <c r="CG105" s="124"/>
      <c r="CH105" s="177">
        <f>SUMIF(C105:C349,' الشركه 2018'!$CG102,L105:L349)</f>
        <v>0</v>
      </c>
      <c r="CI105" s="124"/>
      <c r="CJ105" s="177">
        <f>' الشركه 2018'!$CH102*' الشركه 2018'!$CI102</f>
        <v>0</v>
      </c>
      <c r="CK105" s="177">
        <f>' الشركه 2018'!$CJ102*8%</f>
        <v>0</v>
      </c>
      <c r="CL105" s="177">
        <f>' الشركه 2018'!$CJ102*17%</f>
        <v>0</v>
      </c>
      <c r="CM105" s="177">
        <f>' الشركه 2018'!$CJ102*25%</f>
        <v>0</v>
      </c>
      <c r="CN105" s="162"/>
      <c r="CO105" s="162"/>
      <c r="CP105" s="163">
        <v>1500</v>
      </c>
      <c r="CQ105" s="164" t="e">
        <f>VLOOKUP(Table6[[#This Row],[الرقم الوظيفى]],[4]!Table3[#Data],26,FALSE)</f>
        <v>#REF!</v>
      </c>
      <c r="CR105" s="165">
        <v>1000</v>
      </c>
      <c r="CS105" s="124"/>
    </row>
    <row r="106" spans="1:97" ht="28" customHeight="1" thickTop="1" thickBot="1">
      <c r="A106" s="222">
        <v>495</v>
      </c>
      <c r="B106" s="142" t="s">
        <v>291</v>
      </c>
      <c r="C106" s="59" t="s">
        <v>90</v>
      </c>
      <c r="D106" s="143" t="s">
        <v>74</v>
      </c>
      <c r="E106" s="174" t="s">
        <v>629</v>
      </c>
      <c r="F106" s="143" t="s">
        <v>63</v>
      </c>
      <c r="G106" s="145">
        <v>41411</v>
      </c>
      <c r="H106" s="146">
        <v>3170</v>
      </c>
      <c r="I106" s="106">
        <f>Table6[[#This Row],[مرتب]]/30</f>
        <v>105.66666666666667</v>
      </c>
      <c r="J106" s="107">
        <v>30</v>
      </c>
      <c r="K106" s="107">
        <f t="shared" si="1"/>
        <v>3170</v>
      </c>
      <c r="L106" s="108">
        <v>3170</v>
      </c>
      <c r="M106" s="107">
        <f>Table6[[#This Row],[مرتب الضمان]]*17%</f>
        <v>538.90000000000009</v>
      </c>
      <c r="N106" s="107">
        <f>' الشركه 2018'!$H106*35%</f>
        <v>1109.5</v>
      </c>
      <c r="O106" s="107">
        <f>' الشركه 2018'!$H106*32%</f>
        <v>1014.4</v>
      </c>
      <c r="P106" s="107">
        <f>' الشركه 2018'!$H106*12%</f>
        <v>380.4</v>
      </c>
      <c r="Q106" s="107">
        <f>' الشركه 2018'!$H106*13%</f>
        <v>412.1</v>
      </c>
      <c r="R106" s="107">
        <f>' الشركه 2018'!$H106*6%</f>
        <v>190.2</v>
      </c>
      <c r="S106" s="107">
        <f>' الشركه 2018'!$H106*2%</f>
        <v>63.4</v>
      </c>
      <c r="T106" s="107">
        <f>' الشركه 2018'!$O106+' الشركه 2018'!$P106+' الشركه 2018'!$Q106+' الشركه 2018'!$R106+' الشركه 2018'!$S106</f>
        <v>2060.5</v>
      </c>
      <c r="U106" s="109">
        <f>VLOOKUP(Table6[[#This Row],[الرقم الوظيفى]],[2]بالخصم!$B$1:$AK$1200,35,)</f>
        <v>0</v>
      </c>
      <c r="V106" s="147"/>
      <c r="W106" s="111">
        <f>Table6[[#This Row],[عدد ايام الاجازه]]*Table6[[#This Row],[ح راتب اليوم]]</f>
        <v>0</v>
      </c>
      <c r="X106" s="148"/>
      <c r="Y106" s="60"/>
      <c r="Z106" s="111">
        <f>Table6[[#This Row],[عدد ايام الجزاء]]*Table6[[#This Row],[ح راتب اليوم]]</f>
        <v>0</v>
      </c>
      <c r="AA106" s="112">
        <f>Table6[[#This Row],[مرتب]]*50%</f>
        <v>1585</v>
      </c>
      <c r="AB106" s="113" t="e">
        <f>VLOOKUP(Table6[[#This Row],[الرقم الوظيفى]],[3]!Table25289[#Data],23,)</f>
        <v>#REF!</v>
      </c>
      <c r="AC106" s="149"/>
      <c r="AD106" s="150"/>
      <c r="AE106" s="113" t="e">
        <f>VLOOKUP(Table6[[#This Row],[الرقم الوظيفى]],[3]!Table252894[#Data],22,)</f>
        <v>#REF!</v>
      </c>
      <c r="AF106" s="151"/>
      <c r="AG106" s="111">
        <f>' الشركه 2018'!$W106+' الشركه 2018'!$Z106+' الشركه 2018'!$AA106+' الشركه 2018'!$AC106+' الشركه 2018'!$AD106+' الشركه 2018'!$AF106</f>
        <v>1585</v>
      </c>
      <c r="AH106" s="111">
        <f>Table6[[#This Row],[راتب الضمان]]*8%</f>
        <v>253.6</v>
      </c>
      <c r="AI106" s="111">
        <f>' الشركه 2018'!$H106-' الشركه 2018'!$AG106-' الشركه 2018'!$AH106</f>
        <v>1331.4</v>
      </c>
      <c r="AJ106" s="111">
        <f>' الشركه 2018'!$CF106</f>
        <v>0</v>
      </c>
      <c r="AK106" s="117">
        <f>' الشركه 2018'!$AI106+' الشركه 2018'!$AJ106</f>
        <v>1331.4</v>
      </c>
      <c r="AL106" s="152"/>
      <c r="AM106" s="153"/>
      <c r="AN106" s="9">
        <f>Table6[[#This Row],[اجمالى الاستحقاق]]-Table6[[#This Row],[Column2]]+Table6[[#This Row],[حوافز غير مستقره]]</f>
        <v>1331.4</v>
      </c>
      <c r="AO106" s="59"/>
      <c r="AP106" s="169"/>
      <c r="AQ106" s="176"/>
      <c r="AR106" s="124"/>
      <c r="AS106" s="155"/>
      <c r="AT106" s="170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  <c r="BZ106" s="171"/>
      <c r="CA106" s="172"/>
      <c r="CB10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6" s="131">
        <f>' الشركه 2018'!$H106*67%*1.5*' الشركه 2018'!$CB106/208</f>
        <v>0</v>
      </c>
      <c r="CE106" s="132">
        <f>' الشركه 2018'!$H106*67%*2*' الشركه 2018'!$CC106/208</f>
        <v>0</v>
      </c>
      <c r="CF106" s="133">
        <f>' الشركه 2018'!$CD106+' الشركه 2018'!$CE106</f>
        <v>0</v>
      </c>
      <c r="CG106" s="124"/>
      <c r="CH106" s="177">
        <f>SUMIF(C106:C350,' الشركه 2018'!$CG103,L106:L350)</f>
        <v>0</v>
      </c>
      <c r="CI106" s="124"/>
      <c r="CJ106" s="177">
        <f>' الشركه 2018'!$CH103*' الشركه 2018'!$CI103</f>
        <v>0</v>
      </c>
      <c r="CK106" s="177">
        <f>' الشركه 2018'!$CJ103*8%</f>
        <v>0</v>
      </c>
      <c r="CL106" s="177">
        <f>' الشركه 2018'!$CJ103*17%</f>
        <v>0</v>
      </c>
      <c r="CM106" s="177">
        <f>' الشركه 2018'!$CJ103*25%</f>
        <v>0</v>
      </c>
      <c r="CN106" s="162"/>
      <c r="CO106" s="162"/>
      <c r="CP106" s="163"/>
      <c r="CQ106" s="164" t="e">
        <f>VLOOKUP(Table6[[#This Row],[الرقم الوظيفى]],[4]!Table3[#Data],26,FALSE)</f>
        <v>#REF!</v>
      </c>
      <c r="CR106" s="165">
        <v>1000</v>
      </c>
      <c r="CS106" s="124"/>
    </row>
    <row r="107" spans="1:97" ht="28" customHeight="1" thickTop="1" thickBot="1">
      <c r="A107" s="222">
        <v>503</v>
      </c>
      <c r="B107" s="142" t="s">
        <v>388</v>
      </c>
      <c r="C107" s="59" t="s">
        <v>90</v>
      </c>
      <c r="D107" s="143" t="s">
        <v>81</v>
      </c>
      <c r="E107" s="174" t="s">
        <v>653</v>
      </c>
      <c r="F107" s="143" t="s">
        <v>367</v>
      </c>
      <c r="G107" s="145">
        <v>41428</v>
      </c>
      <c r="H107" s="146">
        <v>4190</v>
      </c>
      <c r="I107" s="106">
        <f>Table6[[#This Row],[مرتب]]/30</f>
        <v>139.66666666666666</v>
      </c>
      <c r="J107" s="107">
        <v>30</v>
      </c>
      <c r="K107" s="107">
        <f t="shared" si="1"/>
        <v>0</v>
      </c>
      <c r="L107" s="108">
        <v>0</v>
      </c>
      <c r="M107" s="107">
        <f>Table6[[#This Row],[مرتب الضمان]]*17%</f>
        <v>0</v>
      </c>
      <c r="N107" s="107">
        <f>' الشركه 2018'!$H107*35%</f>
        <v>1466.5</v>
      </c>
      <c r="O107" s="107">
        <f>' الشركه 2018'!$H107*32%</f>
        <v>1340.8</v>
      </c>
      <c r="P107" s="107">
        <f>' الشركه 2018'!$H107*12%</f>
        <v>502.79999999999995</v>
      </c>
      <c r="Q107" s="107">
        <f>' الشركه 2018'!$H107*13%</f>
        <v>544.70000000000005</v>
      </c>
      <c r="R107" s="107">
        <f>' الشركه 2018'!$H107*6%</f>
        <v>251.39999999999998</v>
      </c>
      <c r="S107" s="107">
        <f>' الشركه 2018'!$H107*2%</f>
        <v>83.8</v>
      </c>
      <c r="T107" s="107">
        <f>' الشركه 2018'!$O107+' الشركه 2018'!$P107+' الشركه 2018'!$Q107+' الشركه 2018'!$R107+' الشركه 2018'!$S107</f>
        <v>2723.5000000000005</v>
      </c>
      <c r="U107" s="109">
        <f>VLOOKUP(Table6[[#This Row],[الرقم الوظيفى]],[2]بالخصم!$B$1:$AK$1200,35,)</f>
        <v>0</v>
      </c>
      <c r="V107" s="147"/>
      <c r="W107" s="111">
        <f>Table6[[#This Row],[عدد ايام الاجازه]]*Table6[[#This Row],[ح راتب اليوم]]</f>
        <v>0</v>
      </c>
      <c r="X107" s="148"/>
      <c r="Y107" s="60"/>
      <c r="Z107" s="111">
        <f>Table6[[#This Row],[عدد ايام الجزاء]]*Table6[[#This Row],[ح راتب اليوم]]</f>
        <v>0</v>
      </c>
      <c r="AA107" s="112">
        <f>Table6[[#This Row],[مرتب]]*50%</f>
        <v>2095</v>
      </c>
      <c r="AB107" s="113" t="e">
        <f>VLOOKUP(Table6[[#This Row],[الرقم الوظيفى]],[3]!Table25289[#Data],23,)</f>
        <v>#REF!</v>
      </c>
      <c r="AC107" s="149"/>
      <c r="AD107" s="168"/>
      <c r="AE107" s="113" t="e">
        <f>VLOOKUP(Table6[[#This Row],[الرقم الوظيفى]],[3]!Table252894[#Data],22,)</f>
        <v>#REF!</v>
      </c>
      <c r="AF107" s="151"/>
      <c r="AG107" s="111">
        <f>' الشركه 2018'!$W107+' الشركه 2018'!$Z107+' الشركه 2018'!$AA107+' الشركه 2018'!$AC107+' الشركه 2018'!$AD107+' الشركه 2018'!$AF107</f>
        <v>2095</v>
      </c>
      <c r="AH107" s="111">
        <f>Table6[[#This Row],[راتب الضمان]]*8%</f>
        <v>0</v>
      </c>
      <c r="AI107" s="111">
        <f>' الشركه 2018'!$H107-' الشركه 2018'!$AG107-' الشركه 2018'!$AH107</f>
        <v>2095</v>
      </c>
      <c r="AJ107" s="111">
        <f>' الشركه 2018'!$CF107</f>
        <v>1059.4858173076925</v>
      </c>
      <c r="AK107" s="117">
        <f>' الشركه 2018'!$AI107+' الشركه 2018'!$AJ107</f>
        <v>3154.4858173076927</v>
      </c>
      <c r="AL107" s="152"/>
      <c r="AM107" s="153"/>
      <c r="AN107" s="9">
        <f>Table6[[#This Row],[اجمالى الاستحقاق]]-Table6[[#This Row],[Column2]]+Table6[[#This Row],[حوافز غير مستقره]]</f>
        <v>3154.4858173076927</v>
      </c>
      <c r="AO107" s="59"/>
      <c r="AP107" s="169"/>
      <c r="AQ107" s="232"/>
      <c r="AR107" s="124"/>
      <c r="AS107" s="125"/>
      <c r="AT107" s="237"/>
      <c r="AU107" s="233">
        <v>4</v>
      </c>
      <c r="AV107" s="233">
        <v>12</v>
      </c>
      <c r="AW107" s="124"/>
      <c r="AX107" s="233">
        <v>3</v>
      </c>
      <c r="AY107" s="233"/>
      <c r="AZ107" s="230"/>
      <c r="BA107" s="124"/>
      <c r="BB107" s="230"/>
      <c r="BC107" s="233"/>
      <c r="BD107" s="124"/>
      <c r="BE107" s="233"/>
      <c r="BF107" s="233"/>
      <c r="BG107" s="230"/>
      <c r="BH107" s="233"/>
      <c r="BI107" s="230"/>
      <c r="BJ107" s="124">
        <v>11</v>
      </c>
      <c r="BK107" s="124"/>
      <c r="BL107" s="230"/>
      <c r="BM107" s="230"/>
      <c r="BN107" s="124"/>
      <c r="BO107" s="124"/>
      <c r="BP107" s="230"/>
      <c r="BQ107" s="124">
        <v>11</v>
      </c>
      <c r="BR107" s="124"/>
      <c r="BS107" s="230"/>
      <c r="BT107" s="124"/>
      <c r="BU107" s="230"/>
      <c r="BV107" s="124"/>
      <c r="BW107" s="230"/>
      <c r="BX107" s="124"/>
      <c r="BY107" s="230"/>
      <c r="BZ107" s="238"/>
      <c r="CA107" s="239"/>
      <c r="CB10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</v>
      </c>
      <c r="CC107" s="130">
        <f>Table6[[#This Row],[Friday, November 23, 2018]]+Table6[[#This Row],[Friday, November 30, 2018]]+Table6[[#This Row],[Friday, December 07, 2018]]+Table6[[#This Row],[Friday, December 14, 2018]]+Table6[[#This Row],[فروقات عطله]]</f>
        <v>34</v>
      </c>
      <c r="CD107" s="131">
        <f>' الشركه 2018'!$H107*67%*1.5*' الشركه 2018'!$CB107/208</f>
        <v>141.71466346153849</v>
      </c>
      <c r="CE107" s="132">
        <f>' الشركه 2018'!$H107*67%*2*' الشركه 2018'!$CC107/208</f>
        <v>917.77115384615399</v>
      </c>
      <c r="CF107" s="133">
        <f>' الشركه 2018'!$CD107+' الشركه 2018'!$CE107</f>
        <v>1059.4858173076925</v>
      </c>
      <c r="CG107" s="230"/>
      <c r="CH107" s="236">
        <f>SUMIF(C107:C355,' الشركه 2018'!$CG104,L107:L355)</f>
        <v>0</v>
      </c>
      <c r="CI107" s="230"/>
      <c r="CJ107" s="236">
        <f>' الشركه 2018'!$CH104*' الشركه 2018'!$CI104</f>
        <v>0</v>
      </c>
      <c r="CK107" s="236">
        <f>' الشركه 2018'!$CJ104*8%</f>
        <v>0</v>
      </c>
      <c r="CL107" s="236">
        <f>' الشركه 2018'!$CJ104*17%</f>
        <v>0</v>
      </c>
      <c r="CM107" s="236">
        <f>' الشركه 2018'!$CJ104*25%</f>
        <v>0</v>
      </c>
      <c r="CN107" s="162"/>
      <c r="CO107" s="162"/>
      <c r="CP107" s="163"/>
      <c r="CQ107" s="164" t="e">
        <f>VLOOKUP(Table6[[#This Row],[الرقم الوظيفى]],[4]!Table3[#Data],26,FALSE)</f>
        <v>#REF!</v>
      </c>
      <c r="CR107" s="165">
        <v>500</v>
      </c>
      <c r="CS107" s="124"/>
    </row>
    <row r="108" spans="1:97" ht="28" customHeight="1" thickTop="1" thickBot="1">
      <c r="A108" s="222">
        <v>510</v>
      </c>
      <c r="B108" s="142" t="s">
        <v>288</v>
      </c>
      <c r="C108" s="59" t="s">
        <v>90</v>
      </c>
      <c r="D108" s="143" t="s">
        <v>74</v>
      </c>
      <c r="E108" s="174" t="s">
        <v>629</v>
      </c>
      <c r="F108" s="143" t="s">
        <v>63</v>
      </c>
      <c r="G108" s="145">
        <v>41435</v>
      </c>
      <c r="H108" s="146">
        <v>3170</v>
      </c>
      <c r="I108" s="106">
        <f>Table6[[#This Row],[مرتب]]/30</f>
        <v>105.66666666666667</v>
      </c>
      <c r="J108" s="107">
        <v>30</v>
      </c>
      <c r="K108" s="107">
        <f t="shared" si="1"/>
        <v>3170</v>
      </c>
      <c r="L108" s="108">
        <v>3170</v>
      </c>
      <c r="M108" s="107">
        <f>Table6[[#This Row],[مرتب الضمان]]*17%</f>
        <v>538.90000000000009</v>
      </c>
      <c r="N108" s="107">
        <f>' الشركه 2018'!$H108*35%</f>
        <v>1109.5</v>
      </c>
      <c r="O108" s="107">
        <f>' الشركه 2018'!$H108*32%</f>
        <v>1014.4</v>
      </c>
      <c r="P108" s="107">
        <f>' الشركه 2018'!$H108*12%</f>
        <v>380.4</v>
      </c>
      <c r="Q108" s="107">
        <f>' الشركه 2018'!$H108*13%</f>
        <v>412.1</v>
      </c>
      <c r="R108" s="107">
        <f>' الشركه 2018'!$H108*6%</f>
        <v>190.2</v>
      </c>
      <c r="S108" s="107">
        <f>' الشركه 2018'!$H108*2%</f>
        <v>63.4</v>
      </c>
      <c r="T108" s="107">
        <f>' الشركه 2018'!$O108+' الشركه 2018'!$P108+' الشركه 2018'!$Q108+' الشركه 2018'!$R108+' الشركه 2018'!$S108</f>
        <v>2060.5</v>
      </c>
      <c r="U108" s="109">
        <f>VLOOKUP(Table6[[#This Row],[الرقم الوظيفى]],[2]بالخصم!$B$1:$AK$1200,35,)</f>
        <v>0</v>
      </c>
      <c r="V108" s="147"/>
      <c r="W108" s="111">
        <f>Table6[[#This Row],[عدد ايام الاجازه]]*Table6[[#This Row],[ح راتب اليوم]]</f>
        <v>0</v>
      </c>
      <c r="X108" s="148"/>
      <c r="Y108" s="60"/>
      <c r="Z108" s="111">
        <f>Table6[[#This Row],[عدد ايام الجزاء]]*Table6[[#This Row],[ح راتب اليوم]]</f>
        <v>0</v>
      </c>
      <c r="AA108" s="112">
        <f>Table6[[#This Row],[مرتب]]*50%</f>
        <v>1585</v>
      </c>
      <c r="AB108" s="113" t="e">
        <f>VLOOKUP(Table6[[#This Row],[الرقم الوظيفى]],[3]!Table25289[#Data],23,)</f>
        <v>#REF!</v>
      </c>
      <c r="AC108" s="149"/>
      <c r="AD108" s="150"/>
      <c r="AE108" s="113" t="e">
        <f>VLOOKUP(Table6[[#This Row],[الرقم الوظيفى]],[3]!Table252894[#Data],22,)</f>
        <v>#REF!</v>
      </c>
      <c r="AF108" s="151"/>
      <c r="AG108" s="111">
        <f>' الشركه 2018'!$W108+' الشركه 2018'!$Z108+' الشركه 2018'!$AA108+' الشركه 2018'!$AC108+' الشركه 2018'!$AD108+' الشركه 2018'!$AF108</f>
        <v>1585</v>
      </c>
      <c r="AH108" s="111">
        <f>Table6[[#This Row],[راتب الضمان]]*8%</f>
        <v>253.6</v>
      </c>
      <c r="AI108" s="111">
        <f>' الشركه 2018'!$H108-' الشركه 2018'!$AG108-' الشركه 2018'!$AH108</f>
        <v>1331.4</v>
      </c>
      <c r="AJ108" s="111">
        <f>' الشركه 2018'!$CF108</f>
        <v>0</v>
      </c>
      <c r="AK108" s="117">
        <f>' الشركه 2018'!$AI108+' الشركه 2018'!$AJ108</f>
        <v>1331.4</v>
      </c>
      <c r="AL108" s="152"/>
      <c r="AM108" s="153"/>
      <c r="AN108" s="9">
        <f>Table6[[#This Row],[اجمالى الاستحقاق]]-Table6[[#This Row],[Column2]]+Table6[[#This Row],[حوافز غير مستقره]]</f>
        <v>1331.4</v>
      </c>
      <c r="AO108" s="59"/>
      <c r="AP108" s="169"/>
      <c r="AQ108" s="232"/>
      <c r="AR108" s="124"/>
      <c r="AS108" s="125"/>
      <c r="AT108" s="237"/>
      <c r="AU108" s="230"/>
      <c r="AV108" s="230"/>
      <c r="AW108" s="124"/>
      <c r="AX108" s="233"/>
      <c r="AY108" s="230"/>
      <c r="AZ108" s="230"/>
      <c r="BA108" s="124"/>
      <c r="BB108" s="230"/>
      <c r="BC108" s="230"/>
      <c r="BD108" s="124"/>
      <c r="BE108" s="230"/>
      <c r="BF108" s="230"/>
      <c r="BG108" s="230"/>
      <c r="BH108" s="230"/>
      <c r="BI108" s="230"/>
      <c r="BJ108" s="230"/>
      <c r="BK108" s="124"/>
      <c r="BL108" s="230"/>
      <c r="BM108" s="230"/>
      <c r="BN108" s="230"/>
      <c r="BO108" s="230"/>
      <c r="BP108" s="124"/>
      <c r="BQ108" s="230"/>
      <c r="BR108" s="124"/>
      <c r="BS108" s="230"/>
      <c r="BT108" s="124"/>
      <c r="BU108" s="230"/>
      <c r="BV108" s="124"/>
      <c r="BW108" s="124"/>
      <c r="BX108" s="124"/>
      <c r="BY108" s="230"/>
      <c r="BZ108" s="238"/>
      <c r="CA108" s="239"/>
      <c r="CB10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8" s="131">
        <f>' الشركه 2018'!$H108*67%*1.5*' الشركه 2018'!$CB108/208</f>
        <v>0</v>
      </c>
      <c r="CE108" s="132">
        <f>' الشركه 2018'!$H108*67%*2*' الشركه 2018'!$CC108/208</f>
        <v>0</v>
      </c>
      <c r="CF108" s="133">
        <f>' الشركه 2018'!$CD108+' الشركه 2018'!$CE108</f>
        <v>0</v>
      </c>
      <c r="CG108" s="230"/>
      <c r="CH108" s="236">
        <f>SUMIF(C108:C356,' الشركه 2018'!$CG105,L108:L356)</f>
        <v>0</v>
      </c>
      <c r="CI108" s="230"/>
      <c r="CJ108" s="236">
        <f>' الشركه 2018'!$CH105*' الشركه 2018'!$CI105</f>
        <v>0</v>
      </c>
      <c r="CK108" s="236">
        <f>' الشركه 2018'!$CJ105*8%</f>
        <v>0</v>
      </c>
      <c r="CL108" s="236">
        <f>' الشركه 2018'!$CJ105*17%</f>
        <v>0</v>
      </c>
      <c r="CM108" s="236">
        <f>' الشركه 2018'!$CJ105*25%</f>
        <v>0</v>
      </c>
      <c r="CN108" s="162"/>
      <c r="CO108" s="162"/>
      <c r="CP108" s="163">
        <v>600</v>
      </c>
      <c r="CQ108" s="164" t="e">
        <f>VLOOKUP(Table6[[#This Row],[الرقم الوظيفى]],[4]!Table3[#Data],26,FALSE)</f>
        <v>#REF!</v>
      </c>
      <c r="CR108" s="165">
        <v>300</v>
      </c>
      <c r="CS108" s="124"/>
    </row>
    <row r="109" spans="1:97" ht="28" customHeight="1" thickTop="1" thickBot="1">
      <c r="A109" s="222">
        <v>511</v>
      </c>
      <c r="B109" s="142" t="s">
        <v>270</v>
      </c>
      <c r="C109" s="59" t="s">
        <v>90</v>
      </c>
      <c r="D109" s="143" t="s">
        <v>74</v>
      </c>
      <c r="E109" s="174" t="s">
        <v>629</v>
      </c>
      <c r="F109" s="143" t="s">
        <v>63</v>
      </c>
      <c r="G109" s="145">
        <v>41435</v>
      </c>
      <c r="H109" s="146">
        <v>3170</v>
      </c>
      <c r="I109" s="106">
        <f>Table6[[#This Row],[مرتب]]/30</f>
        <v>105.66666666666667</v>
      </c>
      <c r="J109" s="107">
        <v>30</v>
      </c>
      <c r="K109" s="107">
        <f t="shared" si="1"/>
        <v>3170</v>
      </c>
      <c r="L109" s="108">
        <v>3170</v>
      </c>
      <c r="M109" s="107">
        <f>Table6[[#This Row],[مرتب الضمان]]*17%</f>
        <v>538.90000000000009</v>
      </c>
      <c r="N109" s="107">
        <f>' الشركه 2018'!$H109*35%</f>
        <v>1109.5</v>
      </c>
      <c r="O109" s="107">
        <f>' الشركه 2018'!$H109*32%</f>
        <v>1014.4</v>
      </c>
      <c r="P109" s="107">
        <f>' الشركه 2018'!$H109*12%</f>
        <v>380.4</v>
      </c>
      <c r="Q109" s="107">
        <f>' الشركه 2018'!$H109*13%</f>
        <v>412.1</v>
      </c>
      <c r="R109" s="107">
        <f>' الشركه 2018'!$H109*6%</f>
        <v>190.2</v>
      </c>
      <c r="S109" s="107">
        <f>' الشركه 2018'!$H109*2%</f>
        <v>63.4</v>
      </c>
      <c r="T109" s="107">
        <f>' الشركه 2018'!$O109+' الشركه 2018'!$P109+' الشركه 2018'!$Q109+' الشركه 2018'!$R109+' الشركه 2018'!$S109</f>
        <v>2060.5</v>
      </c>
      <c r="U109" s="109">
        <f>VLOOKUP(Table6[[#This Row],[الرقم الوظيفى]],[2]بالخصم!$B$1:$AK$1200,35,)</f>
        <v>0</v>
      </c>
      <c r="V109" s="147"/>
      <c r="W109" s="111">
        <f>Table6[[#This Row],[عدد ايام الاجازه]]*Table6[[#This Row],[ح راتب اليوم]]</f>
        <v>0</v>
      </c>
      <c r="X109" s="148"/>
      <c r="Y109" s="60"/>
      <c r="Z109" s="111">
        <f>Table6[[#This Row],[عدد ايام الجزاء]]*Table6[[#This Row],[ح راتب اليوم]]</f>
        <v>0</v>
      </c>
      <c r="AA109" s="112">
        <f>Table6[[#This Row],[مرتب]]*50%</f>
        <v>1585</v>
      </c>
      <c r="AB109" s="113" t="e">
        <f>VLOOKUP(Table6[[#This Row],[الرقم الوظيفى]],[3]!Table25289[#Data],23,)</f>
        <v>#REF!</v>
      </c>
      <c r="AC109" s="149"/>
      <c r="AD109" s="150"/>
      <c r="AE109" s="113" t="e">
        <f>VLOOKUP(Table6[[#This Row],[الرقم الوظيفى]],[3]!Table252894[#Data],22,)</f>
        <v>#REF!</v>
      </c>
      <c r="AF109" s="151"/>
      <c r="AG109" s="111">
        <f>' الشركه 2018'!$W109+' الشركه 2018'!$Z109+' الشركه 2018'!$AA109+' الشركه 2018'!$AC109+' الشركه 2018'!$AD109+' الشركه 2018'!$AF109</f>
        <v>1585</v>
      </c>
      <c r="AH109" s="111">
        <f>Table6[[#This Row],[راتب الضمان]]*8%</f>
        <v>253.6</v>
      </c>
      <c r="AI109" s="111">
        <f>' الشركه 2018'!$H109-' الشركه 2018'!$AG109-' الشركه 2018'!$AH109</f>
        <v>1331.4</v>
      </c>
      <c r="AJ109" s="111">
        <f>' الشركه 2018'!$CF109</f>
        <v>0</v>
      </c>
      <c r="AK109" s="117">
        <f>' الشركه 2018'!$AI109+' الشركه 2018'!$AJ109</f>
        <v>1331.4</v>
      </c>
      <c r="AL109" s="152"/>
      <c r="AM109" s="153"/>
      <c r="AN109" s="9">
        <f>Table6[[#This Row],[اجمالى الاستحقاق]]-Table6[[#This Row],[Column2]]+Table6[[#This Row],[حوافز غير مستقره]]</f>
        <v>1331.4</v>
      </c>
      <c r="AO109" s="59"/>
      <c r="AP109" s="169"/>
      <c r="AQ109" s="176"/>
      <c r="AR109" s="124"/>
      <c r="AS109" s="155"/>
      <c r="AT109" s="170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  <c r="BZ109" s="171"/>
      <c r="CA109" s="172"/>
      <c r="CB10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0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09" s="131">
        <f>' الشركه 2018'!$H109*67%*1.5*' الشركه 2018'!$CB109/208</f>
        <v>0</v>
      </c>
      <c r="CE109" s="132">
        <f>' الشركه 2018'!$H109*67%*2*' الشركه 2018'!$CC109/208</f>
        <v>0</v>
      </c>
      <c r="CF109" s="133">
        <f>' الشركه 2018'!$CD109+' الشركه 2018'!$CE109</f>
        <v>0</v>
      </c>
      <c r="CG109" s="124"/>
      <c r="CH109" s="177">
        <f>SUMIF(C109:C357,' الشركه 2018'!$CG106,L109:L357)</f>
        <v>0</v>
      </c>
      <c r="CI109" s="124"/>
      <c r="CJ109" s="177">
        <f>' الشركه 2018'!$CH106*' الشركه 2018'!$CI106</f>
        <v>0</v>
      </c>
      <c r="CK109" s="177">
        <f>' الشركه 2018'!$CJ106*8%</f>
        <v>0</v>
      </c>
      <c r="CL109" s="177">
        <f>' الشركه 2018'!$CJ106*17%</f>
        <v>0</v>
      </c>
      <c r="CM109" s="177">
        <f>' الشركه 2018'!$CJ106*25%</f>
        <v>0</v>
      </c>
      <c r="CN109" s="162"/>
      <c r="CO109" s="162"/>
      <c r="CP109" s="163">
        <v>400</v>
      </c>
      <c r="CQ109" s="164" t="e">
        <f>VLOOKUP(Table6[[#This Row],[الرقم الوظيفى]],[4]!Table3[#Data],26,FALSE)</f>
        <v>#REF!</v>
      </c>
      <c r="CR109" s="165">
        <v>2000</v>
      </c>
      <c r="CS109" s="124"/>
    </row>
    <row r="110" spans="1:97" ht="28" customHeight="1" thickTop="1" thickBot="1">
      <c r="A110" s="222">
        <v>514</v>
      </c>
      <c r="B110" s="142" t="s">
        <v>251</v>
      </c>
      <c r="C110" s="59" t="s">
        <v>90</v>
      </c>
      <c r="D110" s="143" t="s">
        <v>74</v>
      </c>
      <c r="E110" s="174" t="s">
        <v>658</v>
      </c>
      <c r="F110" s="143" t="s">
        <v>205</v>
      </c>
      <c r="G110" s="145">
        <v>41440</v>
      </c>
      <c r="H110" s="146">
        <v>4200</v>
      </c>
      <c r="I110" s="106">
        <f>Table6[[#This Row],[مرتب]]/30</f>
        <v>140</v>
      </c>
      <c r="J110" s="107">
        <v>30</v>
      </c>
      <c r="K110" s="107">
        <f t="shared" si="1"/>
        <v>4200</v>
      </c>
      <c r="L110" s="108">
        <v>4200</v>
      </c>
      <c r="M110" s="107">
        <f>Table6[[#This Row],[مرتب الضمان]]*17%</f>
        <v>714</v>
      </c>
      <c r="N110" s="107">
        <f>' الشركه 2018'!$H110*35%</f>
        <v>1470</v>
      </c>
      <c r="O110" s="107">
        <f>' الشركه 2018'!$H110*32%</f>
        <v>1344</v>
      </c>
      <c r="P110" s="107">
        <f>' الشركه 2018'!$H110*12%</f>
        <v>504</v>
      </c>
      <c r="Q110" s="107">
        <f>' الشركه 2018'!$H110*13%</f>
        <v>546</v>
      </c>
      <c r="R110" s="107">
        <f>' الشركه 2018'!$H110*6%</f>
        <v>252</v>
      </c>
      <c r="S110" s="107">
        <f>' الشركه 2018'!$H110*2%</f>
        <v>84</v>
      </c>
      <c r="T110" s="107">
        <f>' الشركه 2018'!$O110+' الشركه 2018'!$P110+' الشركه 2018'!$Q110+' الشركه 2018'!$R110+' الشركه 2018'!$S110</f>
        <v>2730</v>
      </c>
      <c r="U110" s="109">
        <f>VLOOKUP(Table6[[#This Row],[الرقم الوظيفى]],[2]بالخصم!$B$1:$AK$1200,35,)</f>
        <v>0</v>
      </c>
      <c r="V110" s="147"/>
      <c r="W110" s="111">
        <f>Table6[[#This Row],[عدد ايام الاجازه]]*Table6[[#This Row],[ح راتب اليوم]]</f>
        <v>0</v>
      </c>
      <c r="X110" s="148"/>
      <c r="Y110" s="60"/>
      <c r="Z110" s="111">
        <f>Table6[[#This Row],[عدد ايام الجزاء]]*Table6[[#This Row],[ح راتب اليوم]]</f>
        <v>0</v>
      </c>
      <c r="AA110" s="112">
        <f>Table6[[#This Row],[مرتب]]*50%</f>
        <v>2100</v>
      </c>
      <c r="AB110" s="113" t="e">
        <f>VLOOKUP(Table6[[#This Row],[الرقم الوظيفى]],[3]!Table25289[#Data],23,)</f>
        <v>#REF!</v>
      </c>
      <c r="AC110" s="149"/>
      <c r="AD110" s="150"/>
      <c r="AE110" s="113" t="e">
        <f>VLOOKUP(Table6[[#This Row],[الرقم الوظيفى]],[3]!Table252894[#Data],22,)</f>
        <v>#REF!</v>
      </c>
      <c r="AF110" s="151"/>
      <c r="AG110" s="111">
        <f>' الشركه 2018'!$W110+' الشركه 2018'!$Z110+' الشركه 2018'!$AA110+' الشركه 2018'!$AC110+' الشركه 2018'!$AD110+' الشركه 2018'!$AF110</f>
        <v>2100</v>
      </c>
      <c r="AH110" s="111">
        <f>Table6[[#This Row],[راتب الضمان]]*8%</f>
        <v>336</v>
      </c>
      <c r="AI110" s="111">
        <f>' الشركه 2018'!$H110-' الشركه 2018'!$AG110-' الشركه 2018'!$AH110</f>
        <v>1764</v>
      </c>
      <c r="AJ110" s="111">
        <f>' الشركه 2018'!$CF110</f>
        <v>0</v>
      </c>
      <c r="AK110" s="117">
        <f>' الشركه 2018'!$AI110+' الشركه 2018'!$AJ110</f>
        <v>1764</v>
      </c>
      <c r="AL110" s="152"/>
      <c r="AM110" s="153"/>
      <c r="AN110" s="9">
        <f>Table6[[#This Row],[اجمالى الاستحقاق]]-Table6[[#This Row],[Column2]]+Table6[[#This Row],[حوافز غير مستقره]]</f>
        <v>1764</v>
      </c>
      <c r="AO110" s="59"/>
      <c r="AP110" s="169"/>
      <c r="AQ110" s="176"/>
      <c r="AR110" s="124"/>
      <c r="AS110" s="155"/>
      <c r="AT110" s="170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  <c r="BZ110" s="171"/>
      <c r="CA110" s="172"/>
      <c r="CB11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0" s="131">
        <f>' الشركه 2018'!$H110*67%*1.5*' الشركه 2018'!$CB110/208</f>
        <v>0</v>
      </c>
      <c r="CE110" s="132">
        <f>' الشركه 2018'!$H110*67%*2*' الشركه 2018'!$CC110/208</f>
        <v>0</v>
      </c>
      <c r="CF110" s="133">
        <f>' الشركه 2018'!$CD110+' الشركه 2018'!$CE110</f>
        <v>0</v>
      </c>
      <c r="CG110" s="124"/>
      <c r="CH110" s="177">
        <f>SUMIF(C110:C358,' الشركه 2018'!$CG107,L110:L358)</f>
        <v>0</v>
      </c>
      <c r="CI110" s="124"/>
      <c r="CJ110" s="177">
        <f>' الشركه 2018'!$CH107*' الشركه 2018'!$CI107</f>
        <v>0</v>
      </c>
      <c r="CK110" s="177">
        <f>' الشركه 2018'!$CJ107*8%</f>
        <v>0</v>
      </c>
      <c r="CL110" s="177">
        <f>' الشركه 2018'!$CJ107*17%</f>
        <v>0</v>
      </c>
      <c r="CM110" s="177">
        <f>' الشركه 2018'!$CJ107*25%</f>
        <v>0</v>
      </c>
      <c r="CN110" s="162"/>
      <c r="CO110" s="162"/>
      <c r="CP110" s="163"/>
      <c r="CQ110" s="164" t="e">
        <f>VLOOKUP(Table6[[#This Row],[الرقم الوظيفى]],[4]!Table3[#Data],26,FALSE)</f>
        <v>#REF!</v>
      </c>
      <c r="CR110" s="165"/>
      <c r="CS110" s="124"/>
    </row>
    <row r="111" spans="1:97" ht="28" customHeight="1" thickTop="1" thickBot="1">
      <c r="A111" s="222">
        <v>525</v>
      </c>
      <c r="B111" s="142" t="s">
        <v>232</v>
      </c>
      <c r="C111" s="59" t="s">
        <v>90</v>
      </c>
      <c r="D111" s="143" t="s">
        <v>74</v>
      </c>
      <c r="E111" s="174" t="s">
        <v>622</v>
      </c>
      <c r="F111" s="143" t="s">
        <v>205</v>
      </c>
      <c r="G111" s="145">
        <v>41451</v>
      </c>
      <c r="H111" s="146">
        <v>4210</v>
      </c>
      <c r="I111" s="106">
        <f>Table6[[#This Row],[مرتب]]/30</f>
        <v>140.33333333333334</v>
      </c>
      <c r="J111" s="107">
        <v>30</v>
      </c>
      <c r="K111" s="107">
        <f t="shared" si="1"/>
        <v>4210</v>
      </c>
      <c r="L111" s="108">
        <v>4210</v>
      </c>
      <c r="M111" s="107">
        <f>Table6[[#This Row],[مرتب الضمان]]*17%</f>
        <v>715.7</v>
      </c>
      <c r="N111" s="107">
        <f>' الشركه 2018'!$H111*35%</f>
        <v>1473.5</v>
      </c>
      <c r="O111" s="107">
        <f>' الشركه 2018'!$H111*32%</f>
        <v>1347.2</v>
      </c>
      <c r="P111" s="107">
        <f>' الشركه 2018'!$H111*12%</f>
        <v>505.2</v>
      </c>
      <c r="Q111" s="107">
        <f>' الشركه 2018'!$H111*13%</f>
        <v>547.30000000000007</v>
      </c>
      <c r="R111" s="107">
        <f>' الشركه 2018'!$H111*6%</f>
        <v>252.6</v>
      </c>
      <c r="S111" s="107">
        <f>' الشركه 2018'!$H111*2%</f>
        <v>84.2</v>
      </c>
      <c r="T111" s="107">
        <f>' الشركه 2018'!$O111+' الشركه 2018'!$P111+' الشركه 2018'!$Q111+' الشركه 2018'!$R111+' الشركه 2018'!$S111</f>
        <v>2736.5</v>
      </c>
      <c r="U111" s="109">
        <f>VLOOKUP(Table6[[#This Row],[الرقم الوظيفى]],[2]بالخصم!$B$1:$AK$1200,35,)</f>
        <v>0</v>
      </c>
      <c r="V111" s="147"/>
      <c r="W111" s="111">
        <f>Table6[[#This Row],[عدد ايام الاجازه]]*Table6[[#This Row],[ح راتب اليوم]]</f>
        <v>0</v>
      </c>
      <c r="X111" s="148"/>
      <c r="Y111" s="60"/>
      <c r="Z111" s="111">
        <f>Table6[[#This Row],[عدد ايام الجزاء]]*Table6[[#This Row],[ح راتب اليوم]]</f>
        <v>0</v>
      </c>
      <c r="AA111" s="112">
        <f>Table6[[#This Row],[مرتب]]*50%</f>
        <v>2105</v>
      </c>
      <c r="AB111" s="113" t="e">
        <f>VLOOKUP(Table6[[#This Row],[الرقم الوظيفى]],[3]!Table25289[#Data],23,)</f>
        <v>#REF!</v>
      </c>
      <c r="AC111" s="149">
        <v>300</v>
      </c>
      <c r="AD111" s="150"/>
      <c r="AE111" s="113" t="e">
        <f>VLOOKUP(Table6[[#This Row],[الرقم الوظيفى]],[3]!Table252894[#Data],22,)</f>
        <v>#REF!</v>
      </c>
      <c r="AF111" s="151"/>
      <c r="AG111" s="111">
        <f>' الشركه 2018'!$W111+' الشركه 2018'!$Z111+' الشركه 2018'!$AA111+' الشركه 2018'!$AC111+' الشركه 2018'!$AD111+' الشركه 2018'!$AF111</f>
        <v>2405</v>
      </c>
      <c r="AH111" s="111">
        <f>Table6[[#This Row],[راتب الضمان]]*8%</f>
        <v>336.8</v>
      </c>
      <c r="AI111" s="111">
        <f>' الشركه 2018'!$H111-' الشركه 2018'!$AG111-' الشركه 2018'!$AH111</f>
        <v>1468.2</v>
      </c>
      <c r="AJ111" s="111">
        <f>' الشركه 2018'!$CF111</f>
        <v>976.39615384615399</v>
      </c>
      <c r="AK111" s="117">
        <f>' الشركه 2018'!$AI111+' الشركه 2018'!$AJ111</f>
        <v>2444.5961538461543</v>
      </c>
      <c r="AL111" s="152"/>
      <c r="AM111" s="153"/>
      <c r="AN111" s="9">
        <f>Table6[[#This Row],[اجمالى الاستحقاق]]-Table6[[#This Row],[Column2]]+Table6[[#This Row],[حوافز غير مستقره]]</f>
        <v>2444.5961538461543</v>
      </c>
      <c r="AO111" s="59"/>
      <c r="AP111" s="169"/>
      <c r="AQ111" s="232"/>
      <c r="AR111" s="124"/>
      <c r="AS111" s="125"/>
      <c r="AT111" s="237"/>
      <c r="AU111" s="124"/>
      <c r="AV111" s="124">
        <v>12</v>
      </c>
      <c r="AW111" s="124"/>
      <c r="AX111" s="230"/>
      <c r="AY111" s="230"/>
      <c r="AZ111" s="124"/>
      <c r="BA111" s="124"/>
      <c r="BB111" s="233"/>
      <c r="BC111" s="233">
        <v>24</v>
      </c>
      <c r="BD111" s="124"/>
      <c r="BE111" s="233"/>
      <c r="BF111" s="230"/>
      <c r="BG111" s="230"/>
      <c r="BH111" s="230"/>
      <c r="BI111" s="230"/>
      <c r="BJ111" s="124"/>
      <c r="BK111" s="124"/>
      <c r="BL111" s="230"/>
      <c r="BM111" s="230"/>
      <c r="BN111" s="230"/>
      <c r="BO111" s="230"/>
      <c r="BP111" s="124"/>
      <c r="BQ111" s="233"/>
      <c r="BR111" s="124"/>
      <c r="BS111" s="230"/>
      <c r="BT111" s="124"/>
      <c r="BU111" s="124"/>
      <c r="BV111" s="124"/>
      <c r="BW111" s="124"/>
      <c r="BX111" s="124"/>
      <c r="BY111" s="230"/>
      <c r="BZ111" s="234"/>
      <c r="CA111" s="235"/>
      <c r="CB11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1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111" s="131">
        <f>' الشركه 2018'!$H111*67%*1.5*' الشركه 2018'!$CB111/208</f>
        <v>0</v>
      </c>
      <c r="CE111" s="132">
        <f>' الشركه 2018'!$H111*67%*2*' الشركه 2018'!$CC111/208</f>
        <v>976.39615384615399</v>
      </c>
      <c r="CF111" s="133">
        <f>' الشركه 2018'!$CD111+' الشركه 2018'!$CE111</f>
        <v>976.39615384615399</v>
      </c>
      <c r="CG111" s="230"/>
      <c r="CH111" s="236">
        <f>SUMIF(C111:C359,' الشركه 2018'!$CG108,L111:L359)</f>
        <v>0</v>
      </c>
      <c r="CI111" s="230"/>
      <c r="CJ111" s="236">
        <f>' الشركه 2018'!$CH108*' الشركه 2018'!$CI108</f>
        <v>0</v>
      </c>
      <c r="CK111" s="236">
        <f>' الشركه 2018'!$CJ108*8%</f>
        <v>0</v>
      </c>
      <c r="CL111" s="236">
        <f>' الشركه 2018'!$CJ108*17%</f>
        <v>0</v>
      </c>
      <c r="CM111" s="236">
        <f>' الشركه 2018'!$CJ108*25%</f>
        <v>0</v>
      </c>
      <c r="CN111" s="162"/>
      <c r="CO111" s="162"/>
      <c r="CP111" s="163">
        <v>800</v>
      </c>
      <c r="CQ111" s="164" t="e">
        <f>VLOOKUP(Table6[[#This Row],[الرقم الوظيفى]],[4]!Table3[#Data],26,FALSE)</f>
        <v>#REF!</v>
      </c>
      <c r="CR111" s="165">
        <v>400</v>
      </c>
      <c r="CS111" s="124"/>
    </row>
    <row r="112" spans="1:97" ht="28" customHeight="1" thickTop="1" thickBot="1">
      <c r="A112" s="222">
        <v>533</v>
      </c>
      <c r="B112" s="142" t="s">
        <v>262</v>
      </c>
      <c r="C112" s="59" t="s">
        <v>90</v>
      </c>
      <c r="D112" s="143" t="s">
        <v>74</v>
      </c>
      <c r="E112" s="174" t="s">
        <v>669</v>
      </c>
      <c r="F112" s="143" t="s">
        <v>634</v>
      </c>
      <c r="G112" s="145">
        <v>41457</v>
      </c>
      <c r="H112" s="146">
        <v>4190</v>
      </c>
      <c r="I112" s="106">
        <f>Table6[[#This Row],[مرتب]]/30</f>
        <v>139.66666666666666</v>
      </c>
      <c r="J112" s="107">
        <v>30</v>
      </c>
      <c r="K112" s="107">
        <f t="shared" si="1"/>
        <v>4190</v>
      </c>
      <c r="L112" s="108">
        <v>4190</v>
      </c>
      <c r="M112" s="107">
        <f>Table6[[#This Row],[مرتب الضمان]]*17%</f>
        <v>712.30000000000007</v>
      </c>
      <c r="N112" s="107">
        <f>' الشركه 2018'!$H112*35%</f>
        <v>1466.5</v>
      </c>
      <c r="O112" s="107">
        <f>' الشركه 2018'!$H112*32%</f>
        <v>1340.8</v>
      </c>
      <c r="P112" s="107">
        <f>' الشركه 2018'!$H112*12%</f>
        <v>502.79999999999995</v>
      </c>
      <c r="Q112" s="107">
        <f>' الشركه 2018'!$H112*13%</f>
        <v>544.70000000000005</v>
      </c>
      <c r="R112" s="107">
        <f>' الشركه 2018'!$H112*6%</f>
        <v>251.39999999999998</v>
      </c>
      <c r="S112" s="107">
        <f>' الشركه 2018'!$H112*2%</f>
        <v>83.8</v>
      </c>
      <c r="T112" s="107">
        <f>' الشركه 2018'!$O112+' الشركه 2018'!$P112+' الشركه 2018'!$Q112+' الشركه 2018'!$R112+' الشركه 2018'!$S112</f>
        <v>2723.5000000000005</v>
      </c>
      <c r="U112" s="109">
        <f>VLOOKUP(Table6[[#This Row],[الرقم الوظيفى]],[2]بالخصم!$B$1:$AK$1200,35,)</f>
        <v>0</v>
      </c>
      <c r="V112" s="147"/>
      <c r="W112" s="111">
        <f>Table6[[#This Row],[عدد ايام الاجازه]]*Table6[[#This Row],[ح راتب اليوم]]</f>
        <v>0</v>
      </c>
      <c r="X112" s="148"/>
      <c r="Y112" s="60"/>
      <c r="Z112" s="111">
        <f>Table6[[#This Row],[عدد ايام الجزاء]]*Table6[[#This Row],[ح راتب اليوم]]</f>
        <v>0</v>
      </c>
      <c r="AA112" s="112">
        <f>Table6[[#This Row],[مرتب]]*50%</f>
        <v>2095</v>
      </c>
      <c r="AB112" s="113" t="e">
        <f>VLOOKUP(Table6[[#This Row],[الرقم الوظيفى]],[3]!Table25289[#Data],23,)</f>
        <v>#REF!</v>
      </c>
      <c r="AC112" s="149"/>
      <c r="AD112" s="150"/>
      <c r="AE112" s="113" t="e">
        <f>VLOOKUP(Table6[[#This Row],[الرقم الوظيفى]],[3]!Table252894[#Data],22,)</f>
        <v>#REF!</v>
      </c>
      <c r="AF112" s="151"/>
      <c r="AG112" s="111">
        <f>' الشركه 2018'!$W112+' الشركه 2018'!$Z112+' الشركه 2018'!$AA112+' الشركه 2018'!$AC112+' الشركه 2018'!$AD112+' الشركه 2018'!$AF112</f>
        <v>2095</v>
      </c>
      <c r="AH112" s="111">
        <f>Table6[[#This Row],[راتب الضمان]]*8%</f>
        <v>335.2</v>
      </c>
      <c r="AI112" s="111">
        <f>' الشركه 2018'!$H112-' الشركه 2018'!$AG112-' الشركه 2018'!$AH112</f>
        <v>1759.8</v>
      </c>
      <c r="AJ112" s="111">
        <f>' الشركه 2018'!$CF112</f>
        <v>0</v>
      </c>
      <c r="AK112" s="117">
        <f>' الشركه 2018'!$AI112+' الشركه 2018'!$AJ112</f>
        <v>1759.8</v>
      </c>
      <c r="AL112" s="152"/>
      <c r="AM112" s="153"/>
      <c r="AN112" s="9">
        <f>Table6[[#This Row],[اجمالى الاستحقاق]]-Table6[[#This Row],[Column2]]+Table6[[#This Row],[حوافز غير مستقره]]</f>
        <v>1759.8</v>
      </c>
      <c r="AO112" s="59"/>
      <c r="AP112" s="169"/>
      <c r="AQ112" s="176"/>
      <c r="AR112" s="124"/>
      <c r="AS112" s="155"/>
      <c r="AT112" s="170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  <c r="BZ112" s="171"/>
      <c r="CA112" s="172"/>
      <c r="CB11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2" s="131">
        <f>' الشركه 2018'!$H112*67%*1.5*' الشركه 2018'!$CB112/208</f>
        <v>0</v>
      </c>
      <c r="CE112" s="132">
        <f>' الشركه 2018'!$H112*67%*2*' الشركه 2018'!$CC112/208</f>
        <v>0</v>
      </c>
      <c r="CF112" s="133">
        <f>' الشركه 2018'!$CD112+' الشركه 2018'!$CE112</f>
        <v>0</v>
      </c>
      <c r="CG112" s="124"/>
      <c r="CH112" s="177">
        <f>SUMIF(C112:C360,' الشركه 2018'!$CG109,L112:L360)</f>
        <v>0</v>
      </c>
      <c r="CI112" s="124"/>
      <c r="CJ112" s="177">
        <f>' الشركه 2018'!$CH109*' الشركه 2018'!$CI109</f>
        <v>0</v>
      </c>
      <c r="CK112" s="177">
        <f>' الشركه 2018'!$CJ109*8%</f>
        <v>0</v>
      </c>
      <c r="CL112" s="177">
        <f>' الشركه 2018'!$CJ109*17%</f>
        <v>0</v>
      </c>
      <c r="CM112" s="177">
        <f>' الشركه 2018'!$CJ109*25%</f>
        <v>0</v>
      </c>
      <c r="CN112" s="162"/>
      <c r="CO112" s="162"/>
      <c r="CP112" s="163"/>
      <c r="CQ112" s="164" t="e">
        <f>VLOOKUP(Table6[[#This Row],[الرقم الوظيفى]],[4]!Table3[#Data],26,FALSE)</f>
        <v>#REF!</v>
      </c>
      <c r="CR112" s="165">
        <v>600</v>
      </c>
      <c r="CS112" s="124"/>
    </row>
    <row r="113" spans="1:97" ht="28" customHeight="1" thickTop="1" thickBot="1">
      <c r="A113" s="222">
        <v>535</v>
      </c>
      <c r="B113" s="142" t="s">
        <v>357</v>
      </c>
      <c r="C113" s="59" t="s">
        <v>90</v>
      </c>
      <c r="D113" s="143" t="s">
        <v>79</v>
      </c>
      <c r="E113" s="174" t="s">
        <v>644</v>
      </c>
      <c r="F113" s="143" t="s">
        <v>351</v>
      </c>
      <c r="G113" s="145">
        <v>41458</v>
      </c>
      <c r="H113" s="146">
        <v>4220</v>
      </c>
      <c r="I113" s="106">
        <f>Table6[[#This Row],[مرتب]]/30</f>
        <v>140.66666666666666</v>
      </c>
      <c r="J113" s="107">
        <v>30</v>
      </c>
      <c r="K113" s="107">
        <f t="shared" si="1"/>
        <v>4220</v>
      </c>
      <c r="L113" s="108">
        <v>4220</v>
      </c>
      <c r="M113" s="107">
        <f>Table6[[#This Row],[مرتب الضمان]]*17%</f>
        <v>717.40000000000009</v>
      </c>
      <c r="N113" s="107">
        <f>' الشركه 2018'!$H113*35%</f>
        <v>1477</v>
      </c>
      <c r="O113" s="107">
        <f>' الشركه 2018'!$H113*32%</f>
        <v>1350.4</v>
      </c>
      <c r="P113" s="107">
        <f>' الشركه 2018'!$H113*12%</f>
        <v>506.4</v>
      </c>
      <c r="Q113" s="107">
        <f>' الشركه 2018'!$H113*13%</f>
        <v>548.6</v>
      </c>
      <c r="R113" s="107">
        <f>' الشركه 2018'!$H113*6%</f>
        <v>253.2</v>
      </c>
      <c r="S113" s="107">
        <f>' الشركه 2018'!$H113*2%</f>
        <v>84.4</v>
      </c>
      <c r="T113" s="107">
        <f>' الشركه 2018'!$O113+' الشركه 2018'!$P113+' الشركه 2018'!$Q113+' الشركه 2018'!$R113+' الشركه 2018'!$S113</f>
        <v>2743</v>
      </c>
      <c r="U113" s="109">
        <f>VLOOKUP(Table6[[#This Row],[الرقم الوظيفى]],[2]بالخصم!$B$1:$AK$1200,35,)</f>
        <v>0</v>
      </c>
      <c r="V113" s="147"/>
      <c r="W113" s="111">
        <f>Table6[[#This Row],[عدد ايام الاجازه]]*Table6[[#This Row],[ح راتب اليوم]]</f>
        <v>0</v>
      </c>
      <c r="X113" s="148"/>
      <c r="Y113" s="60"/>
      <c r="Z113" s="111">
        <f>Table6[[#This Row],[عدد ايام الجزاء]]*Table6[[#This Row],[ح راتب اليوم]]</f>
        <v>0</v>
      </c>
      <c r="AA113" s="112">
        <f>Table6[[#This Row],[مرتب]]*50%</f>
        <v>2110</v>
      </c>
      <c r="AB113" s="113" t="e">
        <f>VLOOKUP(Table6[[#This Row],[الرقم الوظيفى]],[3]!Table25289[#Data],23,)</f>
        <v>#REF!</v>
      </c>
      <c r="AC113" s="149">
        <v>500</v>
      </c>
      <c r="AD113" s="150"/>
      <c r="AE113" s="113" t="e">
        <f>VLOOKUP(Table6[[#This Row],[الرقم الوظيفى]],[3]!Table252894[#Data],22,)</f>
        <v>#REF!</v>
      </c>
      <c r="AF113" s="151"/>
      <c r="AG113" s="111">
        <f>' الشركه 2018'!$W113+' الشركه 2018'!$Z113+' الشركه 2018'!$AA113+' الشركه 2018'!$AC113+' الشركه 2018'!$AD113+' الشركه 2018'!$AF113</f>
        <v>2610</v>
      </c>
      <c r="AH113" s="111">
        <f>Table6[[#This Row],[راتب الضمان]]*8%</f>
        <v>337.6</v>
      </c>
      <c r="AI113" s="111">
        <f>' الشركه 2018'!$H113-' الشركه 2018'!$AG113-' الشركه 2018'!$AH113</f>
        <v>1272.4000000000001</v>
      </c>
      <c r="AJ113" s="111">
        <f>' الشركه 2018'!$CF113</f>
        <v>1767.125</v>
      </c>
      <c r="AK113" s="117">
        <f>' الشركه 2018'!$AI113+' الشركه 2018'!$AJ113</f>
        <v>3039.5250000000001</v>
      </c>
      <c r="AL113" s="152"/>
      <c r="AM113" s="153"/>
      <c r="AN113" s="9">
        <f>Table6[[#This Row],[اجمالى الاستحقاق]]-Table6[[#This Row],[Column2]]+Table6[[#This Row],[حوافز غير مستقره]]</f>
        <v>3039.5250000000001</v>
      </c>
      <c r="AO113" s="59"/>
      <c r="AP113" s="169"/>
      <c r="AQ113" s="176"/>
      <c r="AR113" s="124"/>
      <c r="AS113" s="155"/>
      <c r="AT113" s="170"/>
      <c r="AU113" s="124"/>
      <c r="AV113" s="124">
        <v>17</v>
      </c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>
        <v>8</v>
      </c>
      <c r="BH113" s="124"/>
      <c r="BI113" s="124">
        <v>8</v>
      </c>
      <c r="BJ113" s="124">
        <v>12</v>
      </c>
      <c r="BK113" s="124"/>
      <c r="BL113" s="124"/>
      <c r="BM113" s="124"/>
      <c r="BN113" s="124"/>
      <c r="BO113" s="124"/>
      <c r="BP113" s="124"/>
      <c r="BQ113" s="124">
        <v>24</v>
      </c>
      <c r="BR113" s="124"/>
      <c r="BS113" s="124"/>
      <c r="BT113" s="124"/>
      <c r="BU113" s="124"/>
      <c r="BV113" s="124"/>
      <c r="BW113" s="124"/>
      <c r="BX113" s="124"/>
      <c r="BY113" s="124"/>
      <c r="BZ113" s="159"/>
      <c r="CA113" s="160"/>
      <c r="CB11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113" s="130">
        <f>Table6[[#This Row],[Friday, November 23, 2018]]+Table6[[#This Row],[Friday, November 30, 2018]]+Table6[[#This Row],[Friday, December 07, 2018]]+Table6[[#This Row],[Friday, December 14, 2018]]+Table6[[#This Row],[فروقات عطله]]</f>
        <v>53</v>
      </c>
      <c r="CD113" s="131">
        <f>' الشركه 2018'!$H113*67%*1.5*' الشركه 2018'!$CB113/208</f>
        <v>326.23846153846159</v>
      </c>
      <c r="CE113" s="132">
        <f>' الشركه 2018'!$H113*67%*2*' الشركه 2018'!$CC113/208</f>
        <v>1440.8865384615385</v>
      </c>
      <c r="CF113" s="133">
        <f>' الشركه 2018'!$CD113+' الشركه 2018'!$CE113</f>
        <v>1767.125</v>
      </c>
      <c r="CG113" s="124"/>
      <c r="CH113" s="177">
        <f>SUMIF(C113:C362,' الشركه 2018'!$CG111,L113:L362)</f>
        <v>0</v>
      </c>
      <c r="CI113" s="124"/>
      <c r="CJ113" s="177">
        <f>' الشركه 2018'!$CH111*' الشركه 2018'!$CI111</f>
        <v>0</v>
      </c>
      <c r="CK113" s="177">
        <f>' الشركه 2018'!$CJ111*8%</f>
        <v>0</v>
      </c>
      <c r="CL113" s="177">
        <f>' الشركه 2018'!$CJ111*17%</f>
        <v>0</v>
      </c>
      <c r="CM113" s="177">
        <f>' الشركه 2018'!$CJ111*25%</f>
        <v>0</v>
      </c>
      <c r="CN113" s="162"/>
      <c r="CO113" s="162"/>
      <c r="CP113" s="163">
        <v>500</v>
      </c>
      <c r="CQ113" s="164" t="e">
        <f>VLOOKUP(Table6[[#This Row],[الرقم الوظيفى]],[4]!Table3[#Data],26,FALSE)</f>
        <v>#REF!</v>
      </c>
      <c r="CR113" s="165">
        <v>500</v>
      </c>
      <c r="CS113" s="124"/>
    </row>
    <row r="114" spans="1:97" ht="28" customHeight="1" thickTop="1" thickBot="1">
      <c r="A114" s="222">
        <v>545</v>
      </c>
      <c r="B114" s="142" t="s">
        <v>292</v>
      </c>
      <c r="C114" s="59" t="s">
        <v>90</v>
      </c>
      <c r="D114" s="143" t="s">
        <v>74</v>
      </c>
      <c r="E114" s="174" t="s">
        <v>629</v>
      </c>
      <c r="F114" s="143" t="s">
        <v>63</v>
      </c>
      <c r="G114" s="145">
        <v>41472</v>
      </c>
      <c r="H114" s="146">
        <v>3160</v>
      </c>
      <c r="I114" s="106">
        <f>Table6[[#This Row],[مرتب]]/30</f>
        <v>105.33333333333333</v>
      </c>
      <c r="J114" s="107">
        <v>30</v>
      </c>
      <c r="K114" s="107">
        <f t="shared" si="1"/>
        <v>3160</v>
      </c>
      <c r="L114" s="108">
        <v>3160</v>
      </c>
      <c r="M114" s="107">
        <f>Table6[[#This Row],[مرتب الضمان]]*17%</f>
        <v>537.20000000000005</v>
      </c>
      <c r="N114" s="107">
        <f>' الشركه 2018'!$H114*35%</f>
        <v>1106</v>
      </c>
      <c r="O114" s="107">
        <f>' الشركه 2018'!$H114*32%</f>
        <v>1011.2</v>
      </c>
      <c r="P114" s="107">
        <f>' الشركه 2018'!$H114*12%</f>
        <v>379.2</v>
      </c>
      <c r="Q114" s="107">
        <f>' الشركه 2018'!$H114*13%</f>
        <v>410.8</v>
      </c>
      <c r="R114" s="107">
        <f>' الشركه 2018'!$H114*6%</f>
        <v>189.6</v>
      </c>
      <c r="S114" s="107">
        <f>' الشركه 2018'!$H114*2%</f>
        <v>63.2</v>
      </c>
      <c r="T114" s="107">
        <f>' الشركه 2018'!$O114+' الشركه 2018'!$P114+' الشركه 2018'!$Q114+' الشركه 2018'!$R114+' الشركه 2018'!$S114</f>
        <v>2054</v>
      </c>
      <c r="U114" s="109">
        <f>VLOOKUP(Table6[[#This Row],[الرقم الوظيفى]],[2]بالخصم!$B$1:$AK$1200,35,)</f>
        <v>0</v>
      </c>
      <c r="V114" s="147"/>
      <c r="W114" s="111">
        <f>Table6[[#This Row],[عدد ايام الاجازه]]*Table6[[#This Row],[ح راتب اليوم]]</f>
        <v>0</v>
      </c>
      <c r="X114" s="148"/>
      <c r="Y114" s="60"/>
      <c r="Z114" s="111">
        <f>Table6[[#This Row],[عدد ايام الجزاء]]*Table6[[#This Row],[ح راتب اليوم]]</f>
        <v>0</v>
      </c>
      <c r="AA114" s="112">
        <f>Table6[[#This Row],[مرتب]]*50%</f>
        <v>1580</v>
      </c>
      <c r="AB114" s="113" t="e">
        <f>VLOOKUP(Table6[[#This Row],[الرقم الوظيفى]],[3]!Table25289[#Data],23,)</f>
        <v>#REF!</v>
      </c>
      <c r="AC114" s="149"/>
      <c r="AD114" s="150"/>
      <c r="AE114" s="113" t="e">
        <f>VLOOKUP(Table6[[#This Row],[الرقم الوظيفى]],[3]!Table252894[#Data],22,)</f>
        <v>#REF!</v>
      </c>
      <c r="AF114" s="151"/>
      <c r="AG114" s="111">
        <f>' الشركه 2018'!$W114+' الشركه 2018'!$Z114+' الشركه 2018'!$AA114+' الشركه 2018'!$AC114+' الشركه 2018'!$AD114+' الشركه 2018'!$AF114</f>
        <v>1580</v>
      </c>
      <c r="AH114" s="111">
        <f>Table6[[#This Row],[راتب الضمان]]*8%</f>
        <v>252.8</v>
      </c>
      <c r="AI114" s="111">
        <f>' الشركه 2018'!$H114-' الشركه 2018'!$AG114-' الشركه 2018'!$AH114</f>
        <v>1327.2</v>
      </c>
      <c r="AJ114" s="111">
        <f>' الشركه 2018'!$CF114</f>
        <v>0</v>
      </c>
      <c r="AK114" s="117">
        <f>' الشركه 2018'!$AI114+' الشركه 2018'!$AJ114</f>
        <v>1327.2</v>
      </c>
      <c r="AL114" s="152"/>
      <c r="AM114" s="153"/>
      <c r="AN114" s="9">
        <f>Table6[[#This Row],[اجمالى الاستحقاق]]-Table6[[#This Row],[Column2]]+Table6[[#This Row],[حوافز غير مستقره]]</f>
        <v>1327.2</v>
      </c>
      <c r="AO114" s="59"/>
      <c r="AP114" s="169"/>
      <c r="AQ114" s="176"/>
      <c r="AR114" s="124"/>
      <c r="AS114" s="155"/>
      <c r="AT114" s="170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  <c r="BZ114" s="171"/>
      <c r="CA114" s="172"/>
      <c r="CB11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4" s="131">
        <f>' الشركه 2018'!$H114*67%*1.5*' الشركه 2018'!$CB114/208</f>
        <v>0</v>
      </c>
      <c r="CE114" s="132">
        <f>' الشركه 2018'!$H114*67%*2*' الشركه 2018'!$CC114/208</f>
        <v>0</v>
      </c>
      <c r="CF114" s="133">
        <f>' الشركه 2018'!$CD114+' الشركه 2018'!$CE114</f>
        <v>0</v>
      </c>
      <c r="CG114" s="124"/>
      <c r="CH114" s="177">
        <f>SUMIF(C114:C363,' الشركه 2018'!$CG112,L114:L363)</f>
        <v>0</v>
      </c>
      <c r="CI114" s="124"/>
      <c r="CJ114" s="177">
        <f>' الشركه 2018'!$CH112*' الشركه 2018'!$CI112</f>
        <v>0</v>
      </c>
      <c r="CK114" s="177">
        <f>' الشركه 2018'!$CJ112*8%</f>
        <v>0</v>
      </c>
      <c r="CL114" s="177">
        <f>' الشركه 2018'!$CJ112*17%</f>
        <v>0</v>
      </c>
      <c r="CM114" s="177">
        <f>' الشركه 2018'!$CJ112*25%</f>
        <v>0</v>
      </c>
      <c r="CN114" s="162"/>
      <c r="CO114" s="162"/>
      <c r="CP114" s="163">
        <v>400</v>
      </c>
      <c r="CQ114" s="164" t="e">
        <f>VLOOKUP(Table6[[#This Row],[الرقم الوظيفى]],[4]!Table3[#Data],26,FALSE)</f>
        <v>#REF!</v>
      </c>
      <c r="CR114" s="165">
        <v>500</v>
      </c>
      <c r="CS114" s="124"/>
    </row>
    <row r="115" spans="1:97" ht="28" customHeight="1" thickTop="1" thickBot="1">
      <c r="A115" s="222">
        <v>564</v>
      </c>
      <c r="B115" s="142" t="s">
        <v>410</v>
      </c>
      <c r="C115" s="59" t="s">
        <v>90</v>
      </c>
      <c r="D115" s="143" t="s">
        <v>81</v>
      </c>
      <c r="E115" s="174" t="s">
        <v>633</v>
      </c>
      <c r="F115" s="143" t="s">
        <v>634</v>
      </c>
      <c r="G115" s="145">
        <v>41522</v>
      </c>
      <c r="H115" s="146">
        <v>3160</v>
      </c>
      <c r="I115" s="106">
        <f>Table6[[#This Row],[مرتب]]/30</f>
        <v>105.33333333333333</v>
      </c>
      <c r="J115" s="107">
        <v>30</v>
      </c>
      <c r="K115" s="107">
        <f t="shared" si="1"/>
        <v>3160</v>
      </c>
      <c r="L115" s="108">
        <v>3160</v>
      </c>
      <c r="M115" s="107">
        <f>Table6[[#This Row],[مرتب الضمان]]*17%</f>
        <v>537.20000000000005</v>
      </c>
      <c r="N115" s="107">
        <f>' الشركه 2018'!$H115*35%</f>
        <v>1106</v>
      </c>
      <c r="O115" s="107">
        <f>' الشركه 2018'!$H115*32%</f>
        <v>1011.2</v>
      </c>
      <c r="P115" s="107">
        <f>' الشركه 2018'!$H115*12%</f>
        <v>379.2</v>
      </c>
      <c r="Q115" s="107">
        <f>' الشركه 2018'!$H115*13%</f>
        <v>410.8</v>
      </c>
      <c r="R115" s="107">
        <f>' الشركه 2018'!$H115*6%</f>
        <v>189.6</v>
      </c>
      <c r="S115" s="107">
        <f>' الشركه 2018'!$H115*2%</f>
        <v>63.2</v>
      </c>
      <c r="T115" s="107">
        <f>' الشركه 2018'!$O115+' الشركه 2018'!$P115+' الشركه 2018'!$Q115+' الشركه 2018'!$R115+' الشركه 2018'!$S115</f>
        <v>2054</v>
      </c>
      <c r="U115" s="109">
        <f>VLOOKUP(Table6[[#This Row],[الرقم الوظيفى]],[2]بالخصم!$B$1:$AK$1200,35,)</f>
        <v>0</v>
      </c>
      <c r="V115" s="147"/>
      <c r="W115" s="111">
        <f>Table6[[#This Row],[عدد ايام الاجازه]]*Table6[[#This Row],[ح راتب اليوم]]</f>
        <v>0</v>
      </c>
      <c r="X115" s="148"/>
      <c r="Y115" s="60"/>
      <c r="Z115" s="111">
        <f>Table6[[#This Row],[عدد ايام الجزاء]]*Table6[[#This Row],[ح راتب اليوم]]</f>
        <v>0</v>
      </c>
      <c r="AA115" s="112">
        <f>Table6[[#This Row],[مرتب]]*50%</f>
        <v>1580</v>
      </c>
      <c r="AB115" s="113" t="e">
        <f>VLOOKUP(Table6[[#This Row],[الرقم الوظيفى]],[3]!Table25289[#Data],23,)</f>
        <v>#REF!</v>
      </c>
      <c r="AC115" s="149"/>
      <c r="AD115" s="150"/>
      <c r="AE115" s="113" t="e">
        <f>VLOOKUP(Table6[[#This Row],[الرقم الوظيفى]],[3]!Table252894[#Data],22,)</f>
        <v>#REF!</v>
      </c>
      <c r="AF115" s="151"/>
      <c r="AG115" s="111">
        <f>' الشركه 2018'!$W115+' الشركه 2018'!$Z115+' الشركه 2018'!$AA115+' الشركه 2018'!$AC115+' الشركه 2018'!$AD115+' الشركه 2018'!$AF115</f>
        <v>1580</v>
      </c>
      <c r="AH115" s="111">
        <f>Table6[[#This Row],[راتب الضمان]]*8%</f>
        <v>252.8</v>
      </c>
      <c r="AI115" s="111">
        <f>' الشركه 2018'!$H115-' الشركه 2018'!$AG115-' الشركه 2018'!$AH115</f>
        <v>1327.2</v>
      </c>
      <c r="AJ115" s="111">
        <f>' الشركه 2018'!$CF115</f>
        <v>0</v>
      </c>
      <c r="AK115" s="117">
        <f>' الشركه 2018'!$AI115+' الشركه 2018'!$AJ115</f>
        <v>1327.2</v>
      </c>
      <c r="AL115" s="152"/>
      <c r="AM115" s="153"/>
      <c r="AN115" s="9">
        <f>Table6[[#This Row],[اجمالى الاستحقاق]]-Table6[[#This Row],[Column2]]+Table6[[#This Row],[حوافز غير مستقره]]</f>
        <v>1327.2</v>
      </c>
      <c r="AO115" s="59"/>
      <c r="AP115" s="169"/>
      <c r="AQ115" s="176"/>
      <c r="AR115" s="124"/>
      <c r="AS115" s="155"/>
      <c r="AT115" s="170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  <c r="BZ115" s="171"/>
      <c r="CA115" s="172"/>
      <c r="CB11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5" s="131">
        <f>' الشركه 2018'!$H115*67%*1.5*' الشركه 2018'!$CB115/208</f>
        <v>0</v>
      </c>
      <c r="CE115" s="132">
        <f>' الشركه 2018'!$H115*67%*2*' الشركه 2018'!$CC115/208</f>
        <v>0</v>
      </c>
      <c r="CF115" s="133">
        <f>' الشركه 2018'!$CD115+' الشركه 2018'!$CE115</f>
        <v>0</v>
      </c>
      <c r="CG115" s="124"/>
      <c r="CH115" s="177">
        <f>SUMIF(C115:C364,' الشركه 2018'!#REF!,L115:L364)</f>
        <v>0</v>
      </c>
      <c r="CI115" s="124"/>
      <c r="CJ115" s="177" t="e">
        <f>' الشركه 2018'!#REF!*' الشركه 2018'!#REF!</f>
        <v>#REF!</v>
      </c>
      <c r="CK115" s="177" t="e">
        <f>' الشركه 2018'!#REF!*8%</f>
        <v>#REF!</v>
      </c>
      <c r="CL115" s="177" t="e">
        <f>' الشركه 2018'!#REF!*17%</f>
        <v>#REF!</v>
      </c>
      <c r="CM115" s="177" t="e">
        <f>' الشركه 2018'!#REF!*25%</f>
        <v>#REF!</v>
      </c>
      <c r="CN115" s="162"/>
      <c r="CO115" s="162"/>
      <c r="CP115" s="163">
        <v>300</v>
      </c>
      <c r="CQ115" s="164" t="e">
        <f>VLOOKUP(Table6[[#This Row],[الرقم الوظيفى]],[4]!Table3[#Data],26,FALSE)</f>
        <v>#REF!</v>
      </c>
      <c r="CR115" s="165">
        <v>1000</v>
      </c>
      <c r="CS115" s="124"/>
    </row>
    <row r="116" spans="1:97" ht="28" customHeight="1" thickTop="1" thickBot="1">
      <c r="A116" s="222">
        <v>570</v>
      </c>
      <c r="B116" s="142" t="s">
        <v>300</v>
      </c>
      <c r="C116" s="59" t="s">
        <v>90</v>
      </c>
      <c r="D116" s="143" t="s">
        <v>74</v>
      </c>
      <c r="E116" s="174" t="s">
        <v>671</v>
      </c>
      <c r="F116" s="143" t="s">
        <v>63</v>
      </c>
      <c r="G116" s="145">
        <v>41526</v>
      </c>
      <c r="H116" s="146">
        <v>3160</v>
      </c>
      <c r="I116" s="106">
        <f>Table6[[#This Row],[مرتب]]/30</f>
        <v>105.33333333333333</v>
      </c>
      <c r="J116" s="107">
        <v>30</v>
      </c>
      <c r="K116" s="107">
        <f t="shared" si="1"/>
        <v>0</v>
      </c>
      <c r="L116" s="108">
        <v>0</v>
      </c>
      <c r="M116" s="107">
        <f>Table6[[#This Row],[مرتب الضمان]]*17%</f>
        <v>0</v>
      </c>
      <c r="N116" s="107">
        <f>' الشركه 2018'!$H116*35%</f>
        <v>1106</v>
      </c>
      <c r="O116" s="107">
        <f>' الشركه 2018'!$H116*32%</f>
        <v>1011.2</v>
      </c>
      <c r="P116" s="107">
        <f>' الشركه 2018'!$H116*12%</f>
        <v>379.2</v>
      </c>
      <c r="Q116" s="107">
        <f>' الشركه 2018'!$H116*13%</f>
        <v>410.8</v>
      </c>
      <c r="R116" s="107">
        <f>' الشركه 2018'!$H116*6%</f>
        <v>189.6</v>
      </c>
      <c r="S116" s="107">
        <f>' الشركه 2018'!$H116*2%</f>
        <v>63.2</v>
      </c>
      <c r="T116" s="107">
        <f>' الشركه 2018'!$O116+' الشركه 2018'!$P116+' الشركه 2018'!$Q116+' الشركه 2018'!$R116+' الشركه 2018'!$S116</f>
        <v>2054</v>
      </c>
      <c r="U116" s="109">
        <f>VLOOKUP(Table6[[#This Row],[الرقم الوظيفى]],[2]بالخصم!$B$1:$AK$1200,35,)</f>
        <v>0</v>
      </c>
      <c r="V116" s="147"/>
      <c r="W116" s="111">
        <f>Table6[[#This Row],[عدد ايام الاجازه]]*Table6[[#This Row],[ح راتب اليوم]]</f>
        <v>0</v>
      </c>
      <c r="X116" s="148"/>
      <c r="Y116" s="60"/>
      <c r="Z116" s="111">
        <f>Table6[[#This Row],[عدد ايام الجزاء]]*Table6[[#This Row],[ح راتب اليوم]]</f>
        <v>0</v>
      </c>
      <c r="AA116" s="112">
        <f>Table6[[#This Row],[مرتب]]*50%</f>
        <v>1580</v>
      </c>
      <c r="AB116" s="113" t="e">
        <f>VLOOKUP(Table6[[#This Row],[الرقم الوظيفى]],[3]!Table25289[#Data],23,)</f>
        <v>#REF!</v>
      </c>
      <c r="AC116" s="149"/>
      <c r="AD116" s="150"/>
      <c r="AE116" s="113" t="e">
        <f>VLOOKUP(Table6[[#This Row],[الرقم الوظيفى]],[3]!Table252894[#Data],22,)</f>
        <v>#REF!</v>
      </c>
      <c r="AF116" s="151">
        <v>500</v>
      </c>
      <c r="AG116" s="111">
        <f>' الشركه 2018'!$W116+' الشركه 2018'!$Z116+' الشركه 2018'!$AA116+' الشركه 2018'!$AC116+' الشركه 2018'!$AD116+' الشركه 2018'!$AF116</f>
        <v>2080</v>
      </c>
      <c r="AH116" s="111">
        <f>Table6[[#This Row],[راتب الضمان]]*8%</f>
        <v>0</v>
      </c>
      <c r="AI116" s="111">
        <f>' الشركه 2018'!$H116-' الشركه 2018'!$AG116-' الشركه 2018'!$AH116</f>
        <v>1080</v>
      </c>
      <c r="AJ116" s="111">
        <f>' الشركه 2018'!$CF116</f>
        <v>0</v>
      </c>
      <c r="AK116" s="117">
        <f>' الشركه 2018'!$AI116+' الشركه 2018'!$AJ116</f>
        <v>1080</v>
      </c>
      <c r="AL116" s="152"/>
      <c r="AM116" s="153"/>
      <c r="AN116" s="9">
        <f>Table6[[#This Row],[اجمالى الاستحقاق]]-Table6[[#This Row],[Column2]]+Table6[[#This Row],[حوافز غير مستقره]]</f>
        <v>1080</v>
      </c>
      <c r="AO116" s="59"/>
      <c r="AP116" s="169"/>
      <c r="AQ116" s="176"/>
      <c r="AR116" s="124"/>
      <c r="AS116" s="155"/>
      <c r="AT116" s="170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  <c r="BZ116" s="171"/>
      <c r="CA116" s="172"/>
      <c r="CB11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6" s="131">
        <f>' الشركه 2018'!$H116*67%*1.5*' الشركه 2018'!$CB116/208</f>
        <v>0</v>
      </c>
      <c r="CE116" s="132">
        <f>' الشركه 2018'!$H116*67%*2*' الشركه 2018'!$CC116/208</f>
        <v>0</v>
      </c>
      <c r="CF116" s="133">
        <f>' الشركه 2018'!$CD116+' الشركه 2018'!$CE116</f>
        <v>0</v>
      </c>
      <c r="CG116" s="124"/>
      <c r="CH116" s="177">
        <f>SUMIF(C116:C368,' الشركه 2018'!$CG113,L116:L368)</f>
        <v>0</v>
      </c>
      <c r="CI116" s="124"/>
      <c r="CJ116" s="177">
        <f>' الشركه 2018'!$CH113*' الشركه 2018'!$CI113</f>
        <v>0</v>
      </c>
      <c r="CK116" s="177">
        <f>' الشركه 2018'!$CJ113*8%</f>
        <v>0</v>
      </c>
      <c r="CL116" s="177">
        <f>' الشركه 2018'!$CJ113*17%</f>
        <v>0</v>
      </c>
      <c r="CM116" s="177">
        <f>' الشركه 2018'!$CJ113*25%</f>
        <v>0</v>
      </c>
      <c r="CN116" s="162"/>
      <c r="CO116" s="162"/>
      <c r="CP116" s="163">
        <v>300</v>
      </c>
      <c r="CQ116" s="164" t="e">
        <f>VLOOKUP(Table6[[#This Row],[الرقم الوظيفى]],[4]!Table3[#Data],26,FALSE)</f>
        <v>#REF!</v>
      </c>
      <c r="CR116" s="165"/>
      <c r="CS116" s="124"/>
    </row>
    <row r="117" spans="1:97" ht="28" customHeight="1" thickTop="1" thickBot="1">
      <c r="A117" s="222">
        <v>572</v>
      </c>
      <c r="B117" s="200" t="s">
        <v>320</v>
      </c>
      <c r="C117" s="201" t="s">
        <v>90</v>
      </c>
      <c r="D117" s="11" t="s">
        <v>75</v>
      </c>
      <c r="E117" s="144" t="s">
        <v>667</v>
      </c>
      <c r="F117" s="11" t="s">
        <v>63</v>
      </c>
      <c r="G117" s="184">
        <v>41531</v>
      </c>
      <c r="H117" s="210">
        <v>3120</v>
      </c>
      <c r="I117" s="211">
        <f>Table6[[#This Row],[مرتب]]/30</f>
        <v>104</v>
      </c>
      <c r="J117" s="107">
        <v>30</v>
      </c>
      <c r="K117" s="107">
        <f t="shared" si="1"/>
        <v>3120</v>
      </c>
      <c r="L117" s="212">
        <v>3120</v>
      </c>
      <c r="M117" s="107">
        <f>Table6[[#This Row],[مرتب الضمان]]*17%</f>
        <v>530.40000000000009</v>
      </c>
      <c r="N117" s="107">
        <f>' الشركه 2018'!$H117*35%</f>
        <v>1092</v>
      </c>
      <c r="O117" s="107">
        <f>' الشركه 2018'!$H117*32%</f>
        <v>998.4</v>
      </c>
      <c r="P117" s="107">
        <f>' الشركه 2018'!$H117*12%</f>
        <v>374.4</v>
      </c>
      <c r="Q117" s="107">
        <f>' الشركه 2018'!$H117*13%</f>
        <v>405.6</v>
      </c>
      <c r="R117" s="107">
        <f>' الشركه 2018'!$H117*6%</f>
        <v>187.2</v>
      </c>
      <c r="S117" s="107">
        <f>' الشركه 2018'!$H117*2%</f>
        <v>62.4</v>
      </c>
      <c r="T117" s="107">
        <f>' الشركه 2018'!$O117+' الشركه 2018'!$P117+' الشركه 2018'!$Q117+' الشركه 2018'!$R117+' الشركه 2018'!$S117</f>
        <v>2028.0000000000002</v>
      </c>
      <c r="U117" s="109">
        <f>VLOOKUP(Table6[[#This Row],[الرقم الوظيفى]],[2]بالخصم!$B$1:$AK$1200,35,)</f>
        <v>0</v>
      </c>
      <c r="V117" s="147"/>
      <c r="W117" s="111">
        <f>Table6[[#This Row],[عدد ايام الاجازه]]*Table6[[#This Row],[ح راتب اليوم]]</f>
        <v>0</v>
      </c>
      <c r="X117" s="148"/>
      <c r="Y117" s="60"/>
      <c r="Z117" s="111">
        <f>Table6[[#This Row],[عدد ايام الجزاء]]*Table6[[#This Row],[ح راتب اليوم]]</f>
        <v>0</v>
      </c>
      <c r="AA117" s="112">
        <f>Table6[[#This Row],[مرتب]]*50%</f>
        <v>1560</v>
      </c>
      <c r="AB117" s="113" t="e">
        <f>VLOOKUP(Table6[[#This Row],[الرقم الوظيفى]],[3]!Table25289[#Data],23,)</f>
        <v>#REF!</v>
      </c>
      <c r="AC117" s="149">
        <v>300</v>
      </c>
      <c r="AD117" s="150"/>
      <c r="AE117" s="113" t="e">
        <f>VLOOKUP(Table6[[#This Row],[الرقم الوظيفى]],[3]!Table252894[#Data],22,)</f>
        <v>#REF!</v>
      </c>
      <c r="AF117" s="151"/>
      <c r="AG117" s="111">
        <f>' الشركه 2018'!$W117+' الشركه 2018'!$Z117+' الشركه 2018'!$AA117+' الشركه 2018'!$AC117+' الشركه 2018'!$AD117+' الشركه 2018'!$AF117</f>
        <v>1860</v>
      </c>
      <c r="AH117" s="111">
        <f>Table6[[#This Row],[راتب الضمان]]*8%</f>
        <v>249.6</v>
      </c>
      <c r="AI117" s="111">
        <f>' الشركه 2018'!$H117-' الشركه 2018'!$AG117-' الشركه 2018'!$AH117</f>
        <v>1010.4</v>
      </c>
      <c r="AJ117" s="111">
        <f>' الشركه 2018'!$CF117</f>
        <v>0</v>
      </c>
      <c r="AK117" s="117">
        <f>' الشركه 2018'!$AI117+' الشركه 2018'!$AJ117</f>
        <v>1010.4</v>
      </c>
      <c r="AL117" s="152"/>
      <c r="AM117" s="153"/>
      <c r="AN117" s="9">
        <f>Table6[[#This Row],[اجمالى الاستحقاق]]-Table6[[#This Row],[Column2]]+Table6[[#This Row],[حوافز غير مستقره]]</f>
        <v>1010.4</v>
      </c>
      <c r="AO117" s="59"/>
      <c r="AP117" s="169"/>
      <c r="AQ117" s="176"/>
      <c r="AR117" s="124"/>
      <c r="AS117" s="155"/>
      <c r="AT117" s="170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  <c r="BZ117" s="171"/>
      <c r="CA117" s="172"/>
      <c r="CB11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7" s="131">
        <f>' الشركه 2018'!$H117*67%*1.5*' الشركه 2018'!$CB117/208</f>
        <v>0</v>
      </c>
      <c r="CE117" s="132">
        <f>' الشركه 2018'!$H117*67%*2*' الشركه 2018'!$CC117/208</f>
        <v>0</v>
      </c>
      <c r="CF117" s="133">
        <f>' الشركه 2018'!$CD117+' الشركه 2018'!$CE117</f>
        <v>0</v>
      </c>
      <c r="CG117" s="124"/>
      <c r="CH117" s="177">
        <f>SUMIF(C117:C369,' الشركه 2018'!$CG114,L117:L369)</f>
        <v>0</v>
      </c>
      <c r="CI117" s="124"/>
      <c r="CJ117" s="177">
        <f>' الشركه 2018'!$CH114*' الشركه 2018'!$CI114</f>
        <v>0</v>
      </c>
      <c r="CK117" s="177">
        <f>' الشركه 2018'!$CJ114*8%</f>
        <v>0</v>
      </c>
      <c r="CL117" s="177">
        <f>' الشركه 2018'!$CJ114*17%</f>
        <v>0</v>
      </c>
      <c r="CM117" s="177">
        <f>' الشركه 2018'!$CJ114*25%</f>
        <v>0</v>
      </c>
      <c r="CN117" s="162"/>
      <c r="CO117" s="162"/>
      <c r="CP117" s="163">
        <v>300</v>
      </c>
      <c r="CQ117" s="164" t="e">
        <f>VLOOKUP(Table6[[#This Row],[الرقم الوظيفى]],[4]!Table3[#Data],26,FALSE)</f>
        <v>#REF!</v>
      </c>
      <c r="CR117" s="165">
        <v>1000</v>
      </c>
      <c r="CS117" s="124"/>
    </row>
    <row r="118" spans="1:97" ht="28" customHeight="1" thickTop="1" thickBot="1">
      <c r="A118" s="222">
        <v>574</v>
      </c>
      <c r="B118" s="142" t="s">
        <v>290</v>
      </c>
      <c r="C118" s="59" t="s">
        <v>90</v>
      </c>
      <c r="D118" s="143" t="s">
        <v>74</v>
      </c>
      <c r="E118" s="174"/>
      <c r="F118" s="143" t="s">
        <v>63</v>
      </c>
      <c r="G118" s="145">
        <v>42110</v>
      </c>
      <c r="H118" s="146">
        <v>3100</v>
      </c>
      <c r="I118" s="106">
        <f>Table6[[#This Row],[مرتب]]/30</f>
        <v>103.33333333333333</v>
      </c>
      <c r="J118" s="107">
        <v>30</v>
      </c>
      <c r="K118" s="107">
        <f t="shared" si="1"/>
        <v>3100</v>
      </c>
      <c r="L118" s="108">
        <v>3100</v>
      </c>
      <c r="M118" s="107">
        <f>Table6[[#This Row],[مرتب الضمان]]*17%</f>
        <v>527</v>
      </c>
      <c r="N118" s="107">
        <f>' الشركه 2018'!$H118*35%</f>
        <v>1085</v>
      </c>
      <c r="O118" s="107">
        <f>' الشركه 2018'!$H118*32%</f>
        <v>992</v>
      </c>
      <c r="P118" s="107">
        <f>' الشركه 2018'!$H118*12%</f>
        <v>372</v>
      </c>
      <c r="Q118" s="107">
        <f>' الشركه 2018'!$H118*13%</f>
        <v>403</v>
      </c>
      <c r="R118" s="107">
        <f>' الشركه 2018'!$H118*6%</f>
        <v>186</v>
      </c>
      <c r="S118" s="107">
        <f>' الشركه 2018'!$H118*2%</f>
        <v>62</v>
      </c>
      <c r="T118" s="107">
        <f>' الشركه 2018'!$O118+' الشركه 2018'!$P118+' الشركه 2018'!$Q118+' الشركه 2018'!$R118+' الشركه 2018'!$S118</f>
        <v>2015</v>
      </c>
      <c r="U118" s="109">
        <f>VLOOKUP(Table6[[#This Row],[الرقم الوظيفى]],[2]بالخصم!$B$1:$AK$1200,35,)</f>
        <v>0</v>
      </c>
      <c r="V118" s="147"/>
      <c r="W118" s="111">
        <f>Table6[[#This Row],[عدد ايام الاجازه]]*Table6[[#This Row],[ح راتب اليوم]]</f>
        <v>0</v>
      </c>
      <c r="X118" s="148"/>
      <c r="Y118" s="60"/>
      <c r="Z118" s="111">
        <f>Table6[[#This Row],[عدد ايام الجزاء]]*Table6[[#This Row],[ح راتب اليوم]]</f>
        <v>0</v>
      </c>
      <c r="AA118" s="112">
        <f>Table6[[#This Row],[مرتب]]*50%</f>
        <v>1550</v>
      </c>
      <c r="AB118" s="113" t="e">
        <f>VLOOKUP(Table6[[#This Row],[الرقم الوظيفى]],[3]!Table25289[#Data],23,)</f>
        <v>#REF!</v>
      </c>
      <c r="AC118" s="149"/>
      <c r="AD118" s="150"/>
      <c r="AE118" s="113" t="e">
        <f>VLOOKUP(Table6[[#This Row],[الرقم الوظيفى]],[3]!Table252894[#Data],22,)</f>
        <v>#REF!</v>
      </c>
      <c r="AF118" s="151"/>
      <c r="AG118" s="111">
        <f>' الشركه 2018'!$W118+' الشركه 2018'!$Z118+' الشركه 2018'!$AA118+' الشركه 2018'!$AC118+' الشركه 2018'!$AD118+' الشركه 2018'!$AF118</f>
        <v>1550</v>
      </c>
      <c r="AH118" s="111">
        <f>Table6[[#This Row],[راتب الضمان]]*8%</f>
        <v>248</v>
      </c>
      <c r="AI118" s="111">
        <f>' الشركه 2018'!$H118-' الشركه 2018'!$AG118-' الشركه 2018'!$AH118</f>
        <v>1302</v>
      </c>
      <c r="AJ118" s="111">
        <f>' الشركه 2018'!$CF118</f>
        <v>0</v>
      </c>
      <c r="AK118" s="117">
        <f>' الشركه 2018'!$AI118+' الشركه 2018'!$AJ118</f>
        <v>1302</v>
      </c>
      <c r="AL118" s="152"/>
      <c r="AM118" s="153"/>
      <c r="AN118" s="9">
        <f>Table6[[#This Row],[اجمالى الاستحقاق]]-Table6[[#This Row],[Column2]]+Table6[[#This Row],[حوافز غير مستقره]]</f>
        <v>1302</v>
      </c>
      <c r="AO118" s="59"/>
      <c r="AP118" s="169"/>
      <c r="AQ118" s="176"/>
      <c r="AR118" s="124"/>
      <c r="AS118" s="155"/>
      <c r="AT118" s="170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  <c r="BZ118" s="171"/>
      <c r="CA118" s="172"/>
      <c r="CB11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8" s="131">
        <f>' الشركه 2018'!$H118*67%*1.5*' الشركه 2018'!$CB118/208</f>
        <v>0</v>
      </c>
      <c r="CE118" s="132">
        <f>' الشركه 2018'!$H118*67%*2*' الشركه 2018'!$CC118/208</f>
        <v>0</v>
      </c>
      <c r="CF118" s="133">
        <f>' الشركه 2018'!$CD118+' الشركه 2018'!$CE118</f>
        <v>0</v>
      </c>
      <c r="CG118" s="124"/>
      <c r="CH118" s="177">
        <f>SUMIF(C118:C370,' الشركه 2018'!$CG115,L118:L370)</f>
        <v>0</v>
      </c>
      <c r="CI118" s="124"/>
      <c r="CJ118" s="177">
        <f>' الشركه 2018'!$CH115*' الشركه 2018'!$CI115</f>
        <v>0</v>
      </c>
      <c r="CK118" s="177" t="e">
        <f>' الشركه 2018'!$CJ115*8%</f>
        <v>#REF!</v>
      </c>
      <c r="CL118" s="177" t="e">
        <f>' الشركه 2018'!$CJ115*17%</f>
        <v>#REF!</v>
      </c>
      <c r="CM118" s="177" t="e">
        <f>' الشركه 2018'!$CJ115*25%</f>
        <v>#REF!</v>
      </c>
      <c r="CN118" s="162"/>
      <c r="CO118" s="162"/>
      <c r="CP118" s="163"/>
      <c r="CQ118" s="164" t="e">
        <f>VLOOKUP(Table6[[#This Row],[الرقم الوظيفى]],[4]!Table3[#Data],26,FALSE)</f>
        <v>#REF!</v>
      </c>
      <c r="CR118" s="165">
        <v>1000</v>
      </c>
      <c r="CS118" s="124"/>
    </row>
    <row r="119" spans="1:97" ht="28" customHeight="1" thickTop="1" thickBot="1">
      <c r="A119" s="222">
        <v>577</v>
      </c>
      <c r="B119" s="142" t="s">
        <v>324</v>
      </c>
      <c r="C119" s="59" t="s">
        <v>90</v>
      </c>
      <c r="D119" s="143" t="s">
        <v>76</v>
      </c>
      <c r="E119" s="174"/>
      <c r="F119" s="143" t="s">
        <v>672</v>
      </c>
      <c r="G119" s="145">
        <v>41528</v>
      </c>
      <c r="H119" s="146">
        <v>4660</v>
      </c>
      <c r="I119" s="106">
        <f>Table6[[#This Row],[مرتب]]/30</f>
        <v>155.33333333333334</v>
      </c>
      <c r="J119" s="107">
        <v>30</v>
      </c>
      <c r="K119" s="107">
        <f t="shared" si="1"/>
        <v>4660</v>
      </c>
      <c r="L119" s="108">
        <v>4660</v>
      </c>
      <c r="M119" s="107">
        <f>Table6[[#This Row],[مرتب الضمان]]*17%</f>
        <v>792.2</v>
      </c>
      <c r="N119" s="107">
        <f>' الشركه 2018'!$H119*35%</f>
        <v>1631</v>
      </c>
      <c r="O119" s="107">
        <f>' الشركه 2018'!$H119*32%</f>
        <v>1491.2</v>
      </c>
      <c r="P119" s="107">
        <f>' الشركه 2018'!$H119*12%</f>
        <v>559.19999999999993</v>
      </c>
      <c r="Q119" s="107">
        <f>' الشركه 2018'!$H119*13%</f>
        <v>605.80000000000007</v>
      </c>
      <c r="R119" s="107">
        <f>' الشركه 2018'!$H119*6%</f>
        <v>279.59999999999997</v>
      </c>
      <c r="S119" s="107">
        <f>' الشركه 2018'!$H119*2%</f>
        <v>93.2</v>
      </c>
      <c r="T119" s="107">
        <f>' الشركه 2018'!$O119+' الشركه 2018'!$P119+' الشركه 2018'!$Q119+' الشركه 2018'!$R119+' الشركه 2018'!$S119</f>
        <v>3029</v>
      </c>
      <c r="U119" s="109">
        <f>VLOOKUP(Table6[[#This Row],[الرقم الوظيفى]],[2]بالخصم!$B$1:$AK$1200,35,)</f>
        <v>0</v>
      </c>
      <c r="V119" s="147"/>
      <c r="W119" s="111">
        <f>Table6[[#This Row],[عدد ايام الاجازه]]*Table6[[#This Row],[ح راتب اليوم]]</f>
        <v>0</v>
      </c>
      <c r="X119" s="148"/>
      <c r="Y119" s="60"/>
      <c r="Z119" s="111">
        <f>Table6[[#This Row],[عدد ايام الجزاء]]*Table6[[#This Row],[ح راتب اليوم]]</f>
        <v>0</v>
      </c>
      <c r="AA119" s="112">
        <f>Table6[[#This Row],[مرتب]]*50%</f>
        <v>2330</v>
      </c>
      <c r="AB119" s="113" t="e">
        <f>VLOOKUP(Table6[[#This Row],[الرقم الوظيفى]],[3]!Table25289[#Data],23,)</f>
        <v>#REF!</v>
      </c>
      <c r="AC119" s="149">
        <v>200</v>
      </c>
      <c r="AD119" s="168"/>
      <c r="AE119" s="113" t="e">
        <f>VLOOKUP(Table6[[#This Row],[الرقم الوظيفى]],[3]!Table252894[#Data],22,)</f>
        <v>#REF!</v>
      </c>
      <c r="AF119" s="151"/>
      <c r="AG119" s="111">
        <f>' الشركه 2018'!$W119+' الشركه 2018'!$Z119+' الشركه 2018'!$AA119+' الشركه 2018'!$AC119+' الشركه 2018'!$AD119+' الشركه 2018'!$AF119</f>
        <v>2530</v>
      </c>
      <c r="AH119" s="111">
        <f>Table6[[#This Row],[راتب الضمان]]*8%</f>
        <v>372.8</v>
      </c>
      <c r="AI119" s="111">
        <f>' الشركه 2018'!$H119-' الشركه 2018'!$AG119-' الشركه 2018'!$AH119</f>
        <v>1757.2</v>
      </c>
      <c r="AJ119" s="111">
        <f>' الشركه 2018'!$CF119</f>
        <v>0</v>
      </c>
      <c r="AK119" s="117">
        <f>' الشركه 2018'!$AI119+' الشركه 2018'!$AJ119</f>
        <v>1757.2</v>
      </c>
      <c r="AL119" s="152"/>
      <c r="AM119" s="153"/>
      <c r="AN119" s="9">
        <f>Table6[[#This Row],[اجمالى الاستحقاق]]-Table6[[#This Row],[Column2]]+Table6[[#This Row],[حوافز غير مستقره]]</f>
        <v>1757.2</v>
      </c>
      <c r="AO119" s="59"/>
      <c r="AP119" s="169"/>
      <c r="AQ119" s="176"/>
      <c r="AR119" s="124"/>
      <c r="AS119" s="155"/>
      <c r="AT119" s="170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  <c r="BZ119" s="171"/>
      <c r="CA119" s="172"/>
      <c r="CB11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1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19" s="131">
        <f>' الشركه 2018'!$H119*67%*1.5*' الشركه 2018'!$CB119/208</f>
        <v>0</v>
      </c>
      <c r="CE119" s="132">
        <f>' الشركه 2018'!$H119*67%*2*' الشركه 2018'!$CC119/208</f>
        <v>0</v>
      </c>
      <c r="CF119" s="133">
        <f>' الشركه 2018'!$CD119+' الشركه 2018'!$CE119</f>
        <v>0</v>
      </c>
      <c r="CG119" s="124"/>
      <c r="CH119" s="177">
        <f>SUMIF(C119:C372,' الشركه 2018'!$CG117,L119:L372)</f>
        <v>0</v>
      </c>
      <c r="CI119" s="124"/>
      <c r="CJ119" s="177">
        <f>' الشركه 2018'!$CH117*' الشركه 2018'!$CI117</f>
        <v>0</v>
      </c>
      <c r="CK119" s="177">
        <f>' الشركه 2018'!$CJ117*8%</f>
        <v>0</v>
      </c>
      <c r="CL119" s="177">
        <f>' الشركه 2018'!$CJ117*17%</f>
        <v>0</v>
      </c>
      <c r="CM119" s="177">
        <f>' الشركه 2018'!$CJ117*25%</f>
        <v>0</v>
      </c>
      <c r="CN119" s="162"/>
      <c r="CO119" s="162"/>
      <c r="CP119" s="163">
        <v>200</v>
      </c>
      <c r="CQ119" s="164" t="e">
        <f>VLOOKUP(Table6[[#This Row],[الرقم الوظيفى]],[4]!Table3[#Data],26,FALSE)</f>
        <v>#REF!</v>
      </c>
      <c r="CR119" s="165">
        <v>600</v>
      </c>
      <c r="CS119" s="124"/>
    </row>
    <row r="120" spans="1:97" ht="28" customHeight="1" thickTop="1" thickBot="1">
      <c r="A120" s="222">
        <v>585</v>
      </c>
      <c r="B120" s="142" t="s">
        <v>340</v>
      </c>
      <c r="C120" s="59" t="s">
        <v>90</v>
      </c>
      <c r="D120" s="143" t="s">
        <v>76</v>
      </c>
      <c r="E120" s="174"/>
      <c r="F120" s="143" t="s">
        <v>63</v>
      </c>
      <c r="G120" s="145">
        <v>41541</v>
      </c>
      <c r="H120" s="146">
        <v>3160</v>
      </c>
      <c r="I120" s="106">
        <f>Table6[[#This Row],[مرتب]]/30</f>
        <v>105.33333333333333</v>
      </c>
      <c r="J120" s="107">
        <v>30</v>
      </c>
      <c r="K120" s="107">
        <f t="shared" si="1"/>
        <v>0</v>
      </c>
      <c r="L120" s="108">
        <v>0</v>
      </c>
      <c r="M120" s="107">
        <f>Table6[[#This Row],[مرتب الضمان]]*17%</f>
        <v>0</v>
      </c>
      <c r="N120" s="107">
        <f>' الشركه 2018'!$H120*35%</f>
        <v>1106</v>
      </c>
      <c r="O120" s="107">
        <f>' الشركه 2018'!$H120*32%</f>
        <v>1011.2</v>
      </c>
      <c r="P120" s="107">
        <f>' الشركه 2018'!$H120*12%</f>
        <v>379.2</v>
      </c>
      <c r="Q120" s="107">
        <f>' الشركه 2018'!$H120*13%</f>
        <v>410.8</v>
      </c>
      <c r="R120" s="107">
        <f>' الشركه 2018'!$H120*6%</f>
        <v>189.6</v>
      </c>
      <c r="S120" s="107">
        <f>' الشركه 2018'!$H120*2%</f>
        <v>63.2</v>
      </c>
      <c r="T120" s="107">
        <f>' الشركه 2018'!$O120+' الشركه 2018'!$P120+' الشركه 2018'!$Q120+' الشركه 2018'!$R120+' الشركه 2018'!$S120</f>
        <v>2054</v>
      </c>
      <c r="U120" s="109">
        <f>VLOOKUP(Table6[[#This Row],[الرقم الوظيفى]],[2]بالخصم!$B$1:$AK$1200,35,)</f>
        <v>0</v>
      </c>
      <c r="V120" s="147"/>
      <c r="W120" s="111">
        <f>Table6[[#This Row],[عدد ايام الاجازه]]*Table6[[#This Row],[ح راتب اليوم]]</f>
        <v>0</v>
      </c>
      <c r="X120" s="148"/>
      <c r="Y120" s="60"/>
      <c r="Z120" s="111">
        <f>Table6[[#This Row],[عدد ايام الجزاء]]*Table6[[#This Row],[ح راتب اليوم]]</f>
        <v>0</v>
      </c>
      <c r="AA120" s="112">
        <f>Table6[[#This Row],[مرتب]]*50%</f>
        <v>1580</v>
      </c>
      <c r="AB120" s="113" t="e">
        <f>VLOOKUP(Table6[[#This Row],[الرقم الوظيفى]],[3]!Table25289[#Data],23,)</f>
        <v>#REF!</v>
      </c>
      <c r="AC120" s="149">
        <v>100</v>
      </c>
      <c r="AD120" s="150"/>
      <c r="AE120" s="113" t="e">
        <f>VLOOKUP(Table6[[#This Row],[الرقم الوظيفى]],[3]!Table252894[#Data],22,)</f>
        <v>#REF!</v>
      </c>
      <c r="AF120" s="151"/>
      <c r="AG120" s="111">
        <f>' الشركه 2018'!$W120+' الشركه 2018'!$Z120+' الشركه 2018'!$AA120+' الشركه 2018'!$AC120+' الشركه 2018'!$AD120+' الشركه 2018'!$AF120</f>
        <v>1680</v>
      </c>
      <c r="AH120" s="111">
        <f>Table6[[#This Row],[راتب الضمان]]*8%</f>
        <v>0</v>
      </c>
      <c r="AI120" s="111">
        <f>' الشركه 2018'!$H120-' الشركه 2018'!$AG120-' الشركه 2018'!$AH120</f>
        <v>1480</v>
      </c>
      <c r="AJ120" s="111">
        <f>' الشركه 2018'!$CF120</f>
        <v>0</v>
      </c>
      <c r="AK120" s="117">
        <f>' الشركه 2018'!$AI120+' الشركه 2018'!$AJ120</f>
        <v>1480</v>
      </c>
      <c r="AL120" s="152"/>
      <c r="AM120" s="153"/>
      <c r="AN120" s="9">
        <f>Table6[[#This Row],[اجمالى الاستحقاق]]-Table6[[#This Row],[Column2]]+Table6[[#This Row],[حوافز غير مستقره]]</f>
        <v>1480</v>
      </c>
      <c r="AO120" s="59"/>
      <c r="AP120" s="169"/>
      <c r="AQ120" s="176"/>
      <c r="AR120" s="124"/>
      <c r="AS120" s="155"/>
      <c r="AT120" s="170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  <c r="BZ120" s="171"/>
      <c r="CA120" s="172"/>
      <c r="CB12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0" s="131">
        <f>' الشركه 2018'!$H120*67%*1.5*' الشركه 2018'!$CB120/208</f>
        <v>0</v>
      </c>
      <c r="CE120" s="132">
        <f>' الشركه 2018'!$H120*67%*2*' الشركه 2018'!$CC120/208</f>
        <v>0</v>
      </c>
      <c r="CF120" s="133">
        <f>' الشركه 2018'!$CD120+' الشركه 2018'!$CE120</f>
        <v>0</v>
      </c>
      <c r="CG120" s="124"/>
      <c r="CH120" s="177">
        <f>SUMIF(C120:C374,' الشركه 2018'!$CG118,L120:L374)</f>
        <v>0</v>
      </c>
      <c r="CI120" s="124"/>
      <c r="CJ120" s="177">
        <f>' الشركه 2018'!$CH118*' الشركه 2018'!$CI118</f>
        <v>0</v>
      </c>
      <c r="CK120" s="177">
        <f>' الشركه 2018'!$CJ118*8%</f>
        <v>0</v>
      </c>
      <c r="CL120" s="177">
        <f>' الشركه 2018'!$CJ118*17%</f>
        <v>0</v>
      </c>
      <c r="CM120" s="177">
        <f>' الشركه 2018'!$CJ118*25%</f>
        <v>0</v>
      </c>
      <c r="CN120" s="162"/>
      <c r="CO120" s="162"/>
      <c r="CP120" s="163">
        <v>300</v>
      </c>
      <c r="CQ120" s="164" t="e">
        <f>VLOOKUP(Table6[[#This Row],[الرقم الوظيفى]],[4]!Table3[#Data],26,FALSE)</f>
        <v>#REF!</v>
      </c>
      <c r="CR120" s="165"/>
      <c r="CS120" s="124"/>
    </row>
    <row r="121" spans="1:97" ht="28" customHeight="1" thickTop="1" thickBot="1">
      <c r="A121" s="222">
        <v>591</v>
      </c>
      <c r="B121" s="142" t="s">
        <v>293</v>
      </c>
      <c r="C121" s="59" t="s">
        <v>90</v>
      </c>
      <c r="D121" s="143" t="s">
        <v>74</v>
      </c>
      <c r="E121" s="174" t="s">
        <v>654</v>
      </c>
      <c r="F121" s="143" t="s">
        <v>63</v>
      </c>
      <c r="G121" s="145">
        <v>41554</v>
      </c>
      <c r="H121" s="146">
        <v>3150</v>
      </c>
      <c r="I121" s="106">
        <f>Table6[[#This Row],[مرتب]]/30</f>
        <v>105</v>
      </c>
      <c r="J121" s="107">
        <v>30</v>
      </c>
      <c r="K121" s="107">
        <f t="shared" si="1"/>
        <v>3150</v>
      </c>
      <c r="L121" s="108">
        <v>3150</v>
      </c>
      <c r="M121" s="107">
        <f>Table6[[#This Row],[مرتب الضمان]]*17%</f>
        <v>535.5</v>
      </c>
      <c r="N121" s="107">
        <f>' الشركه 2018'!$H121*35%</f>
        <v>1102.5</v>
      </c>
      <c r="O121" s="107">
        <f>' الشركه 2018'!$H121*32%</f>
        <v>1008</v>
      </c>
      <c r="P121" s="107">
        <f>' الشركه 2018'!$H121*12%</f>
        <v>378</v>
      </c>
      <c r="Q121" s="107">
        <f>' الشركه 2018'!$H121*13%</f>
        <v>409.5</v>
      </c>
      <c r="R121" s="107">
        <f>' الشركه 2018'!$H121*6%</f>
        <v>189</v>
      </c>
      <c r="S121" s="107">
        <f>' الشركه 2018'!$H121*2%</f>
        <v>63</v>
      </c>
      <c r="T121" s="107">
        <f>' الشركه 2018'!$O121+' الشركه 2018'!$P121+' الشركه 2018'!$Q121+' الشركه 2018'!$R121+' الشركه 2018'!$S121</f>
        <v>2047.5</v>
      </c>
      <c r="U121" s="109">
        <f>VLOOKUP(Table6[[#This Row],[الرقم الوظيفى]],[2]بالخصم!$B$1:$AK$1200,35,)</f>
        <v>0</v>
      </c>
      <c r="V121" s="147"/>
      <c r="W121" s="111">
        <f>Table6[[#This Row],[عدد ايام الاجازه]]*Table6[[#This Row],[ح راتب اليوم]]</f>
        <v>0</v>
      </c>
      <c r="X121" s="148"/>
      <c r="Y121" s="60"/>
      <c r="Z121" s="111">
        <f>Table6[[#This Row],[عدد ايام الجزاء]]*Table6[[#This Row],[ح راتب اليوم]]</f>
        <v>0</v>
      </c>
      <c r="AA121" s="112">
        <f>Table6[[#This Row],[مرتب]]*50%</f>
        <v>1575</v>
      </c>
      <c r="AB121" s="113" t="e">
        <f>VLOOKUP(Table6[[#This Row],[الرقم الوظيفى]],[3]!Table25289[#Data],23,)</f>
        <v>#REF!</v>
      </c>
      <c r="AC121" s="149"/>
      <c r="AD121" s="150"/>
      <c r="AE121" s="113" t="e">
        <f>VLOOKUP(Table6[[#This Row],[الرقم الوظيفى]],[3]!Table252894[#Data],22,)</f>
        <v>#REF!</v>
      </c>
      <c r="AF121" s="151"/>
      <c r="AG121" s="111">
        <f>' الشركه 2018'!$W121+' الشركه 2018'!$Z121+' الشركه 2018'!$AA121+' الشركه 2018'!$AC121+' الشركه 2018'!$AD121+' الشركه 2018'!$AF121</f>
        <v>1575</v>
      </c>
      <c r="AH121" s="111">
        <f>Table6[[#This Row],[راتب الضمان]]*8%</f>
        <v>252</v>
      </c>
      <c r="AI121" s="111">
        <f>' الشركه 2018'!$H121-' الشركه 2018'!$AG121-' الشركه 2018'!$AH121</f>
        <v>1323</v>
      </c>
      <c r="AJ121" s="111">
        <f>' الشركه 2018'!$CF121</f>
        <v>175.02944711538461</v>
      </c>
      <c r="AK121" s="117">
        <f>' الشركه 2018'!$AI121+' الشركه 2018'!$AJ121</f>
        <v>1498.0294471153845</v>
      </c>
      <c r="AL121" s="152"/>
      <c r="AM121" s="153"/>
      <c r="AN121" s="9">
        <f>Table6[[#This Row],[اجمالى الاستحقاق]]-Table6[[#This Row],[Column2]]+Table6[[#This Row],[حوافز غير مستقره]]</f>
        <v>1498.0294471153845</v>
      </c>
      <c r="AO121" s="59"/>
      <c r="AP121" s="169"/>
      <c r="AQ121" s="176"/>
      <c r="AR121" s="124"/>
      <c r="AS121" s="155"/>
      <c r="AT121" s="170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>
        <v>11.5</v>
      </c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  <c r="BZ121" s="171"/>
      <c r="CA121" s="172"/>
      <c r="CB12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11.5</v>
      </c>
      <c r="CC12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1" s="131">
        <f>' الشركه 2018'!$H121*67%*1.5*' الشركه 2018'!$CB121/208</f>
        <v>175.02944711538461</v>
      </c>
      <c r="CE121" s="132">
        <f>' الشركه 2018'!$H121*67%*2*' الشركه 2018'!$CC121/208</f>
        <v>0</v>
      </c>
      <c r="CF121" s="133">
        <f>' الشركه 2018'!$CD121+' الشركه 2018'!$CE121</f>
        <v>175.02944711538461</v>
      </c>
      <c r="CG121" s="124"/>
      <c r="CH121" s="177">
        <f>SUMIF(C121:C375,' الشركه 2018'!#REF!,L121:L375)</f>
        <v>0</v>
      </c>
      <c r="CI121" s="124"/>
      <c r="CJ121" s="177" t="e">
        <f>' الشركه 2018'!#REF!*' الشركه 2018'!#REF!</f>
        <v>#REF!</v>
      </c>
      <c r="CK121" s="177" t="e">
        <f>' الشركه 2018'!#REF!*8%</f>
        <v>#REF!</v>
      </c>
      <c r="CL121" s="177" t="e">
        <f>' الشركه 2018'!#REF!*17%</f>
        <v>#REF!</v>
      </c>
      <c r="CM121" s="177" t="e">
        <f>' الشركه 2018'!#REF!*25%</f>
        <v>#REF!</v>
      </c>
      <c r="CN121" s="162"/>
      <c r="CO121" s="162"/>
      <c r="CP121" s="163">
        <v>300</v>
      </c>
      <c r="CQ121" s="164" t="e">
        <f>VLOOKUP(Table6[[#This Row],[الرقم الوظيفى]],[4]!Table3[#Data],26,FALSE)</f>
        <v>#REF!</v>
      </c>
      <c r="CR121" s="165"/>
      <c r="CS121" s="124"/>
    </row>
    <row r="122" spans="1:97" ht="28" customHeight="1" thickTop="1" thickBot="1">
      <c r="A122" s="227">
        <v>592</v>
      </c>
      <c r="B122" s="200" t="s">
        <v>673</v>
      </c>
      <c r="C122" s="243" t="s">
        <v>90</v>
      </c>
      <c r="D122" s="11" t="s">
        <v>74</v>
      </c>
      <c r="E122" s="144" t="s">
        <v>74</v>
      </c>
      <c r="F122" s="11" t="s">
        <v>207</v>
      </c>
      <c r="G122" s="184">
        <v>43160</v>
      </c>
      <c r="H122" s="154">
        <v>8000</v>
      </c>
      <c r="I122" s="203">
        <f>Table6[[#This Row],[مرتب]]/30</f>
        <v>266.66666666666669</v>
      </c>
      <c r="J122" s="107">
        <v>30</v>
      </c>
      <c r="K122" s="107">
        <f t="shared" si="1"/>
        <v>8000.0000000000009</v>
      </c>
      <c r="L122" s="107">
        <v>8000</v>
      </c>
      <c r="M122" s="107">
        <f>Table6[[#This Row],[مرتب الضمان]]*17%</f>
        <v>1360</v>
      </c>
      <c r="N122" s="107">
        <f>' الشركه 2018'!$H122*35%</f>
        <v>2800</v>
      </c>
      <c r="O122" s="107">
        <f>' الشركه 2018'!$H122*32%</f>
        <v>2560</v>
      </c>
      <c r="P122" s="107">
        <f>' الشركه 2018'!$H122*12%</f>
        <v>960</v>
      </c>
      <c r="Q122" s="107">
        <f>' الشركه 2018'!$H122*13%</f>
        <v>1040</v>
      </c>
      <c r="R122" s="107">
        <f>' الشركه 2018'!$H122*6%</f>
        <v>480</v>
      </c>
      <c r="S122" s="107">
        <f>' الشركه 2018'!$H122*2%</f>
        <v>160</v>
      </c>
      <c r="T122" s="107">
        <f>' الشركه 2018'!$O122+' الشركه 2018'!$P122+' الشركه 2018'!$Q122+' الشركه 2018'!$R122+' الشركه 2018'!$S122</f>
        <v>5200</v>
      </c>
      <c r="U122" s="109">
        <f>VLOOKUP(Table6[[#This Row],[الرقم الوظيفى]],[2]بالخصم!$B$1:$AK$1200,35,)</f>
        <v>0</v>
      </c>
      <c r="V122" s="204"/>
      <c r="W122" s="111">
        <f>Table6[[#This Row],[عدد ايام الاجازه]]*Table6[[#This Row],[ح راتب اليوم]]</f>
        <v>0</v>
      </c>
      <c r="X122" s="148"/>
      <c r="Y122" s="201"/>
      <c r="Z122" s="111">
        <f>Table6[[#This Row],[عدد ايام الجزاء]]*Table6[[#This Row],[ح راتب اليوم]]</f>
        <v>0</v>
      </c>
      <c r="AA122" s="112">
        <f>Table6[[#This Row],[مرتب]]*50%</f>
        <v>4000</v>
      </c>
      <c r="AB122" s="113" t="e">
        <f>VLOOKUP(Table6[[#This Row],[الرقم الوظيفى]],[3]!Table25289[#Data],23,)</f>
        <v>#REF!</v>
      </c>
      <c r="AC122" s="205"/>
      <c r="AD122" s="206"/>
      <c r="AE122" s="113" t="e">
        <f>VLOOKUP(Table6[[#This Row],[الرقم الوظيفى]],[3]!Table252894[#Data],22,)</f>
        <v>#REF!</v>
      </c>
      <c r="AF122" s="207"/>
      <c r="AG122" s="111">
        <f>' الشركه 2018'!$W122+' الشركه 2018'!$Z122+' الشركه 2018'!$AA122+' الشركه 2018'!$AC122+' الشركه 2018'!$AD122+' الشركه 2018'!$AF122</f>
        <v>4000</v>
      </c>
      <c r="AH122" s="111">
        <f>Table6[[#This Row],[راتب الضمان]]*8%</f>
        <v>640.00000000000011</v>
      </c>
      <c r="AI122" s="111">
        <f>' الشركه 2018'!$H122-' الشركه 2018'!$AG122-' الشركه 2018'!$AH122</f>
        <v>3360</v>
      </c>
      <c r="AJ122" s="111">
        <f>' الشركه 2018'!$CF122</f>
        <v>0</v>
      </c>
      <c r="AK122" s="117">
        <f>' الشركه 2018'!$AI122+' الشركه 2018'!$AJ122</f>
        <v>3360</v>
      </c>
      <c r="AL122" s="152"/>
      <c r="AM122" s="153"/>
      <c r="AN122" s="9">
        <f>Table6[[#This Row],[اجمالى الاستحقاق]]-Table6[[#This Row],[Column2]]+Table6[[#This Row],[حوافز غير مستقره]]</f>
        <v>3360</v>
      </c>
      <c r="AO122" s="59"/>
      <c r="AP122" s="169"/>
      <c r="AQ122" s="176"/>
      <c r="AR122" s="124"/>
      <c r="AS122" s="208"/>
      <c r="AT122" s="170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228"/>
      <c r="BI122" s="124"/>
      <c r="BJ122" s="228"/>
      <c r="BK122" s="124"/>
      <c r="BL122" s="124"/>
      <c r="BM122" s="177"/>
      <c r="BN122" s="177"/>
      <c r="BO122" s="124"/>
      <c r="BP122" s="177"/>
      <c r="BQ122" s="124"/>
      <c r="BR122" s="177"/>
      <c r="BS122" s="177"/>
      <c r="BT122" s="124"/>
      <c r="BU122" s="124"/>
      <c r="BV122" s="124"/>
      <c r="BW122" s="177"/>
      <c r="BX122" s="177"/>
      <c r="BY122" s="177"/>
      <c r="BZ122" s="177"/>
      <c r="CA122" s="177"/>
      <c r="CB12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2" s="131">
        <f>' الشركه 2018'!$H122*67%*1.5*' الشركه 2018'!$CB122/208</f>
        <v>0</v>
      </c>
      <c r="CE122" s="132">
        <f>' الشركه 2018'!$H122*67%*2*' الشركه 2018'!$CC122/208</f>
        <v>0</v>
      </c>
      <c r="CF122" s="133">
        <f>' الشركه 2018'!$CD122+' الشركه 2018'!$CE122</f>
        <v>0</v>
      </c>
      <c r="CG122" s="124"/>
      <c r="CH122" s="177"/>
      <c r="CI122" s="124"/>
      <c r="CJ122" s="162"/>
      <c r="CK122" s="162"/>
      <c r="CL122" s="177"/>
      <c r="CM122" s="162"/>
      <c r="CN122" s="162"/>
      <c r="CO122" s="162"/>
      <c r="CP122" s="163"/>
      <c r="CQ122" s="164" t="e">
        <f>VLOOKUP(Table6[[#This Row],[الرقم الوظيفى]],[4]!Table3[#Data],26,FALSE)</f>
        <v>#REF!</v>
      </c>
      <c r="CR122" s="165">
        <v>1000</v>
      </c>
      <c r="CS122" s="124"/>
    </row>
    <row r="123" spans="1:97" ht="28" customHeight="1" thickTop="1" thickBot="1">
      <c r="A123" s="222">
        <v>604</v>
      </c>
      <c r="B123" s="142" t="s">
        <v>674</v>
      </c>
      <c r="C123" s="59" t="s">
        <v>90</v>
      </c>
      <c r="D123" s="143" t="s">
        <v>74</v>
      </c>
      <c r="E123" s="174" t="s">
        <v>622</v>
      </c>
      <c r="F123" s="143" t="s">
        <v>63</v>
      </c>
      <c r="G123" s="145">
        <v>41580</v>
      </c>
      <c r="H123" s="146">
        <v>3150</v>
      </c>
      <c r="I123" s="106">
        <f>Table6[[#This Row],[مرتب]]/30</f>
        <v>105</v>
      </c>
      <c r="J123" s="107">
        <v>30</v>
      </c>
      <c r="K123" s="107">
        <f t="shared" si="1"/>
        <v>3150</v>
      </c>
      <c r="L123" s="108">
        <v>3150</v>
      </c>
      <c r="M123" s="107">
        <f>Table6[[#This Row],[مرتب الضمان]]*17%</f>
        <v>535.5</v>
      </c>
      <c r="N123" s="107">
        <f>' الشركه 2018'!$H123*35%</f>
        <v>1102.5</v>
      </c>
      <c r="O123" s="107">
        <f>' الشركه 2018'!$H123*32%</f>
        <v>1008</v>
      </c>
      <c r="P123" s="107">
        <f>' الشركه 2018'!$H123*12%</f>
        <v>378</v>
      </c>
      <c r="Q123" s="107">
        <f>' الشركه 2018'!$H123*13%</f>
        <v>409.5</v>
      </c>
      <c r="R123" s="107">
        <f>' الشركه 2018'!$H123*6%</f>
        <v>189</v>
      </c>
      <c r="S123" s="107">
        <f>' الشركه 2018'!$H123*2%</f>
        <v>63</v>
      </c>
      <c r="T123" s="107">
        <f>' الشركه 2018'!$O123+' الشركه 2018'!$P123+' الشركه 2018'!$Q123+' الشركه 2018'!$R123+' الشركه 2018'!$S123</f>
        <v>2047.5</v>
      </c>
      <c r="U123" s="109">
        <f>VLOOKUP(Table6[[#This Row],[الرقم الوظيفى]],[2]بالخصم!$B$1:$AK$1200,35,)</f>
        <v>0</v>
      </c>
      <c r="V123" s="147"/>
      <c r="W123" s="111">
        <f>Table6[[#This Row],[عدد ايام الاجازه]]*Table6[[#This Row],[ح راتب اليوم]]</f>
        <v>0</v>
      </c>
      <c r="X123" s="148"/>
      <c r="Y123" s="60"/>
      <c r="Z123" s="111">
        <f>Table6[[#This Row],[عدد ايام الجزاء]]*Table6[[#This Row],[ح راتب اليوم]]</f>
        <v>0</v>
      </c>
      <c r="AA123" s="112">
        <f>Table6[[#This Row],[مرتب]]*50%</f>
        <v>1575</v>
      </c>
      <c r="AB123" s="113" t="e">
        <f>VLOOKUP(Table6[[#This Row],[الرقم الوظيفى]],[3]!Table25289[#Data],23,)</f>
        <v>#REF!</v>
      </c>
      <c r="AC123" s="149"/>
      <c r="AD123" s="150"/>
      <c r="AE123" s="113" t="e">
        <f>VLOOKUP(Table6[[#This Row],[الرقم الوظيفى]],[3]!Table252894[#Data],22,)</f>
        <v>#REF!</v>
      </c>
      <c r="AF123" s="151"/>
      <c r="AG123" s="111">
        <f>' الشركه 2018'!$W123+' الشركه 2018'!$Z123+' الشركه 2018'!$AA123+' الشركه 2018'!$AC123+' الشركه 2018'!$AD123+' الشركه 2018'!$AF123</f>
        <v>1575</v>
      </c>
      <c r="AH123" s="111">
        <f>Table6[[#This Row],[راتب الضمان]]*8%</f>
        <v>252</v>
      </c>
      <c r="AI123" s="111">
        <f>' الشركه 2018'!$H123-' الشركه 2018'!$AG123-' الشركه 2018'!$AH123</f>
        <v>1323</v>
      </c>
      <c r="AJ123" s="111">
        <f>' الشركه 2018'!$CF123</f>
        <v>0</v>
      </c>
      <c r="AK123" s="117">
        <f>' الشركه 2018'!$AI123+' الشركه 2018'!$AJ123</f>
        <v>1323</v>
      </c>
      <c r="AL123" s="152"/>
      <c r="AM123" s="153"/>
      <c r="AN123" s="9">
        <f>Table6[[#This Row],[اجمالى الاستحقاق]]-Table6[[#This Row],[Column2]]+Table6[[#This Row],[حوافز غير مستقره]]</f>
        <v>1323</v>
      </c>
      <c r="AO123" s="59"/>
      <c r="AP123" s="169"/>
      <c r="AQ123" s="176"/>
      <c r="AR123" s="124"/>
      <c r="AS123" s="155"/>
      <c r="AT123" s="170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  <c r="BZ123" s="171"/>
      <c r="CA123" s="172"/>
      <c r="CB12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3" s="131">
        <f>' الشركه 2018'!$H123*67%*1.5*' الشركه 2018'!$CB123/208</f>
        <v>0</v>
      </c>
      <c r="CE123" s="132">
        <f>' الشركه 2018'!$H123*67%*2*' الشركه 2018'!$CC123/208</f>
        <v>0</v>
      </c>
      <c r="CF123" s="133">
        <f>' الشركه 2018'!$CD123+' الشركه 2018'!$CE123</f>
        <v>0</v>
      </c>
      <c r="CG123" s="124"/>
      <c r="CH123" s="177">
        <f>SUMIF(C123:C379,' الشركه 2018'!$CG119,L123:L379)</f>
        <v>0</v>
      </c>
      <c r="CI123" s="124"/>
      <c r="CJ123" s="177">
        <f>' الشركه 2018'!$CH119*' الشركه 2018'!$CI119</f>
        <v>0</v>
      </c>
      <c r="CK123" s="177">
        <f>' الشركه 2018'!$CJ119*8%</f>
        <v>0</v>
      </c>
      <c r="CL123" s="177">
        <f>' الشركه 2018'!$CJ119*17%</f>
        <v>0</v>
      </c>
      <c r="CM123" s="177">
        <f>' الشركه 2018'!$CJ119*25%</f>
        <v>0</v>
      </c>
      <c r="CN123" s="162"/>
      <c r="CO123" s="162"/>
      <c r="CP123" s="163"/>
      <c r="CQ123" s="164" t="e">
        <f>VLOOKUP(Table6[[#This Row],[الرقم الوظيفى]],[4]!Table3[#Data],26,FALSE)</f>
        <v>#REF!</v>
      </c>
      <c r="CR123" s="165">
        <v>400</v>
      </c>
      <c r="CS123" s="124"/>
    </row>
    <row r="124" spans="1:97" ht="28" customHeight="1" thickTop="1" thickBot="1">
      <c r="A124" s="222">
        <v>609</v>
      </c>
      <c r="B124" s="244" t="s">
        <v>424</v>
      </c>
      <c r="C124" s="245" t="s">
        <v>90</v>
      </c>
      <c r="D124" s="11" t="s">
        <v>83</v>
      </c>
      <c r="E124" s="202"/>
      <c r="F124" s="11"/>
      <c r="G124" s="246">
        <v>42922</v>
      </c>
      <c r="H124" s="146">
        <v>4520</v>
      </c>
      <c r="I124" s="106">
        <f>Table6[[#This Row],[مرتب]]/30</f>
        <v>150.66666666666666</v>
      </c>
      <c r="J124" s="107">
        <v>30</v>
      </c>
      <c r="K124" s="107">
        <f t="shared" si="1"/>
        <v>4520</v>
      </c>
      <c r="L124" s="108">
        <v>4520</v>
      </c>
      <c r="M124" s="107">
        <f>Table6[[#This Row],[مرتب الضمان]]*17%</f>
        <v>768.40000000000009</v>
      </c>
      <c r="N124" s="107">
        <f>' الشركه 2018'!$H124*35%</f>
        <v>1582</v>
      </c>
      <c r="O124" s="107">
        <f>' الشركه 2018'!$H124*32%</f>
        <v>1446.4</v>
      </c>
      <c r="P124" s="107">
        <f>' الشركه 2018'!$H124*12%</f>
        <v>542.4</v>
      </c>
      <c r="Q124" s="107">
        <f>' الشركه 2018'!$H124*13%</f>
        <v>587.6</v>
      </c>
      <c r="R124" s="107">
        <f>' الشركه 2018'!$H124*6%</f>
        <v>271.2</v>
      </c>
      <c r="S124" s="107">
        <f>' الشركه 2018'!$H124*2%</f>
        <v>90.4</v>
      </c>
      <c r="T124" s="107">
        <f>' الشركه 2018'!$O124+' الشركه 2018'!$P124+' الشركه 2018'!$Q124+' الشركه 2018'!$R124+' الشركه 2018'!$S124</f>
        <v>2938</v>
      </c>
      <c r="U124" s="109">
        <f>VLOOKUP(Table6[[#This Row],[الرقم الوظيفى]],[2]بالخصم!$B$1:$AK$1200,35,)</f>
        <v>0</v>
      </c>
      <c r="V124" s="213"/>
      <c r="W124" s="111">
        <f>Table6[[#This Row],[عدد ايام الاجازه]]*Table6[[#This Row],[ح راتب اليوم]]</f>
        <v>0</v>
      </c>
      <c r="X124" s="148"/>
      <c r="Y124" s="214"/>
      <c r="Z124" s="111">
        <f>Table6[[#This Row],[عدد ايام الجزاء]]*Table6[[#This Row],[ح راتب اليوم]]</f>
        <v>0</v>
      </c>
      <c r="AA124" s="112">
        <f>Table6[[#This Row],[مرتب]]*50%</f>
        <v>2260</v>
      </c>
      <c r="AB124" s="113" t="e">
        <f>VLOOKUP(Table6[[#This Row],[الرقم الوظيفى]],[3]!Table25289[#Data],23,)</f>
        <v>#REF!</v>
      </c>
      <c r="AC124" s="215">
        <v>700</v>
      </c>
      <c r="AD124" s="206"/>
      <c r="AE124" s="113" t="e">
        <f>VLOOKUP(Table6[[#This Row],[الرقم الوظيفى]],[3]!Table252894[#Data],22,)</f>
        <v>#REF!</v>
      </c>
      <c r="AF124" s="151"/>
      <c r="AG124" s="111">
        <f>' الشركه 2018'!$W124+' الشركه 2018'!$Z124+' الشركه 2018'!$AA124+' الشركه 2018'!$AC124+' الشركه 2018'!$AD124+' الشركه 2018'!$AF124</f>
        <v>2960</v>
      </c>
      <c r="AH124" s="111">
        <f>Table6[[#This Row],[راتب الضمان]]*8%</f>
        <v>361.6</v>
      </c>
      <c r="AI124" s="111">
        <f>' الشركه 2018'!$H124-' الشركه 2018'!$AG124-' الشركه 2018'!$AH124</f>
        <v>1198.4000000000001</v>
      </c>
      <c r="AJ124" s="111">
        <f>' الشركه 2018'!$CF124</f>
        <v>698.86153846153854</v>
      </c>
      <c r="AK124" s="117">
        <f>' الشركه 2018'!$AI124+' الشركه 2018'!$AJ124</f>
        <v>1897.2615384615387</v>
      </c>
      <c r="AL124" s="152"/>
      <c r="AM124" s="153"/>
      <c r="AN124" s="9">
        <f>Table6[[#This Row],[اجمالى الاستحقاق]]-Table6[[#This Row],[Column2]]+Table6[[#This Row],[حوافز غير مستقره]]</f>
        <v>1897.2615384615387</v>
      </c>
      <c r="AO124" s="59"/>
      <c r="AP124" s="169"/>
      <c r="AQ124" s="176"/>
      <c r="AR124" s="124"/>
      <c r="AS124" s="208"/>
      <c r="AT124" s="170"/>
      <c r="AU124" s="124"/>
      <c r="AV124" s="124">
        <v>12</v>
      </c>
      <c r="AW124" s="124"/>
      <c r="AX124" s="124"/>
      <c r="AY124" s="124"/>
      <c r="AZ124" s="124"/>
      <c r="BA124" s="124"/>
      <c r="BB124" s="124"/>
      <c r="BC124" s="124">
        <v>12</v>
      </c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77"/>
      <c r="BN124" s="177"/>
      <c r="BO124" s="177"/>
      <c r="BP124" s="177"/>
      <c r="BQ124" s="177"/>
      <c r="BR124" s="177"/>
      <c r="BS124" s="177"/>
      <c r="BT124" s="124"/>
      <c r="BU124" s="124"/>
      <c r="BV124" s="177"/>
      <c r="BW124" s="177"/>
      <c r="BX124" s="177"/>
      <c r="BY124" s="177"/>
      <c r="BZ124" s="159"/>
      <c r="CA124" s="160"/>
      <c r="CB12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4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24" s="131">
        <f>' الشركه 2018'!$H124*67%*1.5*' الشركه 2018'!$CB124/208</f>
        <v>0</v>
      </c>
      <c r="CE124" s="132">
        <f>' الشركه 2018'!$H124*67%*2*' الشركه 2018'!$CC124/208</f>
        <v>698.86153846153854</v>
      </c>
      <c r="CF124" s="133">
        <f>' الشركه 2018'!$CD124+' الشركه 2018'!$CE124</f>
        <v>698.86153846153854</v>
      </c>
      <c r="CG124" s="124"/>
      <c r="CH124" s="177"/>
      <c r="CI124" s="124"/>
      <c r="CJ124" s="162"/>
      <c r="CK124" s="162"/>
      <c r="CL124" s="177"/>
      <c r="CM124" s="162"/>
      <c r="CN124" s="162"/>
      <c r="CO124" s="162"/>
      <c r="CP124" s="163"/>
      <c r="CQ124" s="164" t="e">
        <f>VLOOKUP(Table6[[#This Row],[الرقم الوظيفى]],[4]!Table3[#Data],26,FALSE)</f>
        <v>#REF!</v>
      </c>
      <c r="CR124" s="165">
        <v>400</v>
      </c>
      <c r="CS124" s="124"/>
    </row>
    <row r="125" spans="1:97" ht="28" customHeight="1" thickTop="1" thickBot="1">
      <c r="A125" s="222">
        <v>610</v>
      </c>
      <c r="B125" s="142" t="s">
        <v>302</v>
      </c>
      <c r="C125" s="59" t="s">
        <v>90</v>
      </c>
      <c r="D125" s="143" t="s">
        <v>74</v>
      </c>
      <c r="E125" s="174"/>
      <c r="F125" s="143" t="s">
        <v>63</v>
      </c>
      <c r="G125" s="145">
        <v>42414</v>
      </c>
      <c r="H125" s="146">
        <v>3070</v>
      </c>
      <c r="I125" s="106">
        <f>Table6[[#This Row],[مرتب]]/30</f>
        <v>102.33333333333333</v>
      </c>
      <c r="J125" s="107">
        <v>30</v>
      </c>
      <c r="K125" s="107">
        <f t="shared" si="1"/>
        <v>3070</v>
      </c>
      <c r="L125" s="108">
        <v>3070</v>
      </c>
      <c r="M125" s="107">
        <f>Table6[[#This Row],[مرتب الضمان]]*17%</f>
        <v>521.90000000000009</v>
      </c>
      <c r="N125" s="107">
        <f>' الشركه 2018'!$H125*35%</f>
        <v>1074.5</v>
      </c>
      <c r="O125" s="107">
        <f>' الشركه 2018'!$H125*32%</f>
        <v>982.4</v>
      </c>
      <c r="P125" s="107">
        <f>' الشركه 2018'!$H125*12%</f>
        <v>368.4</v>
      </c>
      <c r="Q125" s="107">
        <f>' الشركه 2018'!$H125*13%</f>
        <v>399.1</v>
      </c>
      <c r="R125" s="107">
        <f>' الشركه 2018'!$H125*6%</f>
        <v>184.2</v>
      </c>
      <c r="S125" s="107">
        <f>' الشركه 2018'!$H125*2%</f>
        <v>61.4</v>
      </c>
      <c r="T125" s="107">
        <f>' الشركه 2018'!$O125+' الشركه 2018'!$P125+' الشركه 2018'!$Q125+' الشركه 2018'!$R125+' الشركه 2018'!$S125</f>
        <v>1995.5000000000002</v>
      </c>
      <c r="U125" s="109">
        <f>VLOOKUP(Table6[[#This Row],[الرقم الوظيفى]],[2]بالخصم!$B$1:$AK$1200,35,)</f>
        <v>0</v>
      </c>
      <c r="V125" s="147"/>
      <c r="W125" s="111">
        <f>Table6[[#This Row],[عدد ايام الاجازه]]*Table6[[#This Row],[ح راتب اليوم]]</f>
        <v>0</v>
      </c>
      <c r="X125" s="148"/>
      <c r="Y125" s="60"/>
      <c r="Z125" s="111">
        <f>Table6[[#This Row],[عدد ايام الجزاء]]*Table6[[#This Row],[ح راتب اليوم]]</f>
        <v>0</v>
      </c>
      <c r="AA125" s="112">
        <f>Table6[[#This Row],[مرتب]]*50%</f>
        <v>1535</v>
      </c>
      <c r="AB125" s="113" t="e">
        <f>VLOOKUP(Table6[[#This Row],[الرقم الوظيفى]],[3]!Table25289[#Data],23,)</f>
        <v>#REF!</v>
      </c>
      <c r="AC125" s="149"/>
      <c r="AD125" s="150"/>
      <c r="AE125" s="113" t="e">
        <f>VLOOKUP(Table6[[#This Row],[الرقم الوظيفى]],[3]!Table252894[#Data],22,)</f>
        <v>#REF!</v>
      </c>
      <c r="AF125" s="151"/>
      <c r="AG125" s="111">
        <f>' الشركه 2018'!$W125+' الشركه 2018'!$Z125+' الشركه 2018'!$AA125+' الشركه 2018'!$AC125+' الشركه 2018'!$AD125+' الشركه 2018'!$AF125</f>
        <v>1535</v>
      </c>
      <c r="AH125" s="111">
        <f>Table6[[#This Row],[راتب الضمان]]*8%</f>
        <v>245.6</v>
      </c>
      <c r="AI125" s="111">
        <f>' الشركه 2018'!$H125-' الشركه 2018'!$AG125-' الشركه 2018'!$AH125</f>
        <v>1289.4000000000001</v>
      </c>
      <c r="AJ125" s="111">
        <f>' الشركه 2018'!$CF125</f>
        <v>237.3346153846154</v>
      </c>
      <c r="AK125" s="117">
        <f>' الشركه 2018'!$AI125+' الشركه 2018'!$AJ125</f>
        <v>1526.7346153846156</v>
      </c>
      <c r="AL125" s="152"/>
      <c r="AM125" s="153"/>
      <c r="AN125" s="9">
        <f>Table6[[#This Row],[اجمالى الاستحقاق]]-Table6[[#This Row],[Column2]]+Table6[[#This Row],[حوافز غير مستقره]]</f>
        <v>1526.7346153846156</v>
      </c>
      <c r="AO125" s="59"/>
      <c r="AP125" s="169"/>
      <c r="AQ125" s="176"/>
      <c r="AR125" s="124"/>
      <c r="AS125" s="155"/>
      <c r="AT125" s="170"/>
      <c r="AU125" s="124"/>
      <c r="AV125" s="124">
        <v>12</v>
      </c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4"/>
      <c r="BG125" s="124"/>
      <c r="BH125" s="124"/>
      <c r="BI125" s="124"/>
      <c r="BJ125" s="124"/>
      <c r="BK125" s="124"/>
      <c r="BL125" s="124"/>
      <c r="BM125" s="124"/>
      <c r="BN125" s="124"/>
      <c r="BO125" s="124"/>
      <c r="BP125" s="124"/>
      <c r="BQ125" s="124"/>
      <c r="BR125" s="124"/>
      <c r="BS125" s="124"/>
      <c r="BT125" s="124"/>
      <c r="BU125" s="124"/>
      <c r="BV125" s="124"/>
      <c r="BW125" s="124"/>
      <c r="BX125" s="124"/>
      <c r="BY125" s="124"/>
      <c r="BZ125" s="171"/>
      <c r="CA125" s="172"/>
      <c r="CB12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5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25" s="131">
        <f>' الشركه 2018'!$H125*67%*1.5*' الشركه 2018'!$CB125/208</f>
        <v>0</v>
      </c>
      <c r="CE125" s="132">
        <f>' الشركه 2018'!$H125*67%*2*' الشركه 2018'!$CC125/208</f>
        <v>237.3346153846154</v>
      </c>
      <c r="CF125" s="133">
        <f>' الشركه 2018'!$CD125+' الشركه 2018'!$CE125</f>
        <v>237.3346153846154</v>
      </c>
      <c r="CG125" s="124"/>
      <c r="CH125" s="177">
        <f>SUMIF(C125:C381,' الشركه 2018'!$CG120,L125:L381)</f>
        <v>0</v>
      </c>
      <c r="CI125" s="124"/>
      <c r="CJ125" s="177">
        <f>' الشركه 2018'!$CH120*' الشركه 2018'!$CI120</f>
        <v>0</v>
      </c>
      <c r="CK125" s="177">
        <f>' الشركه 2018'!$CJ120*8%</f>
        <v>0</v>
      </c>
      <c r="CL125" s="177">
        <f>' الشركه 2018'!$CJ120*17%</f>
        <v>0</v>
      </c>
      <c r="CM125" s="177">
        <f>' الشركه 2018'!$CJ120*25%</f>
        <v>0</v>
      </c>
      <c r="CN125" s="162"/>
      <c r="CO125" s="162"/>
      <c r="CP125" s="163"/>
      <c r="CQ125" s="164" t="e">
        <f>VLOOKUP(Table6[[#This Row],[الرقم الوظيفى]],[4]!Table3[#Data],26,FALSE)</f>
        <v>#REF!</v>
      </c>
      <c r="CR125" s="165">
        <v>200</v>
      </c>
      <c r="CS125" s="124"/>
    </row>
    <row r="126" spans="1:97" ht="28" customHeight="1" thickTop="1" thickBot="1">
      <c r="A126" s="222">
        <v>625</v>
      </c>
      <c r="B126" s="142" t="s">
        <v>287</v>
      </c>
      <c r="C126" s="59" t="s">
        <v>90</v>
      </c>
      <c r="D126" s="143" t="s">
        <v>74</v>
      </c>
      <c r="E126" s="174" t="s">
        <v>629</v>
      </c>
      <c r="F126" s="143" t="s">
        <v>63</v>
      </c>
      <c r="G126" s="145">
        <v>41585</v>
      </c>
      <c r="H126" s="146">
        <v>3160</v>
      </c>
      <c r="I126" s="106">
        <f>Table6[[#This Row],[مرتب]]/30</f>
        <v>105.33333333333333</v>
      </c>
      <c r="J126" s="107">
        <v>30</v>
      </c>
      <c r="K126" s="107">
        <f t="shared" si="1"/>
        <v>0</v>
      </c>
      <c r="L126" s="108">
        <v>0</v>
      </c>
      <c r="M126" s="107">
        <f>Table6[[#This Row],[مرتب الضمان]]*17%</f>
        <v>0</v>
      </c>
      <c r="N126" s="107">
        <f>' الشركه 2018'!$H126*35%</f>
        <v>1106</v>
      </c>
      <c r="O126" s="107">
        <f>' الشركه 2018'!$H126*32%</f>
        <v>1011.2</v>
      </c>
      <c r="P126" s="107">
        <f>' الشركه 2018'!$H126*12%</f>
        <v>379.2</v>
      </c>
      <c r="Q126" s="107">
        <f>' الشركه 2018'!$H126*13%</f>
        <v>410.8</v>
      </c>
      <c r="R126" s="107">
        <f>' الشركه 2018'!$H126*6%</f>
        <v>189.6</v>
      </c>
      <c r="S126" s="107">
        <f>' الشركه 2018'!$H126*2%</f>
        <v>63.2</v>
      </c>
      <c r="T126" s="107">
        <f>' الشركه 2018'!$O126+' الشركه 2018'!$P126+' الشركه 2018'!$Q126+' الشركه 2018'!$R126+' الشركه 2018'!$S126</f>
        <v>2054</v>
      </c>
      <c r="U126" s="109">
        <f>VLOOKUP(Table6[[#This Row],[الرقم الوظيفى]],[2]بالخصم!$B$1:$AK$1200,35,)</f>
        <v>0</v>
      </c>
      <c r="V126" s="147"/>
      <c r="W126" s="111">
        <f>Table6[[#This Row],[عدد ايام الاجازه]]*Table6[[#This Row],[ح راتب اليوم]]</f>
        <v>0</v>
      </c>
      <c r="X126" s="148"/>
      <c r="Y126" s="60"/>
      <c r="Z126" s="111">
        <f>Table6[[#This Row],[عدد ايام الجزاء]]*Table6[[#This Row],[ح راتب اليوم]]</f>
        <v>0</v>
      </c>
      <c r="AA126" s="112">
        <f>Table6[[#This Row],[مرتب]]*50%</f>
        <v>1580</v>
      </c>
      <c r="AB126" s="113" t="e">
        <f>VLOOKUP(Table6[[#This Row],[الرقم الوظيفى]],[3]!Table25289[#Data],23,)</f>
        <v>#REF!</v>
      </c>
      <c r="AC126" s="149"/>
      <c r="AD126" s="150"/>
      <c r="AE126" s="113" t="e">
        <f>VLOOKUP(Table6[[#This Row],[الرقم الوظيفى]],[3]!Table252894[#Data],22,)</f>
        <v>#REF!</v>
      </c>
      <c r="AF126" s="151"/>
      <c r="AG126" s="111">
        <f>' الشركه 2018'!$W126+' الشركه 2018'!$Z126+' الشركه 2018'!$AA126+' الشركه 2018'!$AC126+' الشركه 2018'!$AD126+' الشركه 2018'!$AF126</f>
        <v>1580</v>
      </c>
      <c r="AH126" s="111">
        <f>Table6[[#This Row],[راتب الضمان]]*8%</f>
        <v>0</v>
      </c>
      <c r="AI126" s="111">
        <f>' الشركه 2018'!$H126-' الشركه 2018'!$AG126-' الشركه 2018'!$AH126</f>
        <v>1580</v>
      </c>
      <c r="AJ126" s="111">
        <f>' الشركه 2018'!$CF126</f>
        <v>0</v>
      </c>
      <c r="AK126" s="117">
        <f>' الشركه 2018'!$AI126+' الشركه 2018'!$AJ126</f>
        <v>1580</v>
      </c>
      <c r="AL126" s="152"/>
      <c r="AM126" s="153"/>
      <c r="AN126" s="9">
        <f>Table6[[#This Row],[اجمالى الاستحقاق]]-Table6[[#This Row],[Column2]]+Table6[[#This Row],[حوافز غير مستقره]]</f>
        <v>1580</v>
      </c>
      <c r="AO126" s="59"/>
      <c r="AP126" s="169"/>
      <c r="AQ126" s="176"/>
      <c r="AR126" s="124"/>
      <c r="AS126" s="155"/>
      <c r="AT126" s="170"/>
      <c r="AU126" s="124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4"/>
      <c r="BG126" s="124"/>
      <c r="BH126" s="124"/>
      <c r="BI126" s="124"/>
      <c r="BJ126" s="124"/>
      <c r="BK126" s="124"/>
      <c r="BL126" s="124"/>
      <c r="BM126" s="124"/>
      <c r="BN126" s="124"/>
      <c r="BO126" s="124"/>
      <c r="BP126" s="124"/>
      <c r="BQ126" s="124"/>
      <c r="BR126" s="124"/>
      <c r="BS126" s="124"/>
      <c r="BT126" s="124"/>
      <c r="BU126" s="124"/>
      <c r="BV126" s="124"/>
      <c r="BW126" s="124"/>
      <c r="BX126" s="124"/>
      <c r="BY126" s="124"/>
      <c r="BZ126" s="171"/>
      <c r="CA126" s="172"/>
      <c r="CB12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6" s="131">
        <f>' الشركه 2018'!$H126*67%*1.5*' الشركه 2018'!$CB126/208</f>
        <v>0</v>
      </c>
      <c r="CE126" s="132">
        <f>' الشركه 2018'!$H126*67%*2*' الشركه 2018'!$CC126/208</f>
        <v>0</v>
      </c>
      <c r="CF126" s="133">
        <f>' الشركه 2018'!$CD126+' الشركه 2018'!$CE126</f>
        <v>0</v>
      </c>
      <c r="CG126" s="124"/>
      <c r="CH126" s="177">
        <f>SUMIF(C126:C383,' الشركه 2018'!$CG121,L126:L383)</f>
        <v>0</v>
      </c>
      <c r="CI126" s="124"/>
      <c r="CJ126" s="177">
        <f>' الشركه 2018'!$CH121*' الشركه 2018'!$CI121</f>
        <v>0</v>
      </c>
      <c r="CK126" s="177" t="e">
        <f>' الشركه 2018'!$CJ121*8%</f>
        <v>#REF!</v>
      </c>
      <c r="CL126" s="177" t="e">
        <f>' الشركه 2018'!$CJ121*17%</f>
        <v>#REF!</v>
      </c>
      <c r="CM126" s="177" t="e">
        <f>' الشركه 2018'!$CJ121*25%</f>
        <v>#REF!</v>
      </c>
      <c r="CN126" s="162"/>
      <c r="CO126" s="162"/>
      <c r="CP126" s="163">
        <v>400</v>
      </c>
      <c r="CQ126" s="164" t="e">
        <f>VLOOKUP(Table6[[#This Row],[الرقم الوظيفى]],[4]!Table3[#Data],26,FALSE)</f>
        <v>#REF!</v>
      </c>
      <c r="CR126" s="165">
        <v>300</v>
      </c>
      <c r="CS126" s="124"/>
    </row>
    <row r="127" spans="1:97" ht="28" customHeight="1" thickTop="1" thickBot="1">
      <c r="A127" s="222">
        <v>627</v>
      </c>
      <c r="B127" s="142" t="s">
        <v>261</v>
      </c>
      <c r="C127" s="59" t="s">
        <v>90</v>
      </c>
      <c r="D127" s="143" t="s">
        <v>74</v>
      </c>
      <c r="E127" s="174" t="s">
        <v>669</v>
      </c>
      <c r="F127" s="143" t="s">
        <v>634</v>
      </c>
      <c r="G127" s="145">
        <v>41587</v>
      </c>
      <c r="H127" s="146">
        <v>4180</v>
      </c>
      <c r="I127" s="106">
        <f>Table6[[#This Row],[مرتب]]/30</f>
        <v>139.33333333333334</v>
      </c>
      <c r="J127" s="107">
        <v>30</v>
      </c>
      <c r="K127" s="107">
        <f t="shared" si="1"/>
        <v>4180</v>
      </c>
      <c r="L127" s="108">
        <v>4180</v>
      </c>
      <c r="M127" s="107">
        <f>Table6[[#This Row],[مرتب الضمان]]*17%</f>
        <v>710.6</v>
      </c>
      <c r="N127" s="107">
        <f>' الشركه 2018'!$H127*35%</f>
        <v>1463</v>
      </c>
      <c r="O127" s="107">
        <f>' الشركه 2018'!$H127*32%</f>
        <v>1337.6000000000001</v>
      </c>
      <c r="P127" s="107">
        <f>' الشركه 2018'!$H127*12%</f>
        <v>501.59999999999997</v>
      </c>
      <c r="Q127" s="107">
        <f>' الشركه 2018'!$H127*13%</f>
        <v>543.4</v>
      </c>
      <c r="R127" s="107">
        <f>' الشركه 2018'!$H127*6%</f>
        <v>250.79999999999998</v>
      </c>
      <c r="S127" s="107">
        <f>' الشركه 2018'!$H127*2%</f>
        <v>83.600000000000009</v>
      </c>
      <c r="T127" s="107">
        <f>' الشركه 2018'!$O127+' الشركه 2018'!$P127+' الشركه 2018'!$Q127+' الشركه 2018'!$R127+' الشركه 2018'!$S127</f>
        <v>2717</v>
      </c>
      <c r="U127" s="109">
        <f>VLOOKUP(Table6[[#This Row],[الرقم الوظيفى]],[2]بالخصم!$B$1:$AK$1200,35,)</f>
        <v>0</v>
      </c>
      <c r="V127" s="147"/>
      <c r="W127" s="111">
        <f>Table6[[#This Row],[عدد ايام الاجازه]]*Table6[[#This Row],[ح راتب اليوم]]</f>
        <v>0</v>
      </c>
      <c r="X127" s="148"/>
      <c r="Y127" s="60"/>
      <c r="Z127" s="111">
        <f>Table6[[#This Row],[عدد ايام الجزاء]]*Table6[[#This Row],[ح راتب اليوم]]</f>
        <v>0</v>
      </c>
      <c r="AA127" s="112">
        <f>Table6[[#This Row],[مرتب]]*50%</f>
        <v>2090</v>
      </c>
      <c r="AB127" s="113" t="e">
        <f>VLOOKUP(Table6[[#This Row],[الرقم الوظيفى]],[3]!Table25289[#Data],23,)</f>
        <v>#REF!</v>
      </c>
      <c r="AC127" s="149"/>
      <c r="AD127" s="150"/>
      <c r="AE127" s="113" t="e">
        <f>VLOOKUP(Table6[[#This Row],[الرقم الوظيفى]],[3]!Table252894[#Data],22,)</f>
        <v>#REF!</v>
      </c>
      <c r="AF127" s="151"/>
      <c r="AG127" s="111">
        <f>' الشركه 2018'!$W127+' الشركه 2018'!$Z127+' الشركه 2018'!$AA127+' الشركه 2018'!$AC127+' الشركه 2018'!$AD127+' الشركه 2018'!$AF127</f>
        <v>2090</v>
      </c>
      <c r="AH127" s="111">
        <f>Table6[[#This Row],[راتب الضمان]]*8%</f>
        <v>334.40000000000003</v>
      </c>
      <c r="AI127" s="111">
        <f>' الشركه 2018'!$H127-' الشركه 2018'!$AG127-' الشركه 2018'!$AH127</f>
        <v>1755.6</v>
      </c>
      <c r="AJ127" s="111">
        <f>' الشركه 2018'!$CF127</f>
        <v>0</v>
      </c>
      <c r="AK127" s="117">
        <f>' الشركه 2018'!$AI127+' الشركه 2018'!$AJ127</f>
        <v>1755.6</v>
      </c>
      <c r="AL127" s="152"/>
      <c r="AM127" s="153"/>
      <c r="AN127" s="9">
        <f>Table6[[#This Row],[اجمالى الاستحقاق]]-Table6[[#This Row],[Column2]]+Table6[[#This Row],[حوافز غير مستقره]]</f>
        <v>1755.6</v>
      </c>
      <c r="AO127" s="59"/>
      <c r="AP127" s="169"/>
      <c r="AQ127" s="176"/>
      <c r="AR127" s="124"/>
      <c r="AS127" s="155"/>
      <c r="AT127" s="170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BG127" s="124"/>
      <c r="BH127" s="124"/>
      <c r="BI127" s="124"/>
      <c r="BJ127" s="124"/>
      <c r="BK127" s="124"/>
      <c r="BL127" s="124"/>
      <c r="BM127" s="124"/>
      <c r="BN127" s="124"/>
      <c r="BO127" s="124"/>
      <c r="BP127" s="124"/>
      <c r="BQ127" s="124"/>
      <c r="BR127" s="124"/>
      <c r="BS127" s="124"/>
      <c r="BT127" s="124"/>
      <c r="BU127" s="124"/>
      <c r="BV127" s="124"/>
      <c r="BW127" s="124"/>
      <c r="BX127" s="124"/>
      <c r="BY127" s="124"/>
      <c r="BZ127" s="171"/>
      <c r="CA127" s="172"/>
      <c r="CB12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7" s="131">
        <f>' الشركه 2018'!$H127*67%*1.5*' الشركه 2018'!$CB127/208</f>
        <v>0</v>
      </c>
      <c r="CE127" s="132">
        <f>' الشركه 2018'!$H127*67%*2*' الشركه 2018'!$CC127/208</f>
        <v>0</v>
      </c>
      <c r="CF127" s="133">
        <f>' الشركه 2018'!$CD127+' الشركه 2018'!$CE127</f>
        <v>0</v>
      </c>
      <c r="CG127" s="124"/>
      <c r="CH127" s="177">
        <f>SUMIF(C127:C384,' الشركه 2018'!$CG122,L127:L384)</f>
        <v>0</v>
      </c>
      <c r="CI127" s="124"/>
      <c r="CJ127" s="177">
        <f>' الشركه 2018'!$CH122*' الشركه 2018'!$CI122</f>
        <v>0</v>
      </c>
      <c r="CK127" s="177">
        <f>' الشركه 2018'!$CJ122*8%</f>
        <v>0</v>
      </c>
      <c r="CL127" s="177">
        <f>' الشركه 2018'!$CJ122*17%</f>
        <v>0</v>
      </c>
      <c r="CM127" s="177">
        <f>' الشركه 2018'!$CJ122*25%</f>
        <v>0</v>
      </c>
      <c r="CN127" s="162"/>
      <c r="CO127" s="162"/>
      <c r="CP127" s="163">
        <v>400</v>
      </c>
      <c r="CQ127" s="164" t="e">
        <f>VLOOKUP(Table6[[#This Row],[الرقم الوظيفى]],[4]!Table3[#Data],26,FALSE)</f>
        <v>#REF!</v>
      </c>
      <c r="CR127" s="165">
        <v>500</v>
      </c>
      <c r="CS127" s="124"/>
    </row>
    <row r="128" spans="1:97" ht="28" customHeight="1" thickTop="1" thickBot="1">
      <c r="A128" s="222">
        <v>631</v>
      </c>
      <c r="B128" s="142" t="s">
        <v>235</v>
      </c>
      <c r="C128" s="59" t="s">
        <v>90</v>
      </c>
      <c r="D128" s="143" t="s">
        <v>74</v>
      </c>
      <c r="E128" s="174" t="s">
        <v>622</v>
      </c>
      <c r="F128" s="143" t="s">
        <v>205</v>
      </c>
      <c r="G128" s="145">
        <v>41589</v>
      </c>
      <c r="H128" s="146">
        <v>4180</v>
      </c>
      <c r="I128" s="106">
        <f>Table6[[#This Row],[مرتب]]/30</f>
        <v>139.33333333333334</v>
      </c>
      <c r="J128" s="107">
        <v>30</v>
      </c>
      <c r="K128" s="107">
        <f t="shared" si="1"/>
        <v>4180</v>
      </c>
      <c r="L128" s="108">
        <v>4180</v>
      </c>
      <c r="M128" s="107">
        <f>Table6[[#This Row],[مرتب الضمان]]*17%</f>
        <v>710.6</v>
      </c>
      <c r="N128" s="107">
        <f>' الشركه 2018'!$H128*35%</f>
        <v>1463</v>
      </c>
      <c r="O128" s="107">
        <f>' الشركه 2018'!$H128*32%</f>
        <v>1337.6000000000001</v>
      </c>
      <c r="P128" s="107">
        <f>' الشركه 2018'!$H128*12%</f>
        <v>501.59999999999997</v>
      </c>
      <c r="Q128" s="107">
        <f>' الشركه 2018'!$H128*13%</f>
        <v>543.4</v>
      </c>
      <c r="R128" s="107">
        <f>' الشركه 2018'!$H128*6%</f>
        <v>250.79999999999998</v>
      </c>
      <c r="S128" s="107">
        <f>' الشركه 2018'!$H128*2%</f>
        <v>83.600000000000009</v>
      </c>
      <c r="T128" s="107">
        <f>' الشركه 2018'!$O128+' الشركه 2018'!$P128+' الشركه 2018'!$Q128+' الشركه 2018'!$R128+' الشركه 2018'!$S128</f>
        <v>2717</v>
      </c>
      <c r="U128" s="109">
        <f>VLOOKUP(Table6[[#This Row],[الرقم الوظيفى]],[2]بالخصم!$B$1:$AK$1200,35,)</f>
        <v>0</v>
      </c>
      <c r="V128" s="147"/>
      <c r="W128" s="111">
        <f>Table6[[#This Row],[عدد ايام الاجازه]]*Table6[[#This Row],[ح راتب اليوم]]</f>
        <v>0</v>
      </c>
      <c r="X128" s="148"/>
      <c r="Y128" s="60"/>
      <c r="Z128" s="111">
        <f>Table6[[#This Row],[عدد ايام الجزاء]]*Table6[[#This Row],[ح راتب اليوم]]</f>
        <v>0</v>
      </c>
      <c r="AA128" s="112">
        <f>Table6[[#This Row],[مرتب]]*50%</f>
        <v>2090</v>
      </c>
      <c r="AB128" s="113" t="e">
        <f>VLOOKUP(Table6[[#This Row],[الرقم الوظيفى]],[3]!Table25289[#Data],23,)</f>
        <v>#REF!</v>
      </c>
      <c r="AC128" s="149"/>
      <c r="AD128" s="150"/>
      <c r="AE128" s="113" t="e">
        <f>VLOOKUP(Table6[[#This Row],[الرقم الوظيفى]],[3]!Table252894[#Data],22,)</f>
        <v>#REF!</v>
      </c>
      <c r="AF128" s="151"/>
      <c r="AG128" s="111">
        <f>' الشركه 2018'!$W128+' الشركه 2018'!$Z128+' الشركه 2018'!$AA128+' الشركه 2018'!$AC128+' الشركه 2018'!$AD128+' الشركه 2018'!$AF128</f>
        <v>2090</v>
      </c>
      <c r="AH128" s="111">
        <f>Table6[[#This Row],[راتب الضمان]]*8%</f>
        <v>334.40000000000003</v>
      </c>
      <c r="AI128" s="111">
        <f>' الشركه 2018'!$H128-' الشركه 2018'!$AG128-' الشركه 2018'!$AH128</f>
        <v>1755.6</v>
      </c>
      <c r="AJ128" s="111">
        <f>' الشركه 2018'!$CF128</f>
        <v>3123.7461538461544</v>
      </c>
      <c r="AK128" s="117">
        <f>' الشركه 2018'!$AI128+' الشركه 2018'!$AJ128</f>
        <v>4879.3461538461543</v>
      </c>
      <c r="AL128" s="152"/>
      <c r="AM128" s="153"/>
      <c r="AN128" s="9">
        <f>Table6[[#This Row],[اجمالى الاستحقاق]]-Table6[[#This Row],[Column2]]+Table6[[#This Row],[حوافز غير مستقره]]</f>
        <v>4879.3461538461543</v>
      </c>
      <c r="AO128" s="59"/>
      <c r="AP128" s="169"/>
      <c r="AQ128" s="176"/>
      <c r="AR128" s="124"/>
      <c r="AS128" s="155"/>
      <c r="AT128" s="170"/>
      <c r="AU128" s="124"/>
      <c r="AV128" s="124">
        <v>24</v>
      </c>
      <c r="AW128" s="124"/>
      <c r="AX128" s="124"/>
      <c r="AY128" s="124"/>
      <c r="AZ128" s="124"/>
      <c r="BA128" s="124"/>
      <c r="BB128" s="124"/>
      <c r="BC128" s="124">
        <v>16</v>
      </c>
      <c r="BD128" s="124"/>
      <c r="BE128" s="124"/>
      <c r="BF128" s="124"/>
      <c r="BG128" s="124">
        <v>8</v>
      </c>
      <c r="BH128" s="124">
        <v>8</v>
      </c>
      <c r="BI128" s="124">
        <v>8</v>
      </c>
      <c r="BJ128" s="124">
        <v>16</v>
      </c>
      <c r="BK128" s="124"/>
      <c r="BL128" s="124">
        <v>8</v>
      </c>
      <c r="BM128" s="124">
        <v>8</v>
      </c>
      <c r="BN128" s="124">
        <v>8</v>
      </c>
      <c r="BO128" s="124">
        <v>8</v>
      </c>
      <c r="BP128" s="124">
        <v>8</v>
      </c>
      <c r="BQ128" s="124"/>
      <c r="BR128" s="124">
        <v>8</v>
      </c>
      <c r="BS128" s="124">
        <v>8</v>
      </c>
      <c r="BT128" s="124"/>
      <c r="BU128" s="124"/>
      <c r="BV128" s="124"/>
      <c r="BW128" s="124"/>
      <c r="BX128" s="124"/>
      <c r="BY128" s="124"/>
      <c r="BZ128" s="171"/>
      <c r="CA128" s="172"/>
      <c r="CB12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80</v>
      </c>
      <c r="CC128" s="130">
        <f>Table6[[#This Row],[Friday, November 23, 2018]]+Table6[[#This Row],[Friday, November 30, 2018]]+Table6[[#This Row],[Friday, December 07, 2018]]+Table6[[#This Row],[Friday, December 14, 2018]]+Table6[[#This Row],[فروقات عطله]]</f>
        <v>56</v>
      </c>
      <c r="CD128" s="131">
        <f>' الشركه 2018'!$H128*67%*1.5*' الشركه 2018'!$CB128/208</f>
        <v>1615.7307692307695</v>
      </c>
      <c r="CE128" s="132">
        <f>' الشركه 2018'!$H128*67%*2*' الشركه 2018'!$CC128/208</f>
        <v>1508.0153846153848</v>
      </c>
      <c r="CF128" s="133">
        <f>' الشركه 2018'!$CD128+' الشركه 2018'!$CE128</f>
        <v>3123.7461538461544</v>
      </c>
      <c r="CG128" s="124"/>
      <c r="CH128" s="177">
        <f>SUMIF(C128:C385,' الشركه 2018'!$CG123,L128:L385)</f>
        <v>0</v>
      </c>
      <c r="CI128" s="124"/>
      <c r="CJ128" s="177">
        <f>' الشركه 2018'!$CH123*' الشركه 2018'!$CI123</f>
        <v>0</v>
      </c>
      <c r="CK128" s="177">
        <f>' الشركه 2018'!$CJ123*8%</f>
        <v>0</v>
      </c>
      <c r="CL128" s="177">
        <f>' الشركه 2018'!$CJ123*17%</f>
        <v>0</v>
      </c>
      <c r="CM128" s="177">
        <f>' الشركه 2018'!$CJ123*25%</f>
        <v>0</v>
      </c>
      <c r="CN128" s="162"/>
      <c r="CO128" s="162"/>
      <c r="CP128" s="163">
        <v>200</v>
      </c>
      <c r="CQ128" s="164" t="e">
        <f>VLOOKUP(Table6[[#This Row],[الرقم الوظيفى]],[4]!Table3[#Data],26,FALSE)</f>
        <v>#REF!</v>
      </c>
      <c r="CR128" s="165"/>
      <c r="CS128" s="124"/>
    </row>
    <row r="129" spans="1:97" ht="28" customHeight="1" thickTop="1" thickBot="1">
      <c r="A129" s="222">
        <v>643</v>
      </c>
      <c r="B129" s="142" t="s">
        <v>335</v>
      </c>
      <c r="C129" s="59" t="s">
        <v>90</v>
      </c>
      <c r="D129" s="143" t="s">
        <v>76</v>
      </c>
      <c r="E129" s="174"/>
      <c r="F129" s="143" t="s">
        <v>63</v>
      </c>
      <c r="G129" s="145">
        <v>41599</v>
      </c>
      <c r="H129" s="146">
        <v>3150</v>
      </c>
      <c r="I129" s="106">
        <f>Table6[[#This Row],[مرتب]]/30</f>
        <v>105</v>
      </c>
      <c r="J129" s="107">
        <v>30</v>
      </c>
      <c r="K129" s="107">
        <f t="shared" si="1"/>
        <v>0</v>
      </c>
      <c r="L129" s="108">
        <v>0</v>
      </c>
      <c r="M129" s="107">
        <f>Table6[[#This Row],[مرتب الضمان]]*17%</f>
        <v>0</v>
      </c>
      <c r="N129" s="107">
        <f>' الشركه 2018'!$H129*35%</f>
        <v>1102.5</v>
      </c>
      <c r="O129" s="107">
        <f>' الشركه 2018'!$H129*32%</f>
        <v>1008</v>
      </c>
      <c r="P129" s="107">
        <f>' الشركه 2018'!$H129*12%</f>
        <v>378</v>
      </c>
      <c r="Q129" s="107">
        <f>' الشركه 2018'!$H129*13%</f>
        <v>409.5</v>
      </c>
      <c r="R129" s="107">
        <f>' الشركه 2018'!$H129*6%</f>
        <v>189</v>
      </c>
      <c r="S129" s="107">
        <f>' الشركه 2018'!$H129*2%</f>
        <v>63</v>
      </c>
      <c r="T129" s="107">
        <f>' الشركه 2018'!$O129+' الشركه 2018'!$P129+' الشركه 2018'!$Q129+' الشركه 2018'!$R129+' الشركه 2018'!$S129</f>
        <v>2047.5</v>
      </c>
      <c r="U129" s="109">
        <f>VLOOKUP(Table6[[#This Row],[الرقم الوظيفى]],[2]بالخصم!$B$1:$AK$1200,35,)</f>
        <v>0</v>
      </c>
      <c r="V129" s="147"/>
      <c r="W129" s="111">
        <f>Table6[[#This Row],[عدد ايام الاجازه]]*Table6[[#This Row],[ح راتب اليوم]]</f>
        <v>0</v>
      </c>
      <c r="X129" s="148"/>
      <c r="Y129" s="60"/>
      <c r="Z129" s="111">
        <f>Table6[[#This Row],[عدد ايام الجزاء]]*Table6[[#This Row],[ح راتب اليوم]]</f>
        <v>0</v>
      </c>
      <c r="AA129" s="112">
        <f>Table6[[#This Row],[مرتب]]*50%</f>
        <v>1575</v>
      </c>
      <c r="AB129" s="113" t="e">
        <f>VLOOKUP(Table6[[#This Row],[الرقم الوظيفى]],[3]!Table25289[#Data],23,)</f>
        <v>#REF!</v>
      </c>
      <c r="AC129" s="149"/>
      <c r="AD129" s="150"/>
      <c r="AE129" s="113" t="e">
        <f>VLOOKUP(Table6[[#This Row],[الرقم الوظيفى]],[3]!Table252894[#Data],22,)</f>
        <v>#REF!</v>
      </c>
      <c r="AF129" s="151"/>
      <c r="AG129" s="111">
        <f>' الشركه 2018'!$W129+' الشركه 2018'!$Z129+' الشركه 2018'!$AA129+' الشركه 2018'!$AC129+' الشركه 2018'!$AD129+' الشركه 2018'!$AF129</f>
        <v>1575</v>
      </c>
      <c r="AH129" s="111">
        <f>Table6[[#This Row],[راتب الضمان]]*8%</f>
        <v>0</v>
      </c>
      <c r="AI129" s="111">
        <f>' الشركه 2018'!$H129-' الشركه 2018'!$AG129-' الشركه 2018'!$AH129</f>
        <v>1575</v>
      </c>
      <c r="AJ129" s="111">
        <f>' الشركه 2018'!$CF129</f>
        <v>0</v>
      </c>
      <c r="AK129" s="117">
        <f>' الشركه 2018'!$AI129+' الشركه 2018'!$AJ129</f>
        <v>1575</v>
      </c>
      <c r="AL129" s="152"/>
      <c r="AM129" s="153"/>
      <c r="AN129" s="9">
        <f>Table6[[#This Row],[اجمالى الاستحقاق]]-Table6[[#This Row],[Column2]]+Table6[[#This Row],[حوافز غير مستقره]]</f>
        <v>1575</v>
      </c>
      <c r="AO129" s="59"/>
      <c r="AP129" s="169"/>
      <c r="AQ129" s="176"/>
      <c r="AR129" s="124"/>
      <c r="AS129" s="155"/>
      <c r="AT129" s="170"/>
      <c r="AU129" s="124"/>
      <c r="AV129" s="124"/>
      <c r="AW129" s="124"/>
      <c r="AX129" s="124"/>
      <c r="AY129" s="124"/>
      <c r="AZ129" s="124"/>
      <c r="BA129" s="124"/>
      <c r="BB129" s="124"/>
      <c r="BC129" s="124"/>
      <c r="BD129" s="124"/>
      <c r="BE129" s="124"/>
      <c r="BF129" s="124"/>
      <c r="BG129" s="124"/>
      <c r="BH129" s="124"/>
      <c r="BI129" s="124"/>
      <c r="BJ129" s="124"/>
      <c r="BK129" s="124"/>
      <c r="BL129" s="124"/>
      <c r="BM129" s="124"/>
      <c r="BN129" s="124"/>
      <c r="BO129" s="124"/>
      <c r="BP129" s="124"/>
      <c r="BQ129" s="124"/>
      <c r="BR129" s="124"/>
      <c r="BS129" s="124"/>
      <c r="BT129" s="124"/>
      <c r="BU129" s="124"/>
      <c r="BV129" s="124"/>
      <c r="BW129" s="124"/>
      <c r="BX129" s="124"/>
      <c r="BY129" s="124"/>
      <c r="BZ129" s="171"/>
      <c r="CA129" s="172"/>
      <c r="CB12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2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29" s="131">
        <f>' الشركه 2018'!$H129*67%*1.5*' الشركه 2018'!$CB129/208</f>
        <v>0</v>
      </c>
      <c r="CE129" s="132">
        <f>' الشركه 2018'!$H129*67%*2*' الشركه 2018'!$CC129/208</f>
        <v>0</v>
      </c>
      <c r="CF129" s="133">
        <f>' الشركه 2018'!$CD129+' الشركه 2018'!$CE129</f>
        <v>0</v>
      </c>
      <c r="CG129" s="124"/>
      <c r="CH129" s="177">
        <f>SUMIF(C129:C389,' الشركه 2018'!$CG124,L129:L389)</f>
        <v>0</v>
      </c>
      <c r="CI129" s="124"/>
      <c r="CJ129" s="177">
        <f>' الشركه 2018'!$CH124*' الشركه 2018'!$CI124</f>
        <v>0</v>
      </c>
      <c r="CK129" s="177">
        <f>' الشركه 2018'!$CJ124*8%</f>
        <v>0</v>
      </c>
      <c r="CL129" s="177">
        <f>' الشركه 2018'!$CJ124*17%</f>
        <v>0</v>
      </c>
      <c r="CM129" s="177">
        <f>' الشركه 2018'!$CJ124*25%</f>
        <v>0</v>
      </c>
      <c r="CN129" s="162"/>
      <c r="CO129" s="162"/>
      <c r="CP129" s="163">
        <v>300</v>
      </c>
      <c r="CQ129" s="164" t="e">
        <f>VLOOKUP(Table6[[#This Row],[الرقم الوظيفى]],[4]!Table3[#Data],26,FALSE)</f>
        <v>#REF!</v>
      </c>
      <c r="CR129" s="165"/>
      <c r="CS129" s="124"/>
    </row>
    <row r="130" spans="1:97" ht="28" customHeight="1" thickTop="1" thickBot="1">
      <c r="A130" s="222">
        <v>650</v>
      </c>
      <c r="B130" s="142" t="s">
        <v>202</v>
      </c>
      <c r="C130" s="59" t="s">
        <v>90</v>
      </c>
      <c r="D130" s="143" t="s">
        <v>74</v>
      </c>
      <c r="E130" s="174" t="s">
        <v>651</v>
      </c>
      <c r="F130" s="143" t="s">
        <v>199</v>
      </c>
      <c r="G130" s="145">
        <v>41609</v>
      </c>
      <c r="H130" s="146">
        <v>5560</v>
      </c>
      <c r="I130" s="106">
        <f>Table6[[#This Row],[مرتب]]/30</f>
        <v>185.33333333333334</v>
      </c>
      <c r="J130" s="107">
        <v>30</v>
      </c>
      <c r="K130" s="107">
        <f t="shared" ref="K130:K192" si="2">L130/30*J130</f>
        <v>5560</v>
      </c>
      <c r="L130" s="108">
        <v>5560</v>
      </c>
      <c r="M130" s="107">
        <f>Table6[[#This Row],[مرتب الضمان]]*17%</f>
        <v>945.2</v>
      </c>
      <c r="N130" s="107">
        <f>' الشركه 2018'!$H130*35%</f>
        <v>1945.9999999999998</v>
      </c>
      <c r="O130" s="107">
        <f>' الشركه 2018'!$H130*32%</f>
        <v>1779.2</v>
      </c>
      <c r="P130" s="107">
        <f>' الشركه 2018'!$H130*12%</f>
        <v>667.19999999999993</v>
      </c>
      <c r="Q130" s="107">
        <f>' الشركه 2018'!$H130*13%</f>
        <v>722.80000000000007</v>
      </c>
      <c r="R130" s="107">
        <f>' الشركه 2018'!$H130*6%</f>
        <v>333.59999999999997</v>
      </c>
      <c r="S130" s="107">
        <f>' الشركه 2018'!$H130*2%</f>
        <v>111.2</v>
      </c>
      <c r="T130" s="107">
        <f>' الشركه 2018'!$O130+' الشركه 2018'!$P130+' الشركه 2018'!$Q130+' الشركه 2018'!$R130+' الشركه 2018'!$S130</f>
        <v>3614</v>
      </c>
      <c r="U130" s="109">
        <f>VLOOKUP(Table6[[#This Row],[الرقم الوظيفى]],[2]بالخصم!$B$1:$AK$1200,35,)</f>
        <v>0</v>
      </c>
      <c r="V130" s="147"/>
      <c r="W130" s="111">
        <f>Table6[[#This Row],[عدد ايام الاجازه]]*Table6[[#This Row],[ح راتب اليوم]]</f>
        <v>0</v>
      </c>
      <c r="X130" s="148"/>
      <c r="Y130" s="60"/>
      <c r="Z130" s="111">
        <f>Table6[[#This Row],[عدد ايام الجزاء]]*Table6[[#This Row],[ح راتب اليوم]]</f>
        <v>0</v>
      </c>
      <c r="AA130" s="112">
        <f>Table6[[#This Row],[مرتب]]*50%</f>
        <v>2780</v>
      </c>
      <c r="AB130" s="113" t="e">
        <f>VLOOKUP(Table6[[#This Row],[الرقم الوظيفى]],[3]!Table25289[#Data],23,)</f>
        <v>#REF!</v>
      </c>
      <c r="AC130" s="149"/>
      <c r="AD130" s="150"/>
      <c r="AE130" s="113" t="e">
        <f>VLOOKUP(Table6[[#This Row],[الرقم الوظيفى]],[3]!Table252894[#Data],22,)</f>
        <v>#REF!</v>
      </c>
      <c r="AF130" s="151"/>
      <c r="AG130" s="111">
        <f>' الشركه 2018'!$W130+' الشركه 2018'!$Z130+' الشركه 2018'!$AA130+' الشركه 2018'!$AC130+' الشركه 2018'!$AD130+' الشركه 2018'!$AF130</f>
        <v>2780</v>
      </c>
      <c r="AH130" s="111">
        <f>Table6[[#This Row],[راتب الضمان]]*8%</f>
        <v>444.8</v>
      </c>
      <c r="AI130" s="111">
        <f>' الشركه 2018'!$H130-' الشركه 2018'!$AG130-' الشركه 2018'!$AH130</f>
        <v>2335.1999999999998</v>
      </c>
      <c r="AJ130" s="111">
        <f>' الشركه 2018'!$CF130</f>
        <v>4293.8302884615387</v>
      </c>
      <c r="AK130" s="117">
        <f>' الشركه 2018'!$AI130+' الشركه 2018'!$AJ130</f>
        <v>6629.0302884615385</v>
      </c>
      <c r="AL130" s="152"/>
      <c r="AM130" s="153"/>
      <c r="AN130" s="9">
        <f>Table6[[#This Row],[اجمالى الاستحقاق]]-Table6[[#This Row],[Column2]]+Table6[[#This Row],[حوافز غير مستقره]]</f>
        <v>6629.0302884615385</v>
      </c>
      <c r="AO130" s="59"/>
      <c r="AP130" s="169"/>
      <c r="AQ130" s="176"/>
      <c r="AR130" s="124"/>
      <c r="AS130" s="155"/>
      <c r="AT130" s="170"/>
      <c r="AU130" s="124"/>
      <c r="AV130" s="124">
        <v>12</v>
      </c>
      <c r="AW130" s="124"/>
      <c r="AX130" s="124">
        <v>4</v>
      </c>
      <c r="AY130" s="124"/>
      <c r="AZ130" s="124"/>
      <c r="BA130" s="124"/>
      <c r="BB130" s="124"/>
      <c r="BC130" s="124">
        <v>24</v>
      </c>
      <c r="BD130" s="124"/>
      <c r="BE130" s="124"/>
      <c r="BF130" s="124"/>
      <c r="BG130" s="124">
        <v>4</v>
      </c>
      <c r="BH130" s="124">
        <v>8</v>
      </c>
      <c r="BI130" s="124"/>
      <c r="BJ130" s="124">
        <v>23</v>
      </c>
      <c r="BK130" s="124"/>
      <c r="BL130" s="124">
        <v>8</v>
      </c>
      <c r="BM130" s="124">
        <v>7.5</v>
      </c>
      <c r="BN130" s="124">
        <v>8</v>
      </c>
      <c r="BO130" s="124"/>
      <c r="BP130" s="124"/>
      <c r="BQ130" s="124">
        <v>23</v>
      </c>
      <c r="BR130" s="124">
        <v>3</v>
      </c>
      <c r="BS130" s="124">
        <v>8</v>
      </c>
      <c r="BT130" s="124"/>
      <c r="BU130" s="124"/>
      <c r="BV130" s="124"/>
      <c r="BW130" s="124"/>
      <c r="BX130" s="124"/>
      <c r="BY130" s="124"/>
      <c r="BZ130" s="171"/>
      <c r="CA130" s="172"/>
      <c r="CB13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50.5</v>
      </c>
      <c r="CC130" s="130">
        <f>Table6[[#This Row],[Friday, November 23, 2018]]+Table6[[#This Row],[Friday, November 30, 2018]]+Table6[[#This Row],[Friday, December 07, 2018]]+Table6[[#This Row],[Friday, December 14, 2018]]+Table6[[#This Row],[فروقات عطله]]</f>
        <v>82</v>
      </c>
      <c r="CD130" s="131">
        <f>' الشركه 2018'!$H130*67%*1.5*' الشركه 2018'!$CB130/208</f>
        <v>1356.6533653846154</v>
      </c>
      <c r="CE130" s="132">
        <f>' الشركه 2018'!$H130*67%*2*' الشركه 2018'!$CC130/208</f>
        <v>2937.1769230769232</v>
      </c>
      <c r="CF130" s="133">
        <f>' الشركه 2018'!$CD130+' الشركه 2018'!$CE130</f>
        <v>4293.8302884615387</v>
      </c>
      <c r="CG130" s="124"/>
      <c r="CH130" s="177">
        <f>SUMIF(C130:C392,' الشركه 2018'!$CG125,L130:L392)</f>
        <v>0</v>
      </c>
      <c r="CI130" s="124"/>
      <c r="CJ130" s="177">
        <f>' الشركه 2018'!$CH125*' الشركه 2018'!$CI125</f>
        <v>0</v>
      </c>
      <c r="CK130" s="177">
        <f>' الشركه 2018'!$CJ125*8%</f>
        <v>0</v>
      </c>
      <c r="CL130" s="177">
        <f>' الشركه 2018'!$CJ125*17%</f>
        <v>0</v>
      </c>
      <c r="CM130" s="177">
        <f>' الشركه 2018'!$CJ125*25%</f>
        <v>0</v>
      </c>
      <c r="CN130" s="162"/>
      <c r="CO130" s="162"/>
      <c r="CP130" s="163">
        <v>500</v>
      </c>
      <c r="CQ130" s="164" t="e">
        <f>VLOOKUP(Table6[[#This Row],[الرقم الوظيفى]],[4]!Table3[#Data],26,FALSE)</f>
        <v>#REF!</v>
      </c>
      <c r="CR130" s="165">
        <v>200</v>
      </c>
      <c r="CS130" s="124"/>
    </row>
    <row r="131" spans="1:97" ht="28" customHeight="1" thickTop="1" thickBot="1">
      <c r="A131" s="222">
        <v>653</v>
      </c>
      <c r="B131" s="142" t="s">
        <v>358</v>
      </c>
      <c r="C131" s="59" t="s">
        <v>90</v>
      </c>
      <c r="D131" s="143" t="s">
        <v>79</v>
      </c>
      <c r="E131" s="174" t="s">
        <v>675</v>
      </c>
      <c r="F131" s="143" t="s">
        <v>676</v>
      </c>
      <c r="G131" s="145">
        <v>41609</v>
      </c>
      <c r="H131" s="146">
        <v>5740</v>
      </c>
      <c r="I131" s="106">
        <f>Table6[[#This Row],[مرتب]]/30</f>
        <v>191.33333333333334</v>
      </c>
      <c r="J131" s="107">
        <v>30</v>
      </c>
      <c r="K131" s="107">
        <f t="shared" si="2"/>
        <v>0</v>
      </c>
      <c r="L131" s="108">
        <v>0</v>
      </c>
      <c r="M131" s="107">
        <f>Table6[[#This Row],[مرتب الضمان]]*17%</f>
        <v>0</v>
      </c>
      <c r="N131" s="107">
        <f>' الشركه 2018'!$H131*35%</f>
        <v>2008.9999999999998</v>
      </c>
      <c r="O131" s="107">
        <f>' الشركه 2018'!$H131*32%</f>
        <v>1836.8</v>
      </c>
      <c r="P131" s="107">
        <f>' الشركه 2018'!$H131*12%</f>
        <v>688.8</v>
      </c>
      <c r="Q131" s="107">
        <f>' الشركه 2018'!$H131*13%</f>
        <v>746.2</v>
      </c>
      <c r="R131" s="107">
        <f>' الشركه 2018'!$H131*6%</f>
        <v>344.4</v>
      </c>
      <c r="S131" s="107">
        <f>' الشركه 2018'!$H131*2%</f>
        <v>114.8</v>
      </c>
      <c r="T131" s="107">
        <f>' الشركه 2018'!$O131+' الشركه 2018'!$P131+' الشركه 2018'!$Q131+' الشركه 2018'!$R131+' الشركه 2018'!$S131</f>
        <v>3731.0000000000005</v>
      </c>
      <c r="U131" s="109">
        <f>VLOOKUP(Table6[[#This Row],[الرقم الوظيفى]],[2]بالخصم!$B$1:$AK$1200,35,)</f>
        <v>0</v>
      </c>
      <c r="V131" s="147"/>
      <c r="W131" s="111">
        <f>Table6[[#This Row],[عدد ايام الاجازه]]*Table6[[#This Row],[ح راتب اليوم]]</f>
        <v>0</v>
      </c>
      <c r="X131" s="148"/>
      <c r="Y131" s="60"/>
      <c r="Z131" s="111">
        <f>Table6[[#This Row],[عدد ايام الجزاء]]*Table6[[#This Row],[ح راتب اليوم]]</f>
        <v>0</v>
      </c>
      <c r="AA131" s="112">
        <f>Table6[[#This Row],[مرتب]]*50%</f>
        <v>2870</v>
      </c>
      <c r="AB131" s="113" t="e">
        <f>VLOOKUP(Table6[[#This Row],[الرقم الوظيفى]],[3]!Table25289[#Data],23,)</f>
        <v>#REF!</v>
      </c>
      <c r="AC131" s="149"/>
      <c r="AD131" s="150"/>
      <c r="AE131" s="113" t="e">
        <f>VLOOKUP(Table6[[#This Row],[الرقم الوظيفى]],[3]!Table252894[#Data],22,)</f>
        <v>#REF!</v>
      </c>
      <c r="AF131" s="151">
        <v>960</v>
      </c>
      <c r="AG131" s="111">
        <f>' الشركه 2018'!$W131+' الشركه 2018'!$Z131+' الشركه 2018'!$AA131+' الشركه 2018'!$AC131+' الشركه 2018'!$AD131+' الشركه 2018'!$AF131</f>
        <v>3830</v>
      </c>
      <c r="AH131" s="111">
        <f>Table6[[#This Row],[راتب الضمان]]*8%</f>
        <v>0</v>
      </c>
      <c r="AI131" s="111">
        <f>' الشركه 2018'!$H131-' الشركه 2018'!$AG131-' الشركه 2018'!$AH131</f>
        <v>1910</v>
      </c>
      <c r="AJ131" s="111">
        <f>' الشركه 2018'!$CF131</f>
        <v>83.202403846153857</v>
      </c>
      <c r="AK131" s="117">
        <f>' الشركه 2018'!$AI131+' الشركه 2018'!$AJ131</f>
        <v>1993.2024038461539</v>
      </c>
      <c r="AL131" s="152"/>
      <c r="AM131" s="153"/>
      <c r="AN131" s="9">
        <f>Table6[[#This Row],[اجمالى الاستحقاق]]-Table6[[#This Row],[Column2]]+Table6[[#This Row],[حوافز غير مستقره]]</f>
        <v>1993.2024038461539</v>
      </c>
      <c r="AO131" s="59"/>
      <c r="AP131" s="169"/>
      <c r="AQ131" s="176"/>
      <c r="AR131" s="124"/>
      <c r="AS131" s="155"/>
      <c r="AT131" s="170"/>
      <c r="AU131" s="124"/>
      <c r="AV131" s="124"/>
      <c r="AW131" s="124"/>
      <c r="AX131" s="124"/>
      <c r="AY131" s="124"/>
      <c r="AZ131" s="124"/>
      <c r="BA131" s="124"/>
      <c r="BB131" s="124"/>
      <c r="BC131" s="124"/>
      <c r="BD131" s="124"/>
      <c r="BE131" s="124"/>
      <c r="BF131" s="124"/>
      <c r="BG131" s="124">
        <v>3</v>
      </c>
      <c r="BH131" s="124"/>
      <c r="BI131" s="124"/>
      <c r="BJ131" s="124"/>
      <c r="BK131" s="124"/>
      <c r="BL131" s="124"/>
      <c r="BM131" s="124"/>
      <c r="BN131" s="124"/>
      <c r="BO131" s="124"/>
      <c r="BP131" s="124"/>
      <c r="BQ131" s="124"/>
      <c r="BR131" s="124"/>
      <c r="BS131" s="124"/>
      <c r="BT131" s="124"/>
      <c r="BU131" s="124"/>
      <c r="BV131" s="124"/>
      <c r="BW131" s="124"/>
      <c r="BX131" s="124"/>
      <c r="BY131" s="124"/>
      <c r="BZ131" s="171"/>
      <c r="CA131" s="172"/>
      <c r="CB13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13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31" s="131">
        <f>' الشركه 2018'!$H131*67%*1.5*' الشركه 2018'!$CB131/208</f>
        <v>83.202403846153857</v>
      </c>
      <c r="CE131" s="132">
        <f>' الشركه 2018'!$H131*67%*2*' الشركه 2018'!$CC131/208</f>
        <v>0</v>
      </c>
      <c r="CF131" s="133">
        <f>' الشركه 2018'!$CD131+' الشركه 2018'!$CE131</f>
        <v>83.202403846153857</v>
      </c>
      <c r="CG131" s="124"/>
      <c r="CH131" s="177">
        <f>SUMIF(C131:C393,' الشركه 2018'!$CG126,L131:L393)</f>
        <v>0</v>
      </c>
      <c r="CI131" s="124"/>
      <c r="CJ131" s="177">
        <f>' الشركه 2018'!$CH126*' الشركه 2018'!$CI126</f>
        <v>0</v>
      </c>
      <c r="CK131" s="177">
        <f>' الشركه 2018'!$CJ126*8%</f>
        <v>0</v>
      </c>
      <c r="CL131" s="177">
        <f>' الشركه 2018'!$CJ126*17%</f>
        <v>0</v>
      </c>
      <c r="CM131" s="177">
        <f>' الشركه 2018'!$CJ126*25%</f>
        <v>0</v>
      </c>
      <c r="CN131" s="162"/>
      <c r="CO131" s="162"/>
      <c r="CP131" s="163"/>
      <c r="CQ131" s="164" t="e">
        <f>VLOOKUP(Table6[[#This Row],[الرقم الوظيفى]],[4]!Table3[#Data],26,FALSE)</f>
        <v>#REF!</v>
      </c>
      <c r="CR131" s="165">
        <v>400</v>
      </c>
      <c r="CS131" s="124"/>
    </row>
    <row r="132" spans="1:97" ht="28" customHeight="1" thickTop="1" thickBot="1">
      <c r="A132" s="222">
        <v>656</v>
      </c>
      <c r="B132" s="142" t="s">
        <v>382</v>
      </c>
      <c r="C132" s="59" t="s">
        <v>90</v>
      </c>
      <c r="D132" s="143" t="s">
        <v>81</v>
      </c>
      <c r="E132" s="174" t="s">
        <v>629</v>
      </c>
      <c r="F132" s="143" t="s">
        <v>63</v>
      </c>
      <c r="G132" s="145">
        <v>41610</v>
      </c>
      <c r="H132" s="146">
        <v>4170</v>
      </c>
      <c r="I132" s="106">
        <f>Table6[[#This Row],[مرتب]]/30</f>
        <v>139</v>
      </c>
      <c r="J132" s="107">
        <v>30</v>
      </c>
      <c r="K132" s="107">
        <f t="shared" si="2"/>
        <v>4170</v>
      </c>
      <c r="L132" s="108">
        <v>4170</v>
      </c>
      <c r="M132" s="107">
        <f>Table6[[#This Row],[مرتب الضمان]]*17%</f>
        <v>708.90000000000009</v>
      </c>
      <c r="N132" s="107">
        <f>' الشركه 2018'!$H132*35%</f>
        <v>1459.5</v>
      </c>
      <c r="O132" s="107">
        <f>' الشركه 2018'!$H132*32%</f>
        <v>1334.4</v>
      </c>
      <c r="P132" s="107">
        <f>' الشركه 2018'!$H132*12%</f>
        <v>500.4</v>
      </c>
      <c r="Q132" s="107">
        <f>' الشركه 2018'!$H132*13%</f>
        <v>542.1</v>
      </c>
      <c r="R132" s="107">
        <f>' الشركه 2018'!$H132*6%</f>
        <v>250.2</v>
      </c>
      <c r="S132" s="107">
        <f>' الشركه 2018'!$H132*2%</f>
        <v>83.4</v>
      </c>
      <c r="T132" s="107">
        <f>' الشركه 2018'!$O132+' الشركه 2018'!$P132+' الشركه 2018'!$Q132+' الشركه 2018'!$R132+' الشركه 2018'!$S132</f>
        <v>2710.5</v>
      </c>
      <c r="U132" s="109">
        <f>VLOOKUP(Table6[[#This Row],[الرقم الوظيفى]],[2]بالخصم!$B$1:$AK$1200,35,)</f>
        <v>0</v>
      </c>
      <c r="V132" s="147"/>
      <c r="W132" s="111">
        <f>Table6[[#This Row],[عدد ايام الاجازه]]*Table6[[#This Row],[ح راتب اليوم]]</f>
        <v>0</v>
      </c>
      <c r="X132" s="148"/>
      <c r="Y132" s="60"/>
      <c r="Z132" s="111">
        <f>Table6[[#This Row],[عدد ايام الجزاء]]*Table6[[#This Row],[ح راتب اليوم]]</f>
        <v>0</v>
      </c>
      <c r="AA132" s="112">
        <f>Table6[[#This Row],[مرتب]]*50%</f>
        <v>2085</v>
      </c>
      <c r="AB132" s="113" t="e">
        <f>VLOOKUP(Table6[[#This Row],[الرقم الوظيفى]],[3]!Table25289[#Data],23,)</f>
        <v>#REF!</v>
      </c>
      <c r="AC132" s="149"/>
      <c r="AD132" s="150"/>
      <c r="AE132" s="113" t="e">
        <f>VLOOKUP(Table6[[#This Row],[الرقم الوظيفى]],[3]!Table252894[#Data],22,)</f>
        <v>#REF!</v>
      </c>
      <c r="AF132" s="151"/>
      <c r="AG132" s="111">
        <f>' الشركه 2018'!$W132+' الشركه 2018'!$Z132+' الشركه 2018'!$AA132+' الشركه 2018'!$AC132+' الشركه 2018'!$AD132+' الشركه 2018'!$AF132</f>
        <v>2085</v>
      </c>
      <c r="AH132" s="111">
        <f>Table6[[#This Row],[راتب الضمان]]*8%</f>
        <v>333.6</v>
      </c>
      <c r="AI132" s="111">
        <f>' الشركه 2018'!$H132-' الشركه 2018'!$AG132-' الشركه 2018'!$AH132</f>
        <v>1751.4</v>
      </c>
      <c r="AJ132" s="111">
        <f>' الشركه 2018'!$CF132</f>
        <v>268.64423076923077</v>
      </c>
      <c r="AK132" s="117">
        <f>' الشركه 2018'!$AI132+' الشركه 2018'!$AJ132</f>
        <v>2020.0442307692308</v>
      </c>
      <c r="AL132" s="152"/>
      <c r="AM132" s="153"/>
      <c r="AN132" s="9">
        <f>Table6[[#This Row],[اجمالى الاستحقاق]]-Table6[[#This Row],[Column2]]+Table6[[#This Row],[حوافز غير مستقره]]</f>
        <v>2020.0442307692308</v>
      </c>
      <c r="AO132" s="59"/>
      <c r="AP132" s="169"/>
      <c r="AQ132" s="176"/>
      <c r="AR132" s="124"/>
      <c r="AS132" s="155"/>
      <c r="AT132" s="170"/>
      <c r="AU132" s="124"/>
      <c r="AV132" s="124"/>
      <c r="AW132" s="124"/>
      <c r="AX132" s="124"/>
      <c r="AY132" s="124"/>
      <c r="AZ132" s="124"/>
      <c r="BA132" s="124"/>
      <c r="BB132" s="124"/>
      <c r="BC132" s="124"/>
      <c r="BD132" s="124"/>
      <c r="BE132" s="124"/>
      <c r="BF132" s="124"/>
      <c r="BG132" s="124"/>
      <c r="BH132" s="124"/>
      <c r="BI132" s="124"/>
      <c r="BJ132" s="124"/>
      <c r="BK132" s="124"/>
      <c r="BL132" s="124"/>
      <c r="BM132" s="124"/>
      <c r="BN132" s="124"/>
      <c r="BO132" s="124"/>
      <c r="BP132" s="124"/>
      <c r="BQ132" s="124">
        <v>10</v>
      </c>
      <c r="BR132" s="124"/>
      <c r="BS132" s="124"/>
      <c r="BT132" s="124"/>
      <c r="BU132" s="124"/>
      <c r="BV132" s="124"/>
      <c r="BW132" s="124"/>
      <c r="BX132" s="124"/>
      <c r="BY132" s="124"/>
      <c r="BZ132" s="171"/>
      <c r="CA132" s="172"/>
      <c r="CB13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2" s="130">
        <f>Table6[[#This Row],[Friday, November 23, 2018]]+Table6[[#This Row],[Friday, November 30, 2018]]+Table6[[#This Row],[Friday, December 07, 2018]]+Table6[[#This Row],[Friday, December 14, 2018]]+Table6[[#This Row],[فروقات عطله]]</f>
        <v>10</v>
      </c>
      <c r="CD132" s="131">
        <f>' الشركه 2018'!$H132*67%*1.5*' الشركه 2018'!$CB132/208</f>
        <v>0</v>
      </c>
      <c r="CE132" s="132">
        <f>' الشركه 2018'!$H132*67%*2*' الشركه 2018'!$CC132/208</f>
        <v>268.64423076923077</v>
      </c>
      <c r="CF132" s="133">
        <f>' الشركه 2018'!$CD132+' الشركه 2018'!$CE132</f>
        <v>268.64423076923077</v>
      </c>
      <c r="CG132" s="124"/>
      <c r="CH132" s="177">
        <f>SUMIF(C132:C394,' الشركه 2018'!$CG127,L132:L394)</f>
        <v>0</v>
      </c>
      <c r="CI132" s="124"/>
      <c r="CJ132" s="177">
        <f>' الشركه 2018'!$CH127*' الشركه 2018'!$CI127</f>
        <v>0</v>
      </c>
      <c r="CK132" s="177">
        <f>' الشركه 2018'!$CJ127*8%</f>
        <v>0</v>
      </c>
      <c r="CL132" s="177">
        <f>' الشركه 2018'!$CJ127*17%</f>
        <v>0</v>
      </c>
      <c r="CM132" s="177">
        <f>' الشركه 2018'!$CJ127*25%</f>
        <v>0</v>
      </c>
      <c r="CN132" s="162"/>
      <c r="CO132" s="162"/>
      <c r="CP132" s="163"/>
      <c r="CQ132" s="164" t="e">
        <f>VLOOKUP(Table6[[#This Row],[الرقم الوظيفى]],[4]!Table3[#Data],26,FALSE)</f>
        <v>#REF!</v>
      </c>
      <c r="CR132" s="165">
        <v>1000</v>
      </c>
      <c r="CS132" s="124"/>
    </row>
    <row r="133" spans="1:97" ht="28" customHeight="1" thickTop="1" thickBot="1">
      <c r="A133" s="222">
        <v>662</v>
      </c>
      <c r="B133" s="142" t="s">
        <v>227</v>
      </c>
      <c r="C133" s="59" t="s">
        <v>90</v>
      </c>
      <c r="D133" s="143" t="s">
        <v>74</v>
      </c>
      <c r="E133" s="174" t="s">
        <v>622</v>
      </c>
      <c r="F133" s="143" t="s">
        <v>205</v>
      </c>
      <c r="G133" s="145">
        <v>41612</v>
      </c>
      <c r="H133" s="146">
        <v>4150</v>
      </c>
      <c r="I133" s="106">
        <f>Table6[[#This Row],[مرتب]]/30</f>
        <v>138.33333333333334</v>
      </c>
      <c r="J133" s="107">
        <v>30</v>
      </c>
      <c r="K133" s="107">
        <f t="shared" si="2"/>
        <v>4150</v>
      </c>
      <c r="L133" s="108">
        <v>4150</v>
      </c>
      <c r="M133" s="107">
        <f>Table6[[#This Row],[مرتب الضمان]]*17%</f>
        <v>705.5</v>
      </c>
      <c r="N133" s="107">
        <f>' الشركه 2018'!$H133*35%</f>
        <v>1452.5</v>
      </c>
      <c r="O133" s="107">
        <f>' الشركه 2018'!$H133*32%</f>
        <v>1328</v>
      </c>
      <c r="P133" s="107">
        <f>' الشركه 2018'!$H133*12%</f>
        <v>498</v>
      </c>
      <c r="Q133" s="107">
        <f>' الشركه 2018'!$H133*13%</f>
        <v>539.5</v>
      </c>
      <c r="R133" s="107">
        <f>' الشركه 2018'!$H133*6%</f>
        <v>249</v>
      </c>
      <c r="S133" s="107">
        <f>' الشركه 2018'!$H133*2%</f>
        <v>83</v>
      </c>
      <c r="T133" s="107">
        <f>' الشركه 2018'!$O133+' الشركه 2018'!$P133+' الشركه 2018'!$Q133+' الشركه 2018'!$R133+' الشركه 2018'!$S133</f>
        <v>2697.5</v>
      </c>
      <c r="U133" s="109">
        <f>VLOOKUP(Table6[[#This Row],[الرقم الوظيفى]],[2]بالخصم!$B$1:$AK$1200,35,)</f>
        <v>0</v>
      </c>
      <c r="V133" s="147"/>
      <c r="W133" s="111">
        <f>Table6[[#This Row],[عدد ايام الاجازه]]*Table6[[#This Row],[ح راتب اليوم]]</f>
        <v>0</v>
      </c>
      <c r="X133" s="148"/>
      <c r="Y133" s="60"/>
      <c r="Z133" s="111">
        <f>Table6[[#This Row],[عدد ايام الجزاء]]*Table6[[#This Row],[ح راتب اليوم]]</f>
        <v>0</v>
      </c>
      <c r="AA133" s="112">
        <f>Table6[[#This Row],[مرتب]]*50%</f>
        <v>2075</v>
      </c>
      <c r="AB133" s="113" t="e">
        <f>VLOOKUP(Table6[[#This Row],[الرقم الوظيفى]],[3]!Table25289[#Data],23,)</f>
        <v>#REF!</v>
      </c>
      <c r="AC133" s="149"/>
      <c r="AD133" s="150"/>
      <c r="AE133" s="113" t="e">
        <f>VLOOKUP(Table6[[#This Row],[الرقم الوظيفى]],[3]!Table252894[#Data],22,)</f>
        <v>#REF!</v>
      </c>
      <c r="AF133" s="151"/>
      <c r="AG133" s="111">
        <f>' الشركه 2018'!$W133+' الشركه 2018'!$Z133+' الشركه 2018'!$AA133+' الشركه 2018'!$AC133+' الشركه 2018'!$AD133+' الشركه 2018'!$AF133</f>
        <v>2075</v>
      </c>
      <c r="AH133" s="111">
        <f>Table6[[#This Row],[راتب الضمان]]*8%</f>
        <v>332</v>
      </c>
      <c r="AI133" s="111">
        <f>' الشركه 2018'!$H133-' الشركه 2018'!$AG133-' الشركه 2018'!$AH133</f>
        <v>1743</v>
      </c>
      <c r="AJ133" s="111">
        <f>' الشركه 2018'!$CF133</f>
        <v>0</v>
      </c>
      <c r="AK133" s="117">
        <f>' الشركه 2018'!$AI133+' الشركه 2018'!$AJ133</f>
        <v>1743</v>
      </c>
      <c r="AL133" s="152"/>
      <c r="AM133" s="153"/>
      <c r="AN133" s="9">
        <f>Table6[[#This Row],[اجمالى الاستحقاق]]-Table6[[#This Row],[Column2]]+Table6[[#This Row],[حوافز غير مستقره]]</f>
        <v>1743</v>
      </c>
      <c r="AO133" s="59"/>
      <c r="AP133" s="169"/>
      <c r="AQ133" s="176"/>
      <c r="AR133" s="124"/>
      <c r="AS133" s="155"/>
      <c r="AT133" s="170"/>
      <c r="AU133" s="124"/>
      <c r="AV133" s="124"/>
      <c r="AW133" s="124"/>
      <c r="AX133" s="124"/>
      <c r="AY133" s="124"/>
      <c r="AZ133" s="124"/>
      <c r="BA133" s="124"/>
      <c r="BB133" s="124"/>
      <c r="BC133" s="124"/>
      <c r="BD133" s="124"/>
      <c r="BE133" s="124"/>
      <c r="BF133" s="124"/>
      <c r="BG133" s="124"/>
      <c r="BH133" s="124"/>
      <c r="BI133" s="124"/>
      <c r="BJ133" s="124"/>
      <c r="BK133" s="124"/>
      <c r="BL133" s="124"/>
      <c r="BM133" s="124"/>
      <c r="BN133" s="124"/>
      <c r="BO133" s="124"/>
      <c r="BP133" s="124"/>
      <c r="BQ133" s="124"/>
      <c r="BR133" s="124"/>
      <c r="BS133" s="124"/>
      <c r="BT133" s="124"/>
      <c r="BU133" s="124"/>
      <c r="BV133" s="124"/>
      <c r="BW133" s="124"/>
      <c r="BX133" s="124"/>
      <c r="BY133" s="124"/>
      <c r="BZ133" s="171"/>
      <c r="CA133" s="172"/>
      <c r="CB13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33" s="131">
        <f>' الشركه 2018'!$H133*67%*1.5*' الشركه 2018'!$CB133/208</f>
        <v>0</v>
      </c>
      <c r="CE133" s="132">
        <f>' الشركه 2018'!$H133*67%*2*' الشركه 2018'!$CC133/208</f>
        <v>0</v>
      </c>
      <c r="CF133" s="133">
        <f>' الشركه 2018'!$CD133+' الشركه 2018'!$CE133</f>
        <v>0</v>
      </c>
      <c r="CG133" s="124"/>
      <c r="CH133" s="177">
        <f>SUMIF(C133:C395,' الشركه 2018'!$CG128,L133:L395)</f>
        <v>0</v>
      </c>
      <c r="CI133" s="124"/>
      <c r="CJ133" s="177">
        <f>' الشركه 2018'!$CH128*' الشركه 2018'!$CI128</f>
        <v>0</v>
      </c>
      <c r="CK133" s="177">
        <f>' الشركه 2018'!$CJ128*8%</f>
        <v>0</v>
      </c>
      <c r="CL133" s="177">
        <f>' الشركه 2018'!$CJ128*17%</f>
        <v>0</v>
      </c>
      <c r="CM133" s="177">
        <f>' الشركه 2018'!$CJ128*25%</f>
        <v>0</v>
      </c>
      <c r="CN133" s="162"/>
      <c r="CO133" s="162"/>
      <c r="CP133" s="163">
        <v>200</v>
      </c>
      <c r="CQ133" s="164" t="e">
        <f>VLOOKUP(Table6[[#This Row],[الرقم الوظيفى]],[4]!Table3[#Data],26,FALSE)</f>
        <v>#REF!</v>
      </c>
      <c r="CR133" s="165">
        <v>500</v>
      </c>
      <c r="CS133" s="124"/>
    </row>
    <row r="134" spans="1:97" ht="28" customHeight="1" thickTop="1" thickBot="1">
      <c r="A134" s="222">
        <v>666</v>
      </c>
      <c r="B134" s="142" t="s">
        <v>179</v>
      </c>
      <c r="C134" s="59" t="s">
        <v>90</v>
      </c>
      <c r="D134" s="143" t="s">
        <v>611</v>
      </c>
      <c r="E134" s="174" t="s">
        <v>662</v>
      </c>
      <c r="F134" s="143" t="s">
        <v>177</v>
      </c>
      <c r="G134" s="145">
        <v>41616</v>
      </c>
      <c r="H134" s="146">
        <v>4200</v>
      </c>
      <c r="I134" s="106">
        <f>Table6[[#This Row],[مرتب]]/30</f>
        <v>140</v>
      </c>
      <c r="J134" s="107">
        <v>30</v>
      </c>
      <c r="K134" s="107">
        <f t="shared" si="2"/>
        <v>4200</v>
      </c>
      <c r="L134" s="108">
        <v>4200</v>
      </c>
      <c r="M134" s="107">
        <f>Table6[[#This Row],[مرتب الضمان]]*17%</f>
        <v>714</v>
      </c>
      <c r="N134" s="107">
        <f>' الشركه 2018'!$H134*35%</f>
        <v>1470</v>
      </c>
      <c r="O134" s="107">
        <f>' الشركه 2018'!$H134*32%</f>
        <v>1344</v>
      </c>
      <c r="P134" s="107">
        <f>' الشركه 2018'!$H134*12%</f>
        <v>504</v>
      </c>
      <c r="Q134" s="107">
        <f>' الشركه 2018'!$H134*13%</f>
        <v>546</v>
      </c>
      <c r="R134" s="107">
        <f>' الشركه 2018'!$H134*6%</f>
        <v>252</v>
      </c>
      <c r="S134" s="107">
        <f>' الشركه 2018'!$H134*2%</f>
        <v>84</v>
      </c>
      <c r="T134" s="107">
        <f>' الشركه 2018'!$O134+' الشركه 2018'!$P134+' الشركه 2018'!$Q134+' الشركه 2018'!$R134+' الشركه 2018'!$S134</f>
        <v>2730</v>
      </c>
      <c r="U134" s="109">
        <f>VLOOKUP(Table6[[#This Row],[الرقم الوظيفى]],[2]بالخصم!$B$1:$AK$1200,35,)</f>
        <v>0</v>
      </c>
      <c r="V134" s="147"/>
      <c r="W134" s="111">
        <f>Table6[[#This Row],[عدد ايام الاجازه]]*Table6[[#This Row],[ح راتب اليوم]]</f>
        <v>0</v>
      </c>
      <c r="X134" s="148"/>
      <c r="Y134" s="60"/>
      <c r="Z134" s="111">
        <f>Table6[[#This Row],[عدد ايام الجزاء]]*Table6[[#This Row],[ح راتب اليوم]]</f>
        <v>0</v>
      </c>
      <c r="AA134" s="112">
        <f>Table6[[#This Row],[مرتب]]*50%</f>
        <v>2100</v>
      </c>
      <c r="AB134" s="113" t="e">
        <f>VLOOKUP(Table6[[#This Row],[الرقم الوظيفى]],[3]!Table25289[#Data],23,)</f>
        <v>#REF!</v>
      </c>
      <c r="AC134" s="149"/>
      <c r="AD134" s="150"/>
      <c r="AE134" s="113" t="e">
        <f>VLOOKUP(Table6[[#This Row],[الرقم الوظيفى]],[3]!Table252894[#Data],22,)</f>
        <v>#REF!</v>
      </c>
      <c r="AF134" s="151"/>
      <c r="AG134" s="111">
        <f>' الشركه 2018'!$W134+' الشركه 2018'!$Z134+' الشركه 2018'!$AA134+' الشركه 2018'!$AC134+' الشركه 2018'!$AD134+' الشركه 2018'!$AF134</f>
        <v>2100</v>
      </c>
      <c r="AH134" s="111">
        <f>Table6[[#This Row],[راتب الضمان]]*8%</f>
        <v>336</v>
      </c>
      <c r="AI134" s="111">
        <f>' الشركه 2018'!$H134-' الشركه 2018'!$AG134-' الشركه 2018'!$AH134</f>
        <v>1764</v>
      </c>
      <c r="AJ134" s="111">
        <f>' الشركه 2018'!$CF134</f>
        <v>1948.1538461538462</v>
      </c>
      <c r="AK134" s="117">
        <f>' الشركه 2018'!$AI134+' الشركه 2018'!$AJ134</f>
        <v>3712.1538461538462</v>
      </c>
      <c r="AL134" s="152"/>
      <c r="AM134" s="153"/>
      <c r="AN134" s="9">
        <f>Table6[[#This Row],[اجمالى الاستحقاق]]-Table6[[#This Row],[Column2]]+Table6[[#This Row],[حوافز غير مستقره]]</f>
        <v>3712.1538461538462</v>
      </c>
      <c r="AO134" s="59"/>
      <c r="AP134" s="169"/>
      <c r="AQ134" s="176"/>
      <c r="AR134" s="124"/>
      <c r="AS134" s="155"/>
      <c r="AT134" s="170"/>
      <c r="AU134" s="124"/>
      <c r="AV134" s="124"/>
      <c r="AW134" s="124"/>
      <c r="AX134" s="124"/>
      <c r="AY134" s="124"/>
      <c r="AZ134" s="124"/>
      <c r="BA134" s="124"/>
      <c r="BB134" s="124"/>
      <c r="BC134" s="124">
        <v>24</v>
      </c>
      <c r="BD134" s="124"/>
      <c r="BE134" s="124"/>
      <c r="BF134" s="124"/>
      <c r="BG134" s="124"/>
      <c r="BH134" s="124">
        <v>8</v>
      </c>
      <c r="BI134" s="124"/>
      <c r="BJ134" s="124">
        <v>14</v>
      </c>
      <c r="BK134" s="124"/>
      <c r="BL134" s="124">
        <v>4</v>
      </c>
      <c r="BM134" s="124">
        <v>2.5</v>
      </c>
      <c r="BN134" s="124">
        <v>4</v>
      </c>
      <c r="BO134" s="124">
        <v>1.5</v>
      </c>
      <c r="BP134" s="124">
        <v>4</v>
      </c>
      <c r="BQ134" s="124">
        <v>16</v>
      </c>
      <c r="BR134" s="124"/>
      <c r="BS134" s="124"/>
      <c r="BT134" s="124"/>
      <c r="BU134" s="124"/>
      <c r="BV134" s="124"/>
      <c r="BW134" s="124"/>
      <c r="BX134" s="124"/>
      <c r="BY134" s="124"/>
      <c r="BZ134" s="159"/>
      <c r="CA134" s="160"/>
      <c r="CB13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134" s="130">
        <f>Table6[[#This Row],[Friday, November 23, 2018]]+Table6[[#This Row],[Friday, November 30, 2018]]+Table6[[#This Row],[Friday, December 07, 2018]]+Table6[[#This Row],[Friday, December 14, 2018]]+Table6[[#This Row],[فروقات عطله]]</f>
        <v>54</v>
      </c>
      <c r="CD134" s="131">
        <f>' الشركه 2018'!$H134*67%*1.5*' الشركه 2018'!$CB134/208</f>
        <v>487.03846153846155</v>
      </c>
      <c r="CE134" s="132">
        <f>' الشركه 2018'!$H134*67%*2*' الشركه 2018'!$CC134/208</f>
        <v>1461.1153846153845</v>
      </c>
      <c r="CF134" s="133">
        <f>' الشركه 2018'!$CD134+' الشركه 2018'!$CE134</f>
        <v>1948.1538461538462</v>
      </c>
      <c r="CG134" s="124"/>
      <c r="CH134" s="177">
        <f>SUMIF(C134:C396,' الشركه 2018'!$CG129,L134:L396)</f>
        <v>0</v>
      </c>
      <c r="CI134" s="124"/>
      <c r="CJ134" s="177">
        <f>' الشركه 2018'!$CH129*' الشركه 2018'!$CI129</f>
        <v>0</v>
      </c>
      <c r="CK134" s="177">
        <f>' الشركه 2018'!$CJ129*8%</f>
        <v>0</v>
      </c>
      <c r="CL134" s="177">
        <f>' الشركه 2018'!$CJ129*17%</f>
        <v>0</v>
      </c>
      <c r="CM134" s="177">
        <f>' الشركه 2018'!$CJ129*25%</f>
        <v>0</v>
      </c>
      <c r="CN134" s="162"/>
      <c r="CO134" s="162"/>
      <c r="CP134" s="163">
        <v>400</v>
      </c>
      <c r="CQ134" s="164" t="e">
        <f>VLOOKUP(Table6[[#This Row],[الرقم الوظيفى]],[4]!Table3[#Data],26,FALSE)</f>
        <v>#REF!</v>
      </c>
      <c r="CR134" s="165">
        <v>1000</v>
      </c>
      <c r="CS134" s="124"/>
    </row>
    <row r="135" spans="1:97" ht="28" customHeight="1" thickTop="1" thickBot="1">
      <c r="A135" s="222">
        <v>670</v>
      </c>
      <c r="B135" s="142" t="s">
        <v>392</v>
      </c>
      <c r="C135" s="59" t="s">
        <v>90</v>
      </c>
      <c r="D135" s="143" t="s">
        <v>81</v>
      </c>
      <c r="E135" s="180" t="s">
        <v>677</v>
      </c>
      <c r="F135" s="143" t="s">
        <v>391</v>
      </c>
      <c r="G135" s="145">
        <v>41619</v>
      </c>
      <c r="H135" s="146">
        <v>4170</v>
      </c>
      <c r="I135" s="106">
        <f>Table6[[#This Row],[مرتب]]/30</f>
        <v>139</v>
      </c>
      <c r="J135" s="107">
        <v>30</v>
      </c>
      <c r="K135" s="107">
        <f t="shared" si="2"/>
        <v>0</v>
      </c>
      <c r="L135" s="108">
        <v>0</v>
      </c>
      <c r="M135" s="107">
        <f>Table6[[#This Row],[مرتب الضمان]]*17%</f>
        <v>0</v>
      </c>
      <c r="N135" s="107">
        <f>' الشركه 2018'!$H135*35%</f>
        <v>1459.5</v>
      </c>
      <c r="O135" s="107">
        <f>' الشركه 2018'!$H135*32%</f>
        <v>1334.4</v>
      </c>
      <c r="P135" s="107">
        <f>' الشركه 2018'!$H135*12%</f>
        <v>500.4</v>
      </c>
      <c r="Q135" s="107">
        <f>' الشركه 2018'!$H135*13%</f>
        <v>542.1</v>
      </c>
      <c r="R135" s="107">
        <f>' الشركه 2018'!$H135*6%</f>
        <v>250.2</v>
      </c>
      <c r="S135" s="107">
        <f>' الشركه 2018'!$H135*2%</f>
        <v>83.4</v>
      </c>
      <c r="T135" s="107">
        <f>' الشركه 2018'!$O135+' الشركه 2018'!$P135+' الشركه 2018'!$Q135+' الشركه 2018'!$R135+' الشركه 2018'!$S135</f>
        <v>2710.5</v>
      </c>
      <c r="U135" s="109">
        <f>VLOOKUP(Table6[[#This Row],[الرقم الوظيفى]],[2]بالخصم!$B$1:$AK$1200,35,)</f>
        <v>0</v>
      </c>
      <c r="V135" s="147"/>
      <c r="W135" s="111">
        <f>Table6[[#This Row],[عدد ايام الاجازه]]*Table6[[#This Row],[ح راتب اليوم]]</f>
        <v>0</v>
      </c>
      <c r="X135" s="148"/>
      <c r="Y135" s="60"/>
      <c r="Z135" s="111">
        <f>Table6[[#This Row],[عدد ايام الجزاء]]*Table6[[#This Row],[ح راتب اليوم]]</f>
        <v>0</v>
      </c>
      <c r="AA135" s="112">
        <f>Table6[[#This Row],[مرتب]]*50%</f>
        <v>2085</v>
      </c>
      <c r="AB135" s="113" t="e">
        <f>VLOOKUP(Table6[[#This Row],[الرقم الوظيفى]],[3]!Table25289[#Data],23,)</f>
        <v>#REF!</v>
      </c>
      <c r="AC135" s="149"/>
      <c r="AD135" s="150"/>
      <c r="AE135" s="113" t="e">
        <f>VLOOKUP(Table6[[#This Row],[الرقم الوظيفى]],[3]!Table252894[#Data],22,)</f>
        <v>#REF!</v>
      </c>
      <c r="AF135" s="151"/>
      <c r="AG135" s="111">
        <f>' الشركه 2018'!$W135+' الشركه 2018'!$Z135+' الشركه 2018'!$AA135+' الشركه 2018'!$AC135+' الشركه 2018'!$AD135+' الشركه 2018'!$AF135</f>
        <v>2085</v>
      </c>
      <c r="AH135" s="111">
        <f>Table6[[#This Row],[راتب الضمان]]*8%</f>
        <v>0</v>
      </c>
      <c r="AI135" s="111">
        <f>' الشركه 2018'!$H135-' الشركه 2018'!$AG135-' الشركه 2018'!$AH135</f>
        <v>2085</v>
      </c>
      <c r="AJ135" s="111">
        <f>' الشركه 2018'!$CF135</f>
        <v>60.444951923076928</v>
      </c>
      <c r="AK135" s="117">
        <f>' الشركه 2018'!$AI135+' الشركه 2018'!$AJ135</f>
        <v>2145.444951923077</v>
      </c>
      <c r="AL135" s="152"/>
      <c r="AM135" s="153"/>
      <c r="AN135" s="9">
        <f>Table6[[#This Row],[اجمالى الاستحقاق]]-Table6[[#This Row],[Column2]]+Table6[[#This Row],[حوافز غير مستقره]]</f>
        <v>2145.444951923077</v>
      </c>
      <c r="AO135" s="59"/>
      <c r="AP135" s="169"/>
      <c r="AQ135" s="176"/>
      <c r="AR135" s="124"/>
      <c r="AS135" s="155"/>
      <c r="AT135" s="170"/>
      <c r="AU135" s="124"/>
      <c r="AV135" s="124"/>
      <c r="AW135" s="124"/>
      <c r="AX135" s="124">
        <v>3</v>
      </c>
      <c r="AY135" s="124"/>
      <c r="AZ135" s="124"/>
      <c r="BA135" s="124"/>
      <c r="BB135" s="124"/>
      <c r="BC135" s="124"/>
      <c r="BD135" s="124"/>
      <c r="BE135" s="124"/>
      <c r="BF135" s="124"/>
      <c r="BG135" s="124"/>
      <c r="BH135" s="124"/>
      <c r="BI135" s="124"/>
      <c r="BJ135" s="124"/>
      <c r="BK135" s="124"/>
      <c r="BL135" s="124"/>
      <c r="BM135" s="124"/>
      <c r="BN135" s="124"/>
      <c r="BO135" s="124"/>
      <c r="BP135" s="124"/>
      <c r="BQ135" s="124"/>
      <c r="BR135" s="124"/>
      <c r="BS135" s="124"/>
      <c r="BT135" s="124"/>
      <c r="BU135" s="124"/>
      <c r="BV135" s="124"/>
      <c r="BW135" s="124"/>
      <c r="BX135" s="124"/>
      <c r="BY135" s="124"/>
      <c r="BZ135" s="159"/>
      <c r="CA135" s="160"/>
      <c r="CB13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13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35" s="131">
        <f>' الشركه 2018'!$H135*67%*1.5*' الشركه 2018'!$CB135/208</f>
        <v>60.444951923076928</v>
      </c>
      <c r="CE135" s="132">
        <f>' الشركه 2018'!$H135*67%*2*' الشركه 2018'!$CC135/208</f>
        <v>0</v>
      </c>
      <c r="CF135" s="133">
        <f>' الشركه 2018'!$CD135+' الشركه 2018'!$CE135</f>
        <v>60.444951923076928</v>
      </c>
      <c r="CG135" s="124"/>
      <c r="CH135" s="177">
        <f>SUMIF(C135:C397,' الشركه 2018'!$CG130,L135:L397)</f>
        <v>0</v>
      </c>
      <c r="CI135" s="124"/>
      <c r="CJ135" s="177">
        <f>' الشركه 2018'!$CH130*' الشركه 2018'!$CI130</f>
        <v>0</v>
      </c>
      <c r="CK135" s="177">
        <f>' الشركه 2018'!$CJ130*8%</f>
        <v>0</v>
      </c>
      <c r="CL135" s="177">
        <f>' الشركه 2018'!$CJ130*17%</f>
        <v>0</v>
      </c>
      <c r="CM135" s="177">
        <f>' الشركه 2018'!$CJ130*25%</f>
        <v>0</v>
      </c>
      <c r="CN135" s="162"/>
      <c r="CO135" s="162"/>
      <c r="CP135" s="163">
        <v>700</v>
      </c>
      <c r="CQ135" s="164" t="e">
        <f>VLOOKUP(Table6[[#This Row],[الرقم الوظيفى]],[4]!Table3[#Data],26,FALSE)</f>
        <v>#REF!</v>
      </c>
      <c r="CR135" s="165">
        <v>1000</v>
      </c>
      <c r="CS135" s="124"/>
    </row>
    <row r="136" spans="1:97" ht="21.65" customHeight="1" thickTop="1" thickBot="1">
      <c r="A136" s="222">
        <v>677</v>
      </c>
      <c r="B136" s="142" t="s">
        <v>317</v>
      </c>
      <c r="C136" s="59" t="s">
        <v>90</v>
      </c>
      <c r="D136" s="143" t="s">
        <v>75</v>
      </c>
      <c r="E136" s="174"/>
      <c r="F136" s="143" t="s">
        <v>657</v>
      </c>
      <c r="G136" s="145">
        <v>41626</v>
      </c>
      <c r="H136" s="146">
        <v>4170</v>
      </c>
      <c r="I136" s="106">
        <f>Table6[[#This Row],[مرتب]]/30</f>
        <v>139</v>
      </c>
      <c r="J136" s="107">
        <v>30</v>
      </c>
      <c r="K136" s="107">
        <f t="shared" si="2"/>
        <v>4170</v>
      </c>
      <c r="L136" s="108">
        <v>4170</v>
      </c>
      <c r="M136" s="107">
        <f>Table6[[#This Row],[مرتب الضمان]]*17%</f>
        <v>708.90000000000009</v>
      </c>
      <c r="N136" s="107">
        <f>' الشركه 2018'!$H136*35%</f>
        <v>1459.5</v>
      </c>
      <c r="O136" s="107">
        <f>' الشركه 2018'!$H136*32%</f>
        <v>1334.4</v>
      </c>
      <c r="P136" s="107">
        <f>' الشركه 2018'!$H136*12%</f>
        <v>500.4</v>
      </c>
      <c r="Q136" s="107">
        <f>' الشركه 2018'!$H136*13%</f>
        <v>542.1</v>
      </c>
      <c r="R136" s="107">
        <f>' الشركه 2018'!$H136*6%</f>
        <v>250.2</v>
      </c>
      <c r="S136" s="107">
        <f>' الشركه 2018'!$H136*2%</f>
        <v>83.4</v>
      </c>
      <c r="T136" s="107">
        <f>' الشركه 2018'!$O136+' الشركه 2018'!$P136+' الشركه 2018'!$Q136+' الشركه 2018'!$R136+' الشركه 2018'!$S136</f>
        <v>2710.5</v>
      </c>
      <c r="U136" s="109">
        <f>VLOOKUP(Table6[[#This Row],[الرقم الوظيفى]],[2]بالخصم!$B$1:$AK$1200,35,)</f>
        <v>0</v>
      </c>
      <c r="V136" s="147"/>
      <c r="W136" s="111">
        <f>Table6[[#This Row],[عدد ايام الاجازه]]*Table6[[#This Row],[ح راتب اليوم]]</f>
        <v>0</v>
      </c>
      <c r="X136" s="148"/>
      <c r="Y136" s="60"/>
      <c r="Z136" s="111">
        <f>Table6[[#This Row],[عدد ايام الجزاء]]*Table6[[#This Row],[ح راتب اليوم]]</f>
        <v>0</v>
      </c>
      <c r="AA136" s="112">
        <f>Table6[[#This Row],[مرتب]]*50%</f>
        <v>2085</v>
      </c>
      <c r="AB136" s="113" t="e">
        <f>VLOOKUP(Table6[[#This Row],[الرقم الوظيفى]],[3]!Table25289[#Data],23,)</f>
        <v>#REF!</v>
      </c>
      <c r="AC136" s="149"/>
      <c r="AD136" s="150"/>
      <c r="AE136" s="113" t="e">
        <f>VLOOKUP(Table6[[#This Row],[الرقم الوظيفى]],[3]!Table252894[#Data],22,)</f>
        <v>#REF!</v>
      </c>
      <c r="AF136" s="151"/>
      <c r="AG136" s="111">
        <f>' الشركه 2018'!$W136+' الشركه 2018'!$Z136+' الشركه 2018'!$AA136+' الشركه 2018'!$AC136+' الشركه 2018'!$AD136+' الشركه 2018'!$AF136</f>
        <v>2085</v>
      </c>
      <c r="AH136" s="111">
        <f>Table6[[#This Row],[راتب الضمان]]*8%</f>
        <v>333.6</v>
      </c>
      <c r="AI136" s="111">
        <f>' الشركه 2018'!$H136-' الشركه 2018'!$AG136-' الشركه 2018'!$AH136</f>
        <v>1751.4</v>
      </c>
      <c r="AJ136" s="111">
        <f>' الشركه 2018'!$CF136</f>
        <v>644.7461538461539</v>
      </c>
      <c r="AK136" s="117">
        <f>' الشركه 2018'!$AI136+' الشركه 2018'!$AJ136</f>
        <v>2396.146153846154</v>
      </c>
      <c r="AL136" s="152"/>
      <c r="AM136" s="153"/>
      <c r="AN136" s="9">
        <f>Table6[[#This Row],[اجمالى الاستحقاق]]-Table6[[#This Row],[Column2]]+Table6[[#This Row],[حوافز غير مستقره]]</f>
        <v>2396.146153846154</v>
      </c>
      <c r="AO136" s="59"/>
      <c r="AP136" s="169"/>
      <c r="AQ136" s="176"/>
      <c r="AR136" s="124"/>
      <c r="AS136" s="155"/>
      <c r="AT136" s="170"/>
      <c r="AU136" s="124"/>
      <c r="AV136" s="124"/>
      <c r="AW136" s="124"/>
      <c r="AX136" s="124"/>
      <c r="AY136" s="124"/>
      <c r="AZ136" s="124"/>
      <c r="BA136" s="124"/>
      <c r="BB136" s="124"/>
      <c r="BC136" s="124"/>
      <c r="BD136" s="124"/>
      <c r="BE136" s="124"/>
      <c r="BF136" s="124"/>
      <c r="BG136" s="124"/>
      <c r="BH136" s="124"/>
      <c r="BI136" s="124"/>
      <c r="BJ136" s="124">
        <v>24</v>
      </c>
      <c r="BK136" s="124"/>
      <c r="BL136" s="124"/>
      <c r="BM136" s="124"/>
      <c r="BN136" s="124"/>
      <c r="BO136" s="124"/>
      <c r="BP136" s="124"/>
      <c r="BQ136" s="124"/>
      <c r="BR136" s="124"/>
      <c r="BS136" s="124"/>
      <c r="BT136" s="124"/>
      <c r="BU136" s="124"/>
      <c r="BV136" s="124"/>
      <c r="BW136" s="124"/>
      <c r="BX136" s="124"/>
      <c r="BY136" s="124"/>
      <c r="BZ136" s="159"/>
      <c r="CA136" s="160"/>
      <c r="CB13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6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36" s="131">
        <f>' الشركه 2018'!$H136*67%*1.5*' الشركه 2018'!$CB136/208</f>
        <v>0</v>
      </c>
      <c r="CE136" s="132">
        <f>' الشركه 2018'!$H136*67%*2*' الشركه 2018'!$CC136/208</f>
        <v>644.7461538461539</v>
      </c>
      <c r="CF136" s="133">
        <f>' الشركه 2018'!$CD136+' الشركه 2018'!$CE136</f>
        <v>644.7461538461539</v>
      </c>
      <c r="CG136" s="124"/>
      <c r="CH136" s="177">
        <f>SUMIF(C136:C398,' الشركه 2018'!$CG131,L136:L398)</f>
        <v>0</v>
      </c>
      <c r="CI136" s="124"/>
      <c r="CJ136" s="177">
        <f>' الشركه 2018'!$CH131*' الشركه 2018'!$CI131</f>
        <v>0</v>
      </c>
      <c r="CK136" s="177">
        <f>' الشركه 2018'!$CJ131*8%</f>
        <v>0</v>
      </c>
      <c r="CL136" s="177">
        <f>' الشركه 2018'!$CJ131*17%</f>
        <v>0</v>
      </c>
      <c r="CM136" s="177">
        <f>' الشركه 2018'!$CJ131*25%</f>
        <v>0</v>
      </c>
      <c r="CN136" s="162"/>
      <c r="CO136" s="162"/>
      <c r="CP136" s="163">
        <v>500</v>
      </c>
      <c r="CQ136" s="164" t="e">
        <f>VLOOKUP(Table6[[#This Row],[الرقم الوظيفى]],[4]!Table3[#Data],26,FALSE)</f>
        <v>#REF!</v>
      </c>
      <c r="CR136" s="165">
        <v>500</v>
      </c>
      <c r="CS136" s="124"/>
    </row>
    <row r="137" spans="1:97" ht="28" customHeight="1" thickTop="1" thickBot="1">
      <c r="A137" s="222">
        <v>678</v>
      </c>
      <c r="B137" s="142" t="s">
        <v>308</v>
      </c>
      <c r="C137" s="59" t="s">
        <v>90</v>
      </c>
      <c r="D137" s="143" t="s">
        <v>74</v>
      </c>
      <c r="E137" s="174" t="s">
        <v>629</v>
      </c>
      <c r="F137" s="143" t="s">
        <v>63</v>
      </c>
      <c r="G137" s="145">
        <v>41626</v>
      </c>
      <c r="H137" s="146">
        <v>3150</v>
      </c>
      <c r="I137" s="106">
        <f>Table6[[#This Row],[مرتب]]/30</f>
        <v>105</v>
      </c>
      <c r="J137" s="107">
        <v>30</v>
      </c>
      <c r="K137" s="107">
        <f t="shared" si="2"/>
        <v>3150</v>
      </c>
      <c r="L137" s="108">
        <v>3150</v>
      </c>
      <c r="M137" s="107">
        <f>Table6[[#This Row],[مرتب الضمان]]*17%</f>
        <v>535.5</v>
      </c>
      <c r="N137" s="107">
        <f>' الشركه 2018'!$H137*35%</f>
        <v>1102.5</v>
      </c>
      <c r="O137" s="107">
        <f>' الشركه 2018'!$H137*32%</f>
        <v>1008</v>
      </c>
      <c r="P137" s="107">
        <f>' الشركه 2018'!$H137*12%</f>
        <v>378</v>
      </c>
      <c r="Q137" s="107">
        <f>' الشركه 2018'!$H137*13%</f>
        <v>409.5</v>
      </c>
      <c r="R137" s="107">
        <f>' الشركه 2018'!$H137*6%</f>
        <v>189</v>
      </c>
      <c r="S137" s="107">
        <f>' الشركه 2018'!$H137*2%</f>
        <v>63</v>
      </c>
      <c r="T137" s="107">
        <f>' الشركه 2018'!$O137+' الشركه 2018'!$P137+' الشركه 2018'!$Q137+' الشركه 2018'!$R137+' الشركه 2018'!$S137</f>
        <v>2047.5</v>
      </c>
      <c r="U137" s="109">
        <f>VLOOKUP(Table6[[#This Row],[الرقم الوظيفى]],[2]بالخصم!$B$1:$AK$1200,35,)</f>
        <v>0</v>
      </c>
      <c r="V137" s="147"/>
      <c r="W137" s="111">
        <f>Table6[[#This Row],[عدد ايام الاجازه]]*Table6[[#This Row],[ح راتب اليوم]]</f>
        <v>0</v>
      </c>
      <c r="X137" s="148"/>
      <c r="Y137" s="60"/>
      <c r="Z137" s="111">
        <f>Table6[[#This Row],[عدد ايام الجزاء]]*Table6[[#This Row],[ح راتب اليوم]]</f>
        <v>0</v>
      </c>
      <c r="AA137" s="112">
        <f>Table6[[#This Row],[مرتب]]*50%</f>
        <v>1575</v>
      </c>
      <c r="AB137" s="113" t="e">
        <f>VLOOKUP(Table6[[#This Row],[الرقم الوظيفى]],[3]!Table25289[#Data],23,)</f>
        <v>#REF!</v>
      </c>
      <c r="AC137" s="149"/>
      <c r="AD137" s="150"/>
      <c r="AE137" s="113" t="e">
        <f>VLOOKUP(Table6[[#This Row],[الرقم الوظيفى]],[3]!Table252894[#Data],22,)</f>
        <v>#REF!</v>
      </c>
      <c r="AF137" s="151"/>
      <c r="AG137" s="111">
        <f>' الشركه 2018'!$W137+' الشركه 2018'!$Z137+' الشركه 2018'!$AA137+' الشركه 2018'!$AC137+' الشركه 2018'!$AD137+' الشركه 2018'!$AF137</f>
        <v>1575</v>
      </c>
      <c r="AH137" s="111">
        <f>Table6[[#This Row],[راتب الضمان]]*8%</f>
        <v>252</v>
      </c>
      <c r="AI137" s="111">
        <f>' الشركه 2018'!$H137-' الشركه 2018'!$AG137-' الشركه 2018'!$AH137</f>
        <v>1323</v>
      </c>
      <c r="AJ137" s="111">
        <f>' الشركه 2018'!$CF137</f>
        <v>243.51923076923077</v>
      </c>
      <c r="AK137" s="117">
        <f>' الشركه 2018'!$AI137+' الشركه 2018'!$AJ137</f>
        <v>1566.5192307692307</v>
      </c>
      <c r="AL137" s="152"/>
      <c r="AM137" s="153"/>
      <c r="AN137" s="9">
        <f>Table6[[#This Row],[اجمالى الاستحقاق]]-Table6[[#This Row],[Column2]]+Table6[[#This Row],[حوافز غير مستقره]]</f>
        <v>1566.5192307692307</v>
      </c>
      <c r="AO137" s="59"/>
      <c r="AP137" s="169"/>
      <c r="AQ137" s="176"/>
      <c r="AR137" s="124"/>
      <c r="AS137" s="155"/>
      <c r="AT137" s="170"/>
      <c r="AU137" s="124"/>
      <c r="AV137" s="124">
        <v>12</v>
      </c>
      <c r="AW137" s="124"/>
      <c r="AX137" s="124"/>
      <c r="AY137" s="124"/>
      <c r="AZ137" s="124"/>
      <c r="BA137" s="124"/>
      <c r="BB137" s="124"/>
      <c r="BC137" s="124"/>
      <c r="BD137" s="124"/>
      <c r="BE137" s="124"/>
      <c r="BF137" s="124"/>
      <c r="BG137" s="124"/>
      <c r="BH137" s="124"/>
      <c r="BI137" s="124"/>
      <c r="BJ137" s="124"/>
      <c r="BK137" s="124"/>
      <c r="BL137" s="124"/>
      <c r="BM137" s="124"/>
      <c r="BN137" s="124"/>
      <c r="BO137" s="124"/>
      <c r="BP137" s="124"/>
      <c r="BQ137" s="124"/>
      <c r="BR137" s="124"/>
      <c r="BS137" s="124"/>
      <c r="BT137" s="124"/>
      <c r="BU137" s="124"/>
      <c r="BV137" s="124"/>
      <c r="BW137" s="124"/>
      <c r="BX137" s="124"/>
      <c r="BY137" s="124"/>
      <c r="BZ137" s="171"/>
      <c r="CA137" s="172"/>
      <c r="CB13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7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37" s="131">
        <f>' الشركه 2018'!$H137*67%*1.5*' الشركه 2018'!$CB137/208</f>
        <v>0</v>
      </c>
      <c r="CE137" s="132">
        <f>' الشركه 2018'!$H137*67%*2*' الشركه 2018'!$CC137/208</f>
        <v>243.51923076923077</v>
      </c>
      <c r="CF137" s="133">
        <f>' الشركه 2018'!$CD137+' الشركه 2018'!$CE137</f>
        <v>243.51923076923077</v>
      </c>
      <c r="CG137" s="124"/>
      <c r="CH137" s="177">
        <f>SUMIF(C137:C399,' الشركه 2018'!$CG132,L137:L399)</f>
        <v>0</v>
      </c>
      <c r="CI137" s="124"/>
      <c r="CJ137" s="177">
        <f>' الشركه 2018'!$CH132*' الشركه 2018'!$CI132</f>
        <v>0</v>
      </c>
      <c r="CK137" s="177">
        <f>' الشركه 2018'!$CJ132*8%</f>
        <v>0</v>
      </c>
      <c r="CL137" s="177">
        <f>' الشركه 2018'!$CJ132*17%</f>
        <v>0</v>
      </c>
      <c r="CM137" s="177">
        <f>' الشركه 2018'!$CJ132*25%</f>
        <v>0</v>
      </c>
      <c r="CN137" s="162"/>
      <c r="CO137" s="162"/>
      <c r="CP137" s="163">
        <v>500</v>
      </c>
      <c r="CQ137" s="164" t="e">
        <f>VLOOKUP(Table6[[#This Row],[الرقم الوظيفى]],[4]!Table3[#Data],26,FALSE)</f>
        <v>#REF!</v>
      </c>
      <c r="CR137" s="165"/>
      <c r="CS137" s="124"/>
    </row>
    <row r="138" spans="1:97" ht="28" customHeight="1" thickTop="1" thickBot="1">
      <c r="A138" s="222">
        <v>686</v>
      </c>
      <c r="B138" s="142" t="s">
        <v>375</v>
      </c>
      <c r="C138" s="59" t="s">
        <v>90</v>
      </c>
      <c r="D138" s="143" t="s">
        <v>81</v>
      </c>
      <c r="E138" s="180" t="s">
        <v>668</v>
      </c>
      <c r="F138" s="143" t="s">
        <v>374</v>
      </c>
      <c r="G138" s="145">
        <v>41671</v>
      </c>
      <c r="H138" s="146">
        <v>5190</v>
      </c>
      <c r="I138" s="106">
        <f>Table6[[#This Row],[مرتب]]/30</f>
        <v>173</v>
      </c>
      <c r="J138" s="107">
        <v>30</v>
      </c>
      <c r="K138" s="107">
        <f t="shared" si="2"/>
        <v>5190</v>
      </c>
      <c r="L138" s="108">
        <v>5190</v>
      </c>
      <c r="M138" s="107">
        <f>Table6[[#This Row],[مرتب الضمان]]*17%</f>
        <v>882.30000000000007</v>
      </c>
      <c r="N138" s="107">
        <f>' الشركه 2018'!$H138*35%</f>
        <v>1816.4999999999998</v>
      </c>
      <c r="O138" s="107">
        <f>' الشركه 2018'!$H138*32%</f>
        <v>1660.8</v>
      </c>
      <c r="P138" s="107">
        <f>' الشركه 2018'!$H138*12%</f>
        <v>622.79999999999995</v>
      </c>
      <c r="Q138" s="107">
        <f>' الشركه 2018'!$H138*13%</f>
        <v>674.7</v>
      </c>
      <c r="R138" s="107">
        <f>' الشركه 2018'!$H138*6%</f>
        <v>311.39999999999998</v>
      </c>
      <c r="S138" s="107">
        <f>' الشركه 2018'!$H138*2%</f>
        <v>103.8</v>
      </c>
      <c r="T138" s="107">
        <f>' الشركه 2018'!$O138+' الشركه 2018'!$P138+' الشركه 2018'!$Q138+' الشركه 2018'!$R138+' الشركه 2018'!$S138</f>
        <v>3373.5000000000005</v>
      </c>
      <c r="U138" s="109">
        <f>VLOOKUP(Table6[[#This Row],[الرقم الوظيفى]],[2]بالخصم!$B$1:$AK$1200,35,)</f>
        <v>0</v>
      </c>
      <c r="V138" s="147"/>
      <c r="W138" s="111">
        <f>Table6[[#This Row],[عدد ايام الاجازه]]*Table6[[#This Row],[ح راتب اليوم]]</f>
        <v>0</v>
      </c>
      <c r="X138" s="148"/>
      <c r="Y138" s="60"/>
      <c r="Z138" s="111">
        <f>Table6[[#This Row],[عدد ايام الجزاء]]*Table6[[#This Row],[ح راتب اليوم]]</f>
        <v>0</v>
      </c>
      <c r="AA138" s="112">
        <f>Table6[[#This Row],[مرتب]]*50%</f>
        <v>2595</v>
      </c>
      <c r="AB138" s="113" t="e">
        <f>VLOOKUP(Table6[[#This Row],[الرقم الوظيفى]],[3]!Table25289[#Data],23,)</f>
        <v>#REF!</v>
      </c>
      <c r="AC138" s="149">
        <v>1000</v>
      </c>
      <c r="AD138" s="150"/>
      <c r="AE138" s="113" t="e">
        <f>VLOOKUP(Table6[[#This Row],[الرقم الوظيفى]],[3]!Table252894[#Data],22,)</f>
        <v>#REF!</v>
      </c>
      <c r="AF138" s="151"/>
      <c r="AG138" s="111">
        <f>' الشركه 2018'!$W138+' الشركه 2018'!$Z138+' الشركه 2018'!$AA138+' الشركه 2018'!$AC138+' الشركه 2018'!$AD138+' الشركه 2018'!$AF138</f>
        <v>3595</v>
      </c>
      <c r="AH138" s="111">
        <f>Table6[[#This Row],[راتب الضمان]]*8%</f>
        <v>415.2</v>
      </c>
      <c r="AI138" s="111">
        <f>' الشركه 2018'!$H138-' الشركه 2018'!$AG138-' الشركه 2018'!$AH138</f>
        <v>1179.8</v>
      </c>
      <c r="AJ138" s="111">
        <f>' الشركه 2018'!$CF138</f>
        <v>1604.9076923076925</v>
      </c>
      <c r="AK138" s="117">
        <f>' الشركه 2018'!$AI138+' الشركه 2018'!$AJ138</f>
        <v>2784.7076923076925</v>
      </c>
      <c r="AL138" s="152"/>
      <c r="AM138" s="153"/>
      <c r="AN138" s="9">
        <f>Table6[[#This Row],[اجمالى الاستحقاق]]-Table6[[#This Row],[Column2]]+Table6[[#This Row],[حوافز غير مستقره]]</f>
        <v>2784.7076923076925</v>
      </c>
      <c r="AO138" s="59"/>
      <c r="AP138" s="169"/>
      <c r="AQ138" s="176"/>
      <c r="AR138" s="124"/>
      <c r="AS138" s="155"/>
      <c r="AT138" s="170"/>
      <c r="AU138" s="124"/>
      <c r="AV138" s="124">
        <v>24</v>
      </c>
      <c r="AW138" s="124"/>
      <c r="AX138" s="124"/>
      <c r="AY138" s="124"/>
      <c r="AZ138" s="124"/>
      <c r="BA138" s="124"/>
      <c r="BB138" s="124"/>
      <c r="BC138" s="124">
        <v>24</v>
      </c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59"/>
      <c r="CA138" s="160"/>
      <c r="CB13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8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38" s="131">
        <f>' الشركه 2018'!$H138*67%*1.5*' الشركه 2018'!$CB138/208</f>
        <v>0</v>
      </c>
      <c r="CE138" s="132">
        <f>' الشركه 2018'!$H138*67%*2*' الشركه 2018'!$CC138/208</f>
        <v>1604.9076923076925</v>
      </c>
      <c r="CF138" s="133">
        <f>' الشركه 2018'!$CD138+' الشركه 2018'!$CE138</f>
        <v>1604.9076923076925</v>
      </c>
      <c r="CG138" s="124"/>
      <c r="CH138" s="177">
        <f>SUMIF(C138:C403,' الشركه 2018'!$CG133,L138:L403)</f>
        <v>0</v>
      </c>
      <c r="CI138" s="124"/>
      <c r="CJ138" s="177">
        <f>' الشركه 2018'!$CH133*' الشركه 2018'!$CI133</f>
        <v>0</v>
      </c>
      <c r="CK138" s="177">
        <f>' الشركه 2018'!$CJ133*8%</f>
        <v>0</v>
      </c>
      <c r="CL138" s="177">
        <f>' الشركه 2018'!$CJ133*17%</f>
        <v>0</v>
      </c>
      <c r="CM138" s="177">
        <f>' الشركه 2018'!$CJ133*25%</f>
        <v>0</v>
      </c>
      <c r="CN138" s="162"/>
      <c r="CO138" s="162"/>
      <c r="CP138" s="163">
        <v>300</v>
      </c>
      <c r="CQ138" s="164" t="e">
        <f>VLOOKUP(Table6[[#This Row],[الرقم الوظيفى]],[4]!Table3[#Data],26,FALSE)</f>
        <v>#REF!</v>
      </c>
      <c r="CR138" s="165">
        <v>1000</v>
      </c>
      <c r="CS138" s="124"/>
    </row>
    <row r="139" spans="1:97" ht="28" customHeight="1" thickTop="1" thickBot="1">
      <c r="A139" s="222">
        <v>689</v>
      </c>
      <c r="B139" s="142" t="s">
        <v>338</v>
      </c>
      <c r="C139" s="59" t="s">
        <v>90</v>
      </c>
      <c r="D139" s="143" t="s">
        <v>76</v>
      </c>
      <c r="E139" s="174"/>
      <c r="F139" s="143" t="s">
        <v>63</v>
      </c>
      <c r="G139" s="145">
        <v>41671</v>
      </c>
      <c r="H139" s="146">
        <v>3140</v>
      </c>
      <c r="I139" s="106">
        <f>Table6[[#This Row],[مرتب]]/30</f>
        <v>104.66666666666667</v>
      </c>
      <c r="J139" s="107">
        <v>30</v>
      </c>
      <c r="K139" s="107">
        <f t="shared" si="2"/>
        <v>0</v>
      </c>
      <c r="L139" s="108">
        <v>0</v>
      </c>
      <c r="M139" s="107">
        <f>Table6[[#This Row],[مرتب الضمان]]*17%</f>
        <v>0</v>
      </c>
      <c r="N139" s="107">
        <f>' الشركه 2018'!$H139*35%</f>
        <v>1099</v>
      </c>
      <c r="O139" s="107">
        <f>' الشركه 2018'!$H139*32%</f>
        <v>1004.8000000000001</v>
      </c>
      <c r="P139" s="107">
        <f>' الشركه 2018'!$H139*12%</f>
        <v>376.8</v>
      </c>
      <c r="Q139" s="107">
        <f>' الشركه 2018'!$H139*13%</f>
        <v>408.2</v>
      </c>
      <c r="R139" s="107">
        <f>' الشركه 2018'!$H139*6%</f>
        <v>188.4</v>
      </c>
      <c r="S139" s="107">
        <f>' الشركه 2018'!$H139*2%</f>
        <v>62.800000000000004</v>
      </c>
      <c r="T139" s="107">
        <f>' الشركه 2018'!$O139+' الشركه 2018'!$P139+' الشركه 2018'!$Q139+' الشركه 2018'!$R139+' الشركه 2018'!$S139</f>
        <v>2041.0000000000002</v>
      </c>
      <c r="U139" s="109">
        <f>VLOOKUP(Table6[[#This Row],[الرقم الوظيفى]],[2]بالخصم!$B$1:$AK$1200,35,)</f>
        <v>0</v>
      </c>
      <c r="V139" s="147"/>
      <c r="W139" s="111">
        <f>Table6[[#This Row],[عدد ايام الاجازه]]*Table6[[#This Row],[ح راتب اليوم]]</f>
        <v>0</v>
      </c>
      <c r="X139" s="148"/>
      <c r="Y139" s="60"/>
      <c r="Z139" s="111">
        <f>Table6[[#This Row],[عدد ايام الجزاء]]*Table6[[#This Row],[ح راتب اليوم]]</f>
        <v>0</v>
      </c>
      <c r="AA139" s="112">
        <f>Table6[[#This Row],[مرتب]]*50%</f>
        <v>1570</v>
      </c>
      <c r="AB139" s="113" t="e">
        <f>VLOOKUP(Table6[[#This Row],[الرقم الوظيفى]],[3]!Table25289[#Data],23,)</f>
        <v>#REF!</v>
      </c>
      <c r="AC139" s="149"/>
      <c r="AD139" s="150"/>
      <c r="AE139" s="113" t="e">
        <f>VLOOKUP(Table6[[#This Row],[الرقم الوظيفى]],[3]!Table252894[#Data],22,)</f>
        <v>#REF!</v>
      </c>
      <c r="AF139" s="151"/>
      <c r="AG139" s="111">
        <f>' الشركه 2018'!$W139+' الشركه 2018'!$Z139+' الشركه 2018'!$AA139+' الشركه 2018'!$AC139+' الشركه 2018'!$AD139+' الشركه 2018'!$AF139</f>
        <v>1570</v>
      </c>
      <c r="AH139" s="111">
        <f>Table6[[#This Row],[راتب الضمان]]*8%</f>
        <v>0</v>
      </c>
      <c r="AI139" s="111">
        <f>' الشركه 2018'!$H139-' الشركه 2018'!$AG139-' الشركه 2018'!$AH139</f>
        <v>1570</v>
      </c>
      <c r="AJ139" s="111">
        <f>' الشركه 2018'!$CF139</f>
        <v>0</v>
      </c>
      <c r="AK139" s="117">
        <f>' الشركه 2018'!$AI139+' الشركه 2018'!$AJ139</f>
        <v>1570</v>
      </c>
      <c r="AL139" s="152"/>
      <c r="AM139" s="153"/>
      <c r="AN139" s="9">
        <f>Table6[[#This Row],[اجمالى الاستحقاق]]-Table6[[#This Row],[Column2]]+Table6[[#This Row],[حوافز غير مستقره]]</f>
        <v>1570</v>
      </c>
      <c r="AO139" s="59"/>
      <c r="AP139" s="169"/>
      <c r="AQ139" s="176"/>
      <c r="AR139" s="124"/>
      <c r="AS139" s="155"/>
      <c r="AT139" s="170"/>
      <c r="AU139" s="124"/>
      <c r="AV139" s="124"/>
      <c r="AW139" s="124"/>
      <c r="AX139" s="124"/>
      <c r="AY139" s="124"/>
      <c r="AZ139" s="124"/>
      <c r="BA139" s="124"/>
      <c r="BB139" s="124"/>
      <c r="BC139" s="124"/>
      <c r="BD139" s="124"/>
      <c r="BE139" s="124"/>
      <c r="BF139" s="124"/>
      <c r="BG139" s="124"/>
      <c r="BH139" s="124"/>
      <c r="BI139" s="124"/>
      <c r="BJ139" s="124"/>
      <c r="BK139" s="124"/>
      <c r="BL139" s="124"/>
      <c r="BM139" s="124"/>
      <c r="BN139" s="124"/>
      <c r="BO139" s="124"/>
      <c r="BP139" s="124"/>
      <c r="BQ139" s="124"/>
      <c r="BR139" s="124"/>
      <c r="BS139" s="124"/>
      <c r="BT139" s="124"/>
      <c r="BU139" s="124"/>
      <c r="BV139" s="124"/>
      <c r="BW139" s="124"/>
      <c r="BX139" s="124"/>
      <c r="BY139" s="124"/>
      <c r="BZ139" s="171"/>
      <c r="CA139" s="172"/>
      <c r="CB13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3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39" s="131">
        <f>' الشركه 2018'!$H139*67%*1.5*' الشركه 2018'!$CB139/208</f>
        <v>0</v>
      </c>
      <c r="CE139" s="132">
        <f>' الشركه 2018'!$H139*67%*2*' الشركه 2018'!$CC139/208</f>
        <v>0</v>
      </c>
      <c r="CF139" s="133">
        <f>' الشركه 2018'!$CD139+' الشركه 2018'!$CE139</f>
        <v>0</v>
      </c>
      <c r="CG139" s="124"/>
      <c r="CH139" s="177">
        <f>SUMIF(C139:C404,' الشركه 2018'!$CG134,L139:L404)</f>
        <v>0</v>
      </c>
      <c r="CI139" s="124"/>
      <c r="CJ139" s="177">
        <f>' الشركه 2018'!$CH134*' الشركه 2018'!$CI134</f>
        <v>0</v>
      </c>
      <c r="CK139" s="177">
        <f>' الشركه 2018'!$CJ134*8%</f>
        <v>0</v>
      </c>
      <c r="CL139" s="177">
        <f>' الشركه 2018'!$CJ134*17%</f>
        <v>0</v>
      </c>
      <c r="CM139" s="177">
        <f>' الشركه 2018'!$CJ134*25%</f>
        <v>0</v>
      </c>
      <c r="CN139" s="162"/>
      <c r="CO139" s="162"/>
      <c r="CP139" s="163">
        <v>400</v>
      </c>
      <c r="CQ139" s="164" t="e">
        <f>VLOOKUP(Table6[[#This Row],[الرقم الوظيفى]],[4]!Table3[#Data],26,FALSE)</f>
        <v>#REF!</v>
      </c>
      <c r="CR139" s="165">
        <v>1000</v>
      </c>
      <c r="CS139" s="124"/>
    </row>
    <row r="140" spans="1:97" ht="28" customHeight="1" thickTop="1" thickBot="1">
      <c r="A140" s="222">
        <v>690</v>
      </c>
      <c r="B140" s="142" t="s">
        <v>406</v>
      </c>
      <c r="C140" s="59" t="s">
        <v>90</v>
      </c>
      <c r="D140" s="143" t="s">
        <v>81</v>
      </c>
      <c r="E140" s="180" t="s">
        <v>668</v>
      </c>
      <c r="F140" s="143" t="s">
        <v>405</v>
      </c>
      <c r="G140" s="145">
        <v>42322</v>
      </c>
      <c r="H140" s="146">
        <v>3580</v>
      </c>
      <c r="I140" s="106">
        <f>Table6[[#This Row],[مرتب]]/30</f>
        <v>119.33333333333333</v>
      </c>
      <c r="J140" s="107">
        <v>30</v>
      </c>
      <c r="K140" s="107">
        <f t="shared" si="2"/>
        <v>3580</v>
      </c>
      <c r="L140" s="108">
        <v>3580</v>
      </c>
      <c r="M140" s="107">
        <f>Table6[[#This Row],[مرتب الضمان]]*17%</f>
        <v>608.6</v>
      </c>
      <c r="N140" s="107">
        <f>' الشركه 2018'!$H140*35%</f>
        <v>1253</v>
      </c>
      <c r="O140" s="107">
        <f>' الشركه 2018'!$H140*32%</f>
        <v>1145.6000000000001</v>
      </c>
      <c r="P140" s="107">
        <f>' الشركه 2018'!$H140*12%</f>
        <v>429.59999999999997</v>
      </c>
      <c r="Q140" s="107">
        <f>' الشركه 2018'!$H140*13%</f>
        <v>465.40000000000003</v>
      </c>
      <c r="R140" s="107">
        <f>' الشركه 2018'!$H140*6%</f>
        <v>214.79999999999998</v>
      </c>
      <c r="S140" s="107">
        <f>' الشركه 2018'!$H140*2%</f>
        <v>71.600000000000009</v>
      </c>
      <c r="T140" s="107">
        <f>' الشركه 2018'!$O140+' الشركه 2018'!$P140+' الشركه 2018'!$Q140+' الشركه 2018'!$R140+' الشركه 2018'!$S140</f>
        <v>2327</v>
      </c>
      <c r="U140" s="109">
        <f>VLOOKUP(Table6[[#This Row],[الرقم الوظيفى]],[2]بالخصم!$B$1:$AK$1200,35,)</f>
        <v>0</v>
      </c>
      <c r="V140" s="147"/>
      <c r="W140" s="111">
        <f>Table6[[#This Row],[عدد ايام الاجازه]]*Table6[[#This Row],[ح راتب اليوم]]</f>
        <v>0</v>
      </c>
      <c r="X140" s="148"/>
      <c r="Y140" s="60"/>
      <c r="Z140" s="111">
        <f>Table6[[#This Row],[عدد ايام الجزاء]]*Table6[[#This Row],[ح راتب اليوم]]</f>
        <v>0</v>
      </c>
      <c r="AA140" s="112">
        <f>Table6[[#This Row],[مرتب]]*50%</f>
        <v>1790</v>
      </c>
      <c r="AB140" s="113" t="e">
        <f>VLOOKUP(Table6[[#This Row],[الرقم الوظيفى]],[3]!Table25289[#Data],23,)</f>
        <v>#REF!</v>
      </c>
      <c r="AC140" s="149"/>
      <c r="AD140" s="150"/>
      <c r="AE140" s="113" t="e">
        <f>VLOOKUP(Table6[[#This Row],[الرقم الوظيفى]],[3]!Table252894[#Data],22,)</f>
        <v>#REF!</v>
      </c>
      <c r="AF140" s="151"/>
      <c r="AG140" s="111">
        <f>' الشركه 2018'!$W140+' الشركه 2018'!$Z140+' الشركه 2018'!$AA140+' الشركه 2018'!$AC140+' الشركه 2018'!$AD140+' الشركه 2018'!$AF140</f>
        <v>1790</v>
      </c>
      <c r="AH140" s="111">
        <f>Table6[[#This Row],[راتب الضمان]]*8%</f>
        <v>286.40000000000003</v>
      </c>
      <c r="AI140" s="111">
        <f>' الشركه 2018'!$H140-' الشركه 2018'!$AG140-' الشركه 2018'!$AH140</f>
        <v>1503.6</v>
      </c>
      <c r="AJ140" s="111">
        <f>' الشركه 2018'!$CF140</f>
        <v>276.76153846153852</v>
      </c>
      <c r="AK140" s="117">
        <f>' الشركه 2018'!$AI140+' الشركه 2018'!$AJ140</f>
        <v>1780.3615384615384</v>
      </c>
      <c r="AL140" s="152"/>
      <c r="AM140" s="153"/>
      <c r="AN140" s="9">
        <f>Table6[[#This Row],[اجمالى الاستحقاق]]-Table6[[#This Row],[Column2]]+Table6[[#This Row],[حوافز غير مستقره]]</f>
        <v>1780.3615384615384</v>
      </c>
      <c r="AO140" s="59"/>
      <c r="AP140" s="169"/>
      <c r="AQ140" s="176"/>
      <c r="AR140" s="124"/>
      <c r="AS140" s="155"/>
      <c r="AT140" s="170"/>
      <c r="AU140" s="124"/>
      <c r="AV140" s="124"/>
      <c r="AW140" s="124"/>
      <c r="AX140" s="124"/>
      <c r="AY140" s="124"/>
      <c r="AZ140" s="124"/>
      <c r="BA140" s="124"/>
      <c r="BB140" s="124"/>
      <c r="BC140" s="124">
        <v>12</v>
      </c>
      <c r="BD140" s="124"/>
      <c r="BE140" s="124"/>
      <c r="BF140" s="124"/>
      <c r="BG140" s="124"/>
      <c r="BH140" s="124"/>
      <c r="BI140" s="124"/>
      <c r="BJ140" s="124"/>
      <c r="BK140" s="124"/>
      <c r="BL140" s="124"/>
      <c r="BM140" s="124"/>
      <c r="BN140" s="124"/>
      <c r="BO140" s="124"/>
      <c r="BP140" s="124"/>
      <c r="BQ140" s="124"/>
      <c r="BR140" s="124"/>
      <c r="BS140" s="124"/>
      <c r="BT140" s="124"/>
      <c r="BU140" s="124"/>
      <c r="BV140" s="124"/>
      <c r="BW140" s="124"/>
      <c r="BX140" s="124"/>
      <c r="BY140" s="124"/>
      <c r="BZ140" s="159"/>
      <c r="CA140" s="160"/>
      <c r="CB14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0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40" s="131">
        <f>' الشركه 2018'!$H140*67%*1.5*' الشركه 2018'!$CB140/208</f>
        <v>0</v>
      </c>
      <c r="CE140" s="132">
        <f>' الشركه 2018'!$H140*67%*2*' الشركه 2018'!$CC140/208</f>
        <v>276.76153846153852</v>
      </c>
      <c r="CF140" s="133">
        <f>' الشركه 2018'!$CD140+' الشركه 2018'!$CE140</f>
        <v>276.76153846153852</v>
      </c>
      <c r="CG140" s="124"/>
      <c r="CH140" s="177">
        <f>SUMIF(C140:C405,' الشركه 2018'!$CG135,L140:L405)</f>
        <v>0</v>
      </c>
      <c r="CI140" s="124"/>
      <c r="CJ140" s="177">
        <f>' الشركه 2018'!$CH135*' الشركه 2018'!$CI135</f>
        <v>0</v>
      </c>
      <c r="CK140" s="177">
        <f>' الشركه 2018'!$CJ135*8%</f>
        <v>0</v>
      </c>
      <c r="CL140" s="177">
        <f>' الشركه 2018'!$CJ135*17%</f>
        <v>0</v>
      </c>
      <c r="CM140" s="177">
        <f>' الشركه 2018'!$CJ135*25%</f>
        <v>0</v>
      </c>
      <c r="CN140" s="162"/>
      <c r="CO140" s="162"/>
      <c r="CP140" s="163"/>
      <c r="CQ140" s="164" t="e">
        <f>VLOOKUP(Table6[[#This Row],[الرقم الوظيفى]],[4]!Table3[#Data],26,FALSE)</f>
        <v>#REF!</v>
      </c>
      <c r="CR140" s="165">
        <v>300</v>
      </c>
      <c r="CS140" s="124"/>
    </row>
    <row r="141" spans="1:97" ht="28" customHeight="1" thickTop="1" thickBot="1">
      <c r="A141" s="222">
        <v>691</v>
      </c>
      <c r="B141" s="142" t="s">
        <v>96</v>
      </c>
      <c r="C141" s="59" t="s">
        <v>90</v>
      </c>
      <c r="D141" s="143" t="s">
        <v>76</v>
      </c>
      <c r="E141" s="174"/>
      <c r="F141" s="143" t="s">
        <v>672</v>
      </c>
      <c r="G141" s="145">
        <v>41672</v>
      </c>
      <c r="H141" s="146">
        <v>5180</v>
      </c>
      <c r="I141" s="106">
        <f>Table6[[#This Row],[مرتب]]/30</f>
        <v>172.66666666666666</v>
      </c>
      <c r="J141" s="107">
        <v>30</v>
      </c>
      <c r="K141" s="107">
        <f t="shared" si="2"/>
        <v>0</v>
      </c>
      <c r="L141" s="108">
        <v>0</v>
      </c>
      <c r="M141" s="107">
        <f>Table6[[#This Row],[مرتب الضمان]]*17%</f>
        <v>0</v>
      </c>
      <c r="N141" s="107">
        <f>' الشركه 2018'!$H141*35%</f>
        <v>1812.9999999999998</v>
      </c>
      <c r="O141" s="107">
        <f>' الشركه 2018'!$H141*32%</f>
        <v>1657.6000000000001</v>
      </c>
      <c r="P141" s="107">
        <f>' الشركه 2018'!$H141*12%</f>
        <v>621.6</v>
      </c>
      <c r="Q141" s="107">
        <f>' الشركه 2018'!$H141*13%</f>
        <v>673.4</v>
      </c>
      <c r="R141" s="107">
        <f>' الشركه 2018'!$H141*6%</f>
        <v>310.8</v>
      </c>
      <c r="S141" s="107">
        <f>' الشركه 2018'!$H141*2%</f>
        <v>103.60000000000001</v>
      </c>
      <c r="T141" s="107">
        <f>' الشركه 2018'!$O141+' الشركه 2018'!$P141+' الشركه 2018'!$Q141+' الشركه 2018'!$R141+' الشركه 2018'!$S141</f>
        <v>3367.0000000000005</v>
      </c>
      <c r="U141" s="109">
        <f>VLOOKUP(Table6[[#This Row],[الرقم الوظيفى]],[2]بالخصم!$B$1:$AK$1200,35,)</f>
        <v>0</v>
      </c>
      <c r="V141" s="147"/>
      <c r="W141" s="111">
        <f>Table6[[#This Row],[عدد ايام الاجازه]]*Table6[[#This Row],[ح راتب اليوم]]</f>
        <v>0</v>
      </c>
      <c r="X141" s="148"/>
      <c r="Y141" s="60"/>
      <c r="Z141" s="111">
        <f>Table6[[#This Row],[عدد ايام الجزاء]]*Table6[[#This Row],[ح راتب اليوم]]</f>
        <v>0</v>
      </c>
      <c r="AA141" s="112">
        <f>Table6[[#This Row],[مرتب]]*50%</f>
        <v>2590</v>
      </c>
      <c r="AB141" s="113" t="e">
        <f>VLOOKUP(Table6[[#This Row],[الرقم الوظيفى]],[3]!Table25289[#Data],23,)</f>
        <v>#REF!</v>
      </c>
      <c r="AC141" s="149">
        <v>150</v>
      </c>
      <c r="AD141" s="168"/>
      <c r="AE141" s="113" t="e">
        <f>VLOOKUP(Table6[[#This Row],[الرقم الوظيفى]],[3]!Table252894[#Data],22,)</f>
        <v>#REF!</v>
      </c>
      <c r="AF141" s="151">
        <v>250</v>
      </c>
      <c r="AG141" s="111">
        <f>' الشركه 2018'!$W141+' الشركه 2018'!$Z141+' الشركه 2018'!$AA141+' الشركه 2018'!$AC141+' الشركه 2018'!$AD141+' الشركه 2018'!$AF141</f>
        <v>2990</v>
      </c>
      <c r="AH141" s="111">
        <f>Table6[[#This Row],[راتب الضمان]]*8%</f>
        <v>0</v>
      </c>
      <c r="AI141" s="111">
        <f>' الشركه 2018'!$H141-' الشركه 2018'!$AG141-' الشركه 2018'!$AH141</f>
        <v>2190</v>
      </c>
      <c r="AJ141" s="111">
        <f>' الشركه 2018'!$CF141</f>
        <v>0</v>
      </c>
      <c r="AK141" s="117">
        <f>' الشركه 2018'!$AI141+' الشركه 2018'!$AJ141</f>
        <v>2190</v>
      </c>
      <c r="AL141" s="152"/>
      <c r="AM141" s="153"/>
      <c r="AN141" s="9">
        <f>Table6[[#This Row],[اجمالى الاستحقاق]]-Table6[[#This Row],[Column2]]+Table6[[#This Row],[حوافز غير مستقره]]</f>
        <v>2190</v>
      </c>
      <c r="AO141" s="59"/>
      <c r="AP141" s="169"/>
      <c r="AQ141" s="176"/>
      <c r="AR141" s="124"/>
      <c r="AS141" s="155"/>
      <c r="AT141" s="170"/>
      <c r="AU141" s="124"/>
      <c r="AV141" s="124"/>
      <c r="AW141" s="124"/>
      <c r="AX141" s="124"/>
      <c r="AY141" s="124"/>
      <c r="AZ141" s="124"/>
      <c r="BA141" s="124"/>
      <c r="BB141" s="124"/>
      <c r="BC141" s="124"/>
      <c r="BD141" s="124"/>
      <c r="BE141" s="124"/>
      <c r="BF141" s="124"/>
      <c r="BG141" s="124"/>
      <c r="BH141" s="124"/>
      <c r="BI141" s="124"/>
      <c r="BJ141" s="124"/>
      <c r="BK141" s="124"/>
      <c r="BL141" s="124"/>
      <c r="BM141" s="124"/>
      <c r="BN141" s="124"/>
      <c r="BO141" s="124"/>
      <c r="BP141" s="124"/>
      <c r="BQ141" s="124"/>
      <c r="BR141" s="124"/>
      <c r="BS141" s="124"/>
      <c r="BT141" s="124"/>
      <c r="BU141" s="124"/>
      <c r="BV141" s="124"/>
      <c r="BW141" s="124"/>
      <c r="BX141" s="124"/>
      <c r="BY141" s="124"/>
      <c r="BZ141" s="171"/>
      <c r="CA141" s="172"/>
      <c r="CB14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1" s="131">
        <f>' الشركه 2018'!$H141*67%*1.5*' الشركه 2018'!$CB141/208</f>
        <v>0</v>
      </c>
      <c r="CE141" s="132">
        <f>' الشركه 2018'!$H141*67%*2*' الشركه 2018'!$CC141/208</f>
        <v>0</v>
      </c>
      <c r="CF141" s="133">
        <f>' الشركه 2018'!$CD141+' الشركه 2018'!$CE141</f>
        <v>0</v>
      </c>
      <c r="CG141" s="124"/>
      <c r="CH141" s="177">
        <f>SUMIF(C141:C406,' الشركه 2018'!$CG136,L141:L406)</f>
        <v>0</v>
      </c>
      <c r="CI141" s="124"/>
      <c r="CJ141" s="177">
        <f>' الشركه 2018'!$CH136*' الشركه 2018'!$CI136</f>
        <v>0</v>
      </c>
      <c r="CK141" s="177">
        <f>' الشركه 2018'!$CJ136*8%</f>
        <v>0</v>
      </c>
      <c r="CL141" s="177">
        <f>' الشركه 2018'!$CJ136*17%</f>
        <v>0</v>
      </c>
      <c r="CM141" s="177">
        <f>' الشركه 2018'!$CJ136*25%</f>
        <v>0</v>
      </c>
      <c r="CN141" s="162"/>
      <c r="CO141" s="162"/>
      <c r="CP141" s="163">
        <v>500</v>
      </c>
      <c r="CQ141" s="164" t="e">
        <f>VLOOKUP(Table6[[#This Row],[الرقم الوظيفى]],[4]!Table3[#Data],26,FALSE)</f>
        <v>#REF!</v>
      </c>
      <c r="CR141" s="165">
        <v>600</v>
      </c>
      <c r="CS141" s="124"/>
    </row>
    <row r="142" spans="1:97" ht="28" customHeight="1" thickTop="1" thickBot="1">
      <c r="A142" s="222">
        <v>697</v>
      </c>
      <c r="B142" s="142" t="s">
        <v>431</v>
      </c>
      <c r="C142" s="59" t="s">
        <v>90</v>
      </c>
      <c r="D142" s="143" t="s">
        <v>83</v>
      </c>
      <c r="E142" s="174" t="s">
        <v>678</v>
      </c>
      <c r="F142" s="143" t="s">
        <v>423</v>
      </c>
      <c r="G142" s="145">
        <v>41679</v>
      </c>
      <c r="H142" s="146">
        <v>4160</v>
      </c>
      <c r="I142" s="106">
        <f>Table6[[#This Row],[مرتب]]/30</f>
        <v>138.66666666666666</v>
      </c>
      <c r="J142" s="107">
        <v>30</v>
      </c>
      <c r="K142" s="107">
        <f t="shared" si="2"/>
        <v>4160</v>
      </c>
      <c r="L142" s="108">
        <v>4160</v>
      </c>
      <c r="M142" s="107">
        <f>Table6[[#This Row],[مرتب الضمان]]*17%</f>
        <v>707.2</v>
      </c>
      <c r="N142" s="107">
        <f>' الشركه 2018'!$H142*35%</f>
        <v>1456</v>
      </c>
      <c r="O142" s="107">
        <f>' الشركه 2018'!$H142*32%</f>
        <v>1331.2</v>
      </c>
      <c r="P142" s="107">
        <f>' الشركه 2018'!$H142*12%</f>
        <v>499.2</v>
      </c>
      <c r="Q142" s="107">
        <f>' الشركه 2018'!$H142*13%</f>
        <v>540.80000000000007</v>
      </c>
      <c r="R142" s="107">
        <f>' الشركه 2018'!$H142*6%</f>
        <v>249.6</v>
      </c>
      <c r="S142" s="107">
        <f>' الشركه 2018'!$H142*2%</f>
        <v>83.2</v>
      </c>
      <c r="T142" s="107">
        <f>' الشركه 2018'!$O142+' الشركه 2018'!$P142+' الشركه 2018'!$Q142+' الشركه 2018'!$R142+' الشركه 2018'!$S142</f>
        <v>2704</v>
      </c>
      <c r="U142" s="109">
        <f>VLOOKUP(Table6[[#This Row],[الرقم الوظيفى]],[2]بالخصم!$B$1:$AK$1200,35,)</f>
        <v>0</v>
      </c>
      <c r="V142" s="147"/>
      <c r="W142" s="111">
        <f>Table6[[#This Row],[عدد ايام الاجازه]]*Table6[[#This Row],[ح راتب اليوم]]</f>
        <v>0</v>
      </c>
      <c r="X142" s="148"/>
      <c r="Y142" s="60"/>
      <c r="Z142" s="111">
        <f>Table6[[#This Row],[عدد ايام الجزاء]]*Table6[[#This Row],[ح راتب اليوم]]</f>
        <v>0</v>
      </c>
      <c r="AA142" s="112">
        <f>Table6[[#This Row],[مرتب]]*50%</f>
        <v>2080</v>
      </c>
      <c r="AB142" s="113" t="e">
        <f>VLOOKUP(Table6[[#This Row],[الرقم الوظيفى]],[3]!Table25289[#Data],23,)</f>
        <v>#REF!</v>
      </c>
      <c r="AC142" s="149"/>
      <c r="AD142" s="150"/>
      <c r="AE142" s="113" t="e">
        <f>VLOOKUP(Table6[[#This Row],[الرقم الوظيفى]],[3]!Table252894[#Data],22,)</f>
        <v>#REF!</v>
      </c>
      <c r="AF142" s="151"/>
      <c r="AG142" s="111">
        <f>' الشركه 2018'!$W142+' الشركه 2018'!$Z142+' الشركه 2018'!$AA142+' الشركه 2018'!$AC142+' الشركه 2018'!$AD142+' الشركه 2018'!$AF142</f>
        <v>2080</v>
      </c>
      <c r="AH142" s="111">
        <f>Table6[[#This Row],[راتب الضمان]]*8%</f>
        <v>332.8</v>
      </c>
      <c r="AI142" s="111">
        <f>' الشركه 2018'!$H142-' الشركه 2018'!$AG142-' الشركه 2018'!$AH142</f>
        <v>1747.2</v>
      </c>
      <c r="AJ142" s="111">
        <f>' الشركه 2018'!$CF142</f>
        <v>911.2</v>
      </c>
      <c r="AK142" s="117">
        <f>' الشركه 2018'!$AI142+' الشركه 2018'!$AJ142</f>
        <v>2658.4</v>
      </c>
      <c r="AL142" s="152"/>
      <c r="AM142" s="153"/>
      <c r="AN142" s="9">
        <f>Table6[[#This Row],[اجمالى الاستحقاق]]-Table6[[#This Row],[Column2]]+Table6[[#This Row],[حوافز غير مستقره]]</f>
        <v>2658.4</v>
      </c>
      <c r="AO142" s="59"/>
      <c r="AP142" s="169"/>
      <c r="AQ142" s="176"/>
      <c r="AR142" s="124"/>
      <c r="AS142" s="155"/>
      <c r="AT142" s="170"/>
      <c r="AU142" s="124"/>
      <c r="AV142" s="124"/>
      <c r="AW142" s="124"/>
      <c r="AX142" s="124"/>
      <c r="AY142" s="124"/>
      <c r="AZ142" s="124"/>
      <c r="BA142" s="124"/>
      <c r="BB142" s="124"/>
      <c r="BC142" s="124">
        <v>24</v>
      </c>
      <c r="BD142" s="124"/>
      <c r="BE142" s="124"/>
      <c r="BF142" s="124"/>
      <c r="BG142" s="124"/>
      <c r="BH142" s="124"/>
      <c r="BI142" s="124"/>
      <c r="BJ142" s="124">
        <v>10</v>
      </c>
      <c r="BK142" s="124"/>
      <c r="BL142" s="124"/>
      <c r="BM142" s="124"/>
      <c r="BN142" s="124"/>
      <c r="BO142" s="124"/>
      <c r="BP142" s="124"/>
      <c r="BQ142" s="124"/>
      <c r="BR142" s="124"/>
      <c r="BS142" s="124"/>
      <c r="BT142" s="124"/>
      <c r="BU142" s="124"/>
      <c r="BV142" s="124"/>
      <c r="BW142" s="124"/>
      <c r="BX142" s="124"/>
      <c r="BY142" s="124"/>
      <c r="BZ142" s="159"/>
      <c r="CA142" s="160"/>
      <c r="CB14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2" s="130">
        <f>Table6[[#This Row],[Friday, November 23, 2018]]+Table6[[#This Row],[Friday, November 30, 2018]]+Table6[[#This Row],[Friday, December 07, 2018]]+Table6[[#This Row],[Friday, December 14, 2018]]+Table6[[#This Row],[فروقات عطله]]</f>
        <v>34</v>
      </c>
      <c r="CD142" s="131">
        <f>' الشركه 2018'!$H142*67%*1.5*' الشركه 2018'!$CB142/208</f>
        <v>0</v>
      </c>
      <c r="CE142" s="132">
        <f>' الشركه 2018'!$H142*67%*2*' الشركه 2018'!$CC142/208</f>
        <v>911.2</v>
      </c>
      <c r="CF142" s="133">
        <f>' الشركه 2018'!$CD142+' الشركه 2018'!$CE142</f>
        <v>911.2</v>
      </c>
      <c r="CG142" s="124"/>
      <c r="CH142" s="177">
        <f>SUMIF(C142:C407,' الشركه 2018'!$CG137,L142:L407)</f>
        <v>0</v>
      </c>
      <c r="CI142" s="124"/>
      <c r="CJ142" s="177">
        <f>' الشركه 2018'!$CH137*' الشركه 2018'!$CI137</f>
        <v>0</v>
      </c>
      <c r="CK142" s="177">
        <f>' الشركه 2018'!$CJ137*8%</f>
        <v>0</v>
      </c>
      <c r="CL142" s="177">
        <f>' الشركه 2018'!$CJ137*17%</f>
        <v>0</v>
      </c>
      <c r="CM142" s="177">
        <f>' الشركه 2018'!$CJ137*25%</f>
        <v>0</v>
      </c>
      <c r="CN142" s="162"/>
      <c r="CO142" s="162"/>
      <c r="CP142" s="163">
        <v>500</v>
      </c>
      <c r="CQ142" s="164" t="e">
        <f>VLOOKUP(Table6[[#This Row],[الرقم الوظيفى]],[4]!Table3[#Data],26,FALSE)</f>
        <v>#REF!</v>
      </c>
      <c r="CR142" s="165">
        <v>700</v>
      </c>
      <c r="CS142" s="124"/>
    </row>
    <row r="143" spans="1:97" ht="28" customHeight="1" thickTop="1" thickBot="1">
      <c r="A143" s="222">
        <v>705</v>
      </c>
      <c r="B143" s="142" t="s">
        <v>265</v>
      </c>
      <c r="C143" s="59" t="s">
        <v>90</v>
      </c>
      <c r="D143" s="143" t="s">
        <v>74</v>
      </c>
      <c r="E143" s="174" t="s">
        <v>629</v>
      </c>
      <c r="F143" s="143" t="s">
        <v>63</v>
      </c>
      <c r="G143" s="145">
        <v>41681</v>
      </c>
      <c r="H143" s="146">
        <v>4140</v>
      </c>
      <c r="I143" s="106">
        <f>Table6[[#This Row],[مرتب]]/30</f>
        <v>138</v>
      </c>
      <c r="J143" s="107">
        <v>30</v>
      </c>
      <c r="K143" s="107">
        <f t="shared" si="2"/>
        <v>4140</v>
      </c>
      <c r="L143" s="108">
        <v>4140</v>
      </c>
      <c r="M143" s="107">
        <f>Table6[[#This Row],[مرتب الضمان]]*17%</f>
        <v>703.80000000000007</v>
      </c>
      <c r="N143" s="107">
        <f>' الشركه 2018'!$H143*35%</f>
        <v>1449</v>
      </c>
      <c r="O143" s="107">
        <f>' الشركه 2018'!$H143*32%</f>
        <v>1324.8</v>
      </c>
      <c r="P143" s="107">
        <f>' الشركه 2018'!$H143*12%</f>
        <v>496.79999999999995</v>
      </c>
      <c r="Q143" s="107">
        <f>' الشركه 2018'!$H143*13%</f>
        <v>538.20000000000005</v>
      </c>
      <c r="R143" s="107">
        <f>' الشركه 2018'!$H143*6%</f>
        <v>248.39999999999998</v>
      </c>
      <c r="S143" s="107">
        <f>' الشركه 2018'!$H143*2%</f>
        <v>82.8</v>
      </c>
      <c r="T143" s="107">
        <f>' الشركه 2018'!$O143+' الشركه 2018'!$P143+' الشركه 2018'!$Q143+' الشركه 2018'!$R143+' الشركه 2018'!$S143</f>
        <v>2691.0000000000005</v>
      </c>
      <c r="U143" s="109">
        <f>VLOOKUP(Table6[[#This Row],[الرقم الوظيفى]],[2]بالخصم!$B$1:$AK$1200,35,)</f>
        <v>0</v>
      </c>
      <c r="V143" s="147"/>
      <c r="W143" s="111">
        <f>Table6[[#This Row],[عدد ايام الاجازه]]*Table6[[#This Row],[ح راتب اليوم]]</f>
        <v>0</v>
      </c>
      <c r="X143" s="148"/>
      <c r="Y143" s="60"/>
      <c r="Z143" s="111">
        <f>Table6[[#This Row],[عدد ايام الجزاء]]*Table6[[#This Row],[ح راتب اليوم]]</f>
        <v>0</v>
      </c>
      <c r="AA143" s="112">
        <f>Table6[[#This Row],[مرتب]]*50%</f>
        <v>2070</v>
      </c>
      <c r="AB143" s="113" t="e">
        <f>VLOOKUP(Table6[[#This Row],[الرقم الوظيفى]],[3]!Table25289[#Data],23,)</f>
        <v>#REF!</v>
      </c>
      <c r="AC143" s="149"/>
      <c r="AD143" s="150"/>
      <c r="AE143" s="113" t="e">
        <f>VLOOKUP(Table6[[#This Row],[الرقم الوظيفى]],[3]!Table252894[#Data],22,)</f>
        <v>#REF!</v>
      </c>
      <c r="AF143" s="151"/>
      <c r="AG143" s="111">
        <f>' الشركه 2018'!$W143+' الشركه 2018'!$Z143+' الشركه 2018'!$AA143+' الشركه 2018'!$AC143+' الشركه 2018'!$AD143+' الشركه 2018'!$AF143</f>
        <v>2070</v>
      </c>
      <c r="AH143" s="111">
        <f>Table6[[#This Row],[راتب الضمان]]*8%</f>
        <v>331.2</v>
      </c>
      <c r="AI143" s="111">
        <f>' الشركه 2018'!$H143-' الشركه 2018'!$AG143-' الشركه 2018'!$AH143</f>
        <v>1738.8</v>
      </c>
      <c r="AJ143" s="111">
        <f>' الشركه 2018'!$CF143</f>
        <v>0</v>
      </c>
      <c r="AK143" s="117">
        <f>' الشركه 2018'!$AI143+' الشركه 2018'!$AJ143</f>
        <v>1738.8</v>
      </c>
      <c r="AL143" s="152"/>
      <c r="AM143" s="153"/>
      <c r="AN143" s="9">
        <f>Table6[[#This Row],[اجمالى الاستحقاق]]-Table6[[#This Row],[Column2]]+Table6[[#This Row],[حوافز غير مستقره]]</f>
        <v>1738.8</v>
      </c>
      <c r="AO143" s="59"/>
      <c r="AP143" s="169"/>
      <c r="AQ143" s="176"/>
      <c r="AR143" s="124"/>
      <c r="AS143" s="155"/>
      <c r="AT143" s="170"/>
      <c r="AU143" s="124"/>
      <c r="AV143" s="124"/>
      <c r="AW143" s="124"/>
      <c r="AX143" s="124"/>
      <c r="AY143" s="124"/>
      <c r="AZ143" s="124"/>
      <c r="BA143" s="124"/>
      <c r="BB143" s="124"/>
      <c r="BC143" s="124"/>
      <c r="BD143" s="124"/>
      <c r="BE143" s="124"/>
      <c r="BF143" s="124"/>
      <c r="BG143" s="124"/>
      <c r="BH143" s="124"/>
      <c r="BI143" s="124"/>
      <c r="BJ143" s="124"/>
      <c r="BK143" s="124"/>
      <c r="BL143" s="124"/>
      <c r="BM143" s="124"/>
      <c r="BN143" s="124"/>
      <c r="BO143" s="124"/>
      <c r="BP143" s="124"/>
      <c r="BQ143" s="124"/>
      <c r="BR143" s="124"/>
      <c r="BS143" s="124"/>
      <c r="BT143" s="124"/>
      <c r="BU143" s="124"/>
      <c r="BV143" s="124"/>
      <c r="BW143" s="124"/>
      <c r="BX143" s="124"/>
      <c r="BY143" s="124"/>
      <c r="BZ143" s="171"/>
      <c r="CA143" s="172"/>
      <c r="CB14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3" s="131">
        <f>' الشركه 2018'!$H143*67%*1.5*' الشركه 2018'!$CB143/208</f>
        <v>0</v>
      </c>
      <c r="CE143" s="132">
        <f>' الشركه 2018'!$H143*67%*2*' الشركه 2018'!$CC143/208</f>
        <v>0</v>
      </c>
      <c r="CF143" s="133">
        <f>' الشركه 2018'!$CD143+' الشركه 2018'!$CE143</f>
        <v>0</v>
      </c>
      <c r="CG143" s="124"/>
      <c r="CH143" s="177">
        <f>SUMIF(C143:C408,' الشركه 2018'!$CG138,L143:L408)</f>
        <v>0</v>
      </c>
      <c r="CI143" s="124"/>
      <c r="CJ143" s="177">
        <f>' الشركه 2018'!$CH138*' الشركه 2018'!$CI138</f>
        <v>0</v>
      </c>
      <c r="CK143" s="177">
        <f>' الشركه 2018'!$CJ138*8%</f>
        <v>0</v>
      </c>
      <c r="CL143" s="177">
        <f>' الشركه 2018'!$CJ138*17%</f>
        <v>0</v>
      </c>
      <c r="CM143" s="177">
        <f>' الشركه 2018'!$CJ138*25%</f>
        <v>0</v>
      </c>
      <c r="CN143" s="162"/>
      <c r="CO143" s="162"/>
      <c r="CP143" s="163">
        <v>300</v>
      </c>
      <c r="CQ143" s="164" t="e">
        <f>VLOOKUP(Table6[[#This Row],[الرقم الوظيفى]],[4]!Table3[#Data],26,FALSE)</f>
        <v>#REF!</v>
      </c>
      <c r="CR143" s="165">
        <v>1000</v>
      </c>
      <c r="CS143" s="124"/>
    </row>
    <row r="144" spans="1:97" ht="28" customHeight="1" thickTop="1" thickBot="1">
      <c r="A144" s="222">
        <v>723</v>
      </c>
      <c r="B144" s="142" t="s">
        <v>230</v>
      </c>
      <c r="C144" s="59" t="s">
        <v>90</v>
      </c>
      <c r="D144" s="143" t="s">
        <v>74</v>
      </c>
      <c r="E144" s="174" t="s">
        <v>658</v>
      </c>
      <c r="F144" s="143" t="s">
        <v>655</v>
      </c>
      <c r="G144" s="145">
        <v>41699</v>
      </c>
      <c r="H144" s="146">
        <v>4170</v>
      </c>
      <c r="I144" s="106">
        <f>Table6[[#This Row],[مرتب]]/30</f>
        <v>139</v>
      </c>
      <c r="J144" s="107">
        <v>30</v>
      </c>
      <c r="K144" s="107">
        <f t="shared" si="2"/>
        <v>4170</v>
      </c>
      <c r="L144" s="108">
        <v>4170</v>
      </c>
      <c r="M144" s="107">
        <f>Table6[[#This Row],[مرتب الضمان]]*17%</f>
        <v>708.90000000000009</v>
      </c>
      <c r="N144" s="107">
        <f>' الشركه 2018'!$H144*35%</f>
        <v>1459.5</v>
      </c>
      <c r="O144" s="107">
        <f>' الشركه 2018'!$H144*32%</f>
        <v>1334.4</v>
      </c>
      <c r="P144" s="107">
        <f>' الشركه 2018'!$H144*12%</f>
        <v>500.4</v>
      </c>
      <c r="Q144" s="107">
        <f>' الشركه 2018'!$H144*13%</f>
        <v>542.1</v>
      </c>
      <c r="R144" s="107">
        <f>' الشركه 2018'!$H144*6%</f>
        <v>250.2</v>
      </c>
      <c r="S144" s="107">
        <f>' الشركه 2018'!$H144*2%</f>
        <v>83.4</v>
      </c>
      <c r="T144" s="107">
        <f>' الشركه 2018'!$O144+' الشركه 2018'!$P144+' الشركه 2018'!$Q144+' الشركه 2018'!$R144+' الشركه 2018'!$S144</f>
        <v>2710.5</v>
      </c>
      <c r="U144" s="109">
        <f>VLOOKUP(Table6[[#This Row],[الرقم الوظيفى]],[2]بالخصم!$B$1:$AK$1200,35,)</f>
        <v>0</v>
      </c>
      <c r="V144" s="147"/>
      <c r="W144" s="111">
        <f>Table6[[#This Row],[عدد ايام الاجازه]]*Table6[[#This Row],[ح راتب اليوم]]</f>
        <v>0</v>
      </c>
      <c r="X144" s="148"/>
      <c r="Y144" s="60"/>
      <c r="Z144" s="111">
        <f>Table6[[#This Row],[عدد ايام الجزاء]]*Table6[[#This Row],[ح راتب اليوم]]</f>
        <v>0</v>
      </c>
      <c r="AA144" s="112">
        <f>Table6[[#This Row],[مرتب]]*50%</f>
        <v>2085</v>
      </c>
      <c r="AB144" s="113" t="e">
        <f>VLOOKUP(Table6[[#This Row],[الرقم الوظيفى]],[3]!Table25289[#Data],23,)</f>
        <v>#REF!</v>
      </c>
      <c r="AC144" s="149"/>
      <c r="AD144" s="168"/>
      <c r="AE144" s="113" t="e">
        <f>VLOOKUP(Table6[[#This Row],[الرقم الوظيفى]],[3]!Table252894[#Data],22,)</f>
        <v>#REF!</v>
      </c>
      <c r="AF144" s="151"/>
      <c r="AG144" s="111">
        <f>' الشركه 2018'!$W144+' الشركه 2018'!$Z144+' الشركه 2018'!$AA144+' الشركه 2018'!$AC144+' الشركه 2018'!$AD144+' الشركه 2018'!$AF144</f>
        <v>2085</v>
      </c>
      <c r="AH144" s="111">
        <f>Table6[[#This Row],[راتب الضمان]]*8%</f>
        <v>333.6</v>
      </c>
      <c r="AI144" s="111">
        <f>' الشركه 2018'!$H144-' الشركه 2018'!$AG144-' الشركه 2018'!$AH144</f>
        <v>1751.4</v>
      </c>
      <c r="AJ144" s="111">
        <f>' الشركه 2018'!$CF144</f>
        <v>0</v>
      </c>
      <c r="AK144" s="117">
        <f>' الشركه 2018'!$AI144+' الشركه 2018'!$AJ144</f>
        <v>1751.4</v>
      </c>
      <c r="AL144" s="152"/>
      <c r="AM144" s="153"/>
      <c r="AN144" s="9">
        <f>Table6[[#This Row],[اجمالى الاستحقاق]]-Table6[[#This Row],[Column2]]+Table6[[#This Row],[حوافز غير مستقره]]</f>
        <v>1751.4</v>
      </c>
      <c r="AO144" s="59"/>
      <c r="AP144" s="169"/>
      <c r="AQ144" s="176"/>
      <c r="AR144" s="124"/>
      <c r="AS144" s="155"/>
      <c r="AT144" s="170"/>
      <c r="AU144" s="124"/>
      <c r="AV144" s="124"/>
      <c r="AW144" s="124"/>
      <c r="AX144" s="124"/>
      <c r="AY144" s="124"/>
      <c r="AZ144" s="124"/>
      <c r="BA144" s="124"/>
      <c r="BB144" s="124"/>
      <c r="BC144" s="124"/>
      <c r="BD144" s="124"/>
      <c r="BE144" s="124"/>
      <c r="BF144" s="124"/>
      <c r="BG144" s="124"/>
      <c r="BH144" s="124"/>
      <c r="BI144" s="124"/>
      <c r="BJ144" s="124"/>
      <c r="BK144" s="124"/>
      <c r="BL144" s="124"/>
      <c r="BM144" s="124"/>
      <c r="BN144" s="124"/>
      <c r="BO144" s="124"/>
      <c r="BP144" s="124"/>
      <c r="BQ144" s="124"/>
      <c r="BR144" s="124"/>
      <c r="BS144" s="124"/>
      <c r="BT144" s="124"/>
      <c r="BU144" s="124"/>
      <c r="BV144" s="124"/>
      <c r="BW144" s="124"/>
      <c r="BX144" s="124"/>
      <c r="BY144" s="124"/>
      <c r="BZ144" s="171"/>
      <c r="CA144" s="172"/>
      <c r="CB14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4" s="131">
        <f>' الشركه 2018'!$H144*67%*1.5*' الشركه 2018'!$CB144/208</f>
        <v>0</v>
      </c>
      <c r="CE144" s="132">
        <f>' الشركه 2018'!$H144*67%*2*' الشركه 2018'!$CC144/208</f>
        <v>0</v>
      </c>
      <c r="CF144" s="133">
        <f>' الشركه 2018'!$CD144+' الشركه 2018'!$CE144</f>
        <v>0</v>
      </c>
      <c r="CG144" s="124"/>
      <c r="CH144" s="177">
        <f>SUMIF(C144:C409,' الشركه 2018'!$CG139,L144:L409)</f>
        <v>0</v>
      </c>
      <c r="CI144" s="124"/>
      <c r="CJ144" s="177">
        <f>' الشركه 2018'!$CH139*' الشركه 2018'!$CI139</f>
        <v>0</v>
      </c>
      <c r="CK144" s="177">
        <f>' الشركه 2018'!$CJ139*8%</f>
        <v>0</v>
      </c>
      <c r="CL144" s="177">
        <f>' الشركه 2018'!$CJ139*17%</f>
        <v>0</v>
      </c>
      <c r="CM144" s="177">
        <f>' الشركه 2018'!$CJ139*25%</f>
        <v>0</v>
      </c>
      <c r="CN144" s="162"/>
      <c r="CO144" s="162"/>
      <c r="CP144" s="163">
        <v>500</v>
      </c>
      <c r="CQ144" s="164" t="e">
        <f>VLOOKUP(Table6[[#This Row],[الرقم الوظيفى]],[4]!Table3[#Data],26,FALSE)</f>
        <v>#REF!</v>
      </c>
      <c r="CR144" s="165"/>
      <c r="CS144" s="124"/>
    </row>
    <row r="145" spans="1:97" ht="28" customHeight="1" thickTop="1" thickBot="1">
      <c r="A145" s="222">
        <v>734</v>
      </c>
      <c r="B145" s="142" t="s">
        <v>176</v>
      </c>
      <c r="C145" s="59" t="s">
        <v>90</v>
      </c>
      <c r="D145" s="143" t="s">
        <v>611</v>
      </c>
      <c r="E145" s="174" t="s">
        <v>679</v>
      </c>
      <c r="F145" s="143" t="s">
        <v>173</v>
      </c>
      <c r="G145" s="145">
        <v>41713</v>
      </c>
      <c r="H145" s="146">
        <v>4160</v>
      </c>
      <c r="I145" s="106">
        <f>Table6[[#This Row],[مرتب]]/30</f>
        <v>138.66666666666666</v>
      </c>
      <c r="J145" s="107">
        <v>30</v>
      </c>
      <c r="K145" s="107">
        <f t="shared" si="2"/>
        <v>4160</v>
      </c>
      <c r="L145" s="108">
        <v>4160</v>
      </c>
      <c r="M145" s="107">
        <f>Table6[[#This Row],[مرتب الضمان]]*17%</f>
        <v>707.2</v>
      </c>
      <c r="N145" s="107">
        <f>' الشركه 2018'!$H145*35%</f>
        <v>1456</v>
      </c>
      <c r="O145" s="107">
        <f>' الشركه 2018'!$H145*32%</f>
        <v>1331.2</v>
      </c>
      <c r="P145" s="107">
        <f>' الشركه 2018'!$H145*12%</f>
        <v>499.2</v>
      </c>
      <c r="Q145" s="107">
        <f>' الشركه 2018'!$H145*13%</f>
        <v>540.80000000000007</v>
      </c>
      <c r="R145" s="107">
        <f>' الشركه 2018'!$H145*6%</f>
        <v>249.6</v>
      </c>
      <c r="S145" s="107">
        <f>' الشركه 2018'!$H145*2%</f>
        <v>83.2</v>
      </c>
      <c r="T145" s="107">
        <f>' الشركه 2018'!$O145+' الشركه 2018'!$P145+' الشركه 2018'!$Q145+' الشركه 2018'!$R145+' الشركه 2018'!$S145</f>
        <v>2704</v>
      </c>
      <c r="U145" s="109">
        <f>VLOOKUP(Table6[[#This Row],[الرقم الوظيفى]],[2]بالخصم!$B$1:$AK$1200,35,)</f>
        <v>6</v>
      </c>
      <c r="V145" s="147">
        <v>3</v>
      </c>
      <c r="W145" s="111">
        <f>Table6[[#This Row],[عدد ايام الاجازه]]*Table6[[#This Row],[ح راتب اليوم]]</f>
        <v>416</v>
      </c>
      <c r="X145" s="148"/>
      <c r="Y145" s="60"/>
      <c r="Z145" s="111">
        <f>Table6[[#This Row],[عدد ايام الجزاء]]*Table6[[#This Row],[ح راتب اليوم]]</f>
        <v>0</v>
      </c>
      <c r="AA145" s="112">
        <f>Table6[[#This Row],[مرتب]]*50%</f>
        <v>2080</v>
      </c>
      <c r="AB145" s="113" t="e">
        <f>VLOOKUP(Table6[[#This Row],[الرقم الوظيفى]],[3]!Table25289[#Data],23,)</f>
        <v>#REF!</v>
      </c>
      <c r="AC145" s="149"/>
      <c r="AD145" s="168"/>
      <c r="AE145" s="113" t="e">
        <f>VLOOKUP(Table6[[#This Row],[الرقم الوظيفى]],[3]!Table252894[#Data],22,)</f>
        <v>#REF!</v>
      </c>
      <c r="AF145" s="151"/>
      <c r="AG145" s="111">
        <f>' الشركه 2018'!$W145+' الشركه 2018'!$Z145+' الشركه 2018'!$AA145+' الشركه 2018'!$AC145+' الشركه 2018'!$AD145+' الشركه 2018'!$AF145</f>
        <v>2496</v>
      </c>
      <c r="AH145" s="111">
        <f>Table6[[#This Row],[راتب الضمان]]*8%</f>
        <v>332.8</v>
      </c>
      <c r="AI145" s="111">
        <f>' الشركه 2018'!$H145-' الشركه 2018'!$AG145-' الشركه 2018'!$AH145</f>
        <v>1331.2</v>
      </c>
      <c r="AJ145" s="111">
        <f>' الشركه 2018'!$CF145</f>
        <v>0</v>
      </c>
      <c r="AK145" s="117">
        <f>' الشركه 2018'!$AI145+' الشركه 2018'!$AJ145</f>
        <v>1331.2</v>
      </c>
      <c r="AL145" s="152"/>
      <c r="AM145" s="153"/>
      <c r="AN145" s="9">
        <f>Table6[[#This Row],[اجمالى الاستحقاق]]-Table6[[#This Row],[Column2]]+Table6[[#This Row],[حوافز غير مستقره]]</f>
        <v>1331.2</v>
      </c>
      <c r="AO145" s="59"/>
      <c r="AP145" s="169"/>
      <c r="AQ145" s="176"/>
      <c r="AR145" s="124"/>
      <c r="AS145" s="155"/>
      <c r="AT145" s="170"/>
      <c r="AU145" s="124"/>
      <c r="AV145" s="124"/>
      <c r="AW145" s="124"/>
      <c r="AX145" s="124"/>
      <c r="AY145" s="124"/>
      <c r="AZ145" s="124"/>
      <c r="BA145" s="124"/>
      <c r="BB145" s="124"/>
      <c r="BC145" s="124"/>
      <c r="BD145" s="124"/>
      <c r="BE145" s="124"/>
      <c r="BF145" s="124"/>
      <c r="BG145" s="124"/>
      <c r="BH145" s="124"/>
      <c r="BI145" s="124"/>
      <c r="BJ145" s="124"/>
      <c r="BK145" s="124"/>
      <c r="BL145" s="124"/>
      <c r="BM145" s="124"/>
      <c r="BN145" s="124"/>
      <c r="BO145" s="124"/>
      <c r="BP145" s="124"/>
      <c r="BQ145" s="124"/>
      <c r="BR145" s="124"/>
      <c r="BS145" s="124"/>
      <c r="BT145" s="124"/>
      <c r="BU145" s="124"/>
      <c r="BV145" s="124"/>
      <c r="BW145" s="124"/>
      <c r="BX145" s="124"/>
      <c r="BY145" s="124"/>
      <c r="BZ145" s="171"/>
      <c r="CA145" s="172"/>
      <c r="CB14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5" s="131">
        <f>' الشركه 2018'!$H145*67%*1.5*' الشركه 2018'!$CB145/208</f>
        <v>0</v>
      </c>
      <c r="CE145" s="132">
        <f>' الشركه 2018'!$H145*67%*2*' الشركه 2018'!$CC145/208</f>
        <v>0</v>
      </c>
      <c r="CF145" s="133">
        <f>' الشركه 2018'!$CD145+' الشركه 2018'!$CE145</f>
        <v>0</v>
      </c>
      <c r="CG145" s="124"/>
      <c r="CH145" s="177">
        <f>SUMIF(C145:C410,' الشركه 2018'!$CG140,L145:L410)</f>
        <v>0</v>
      </c>
      <c r="CI145" s="124"/>
      <c r="CJ145" s="177">
        <f>' الشركه 2018'!$CH140*' الشركه 2018'!$CI140</f>
        <v>0</v>
      </c>
      <c r="CK145" s="177">
        <f>' الشركه 2018'!$CJ140*8%</f>
        <v>0</v>
      </c>
      <c r="CL145" s="177">
        <f>' الشركه 2018'!$CJ140*17%</f>
        <v>0</v>
      </c>
      <c r="CM145" s="177">
        <f>' الشركه 2018'!$CJ140*25%</f>
        <v>0</v>
      </c>
      <c r="CN145" s="162"/>
      <c r="CO145" s="162"/>
      <c r="CP145" s="163">
        <v>500</v>
      </c>
      <c r="CQ145" s="164" t="e">
        <f>VLOOKUP(Table6[[#This Row],[الرقم الوظيفى]],[4]!Table3[#Data],26,FALSE)</f>
        <v>#REF!</v>
      </c>
      <c r="CR145" s="165">
        <v>700</v>
      </c>
      <c r="CS145" s="124"/>
    </row>
    <row r="146" spans="1:97" ht="28" customHeight="1" thickTop="1" thickBot="1">
      <c r="A146" s="222">
        <v>738</v>
      </c>
      <c r="B146" s="142" t="s">
        <v>318</v>
      </c>
      <c r="C146" s="59" t="s">
        <v>90</v>
      </c>
      <c r="D146" s="143" t="s">
        <v>75</v>
      </c>
      <c r="E146" s="174"/>
      <c r="F146" s="143" t="s">
        <v>63</v>
      </c>
      <c r="G146" s="145">
        <v>41731</v>
      </c>
      <c r="H146" s="146">
        <v>3140</v>
      </c>
      <c r="I146" s="106">
        <f>Table6[[#This Row],[مرتب]]/30</f>
        <v>104.66666666666667</v>
      </c>
      <c r="J146" s="107">
        <v>30</v>
      </c>
      <c r="K146" s="107">
        <f t="shared" si="2"/>
        <v>3140</v>
      </c>
      <c r="L146" s="108">
        <v>3140</v>
      </c>
      <c r="M146" s="107">
        <f>Table6[[#This Row],[مرتب الضمان]]*17%</f>
        <v>533.80000000000007</v>
      </c>
      <c r="N146" s="107">
        <f>' الشركه 2018'!$H146*35%</f>
        <v>1099</v>
      </c>
      <c r="O146" s="107">
        <f>' الشركه 2018'!$H146*32%</f>
        <v>1004.8000000000001</v>
      </c>
      <c r="P146" s="107">
        <f>' الشركه 2018'!$H146*12%</f>
        <v>376.8</v>
      </c>
      <c r="Q146" s="107">
        <f>' الشركه 2018'!$H146*13%</f>
        <v>408.2</v>
      </c>
      <c r="R146" s="107">
        <f>' الشركه 2018'!$H146*6%</f>
        <v>188.4</v>
      </c>
      <c r="S146" s="107">
        <f>' الشركه 2018'!$H146*2%</f>
        <v>62.800000000000004</v>
      </c>
      <c r="T146" s="107">
        <f>' الشركه 2018'!$O146+' الشركه 2018'!$P146+' الشركه 2018'!$Q146+' الشركه 2018'!$R146+' الشركه 2018'!$S146</f>
        <v>2041.0000000000002</v>
      </c>
      <c r="U146" s="109">
        <f>VLOOKUP(Table6[[#This Row],[الرقم الوظيفى]],[2]بالخصم!$B$1:$AK$1200,35,)</f>
        <v>0</v>
      </c>
      <c r="V146" s="147"/>
      <c r="W146" s="111">
        <f>Table6[[#This Row],[عدد ايام الاجازه]]*Table6[[#This Row],[ح راتب اليوم]]</f>
        <v>0</v>
      </c>
      <c r="X146" s="148"/>
      <c r="Y146" s="60"/>
      <c r="Z146" s="111">
        <f>Table6[[#This Row],[عدد ايام الجزاء]]*Table6[[#This Row],[ح راتب اليوم]]</f>
        <v>0</v>
      </c>
      <c r="AA146" s="112">
        <f>Table6[[#This Row],[مرتب]]*50%</f>
        <v>1570</v>
      </c>
      <c r="AB146" s="113" t="e">
        <f>VLOOKUP(Table6[[#This Row],[الرقم الوظيفى]],[3]!Table25289[#Data],23,)</f>
        <v>#REF!</v>
      </c>
      <c r="AC146" s="149">
        <v>400</v>
      </c>
      <c r="AD146" s="168"/>
      <c r="AE146" s="113" t="e">
        <f>VLOOKUP(Table6[[#This Row],[الرقم الوظيفى]],[3]!Table252894[#Data],22,)</f>
        <v>#REF!</v>
      </c>
      <c r="AF146" s="151"/>
      <c r="AG146" s="111">
        <f>' الشركه 2018'!$W146+' الشركه 2018'!$Z146+' الشركه 2018'!$AA146+' الشركه 2018'!$AC146+' الشركه 2018'!$AD146+' الشركه 2018'!$AF146</f>
        <v>1970</v>
      </c>
      <c r="AH146" s="111">
        <f>Table6[[#This Row],[راتب الضمان]]*8%</f>
        <v>251.20000000000002</v>
      </c>
      <c r="AI146" s="111">
        <f>' الشركه 2018'!$H146-' الشركه 2018'!$AG146-' الشركه 2018'!$AH146</f>
        <v>918.8</v>
      </c>
      <c r="AJ146" s="111">
        <f>' الشركه 2018'!$CF146</f>
        <v>0</v>
      </c>
      <c r="AK146" s="117">
        <f>' الشركه 2018'!$AI146+' الشركه 2018'!$AJ146</f>
        <v>918.8</v>
      </c>
      <c r="AL146" s="152"/>
      <c r="AM146" s="153"/>
      <c r="AN146" s="9">
        <f>Table6[[#This Row],[اجمالى الاستحقاق]]-Table6[[#This Row],[Column2]]+Table6[[#This Row],[حوافز غير مستقره]]</f>
        <v>918.8</v>
      </c>
      <c r="AO146" s="59"/>
      <c r="AP146" s="169"/>
      <c r="AQ146" s="176"/>
      <c r="AR146" s="124"/>
      <c r="AS146" s="155"/>
      <c r="AT146" s="170"/>
      <c r="AU146" s="124"/>
      <c r="AV146" s="124"/>
      <c r="AW146" s="124"/>
      <c r="AX146" s="124"/>
      <c r="AY146" s="124"/>
      <c r="AZ146" s="124"/>
      <c r="BA146" s="124"/>
      <c r="BB146" s="124"/>
      <c r="BC146" s="124"/>
      <c r="BD146" s="124"/>
      <c r="BE146" s="124"/>
      <c r="BF146" s="124"/>
      <c r="BG146" s="124"/>
      <c r="BH146" s="124"/>
      <c r="BI146" s="124"/>
      <c r="BJ146" s="124"/>
      <c r="BK146" s="124"/>
      <c r="BL146" s="124"/>
      <c r="BM146" s="124"/>
      <c r="BN146" s="124"/>
      <c r="BO146" s="124"/>
      <c r="BP146" s="124"/>
      <c r="BQ146" s="124"/>
      <c r="BR146" s="124"/>
      <c r="BS146" s="124"/>
      <c r="BT146" s="124"/>
      <c r="BU146" s="124"/>
      <c r="BV146" s="124"/>
      <c r="BW146" s="124"/>
      <c r="BX146" s="124"/>
      <c r="BY146" s="124"/>
      <c r="BZ146" s="171"/>
      <c r="CA146" s="172"/>
      <c r="CB14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6" s="131">
        <f>' الشركه 2018'!$H146*67%*1.5*' الشركه 2018'!$CB146/208</f>
        <v>0</v>
      </c>
      <c r="CE146" s="132">
        <f>' الشركه 2018'!$H146*67%*2*' الشركه 2018'!$CC146/208</f>
        <v>0</v>
      </c>
      <c r="CF146" s="133">
        <f>' الشركه 2018'!$CD146+' الشركه 2018'!$CE146</f>
        <v>0</v>
      </c>
      <c r="CG146" s="124"/>
      <c r="CH146" s="177">
        <f>SUMIF(C146:C411,' الشركه 2018'!$CG141,L146:L411)</f>
        <v>0</v>
      </c>
      <c r="CI146" s="124"/>
      <c r="CJ146" s="177">
        <f>' الشركه 2018'!$CH141*' الشركه 2018'!$CI141</f>
        <v>0</v>
      </c>
      <c r="CK146" s="177">
        <f>' الشركه 2018'!$CJ141*8%</f>
        <v>0</v>
      </c>
      <c r="CL146" s="177">
        <f>' الشركه 2018'!$CJ141*17%</f>
        <v>0</v>
      </c>
      <c r="CM146" s="177">
        <f>' الشركه 2018'!$CJ141*25%</f>
        <v>0</v>
      </c>
      <c r="CN146" s="162"/>
      <c r="CO146" s="162"/>
      <c r="CP146" s="163">
        <v>700</v>
      </c>
      <c r="CQ146" s="164" t="e">
        <f>VLOOKUP(Table6[[#This Row],[الرقم الوظيفى]],[4]!Table3[#Data],26,FALSE)</f>
        <v>#REF!</v>
      </c>
      <c r="CR146" s="165">
        <v>500</v>
      </c>
      <c r="CS146" s="124"/>
    </row>
    <row r="147" spans="1:97" ht="28" customHeight="1" thickTop="1" thickBot="1">
      <c r="A147" s="222">
        <v>751</v>
      </c>
      <c r="B147" s="142" t="s">
        <v>347</v>
      </c>
      <c r="C147" s="59" t="s">
        <v>90</v>
      </c>
      <c r="D147" s="143" t="s">
        <v>79</v>
      </c>
      <c r="E147" s="174" t="s">
        <v>644</v>
      </c>
      <c r="F147" s="143" t="s">
        <v>351</v>
      </c>
      <c r="G147" s="145">
        <v>41774</v>
      </c>
      <c r="H147" s="146">
        <v>5460</v>
      </c>
      <c r="I147" s="106">
        <f>Table6[[#This Row],[مرتب]]/30</f>
        <v>182</v>
      </c>
      <c r="J147" s="107">
        <v>30</v>
      </c>
      <c r="K147" s="107">
        <f t="shared" si="2"/>
        <v>5460</v>
      </c>
      <c r="L147" s="108">
        <v>5460</v>
      </c>
      <c r="M147" s="107">
        <f>Table6[[#This Row],[مرتب الضمان]]*17%</f>
        <v>928.2</v>
      </c>
      <c r="N147" s="107">
        <f>' الشركه 2018'!$H147*35%</f>
        <v>1910.9999999999998</v>
      </c>
      <c r="O147" s="107">
        <f>' الشركه 2018'!$H147*32%</f>
        <v>1747.2</v>
      </c>
      <c r="P147" s="107">
        <f>' الشركه 2018'!$H147*12%</f>
        <v>655.19999999999993</v>
      </c>
      <c r="Q147" s="107">
        <f>' الشركه 2018'!$H147*13%</f>
        <v>709.80000000000007</v>
      </c>
      <c r="R147" s="107">
        <f>' الشركه 2018'!$H147*6%</f>
        <v>327.59999999999997</v>
      </c>
      <c r="S147" s="107">
        <f>' الشركه 2018'!$H147*2%</f>
        <v>109.2</v>
      </c>
      <c r="T147" s="107">
        <f>' الشركه 2018'!$O147+' الشركه 2018'!$P147+' الشركه 2018'!$Q147+' الشركه 2018'!$R147+' الشركه 2018'!$S147</f>
        <v>3549</v>
      </c>
      <c r="U147" s="109">
        <f>VLOOKUP(Table6[[#This Row],[الرقم الوظيفى]],[2]بالخصم!$B$1:$AK$1200,35,)</f>
        <v>0</v>
      </c>
      <c r="V147" s="147"/>
      <c r="W147" s="111">
        <f>Table6[[#This Row],[عدد ايام الاجازه]]*Table6[[#This Row],[ح راتب اليوم]]</f>
        <v>0</v>
      </c>
      <c r="X147" s="148"/>
      <c r="Y147" s="60"/>
      <c r="Z147" s="111">
        <f>Table6[[#This Row],[عدد ايام الجزاء]]*Table6[[#This Row],[ح راتب اليوم]]</f>
        <v>0</v>
      </c>
      <c r="AA147" s="112">
        <f>Table6[[#This Row],[مرتب]]*50%</f>
        <v>2730</v>
      </c>
      <c r="AB147" s="113" t="e">
        <f>VLOOKUP(Table6[[#This Row],[الرقم الوظيفى]],[3]!Table25289[#Data],23,)</f>
        <v>#REF!</v>
      </c>
      <c r="AC147" s="149"/>
      <c r="AD147" s="150"/>
      <c r="AE147" s="113" t="e">
        <f>VLOOKUP(Table6[[#This Row],[الرقم الوظيفى]],[3]!Table252894[#Data],22,)</f>
        <v>#REF!</v>
      </c>
      <c r="AF147" s="151"/>
      <c r="AG147" s="111">
        <f>' الشركه 2018'!$W147+' الشركه 2018'!$Z147+' الشركه 2018'!$AA147+' الشركه 2018'!$AC147+' الشركه 2018'!$AD147+' الشركه 2018'!$AF147</f>
        <v>2730</v>
      </c>
      <c r="AH147" s="111">
        <f>Table6[[#This Row],[راتب الضمان]]*8%</f>
        <v>436.8</v>
      </c>
      <c r="AI147" s="111">
        <f>' الشركه 2018'!$H147-' الشركه 2018'!$AG147-' الشركه 2018'!$AH147</f>
        <v>2293.1999999999998</v>
      </c>
      <c r="AJ147" s="111">
        <f>' الشركه 2018'!$CF147</f>
        <v>1582.875</v>
      </c>
      <c r="AK147" s="117">
        <f>' الشركه 2018'!$AI147+' الشركه 2018'!$AJ147</f>
        <v>3876.0749999999998</v>
      </c>
      <c r="AL147" s="152"/>
      <c r="AM147" s="153"/>
      <c r="AN147" s="9">
        <f>Table6[[#This Row],[اجمالى الاستحقاق]]-Table6[[#This Row],[Column2]]+Table6[[#This Row],[حوافز غير مستقره]]</f>
        <v>3876.0749999999998</v>
      </c>
      <c r="AO147" s="59"/>
      <c r="AP147" s="169"/>
      <c r="AQ147" s="176"/>
      <c r="AR147" s="124"/>
      <c r="AS147" s="155"/>
      <c r="AT147" s="170">
        <v>8</v>
      </c>
      <c r="AU147" s="124"/>
      <c r="AV147" s="124"/>
      <c r="AW147" s="124">
        <v>6</v>
      </c>
      <c r="AX147" s="124">
        <v>6</v>
      </c>
      <c r="AY147" s="124">
        <v>8</v>
      </c>
      <c r="AZ147" s="124"/>
      <c r="BA147" s="124"/>
      <c r="BB147" s="124"/>
      <c r="BC147" s="124"/>
      <c r="BD147" s="124"/>
      <c r="BE147" s="124"/>
      <c r="BF147" s="124"/>
      <c r="BG147" s="124"/>
      <c r="BH147" s="124">
        <v>8</v>
      </c>
      <c r="BI147" s="124"/>
      <c r="BJ147" s="124"/>
      <c r="BK147" s="124"/>
      <c r="BL147" s="124">
        <v>8</v>
      </c>
      <c r="BM147" s="124"/>
      <c r="BN147" s="124">
        <v>8</v>
      </c>
      <c r="BO147" s="124"/>
      <c r="BP147" s="124"/>
      <c r="BQ147" s="124"/>
      <c r="BR147" s="124">
        <v>8</v>
      </c>
      <c r="BS147" s="124"/>
      <c r="BT147" s="124"/>
      <c r="BU147" s="124"/>
      <c r="BV147" s="124"/>
      <c r="BW147" s="124"/>
      <c r="BX147" s="124"/>
      <c r="BY147" s="124"/>
      <c r="BZ147" s="171"/>
      <c r="CA147" s="172"/>
      <c r="CB14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60</v>
      </c>
      <c r="CC14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7" s="131">
        <f>' الشركه 2018'!$H147*67%*1.5*' الشركه 2018'!$CB147/208</f>
        <v>1582.875</v>
      </c>
      <c r="CE147" s="132">
        <f>' الشركه 2018'!$H147*67%*2*' الشركه 2018'!$CC147/208</f>
        <v>0</v>
      </c>
      <c r="CF147" s="133">
        <f>' الشركه 2018'!$CD147+' الشركه 2018'!$CE147</f>
        <v>1582.875</v>
      </c>
      <c r="CG147" s="124"/>
      <c r="CH147" s="177">
        <f>SUMIF(C147:C412,' الشركه 2018'!$CG142,L147:L412)</f>
        <v>0</v>
      </c>
      <c r="CI147" s="124"/>
      <c r="CJ147" s="177">
        <f>' الشركه 2018'!$CH142*' الشركه 2018'!$CI142</f>
        <v>0</v>
      </c>
      <c r="CK147" s="177">
        <f>' الشركه 2018'!$CJ142*8%</f>
        <v>0</v>
      </c>
      <c r="CL147" s="177">
        <f>' الشركه 2018'!$CJ142*17%</f>
        <v>0</v>
      </c>
      <c r="CM147" s="177">
        <f>' الشركه 2018'!$CJ142*25%</f>
        <v>0</v>
      </c>
      <c r="CN147" s="162"/>
      <c r="CO147" s="162"/>
      <c r="CP147" s="163"/>
      <c r="CQ147" s="164" t="e">
        <f>VLOOKUP(Table6[[#This Row],[الرقم الوظيفى]],[4]!Table3[#Data],26,FALSE)</f>
        <v>#REF!</v>
      </c>
      <c r="CR147" s="165"/>
      <c r="CS147" s="124"/>
    </row>
    <row r="148" spans="1:97" ht="28" customHeight="1" thickTop="1" thickBot="1">
      <c r="A148" s="222">
        <v>754</v>
      </c>
      <c r="B148" s="142" t="s">
        <v>237</v>
      </c>
      <c r="C148" s="59" t="s">
        <v>90</v>
      </c>
      <c r="D148" s="143" t="s">
        <v>74</v>
      </c>
      <c r="E148" s="174" t="s">
        <v>658</v>
      </c>
      <c r="F148" s="143" t="s">
        <v>205</v>
      </c>
      <c r="G148" s="145">
        <v>41791</v>
      </c>
      <c r="H148" s="146">
        <v>4150</v>
      </c>
      <c r="I148" s="106">
        <f>Table6[[#This Row],[مرتب]]/30</f>
        <v>138.33333333333334</v>
      </c>
      <c r="J148" s="107">
        <v>30</v>
      </c>
      <c r="K148" s="107">
        <f t="shared" si="2"/>
        <v>4150</v>
      </c>
      <c r="L148" s="108">
        <v>4150</v>
      </c>
      <c r="M148" s="107">
        <f>Table6[[#This Row],[مرتب الضمان]]*17%</f>
        <v>705.5</v>
      </c>
      <c r="N148" s="107">
        <f>' الشركه 2018'!$H148*35%</f>
        <v>1452.5</v>
      </c>
      <c r="O148" s="107">
        <f>' الشركه 2018'!$H148*32%</f>
        <v>1328</v>
      </c>
      <c r="P148" s="107">
        <f>' الشركه 2018'!$H148*12%</f>
        <v>498</v>
      </c>
      <c r="Q148" s="107">
        <f>' الشركه 2018'!$H148*13%</f>
        <v>539.5</v>
      </c>
      <c r="R148" s="107">
        <f>' الشركه 2018'!$H148*6%</f>
        <v>249</v>
      </c>
      <c r="S148" s="107">
        <f>' الشركه 2018'!$H148*2%</f>
        <v>83</v>
      </c>
      <c r="T148" s="107">
        <f>' الشركه 2018'!$O148+' الشركه 2018'!$P148+' الشركه 2018'!$Q148+' الشركه 2018'!$R148+' الشركه 2018'!$S148</f>
        <v>2697.5</v>
      </c>
      <c r="U148" s="109">
        <f>VLOOKUP(Table6[[#This Row],[الرقم الوظيفى]],[2]بالخصم!$B$1:$AK$1200,35,)</f>
        <v>0</v>
      </c>
      <c r="V148" s="147"/>
      <c r="W148" s="111">
        <f>Table6[[#This Row],[عدد ايام الاجازه]]*Table6[[#This Row],[ح راتب اليوم]]</f>
        <v>0</v>
      </c>
      <c r="X148" s="148"/>
      <c r="Y148" s="60"/>
      <c r="Z148" s="111">
        <f>Table6[[#This Row],[عدد ايام الجزاء]]*Table6[[#This Row],[ح راتب اليوم]]</f>
        <v>0</v>
      </c>
      <c r="AA148" s="112">
        <f>Table6[[#This Row],[مرتب]]*50%</f>
        <v>2075</v>
      </c>
      <c r="AB148" s="113" t="e">
        <f>VLOOKUP(Table6[[#This Row],[الرقم الوظيفى]],[3]!Table25289[#Data],23,)</f>
        <v>#REF!</v>
      </c>
      <c r="AC148" s="149"/>
      <c r="AD148" s="150"/>
      <c r="AE148" s="113" t="e">
        <f>VLOOKUP(Table6[[#This Row],[الرقم الوظيفى]],[3]!Table252894[#Data],22,)</f>
        <v>#REF!</v>
      </c>
      <c r="AF148" s="151"/>
      <c r="AG148" s="111">
        <f>' الشركه 2018'!$W148+' الشركه 2018'!$Z148+' الشركه 2018'!$AA148+' الشركه 2018'!$AC148+' الشركه 2018'!$AD148+' الشركه 2018'!$AF148</f>
        <v>2075</v>
      </c>
      <c r="AH148" s="111">
        <f>Table6[[#This Row],[راتب الضمان]]*8%</f>
        <v>332</v>
      </c>
      <c r="AI148" s="111">
        <f>' الشركه 2018'!$H148-' الشركه 2018'!$AG148-' الشركه 2018'!$AH148</f>
        <v>1743</v>
      </c>
      <c r="AJ148" s="111">
        <f>' الشركه 2018'!$CF148</f>
        <v>802.06730769230774</v>
      </c>
      <c r="AK148" s="117">
        <f>' الشركه 2018'!$AI148+' الشركه 2018'!$AJ148</f>
        <v>2545.0673076923076</v>
      </c>
      <c r="AL148" s="152"/>
      <c r="AM148" s="153"/>
      <c r="AN148" s="9">
        <f>Table6[[#This Row],[اجمالى الاستحقاق]]-Table6[[#This Row],[Column2]]+Table6[[#This Row],[حوافز غير مستقره]]</f>
        <v>2545.0673076923076</v>
      </c>
      <c r="AO148" s="59"/>
      <c r="AP148" s="169"/>
      <c r="AQ148" s="176"/>
      <c r="AR148" s="124"/>
      <c r="AS148" s="155"/>
      <c r="AT148" s="170"/>
      <c r="AU148" s="124"/>
      <c r="AV148" s="124"/>
      <c r="AW148" s="124"/>
      <c r="AX148" s="124"/>
      <c r="AY148" s="124"/>
      <c r="AZ148" s="124"/>
      <c r="BA148" s="124"/>
      <c r="BB148" s="124"/>
      <c r="BC148" s="124"/>
      <c r="BD148" s="124"/>
      <c r="BE148" s="124"/>
      <c r="BF148" s="124"/>
      <c r="BG148" s="124"/>
      <c r="BH148" s="124"/>
      <c r="BI148" s="124"/>
      <c r="BJ148" s="124"/>
      <c r="BK148" s="124"/>
      <c r="BL148" s="124"/>
      <c r="BM148" s="124"/>
      <c r="BN148" s="124"/>
      <c r="BO148" s="124"/>
      <c r="BP148" s="124"/>
      <c r="BQ148" s="124">
        <v>24</v>
      </c>
      <c r="BR148" s="124"/>
      <c r="BS148" s="124">
        <v>8</v>
      </c>
      <c r="BT148" s="124"/>
      <c r="BU148" s="124"/>
      <c r="BV148" s="124"/>
      <c r="BW148" s="124"/>
      <c r="BX148" s="124"/>
      <c r="BY148" s="124"/>
      <c r="BZ148" s="171"/>
      <c r="CA148" s="172"/>
      <c r="CB14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148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48" s="131">
        <f>' الشركه 2018'!$H148*67%*1.5*' الشركه 2018'!$CB148/208</f>
        <v>160.41346153846155</v>
      </c>
      <c r="CE148" s="132">
        <f>' الشركه 2018'!$H148*67%*2*' الشركه 2018'!$CC148/208</f>
        <v>641.65384615384619</v>
      </c>
      <c r="CF148" s="133">
        <f>' الشركه 2018'!$CD148+' الشركه 2018'!$CE148</f>
        <v>802.06730769230774</v>
      </c>
      <c r="CG148" s="124"/>
      <c r="CH148" s="177">
        <f>SUMIF(C148:C414,' الشركه 2018'!$CG143,L148:L414)</f>
        <v>0</v>
      </c>
      <c r="CI148" s="124"/>
      <c r="CJ148" s="177">
        <f>' الشركه 2018'!$CH143*' الشركه 2018'!$CI143</f>
        <v>0</v>
      </c>
      <c r="CK148" s="177">
        <f>' الشركه 2018'!$CJ143*8%</f>
        <v>0</v>
      </c>
      <c r="CL148" s="177">
        <f>' الشركه 2018'!$CJ143*17%</f>
        <v>0</v>
      </c>
      <c r="CM148" s="177">
        <f>' الشركه 2018'!$CJ143*25%</f>
        <v>0</v>
      </c>
      <c r="CN148" s="162"/>
      <c r="CO148" s="162"/>
      <c r="CP148" s="163">
        <v>300</v>
      </c>
      <c r="CQ148" s="164" t="e">
        <f>VLOOKUP(Table6[[#This Row],[الرقم الوظيفى]],[4]!Table3[#Data],26,FALSE)</f>
        <v>#REF!</v>
      </c>
      <c r="CR148" s="165"/>
      <c r="CS148" s="124"/>
    </row>
    <row r="149" spans="1:97" ht="28" customHeight="1" thickTop="1" thickBot="1">
      <c r="A149" s="227">
        <v>760</v>
      </c>
      <c r="B149" s="214" t="s">
        <v>680</v>
      </c>
      <c r="C149" s="59" t="s">
        <v>90</v>
      </c>
      <c r="D149" s="11" t="s">
        <v>83</v>
      </c>
      <c r="E149" s="202"/>
      <c r="F149" s="11"/>
      <c r="G149" s="184">
        <v>43146</v>
      </c>
      <c r="H149" s="154">
        <v>4250</v>
      </c>
      <c r="I149" s="203">
        <f>Table6[[#This Row],[مرتب]]/30</f>
        <v>141.66666666666666</v>
      </c>
      <c r="J149" s="107">
        <v>30</v>
      </c>
      <c r="K149" s="107">
        <f t="shared" si="2"/>
        <v>4250</v>
      </c>
      <c r="L149" s="107">
        <v>4250</v>
      </c>
      <c r="M149" s="107">
        <f>Table6[[#This Row],[مرتب الضمان]]*17%</f>
        <v>722.5</v>
      </c>
      <c r="N149" s="107">
        <f>' الشركه 2018'!$H149*35%</f>
        <v>1487.5</v>
      </c>
      <c r="O149" s="107">
        <f>' الشركه 2018'!$H149*32%</f>
        <v>1360</v>
      </c>
      <c r="P149" s="107">
        <f>' الشركه 2018'!$H149*12%</f>
        <v>510</v>
      </c>
      <c r="Q149" s="107">
        <f>' الشركه 2018'!$H149*13%</f>
        <v>552.5</v>
      </c>
      <c r="R149" s="107">
        <f>' الشركه 2018'!$H149*6%</f>
        <v>255</v>
      </c>
      <c r="S149" s="107">
        <f>' الشركه 2018'!$H149*2%</f>
        <v>85</v>
      </c>
      <c r="T149" s="107">
        <f>' الشركه 2018'!$O149+' الشركه 2018'!$P149+' الشركه 2018'!$Q149+' الشركه 2018'!$R149+' الشركه 2018'!$S149</f>
        <v>2762.5</v>
      </c>
      <c r="U149" s="109">
        <f>VLOOKUP(Table6[[#This Row],[الرقم الوظيفى]],[2]بالخصم!$B$1:$AK$1200,35,)</f>
        <v>1</v>
      </c>
      <c r="V149" s="204">
        <v>1</v>
      </c>
      <c r="W149" s="111">
        <f>Table6[[#This Row],[عدد ايام الاجازه]]*Table6[[#This Row],[ح راتب اليوم]]</f>
        <v>141.66666666666666</v>
      </c>
      <c r="X149" s="148"/>
      <c r="Y149" s="201"/>
      <c r="Z149" s="111">
        <f>Table6[[#This Row],[عدد ايام الجزاء]]*Table6[[#This Row],[ح راتب اليوم]]</f>
        <v>0</v>
      </c>
      <c r="AA149" s="112">
        <f>Table6[[#This Row],[مرتب]]*50%</f>
        <v>2125</v>
      </c>
      <c r="AB149" s="113" t="e">
        <f>VLOOKUP(Table6[[#This Row],[الرقم الوظيفى]],[3]!Table25289[#Data],23,)</f>
        <v>#REF!</v>
      </c>
      <c r="AC149" s="205"/>
      <c r="AD149" s="206"/>
      <c r="AE149" s="113" t="e">
        <f>VLOOKUP(Table6[[#This Row],[الرقم الوظيفى]],[3]!Table252894[#Data],22,)</f>
        <v>#REF!</v>
      </c>
      <c r="AF149" s="207"/>
      <c r="AG149" s="111">
        <f>' الشركه 2018'!$W149+' الشركه 2018'!$Z149+' الشركه 2018'!$AA149+' الشركه 2018'!$AC149+' الشركه 2018'!$AD149+' الشركه 2018'!$AF149</f>
        <v>2266.6666666666665</v>
      </c>
      <c r="AH149" s="111">
        <f>Table6[[#This Row],[راتب الضمان]]*8%</f>
        <v>340</v>
      </c>
      <c r="AI149" s="111">
        <f>' الشركه 2018'!$H149-' الشركه 2018'!$AG149-' الشركه 2018'!$AH149</f>
        <v>1643.3333333333335</v>
      </c>
      <c r="AJ149" s="111">
        <f>' الشركه 2018'!$CF149</f>
        <v>0</v>
      </c>
      <c r="AK149" s="117">
        <f>' الشركه 2018'!$AI149+' الشركه 2018'!$AJ149</f>
        <v>1643.3333333333335</v>
      </c>
      <c r="AL149" s="152"/>
      <c r="AM149" s="153"/>
      <c r="AN149" s="9">
        <f>Table6[[#This Row],[اجمالى الاستحقاق]]-Table6[[#This Row],[Column2]]+Table6[[#This Row],[حوافز غير مستقره]]</f>
        <v>1643.3333333333335</v>
      </c>
      <c r="AO149" s="59"/>
      <c r="AP149" s="169"/>
      <c r="AQ149" s="176"/>
      <c r="AR149" s="124"/>
      <c r="AS149" s="208"/>
      <c r="AT149" s="170"/>
      <c r="AU149" s="124"/>
      <c r="AV149" s="124"/>
      <c r="AW149" s="124"/>
      <c r="AX149" s="124"/>
      <c r="AY149" s="124"/>
      <c r="AZ149" s="124"/>
      <c r="BA149" s="124"/>
      <c r="BB149" s="124"/>
      <c r="BC149" s="124"/>
      <c r="BD149" s="124"/>
      <c r="BE149" s="124"/>
      <c r="BF149" s="124"/>
      <c r="BG149" s="124"/>
      <c r="BH149" s="228"/>
      <c r="BI149" s="124"/>
      <c r="BJ149" s="228"/>
      <c r="BK149" s="124"/>
      <c r="BL149" s="124"/>
      <c r="BM149" s="177"/>
      <c r="BN149" s="177"/>
      <c r="BO149" s="124"/>
      <c r="BP149" s="177"/>
      <c r="BQ149" s="124"/>
      <c r="BR149" s="177"/>
      <c r="BS149" s="177"/>
      <c r="BT149" s="124"/>
      <c r="BU149" s="124"/>
      <c r="BV149" s="124"/>
      <c r="BW149" s="177"/>
      <c r="BX149" s="177"/>
      <c r="BY149" s="177"/>
      <c r="BZ149" s="177"/>
      <c r="CA149" s="177"/>
      <c r="CB14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4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49" s="131">
        <f>' الشركه 2018'!$H149*67%*1.5*' الشركه 2018'!$CB149/208</f>
        <v>0</v>
      </c>
      <c r="CE149" s="132">
        <f>' الشركه 2018'!$H149*67%*2*' الشركه 2018'!$CC149/208</f>
        <v>0</v>
      </c>
      <c r="CF149" s="133">
        <f>' الشركه 2018'!$CD149+' الشركه 2018'!$CE149</f>
        <v>0</v>
      </c>
      <c r="CG149" s="124"/>
      <c r="CH149" s="177"/>
      <c r="CI149" s="124"/>
      <c r="CJ149" s="162"/>
      <c r="CK149" s="162"/>
      <c r="CL149" s="177"/>
      <c r="CM149" s="162"/>
      <c r="CN149" s="162"/>
      <c r="CO149" s="162"/>
      <c r="CP149" s="163"/>
      <c r="CQ149" s="164" t="e">
        <f>VLOOKUP(Table6[[#This Row],[الرقم الوظيفى]],[4]!Table3[#Data],26,FALSE)</f>
        <v>#REF!</v>
      </c>
      <c r="CR149" s="165">
        <v>500</v>
      </c>
      <c r="CS149" s="124"/>
    </row>
    <row r="150" spans="1:97" ht="28" customHeight="1" thickTop="1" thickBot="1">
      <c r="A150" s="222">
        <v>763</v>
      </c>
      <c r="B150" s="142" t="s">
        <v>225</v>
      </c>
      <c r="C150" s="59" t="s">
        <v>90</v>
      </c>
      <c r="D150" s="143" t="s">
        <v>74</v>
      </c>
      <c r="E150" s="174" t="s">
        <v>670</v>
      </c>
      <c r="F150" s="143" t="s">
        <v>681</v>
      </c>
      <c r="G150" s="145">
        <v>41806</v>
      </c>
      <c r="H150" s="146">
        <v>4150</v>
      </c>
      <c r="I150" s="106">
        <f>Table6[[#This Row],[مرتب]]/30</f>
        <v>138.33333333333334</v>
      </c>
      <c r="J150" s="107">
        <v>30</v>
      </c>
      <c r="K150" s="107">
        <f t="shared" si="2"/>
        <v>4150</v>
      </c>
      <c r="L150" s="108">
        <v>4150</v>
      </c>
      <c r="M150" s="107">
        <f>Table6[[#This Row],[مرتب الضمان]]*17%</f>
        <v>705.5</v>
      </c>
      <c r="N150" s="107">
        <f>' الشركه 2018'!$H150*35%</f>
        <v>1452.5</v>
      </c>
      <c r="O150" s="107">
        <f>' الشركه 2018'!$H150*32%</f>
        <v>1328</v>
      </c>
      <c r="P150" s="107">
        <f>' الشركه 2018'!$H150*12%</f>
        <v>498</v>
      </c>
      <c r="Q150" s="107">
        <f>' الشركه 2018'!$H150*13%</f>
        <v>539.5</v>
      </c>
      <c r="R150" s="107">
        <f>' الشركه 2018'!$H150*6%</f>
        <v>249</v>
      </c>
      <c r="S150" s="107">
        <f>' الشركه 2018'!$H150*2%</f>
        <v>83</v>
      </c>
      <c r="T150" s="107">
        <f>' الشركه 2018'!$O150+' الشركه 2018'!$P150+' الشركه 2018'!$Q150+' الشركه 2018'!$R150+' الشركه 2018'!$S150</f>
        <v>2697.5</v>
      </c>
      <c r="U150" s="109">
        <f>VLOOKUP(Table6[[#This Row],[الرقم الوظيفى]],[2]بالخصم!$B$1:$AK$1200,35,)</f>
        <v>0</v>
      </c>
      <c r="V150" s="147"/>
      <c r="W150" s="111">
        <f>Table6[[#This Row],[عدد ايام الاجازه]]*Table6[[#This Row],[ح راتب اليوم]]</f>
        <v>0</v>
      </c>
      <c r="X150" s="148"/>
      <c r="Y150" s="60"/>
      <c r="Z150" s="111">
        <f>Table6[[#This Row],[عدد ايام الجزاء]]*Table6[[#This Row],[ح راتب اليوم]]</f>
        <v>0</v>
      </c>
      <c r="AA150" s="112">
        <f>Table6[[#This Row],[مرتب]]*50%</f>
        <v>2075</v>
      </c>
      <c r="AB150" s="113" t="e">
        <f>VLOOKUP(Table6[[#This Row],[الرقم الوظيفى]],[3]!Table25289[#Data],23,)</f>
        <v>#REF!</v>
      </c>
      <c r="AC150" s="149">
        <v>500</v>
      </c>
      <c r="AD150" s="168"/>
      <c r="AE150" s="113" t="e">
        <f>VLOOKUP(Table6[[#This Row],[الرقم الوظيفى]],[3]!Table252894[#Data],22,)</f>
        <v>#REF!</v>
      </c>
      <c r="AF150" s="151"/>
      <c r="AG150" s="111">
        <f>' الشركه 2018'!$W150+' الشركه 2018'!$Z150+' الشركه 2018'!$AA150+' الشركه 2018'!$AC150+' الشركه 2018'!$AD150+' الشركه 2018'!$AF150</f>
        <v>2575</v>
      </c>
      <c r="AH150" s="111">
        <f>Table6[[#This Row],[راتب الضمان]]*8%</f>
        <v>332</v>
      </c>
      <c r="AI150" s="111">
        <f>' الشركه 2018'!$H150-' الشركه 2018'!$AG150-' الشركه 2018'!$AH150</f>
        <v>1243</v>
      </c>
      <c r="AJ150" s="111">
        <f>' الشركه 2018'!$CF150</f>
        <v>0</v>
      </c>
      <c r="AK150" s="117">
        <f>' الشركه 2018'!$AI150+' الشركه 2018'!$AJ150</f>
        <v>1243</v>
      </c>
      <c r="AL150" s="152"/>
      <c r="AM150" s="153"/>
      <c r="AN150" s="9">
        <f>Table6[[#This Row],[اجمالى الاستحقاق]]-Table6[[#This Row],[Column2]]+Table6[[#This Row],[حوافز غير مستقره]]</f>
        <v>1243</v>
      </c>
      <c r="AO150" s="56"/>
      <c r="AP150" s="169"/>
      <c r="AQ150" s="176"/>
      <c r="AR150" s="124"/>
      <c r="AS150" s="155"/>
      <c r="AT150" s="170"/>
      <c r="AU150" s="124"/>
      <c r="AV150" s="124"/>
      <c r="AW150" s="124"/>
      <c r="AX150" s="124"/>
      <c r="AY150" s="124"/>
      <c r="AZ150" s="124"/>
      <c r="BA150" s="124"/>
      <c r="BB150" s="124"/>
      <c r="BC150" s="124"/>
      <c r="BD150" s="124"/>
      <c r="BE150" s="124"/>
      <c r="BF150" s="124"/>
      <c r="BG150" s="124"/>
      <c r="BH150" s="124"/>
      <c r="BI150" s="124"/>
      <c r="BJ150" s="124"/>
      <c r="BK150" s="124"/>
      <c r="BL150" s="124"/>
      <c r="BM150" s="124"/>
      <c r="BN150" s="124"/>
      <c r="BO150" s="124"/>
      <c r="BP150" s="124"/>
      <c r="BQ150" s="124"/>
      <c r="BR150" s="124"/>
      <c r="BS150" s="124"/>
      <c r="BT150" s="124"/>
      <c r="BU150" s="124"/>
      <c r="BV150" s="124"/>
      <c r="BW150" s="124"/>
      <c r="BX150" s="124"/>
      <c r="BY150" s="124"/>
      <c r="BZ150" s="171"/>
      <c r="CA150" s="172"/>
      <c r="CB15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50" s="131">
        <f>' الشركه 2018'!$H150*67%*1.5*' الشركه 2018'!$CB150/208</f>
        <v>0</v>
      </c>
      <c r="CE150" s="132">
        <f>' الشركه 2018'!$H150*67%*2*' الشركه 2018'!$CC150/208</f>
        <v>0</v>
      </c>
      <c r="CF150" s="133">
        <f>' الشركه 2018'!$CD150+' الشركه 2018'!$CE150</f>
        <v>0</v>
      </c>
      <c r="CG150" s="124"/>
      <c r="CH150" s="177">
        <f>SUMIF(C150:C416,' الشركه 2018'!$CG144,L150:L416)</f>
        <v>0</v>
      </c>
      <c r="CI150" s="124"/>
      <c r="CJ150" s="177">
        <f>' الشركه 2018'!$CH144*' الشركه 2018'!$CI144</f>
        <v>0</v>
      </c>
      <c r="CK150" s="177">
        <f>' الشركه 2018'!$CJ144*8%</f>
        <v>0</v>
      </c>
      <c r="CL150" s="177">
        <f>' الشركه 2018'!$CJ144*17%</f>
        <v>0</v>
      </c>
      <c r="CM150" s="177">
        <f>' الشركه 2018'!$CJ144*25%</f>
        <v>0</v>
      </c>
      <c r="CN150" s="162"/>
      <c r="CO150" s="162"/>
      <c r="CP150" s="163">
        <v>300</v>
      </c>
      <c r="CQ150" s="164" t="e">
        <f>VLOOKUP(Table6[[#This Row],[الرقم الوظيفى]],[4]!Table3[#Data],26,FALSE)</f>
        <v>#REF!</v>
      </c>
      <c r="CR150" s="165"/>
      <c r="CS150" s="124"/>
    </row>
    <row r="151" spans="1:97" ht="28" customHeight="1" thickTop="1" thickBot="1">
      <c r="A151" s="222">
        <v>805</v>
      </c>
      <c r="B151" s="142" t="s">
        <v>446</v>
      </c>
      <c r="C151" s="59" t="s">
        <v>90</v>
      </c>
      <c r="D151" s="143" t="s">
        <v>660</v>
      </c>
      <c r="E151" s="174"/>
      <c r="F151" s="143" t="s">
        <v>443</v>
      </c>
      <c r="G151" s="145">
        <v>42104</v>
      </c>
      <c r="H151" s="146">
        <v>4110</v>
      </c>
      <c r="I151" s="106">
        <f>Table6[[#This Row],[مرتب]]/30</f>
        <v>137</v>
      </c>
      <c r="J151" s="107">
        <v>30</v>
      </c>
      <c r="K151" s="107">
        <f t="shared" si="2"/>
        <v>4110</v>
      </c>
      <c r="L151" s="108">
        <v>4110</v>
      </c>
      <c r="M151" s="107">
        <f>Table6[[#This Row],[مرتب الضمان]]*17%</f>
        <v>698.7</v>
      </c>
      <c r="N151" s="107">
        <f>' الشركه 2018'!$H151*35%</f>
        <v>1438.5</v>
      </c>
      <c r="O151" s="107">
        <f>' الشركه 2018'!$H151*32%</f>
        <v>1315.2</v>
      </c>
      <c r="P151" s="107">
        <f>' الشركه 2018'!$H151*12%</f>
        <v>493.2</v>
      </c>
      <c r="Q151" s="107">
        <f>' الشركه 2018'!$H151*13%</f>
        <v>534.30000000000007</v>
      </c>
      <c r="R151" s="107">
        <f>' الشركه 2018'!$H151*6%</f>
        <v>246.6</v>
      </c>
      <c r="S151" s="107">
        <f>' الشركه 2018'!$H151*2%</f>
        <v>82.2</v>
      </c>
      <c r="T151" s="107">
        <f>' الشركه 2018'!$O151+' الشركه 2018'!$P151+' الشركه 2018'!$Q151+' الشركه 2018'!$R151+' الشركه 2018'!$S151</f>
        <v>2671.5</v>
      </c>
      <c r="U151" s="109">
        <f>VLOOKUP(Table6[[#This Row],[الرقم الوظيفى]],[2]بالخصم!$B$1:$AK$1200,35,)</f>
        <v>0</v>
      </c>
      <c r="V151" s="147"/>
      <c r="W151" s="111">
        <f>Table6[[#This Row],[عدد ايام الاجازه]]*Table6[[#This Row],[ح راتب اليوم]]</f>
        <v>0</v>
      </c>
      <c r="X151" s="148"/>
      <c r="Y151" s="60"/>
      <c r="Z151" s="111">
        <f>Table6[[#This Row],[عدد ايام الجزاء]]*Table6[[#This Row],[ح راتب اليوم]]</f>
        <v>0</v>
      </c>
      <c r="AA151" s="112">
        <f>Table6[[#This Row],[مرتب]]*50%</f>
        <v>2055</v>
      </c>
      <c r="AB151" s="113" t="e">
        <f>VLOOKUP(Table6[[#This Row],[الرقم الوظيفى]],[3]!Table25289[#Data],23,)</f>
        <v>#REF!</v>
      </c>
      <c r="AC151" s="149"/>
      <c r="AD151" s="150"/>
      <c r="AE151" s="113" t="e">
        <f>VLOOKUP(Table6[[#This Row],[الرقم الوظيفى]],[3]!Table252894[#Data],22,)</f>
        <v>#REF!</v>
      </c>
      <c r="AF151" s="151"/>
      <c r="AG151" s="111">
        <f>' الشركه 2018'!$W151+' الشركه 2018'!$Z151+' الشركه 2018'!$AA151+' الشركه 2018'!$AC151+' الشركه 2018'!$AD151+' الشركه 2018'!$AF151</f>
        <v>2055</v>
      </c>
      <c r="AH151" s="111">
        <f>Table6[[#This Row],[راتب الضمان]]*8%</f>
        <v>328.8</v>
      </c>
      <c r="AI151" s="111">
        <f>' الشركه 2018'!$H151-' الشركه 2018'!$AG151-' الشركه 2018'!$AH151</f>
        <v>1726.2</v>
      </c>
      <c r="AJ151" s="111">
        <f>' الشركه 2018'!$CF151</f>
        <v>1217.9826923076923</v>
      </c>
      <c r="AK151" s="117">
        <f>' الشركه 2018'!$AI151+' الشركه 2018'!$AJ151</f>
        <v>2944.1826923076924</v>
      </c>
      <c r="AL151" s="152"/>
      <c r="AM151" s="153"/>
      <c r="AN151" s="9">
        <f>Table6[[#This Row],[اجمالى الاستحقاق]]-Table6[[#This Row],[Column2]]+Table6[[#This Row],[حوافز غير مستقره]]</f>
        <v>2944.1826923076924</v>
      </c>
      <c r="AO151" s="59"/>
      <c r="AP151" s="169"/>
      <c r="AQ151" s="176"/>
      <c r="AR151" s="124"/>
      <c r="AS151" s="155"/>
      <c r="AT151" s="170"/>
      <c r="AU151" s="124"/>
      <c r="AV151" s="124">
        <v>22</v>
      </c>
      <c r="AW151" s="124"/>
      <c r="AX151" s="124"/>
      <c r="AY151" s="124"/>
      <c r="AZ151" s="124"/>
      <c r="BA151" s="124"/>
      <c r="BB151" s="124"/>
      <c r="BC151" s="124">
        <v>24</v>
      </c>
      <c r="BD151" s="124"/>
      <c r="BE151" s="124"/>
      <c r="BF151" s="124"/>
      <c r="BG151" s="124"/>
      <c r="BH151" s="124"/>
      <c r="BI151" s="124"/>
      <c r="BJ151" s="124"/>
      <c r="BK151" s="124"/>
      <c r="BL151" s="124"/>
      <c r="BM151" s="124"/>
      <c r="BN151" s="124"/>
      <c r="BO151" s="124"/>
      <c r="BP151" s="124"/>
      <c r="BQ151" s="124"/>
      <c r="BR151" s="124"/>
      <c r="BS151" s="124"/>
      <c r="BT151" s="124"/>
      <c r="BU151" s="124"/>
      <c r="BV151" s="124"/>
      <c r="BW151" s="124"/>
      <c r="BX151" s="124"/>
      <c r="BY151" s="124"/>
      <c r="BZ151" s="171"/>
      <c r="CA151" s="172"/>
      <c r="CB15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1" s="130">
        <f>Table6[[#This Row],[Friday, November 23, 2018]]+Table6[[#This Row],[Friday, November 30, 2018]]+Table6[[#This Row],[Friday, December 07, 2018]]+Table6[[#This Row],[Friday, December 14, 2018]]+Table6[[#This Row],[فروقات عطله]]</f>
        <v>46</v>
      </c>
      <c r="CD151" s="131">
        <f>' الشركه 2018'!$H151*67%*1.5*' الشركه 2018'!$CB151/208</f>
        <v>0</v>
      </c>
      <c r="CE151" s="132">
        <f>' الشركه 2018'!$H151*67%*2*' الشركه 2018'!$CC151/208</f>
        <v>1217.9826923076923</v>
      </c>
      <c r="CF151" s="133">
        <f>' الشركه 2018'!$CD151+' الشركه 2018'!$CE151</f>
        <v>1217.9826923076923</v>
      </c>
      <c r="CG151" s="124"/>
      <c r="CH151" s="177">
        <f>SUMIF(C151:C420,' الشركه 2018'!$CG145,L151:L420)</f>
        <v>0</v>
      </c>
      <c r="CI151" s="124"/>
      <c r="CJ151" s="177">
        <f>' الشركه 2018'!$CH145*' الشركه 2018'!$CI145</f>
        <v>0</v>
      </c>
      <c r="CK151" s="177">
        <f>' الشركه 2018'!$CJ145*8%</f>
        <v>0</v>
      </c>
      <c r="CL151" s="177">
        <f>' الشركه 2018'!$CJ145*17%</f>
        <v>0</v>
      </c>
      <c r="CM151" s="177">
        <f>' الشركه 2018'!$CJ145*25%</f>
        <v>0</v>
      </c>
      <c r="CN151" s="162"/>
      <c r="CO151" s="162"/>
      <c r="CP151" s="163"/>
      <c r="CQ151" s="164" t="e">
        <f>VLOOKUP(Table6[[#This Row],[الرقم الوظيفى]],[4]!Table3[#Data],26,FALSE)</f>
        <v>#REF!</v>
      </c>
      <c r="CR151" s="165">
        <v>700</v>
      </c>
      <c r="CS151" s="124"/>
    </row>
    <row r="152" spans="1:97" ht="28" customHeight="1" thickTop="1" thickBot="1">
      <c r="A152" s="222">
        <v>811</v>
      </c>
      <c r="B152" s="142" t="s">
        <v>346</v>
      </c>
      <c r="C152" s="59" t="s">
        <v>90</v>
      </c>
      <c r="D152" s="143" t="s">
        <v>79</v>
      </c>
      <c r="E152" s="174" t="s">
        <v>644</v>
      </c>
      <c r="F152" s="143" t="s">
        <v>345</v>
      </c>
      <c r="G152" s="145">
        <v>42125</v>
      </c>
      <c r="H152" s="146">
        <v>4630</v>
      </c>
      <c r="I152" s="106">
        <f>Table6[[#This Row],[مرتب]]/30</f>
        <v>154.33333333333334</v>
      </c>
      <c r="J152" s="107">
        <v>30</v>
      </c>
      <c r="K152" s="107">
        <f t="shared" si="2"/>
        <v>4630</v>
      </c>
      <c r="L152" s="108">
        <v>4630</v>
      </c>
      <c r="M152" s="107">
        <f>Table6[[#This Row],[مرتب الضمان]]*17%</f>
        <v>787.1</v>
      </c>
      <c r="N152" s="107">
        <f>' الشركه 2018'!$H152*35%</f>
        <v>1620.5</v>
      </c>
      <c r="O152" s="107">
        <f>' الشركه 2018'!$H152*32%</f>
        <v>1481.6000000000001</v>
      </c>
      <c r="P152" s="107">
        <f>' الشركه 2018'!$H152*12%</f>
        <v>555.6</v>
      </c>
      <c r="Q152" s="107">
        <f>' الشركه 2018'!$H152*13%</f>
        <v>601.9</v>
      </c>
      <c r="R152" s="107">
        <f>' الشركه 2018'!$H152*6%</f>
        <v>277.8</v>
      </c>
      <c r="S152" s="107">
        <f>' الشركه 2018'!$H152*2%</f>
        <v>92.600000000000009</v>
      </c>
      <c r="T152" s="107">
        <f>' الشركه 2018'!$O152+' الشركه 2018'!$P152+' الشركه 2018'!$Q152+' الشركه 2018'!$R152+' الشركه 2018'!$S152</f>
        <v>3009.5000000000005</v>
      </c>
      <c r="U152" s="109">
        <f>VLOOKUP(Table6[[#This Row],[الرقم الوظيفى]],[2]بالخصم!$B$1:$AK$1200,35,)</f>
        <v>0</v>
      </c>
      <c r="V152" s="147"/>
      <c r="W152" s="111">
        <f>Table6[[#This Row],[عدد ايام الاجازه]]*Table6[[#This Row],[ح راتب اليوم]]</f>
        <v>0</v>
      </c>
      <c r="X152" s="148"/>
      <c r="Y152" s="60"/>
      <c r="Z152" s="111">
        <f>Table6[[#This Row],[عدد ايام الجزاء]]*Table6[[#This Row],[ح راتب اليوم]]</f>
        <v>0</v>
      </c>
      <c r="AA152" s="112">
        <f>Table6[[#This Row],[مرتب]]*50%</f>
        <v>2315</v>
      </c>
      <c r="AB152" s="113" t="e">
        <f>VLOOKUP(Table6[[#This Row],[الرقم الوظيفى]],[3]!Table25289[#Data],23,)</f>
        <v>#REF!</v>
      </c>
      <c r="AC152" s="149"/>
      <c r="AD152" s="150"/>
      <c r="AE152" s="113" t="e">
        <f>VLOOKUP(Table6[[#This Row],[الرقم الوظيفى]],[3]!Table252894[#Data],22,)</f>
        <v>#REF!</v>
      </c>
      <c r="AF152" s="151"/>
      <c r="AG152" s="111">
        <f>' الشركه 2018'!$W152+' الشركه 2018'!$Z152+' الشركه 2018'!$AA152+' الشركه 2018'!$AC152+' الشركه 2018'!$AD152+' الشركه 2018'!$AF152</f>
        <v>2315</v>
      </c>
      <c r="AH152" s="111">
        <f>Table6[[#This Row],[راتب الضمان]]*8%</f>
        <v>370.40000000000003</v>
      </c>
      <c r="AI152" s="111">
        <f>' الشركه 2018'!$H152-' الشركه 2018'!$AG152-' الشركه 2018'!$AH152</f>
        <v>1944.6</v>
      </c>
      <c r="AJ152" s="111">
        <f>' الشركه 2018'!$CF152</f>
        <v>1103.6317307692309</v>
      </c>
      <c r="AK152" s="117">
        <f>' الشركه 2018'!$AI152+' الشركه 2018'!$AJ152</f>
        <v>3048.231730769231</v>
      </c>
      <c r="AL152" s="152"/>
      <c r="AM152" s="153"/>
      <c r="AN152" s="9">
        <f>Table6[[#This Row],[اجمالى الاستحقاق]]-Table6[[#This Row],[Column2]]+Table6[[#This Row],[حوافز غير مستقره]]</f>
        <v>3048.231730769231</v>
      </c>
      <c r="AO152" s="59"/>
      <c r="AP152" s="169"/>
      <c r="AQ152" s="176"/>
      <c r="AR152" s="124"/>
      <c r="AS152" s="155"/>
      <c r="AT152" s="170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>
        <v>19</v>
      </c>
      <c r="BK152" s="124"/>
      <c r="BL152" s="124"/>
      <c r="BM152" s="124">
        <v>8</v>
      </c>
      <c r="BN152" s="124"/>
      <c r="BO152" s="124"/>
      <c r="BP152" s="124">
        <v>8</v>
      </c>
      <c r="BQ152" s="124"/>
      <c r="BR152" s="124"/>
      <c r="BS152" s="124">
        <v>8</v>
      </c>
      <c r="BT152" s="124"/>
      <c r="BU152" s="124"/>
      <c r="BV152" s="124"/>
      <c r="BW152" s="124"/>
      <c r="BX152" s="124"/>
      <c r="BY152" s="124"/>
      <c r="BZ152" s="159"/>
      <c r="CA152" s="160"/>
      <c r="CB15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152" s="130">
        <f>Table6[[#This Row],[Friday, November 23, 2018]]+Table6[[#This Row],[Friday, November 30, 2018]]+Table6[[#This Row],[Friday, December 07, 2018]]+Table6[[#This Row],[Friday, December 14, 2018]]+Table6[[#This Row],[فروقات عطله]]</f>
        <v>19</v>
      </c>
      <c r="CD152" s="131">
        <f>' الشركه 2018'!$H152*67%*1.5*' الشركه 2018'!$CB152/208</f>
        <v>536.90192307692314</v>
      </c>
      <c r="CE152" s="132">
        <f>' الشركه 2018'!$H152*67%*2*' الشركه 2018'!$CC152/208</f>
        <v>566.72980769230776</v>
      </c>
      <c r="CF152" s="133">
        <f>' الشركه 2018'!$CD152+' الشركه 2018'!$CE152</f>
        <v>1103.6317307692309</v>
      </c>
      <c r="CG152" s="124"/>
      <c r="CH152" s="177">
        <f>SUMIF(C152:C422,' الشركه 2018'!$CG146,L152:L422)</f>
        <v>0</v>
      </c>
      <c r="CI152" s="124"/>
      <c r="CJ152" s="177">
        <f>' الشركه 2018'!$CH146*' الشركه 2018'!$CI146</f>
        <v>0</v>
      </c>
      <c r="CK152" s="177">
        <f>' الشركه 2018'!$CJ146*8%</f>
        <v>0</v>
      </c>
      <c r="CL152" s="177">
        <f>' الشركه 2018'!$CJ146*17%</f>
        <v>0</v>
      </c>
      <c r="CM152" s="177">
        <f>' الشركه 2018'!$CJ146*25%</f>
        <v>0</v>
      </c>
      <c r="CN152" s="162"/>
      <c r="CO152" s="162"/>
      <c r="CP152" s="163"/>
      <c r="CQ152" s="164" t="e">
        <f>VLOOKUP(Table6[[#This Row],[الرقم الوظيفى]],[4]!Table3[#Data],26,FALSE)</f>
        <v>#REF!</v>
      </c>
      <c r="CR152" s="165">
        <v>1200</v>
      </c>
      <c r="CS152" s="124"/>
    </row>
    <row r="153" spans="1:97" ht="28" customHeight="1" thickTop="1" thickBot="1">
      <c r="A153" s="222">
        <v>812</v>
      </c>
      <c r="B153" s="142" t="s">
        <v>284</v>
      </c>
      <c r="C153" s="59" t="s">
        <v>90</v>
      </c>
      <c r="D153" s="143" t="s">
        <v>74</v>
      </c>
      <c r="E153" s="174"/>
      <c r="F153" s="143" t="s">
        <v>63</v>
      </c>
      <c r="G153" s="145">
        <v>42127</v>
      </c>
      <c r="H153" s="146">
        <v>3090</v>
      </c>
      <c r="I153" s="106">
        <f>Table6[[#This Row],[مرتب]]/30</f>
        <v>103</v>
      </c>
      <c r="J153" s="107">
        <v>30</v>
      </c>
      <c r="K153" s="107">
        <f t="shared" si="2"/>
        <v>3090</v>
      </c>
      <c r="L153" s="108">
        <v>3090</v>
      </c>
      <c r="M153" s="107">
        <f>Table6[[#This Row],[مرتب الضمان]]*17%</f>
        <v>525.30000000000007</v>
      </c>
      <c r="N153" s="107">
        <f>' الشركه 2018'!$H153*35%</f>
        <v>1081.5</v>
      </c>
      <c r="O153" s="107">
        <f>' الشركه 2018'!$H153*32%</f>
        <v>988.80000000000007</v>
      </c>
      <c r="P153" s="107">
        <f>' الشركه 2018'!$H153*12%</f>
        <v>370.8</v>
      </c>
      <c r="Q153" s="107">
        <f>' الشركه 2018'!$H153*13%</f>
        <v>401.7</v>
      </c>
      <c r="R153" s="107">
        <f>' الشركه 2018'!$H153*6%</f>
        <v>185.4</v>
      </c>
      <c r="S153" s="107">
        <f>' الشركه 2018'!$H153*2%</f>
        <v>61.800000000000004</v>
      </c>
      <c r="T153" s="107">
        <f>' الشركه 2018'!$O153+' الشركه 2018'!$P153+' الشركه 2018'!$Q153+' الشركه 2018'!$R153+' الشركه 2018'!$S153</f>
        <v>2008.5000000000002</v>
      </c>
      <c r="U153" s="109">
        <f>VLOOKUP(Table6[[#This Row],[الرقم الوظيفى]],[2]بالخصم!$B$1:$AK$1200,35,)</f>
        <v>0</v>
      </c>
      <c r="V153" s="147"/>
      <c r="W153" s="111">
        <f>Table6[[#This Row],[عدد ايام الاجازه]]*Table6[[#This Row],[ح راتب اليوم]]</f>
        <v>0</v>
      </c>
      <c r="X153" s="148"/>
      <c r="Y153" s="60"/>
      <c r="Z153" s="111">
        <f>Table6[[#This Row],[عدد ايام الجزاء]]*Table6[[#This Row],[ح راتب اليوم]]</f>
        <v>0</v>
      </c>
      <c r="AA153" s="112">
        <f>Table6[[#This Row],[مرتب]]*50%</f>
        <v>1545</v>
      </c>
      <c r="AB153" s="113" t="e">
        <f>VLOOKUP(Table6[[#This Row],[الرقم الوظيفى]],[3]!Table25289[#Data],23,)</f>
        <v>#REF!</v>
      </c>
      <c r="AC153" s="149"/>
      <c r="AD153" s="150"/>
      <c r="AE153" s="113" t="e">
        <f>VLOOKUP(Table6[[#This Row],[الرقم الوظيفى]],[3]!Table252894[#Data],22,)</f>
        <v>#REF!</v>
      </c>
      <c r="AF153" s="151"/>
      <c r="AG153" s="111">
        <f>' الشركه 2018'!$W153+' الشركه 2018'!$Z153+' الشركه 2018'!$AA153+' الشركه 2018'!$AC153+' الشركه 2018'!$AD153+' الشركه 2018'!$AF153</f>
        <v>1545</v>
      </c>
      <c r="AH153" s="111">
        <f>Table6[[#This Row],[راتب الضمان]]*8%</f>
        <v>247.20000000000002</v>
      </c>
      <c r="AI153" s="111">
        <f>' الشركه 2018'!$H153-' الشركه 2018'!$AG153-' الشركه 2018'!$AH153</f>
        <v>1297.8</v>
      </c>
      <c r="AJ153" s="111">
        <f>' الشركه 2018'!$CF153</f>
        <v>2508.248076923077</v>
      </c>
      <c r="AK153" s="117">
        <f>' الشركه 2018'!$AI153+' الشركه 2018'!$AJ153</f>
        <v>3806.0480769230771</v>
      </c>
      <c r="AL153" s="152"/>
      <c r="AM153" s="153"/>
      <c r="AN153" s="9">
        <f>Table6[[#This Row],[اجمالى الاستحقاق]]-Table6[[#This Row],[Column2]]+Table6[[#This Row],[حوافز غير مستقره]]</f>
        <v>3806.0480769230771</v>
      </c>
      <c r="AO153" s="59"/>
      <c r="AP153" s="169"/>
      <c r="AQ153" s="176"/>
      <c r="AR153" s="124"/>
      <c r="AS153" s="155"/>
      <c r="AT153" s="170"/>
      <c r="AU153" s="124">
        <v>8</v>
      </c>
      <c r="AV153" s="124">
        <v>24</v>
      </c>
      <c r="AW153" s="124"/>
      <c r="AX153" s="124">
        <v>8</v>
      </c>
      <c r="AY153" s="124">
        <v>8</v>
      </c>
      <c r="AZ153" s="124"/>
      <c r="BA153" s="124"/>
      <c r="BB153" s="124"/>
      <c r="BC153" s="124">
        <v>24</v>
      </c>
      <c r="BD153" s="124"/>
      <c r="BE153" s="124"/>
      <c r="BF153" s="124"/>
      <c r="BG153" s="124"/>
      <c r="BH153" s="124">
        <v>8</v>
      </c>
      <c r="BI153" s="124">
        <v>16</v>
      </c>
      <c r="BJ153" s="124"/>
      <c r="BK153" s="124"/>
      <c r="BL153" s="124">
        <v>8</v>
      </c>
      <c r="BM153" s="124">
        <v>8</v>
      </c>
      <c r="BN153" s="124">
        <v>8</v>
      </c>
      <c r="BO153" s="124">
        <v>8</v>
      </c>
      <c r="BP153" s="124">
        <v>8</v>
      </c>
      <c r="BQ153" s="124"/>
      <c r="BR153" s="124">
        <v>8</v>
      </c>
      <c r="BS153" s="124">
        <v>8</v>
      </c>
      <c r="BT153" s="124"/>
      <c r="BU153" s="124"/>
      <c r="BV153" s="124"/>
      <c r="BW153" s="124"/>
      <c r="BX153" s="124"/>
      <c r="BY153" s="124"/>
      <c r="BZ153" s="159"/>
      <c r="CA153" s="160"/>
      <c r="CB15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104</v>
      </c>
      <c r="CC153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53" s="131">
        <f>' الشركه 2018'!$H153*67%*1.5*' الشركه 2018'!$CB153/208</f>
        <v>1552.7250000000001</v>
      </c>
      <c r="CE153" s="132">
        <f>' الشركه 2018'!$H153*67%*2*' الشركه 2018'!$CC153/208</f>
        <v>955.52307692307704</v>
      </c>
      <c r="CF153" s="133">
        <f>' الشركه 2018'!$CD153+' الشركه 2018'!$CE153</f>
        <v>2508.248076923077</v>
      </c>
      <c r="CG153" s="124"/>
      <c r="CH153" s="177">
        <f>SUMIF(C153:C423,' الشركه 2018'!$CG147,L153:L423)</f>
        <v>0</v>
      </c>
      <c r="CI153" s="124"/>
      <c r="CJ153" s="177">
        <f>' الشركه 2018'!$CH147*' الشركه 2018'!$CI147</f>
        <v>0</v>
      </c>
      <c r="CK153" s="177">
        <f>' الشركه 2018'!$CJ147*8%</f>
        <v>0</v>
      </c>
      <c r="CL153" s="177">
        <f>' الشركه 2018'!$CJ147*17%</f>
        <v>0</v>
      </c>
      <c r="CM153" s="177">
        <f>' الشركه 2018'!$CJ147*25%</f>
        <v>0</v>
      </c>
      <c r="CN153" s="162"/>
      <c r="CO153" s="162"/>
      <c r="CP153" s="163">
        <v>400</v>
      </c>
      <c r="CQ153" s="164" t="e">
        <f>VLOOKUP(Table6[[#This Row],[الرقم الوظيفى]],[4]!Table3[#Data],26,FALSE)</f>
        <v>#REF!</v>
      </c>
      <c r="CR153" s="165">
        <v>1200</v>
      </c>
      <c r="CS153" s="124"/>
    </row>
    <row r="154" spans="1:97" ht="28" customHeight="1" thickTop="1" thickBot="1">
      <c r="A154" s="222">
        <v>814</v>
      </c>
      <c r="B154" s="142" t="s">
        <v>193</v>
      </c>
      <c r="C154" s="59" t="s">
        <v>90</v>
      </c>
      <c r="D154" s="143" t="s">
        <v>74</v>
      </c>
      <c r="E154" s="174"/>
      <c r="F154" s="143" t="s">
        <v>672</v>
      </c>
      <c r="G154" s="145">
        <v>42140</v>
      </c>
      <c r="H154" s="146">
        <v>5170</v>
      </c>
      <c r="I154" s="106">
        <f>Table6[[#This Row],[مرتب]]/30</f>
        <v>172.33333333333334</v>
      </c>
      <c r="J154" s="107">
        <v>30</v>
      </c>
      <c r="K154" s="107">
        <f t="shared" si="2"/>
        <v>5170</v>
      </c>
      <c r="L154" s="108">
        <v>5170</v>
      </c>
      <c r="M154" s="107">
        <f>Table6[[#This Row],[مرتب الضمان]]*17%</f>
        <v>878.90000000000009</v>
      </c>
      <c r="N154" s="107">
        <f>' الشركه 2018'!$H154*35%</f>
        <v>1809.4999999999998</v>
      </c>
      <c r="O154" s="107">
        <f>' الشركه 2018'!$H154*32%</f>
        <v>1654.4</v>
      </c>
      <c r="P154" s="107">
        <f>' الشركه 2018'!$H154*12%</f>
        <v>620.4</v>
      </c>
      <c r="Q154" s="107">
        <f>' الشركه 2018'!$H154*13%</f>
        <v>672.1</v>
      </c>
      <c r="R154" s="107">
        <f>' الشركه 2018'!$H154*6%</f>
        <v>310.2</v>
      </c>
      <c r="S154" s="107">
        <f>' الشركه 2018'!$H154*2%</f>
        <v>103.4</v>
      </c>
      <c r="T154" s="107">
        <f>' الشركه 2018'!$O154+' الشركه 2018'!$P154+' الشركه 2018'!$Q154+' الشركه 2018'!$R154+' الشركه 2018'!$S154</f>
        <v>3360.5</v>
      </c>
      <c r="U154" s="109">
        <f>VLOOKUP(Table6[[#This Row],[الرقم الوظيفى]],[2]بالخصم!$B$1:$AK$1200,35,)</f>
        <v>0</v>
      </c>
      <c r="V154" s="147"/>
      <c r="W154" s="111">
        <f>Table6[[#This Row],[عدد ايام الاجازه]]*Table6[[#This Row],[ح راتب اليوم]]</f>
        <v>0</v>
      </c>
      <c r="X154" s="148"/>
      <c r="Y154" s="60"/>
      <c r="Z154" s="111">
        <f>Table6[[#This Row],[عدد ايام الجزاء]]*Table6[[#This Row],[ح راتب اليوم]]</f>
        <v>0</v>
      </c>
      <c r="AA154" s="112">
        <f>Table6[[#This Row],[مرتب]]*50%</f>
        <v>2585</v>
      </c>
      <c r="AB154" s="113" t="e">
        <f>VLOOKUP(Table6[[#This Row],[الرقم الوظيفى]],[3]!Table25289[#Data],23,)</f>
        <v>#REF!</v>
      </c>
      <c r="AC154" s="149"/>
      <c r="AD154" s="150"/>
      <c r="AE154" s="113" t="e">
        <f>VLOOKUP(Table6[[#This Row],[الرقم الوظيفى]],[3]!Table252894[#Data],22,)</f>
        <v>#REF!</v>
      </c>
      <c r="AF154" s="151"/>
      <c r="AG154" s="111">
        <f>' الشركه 2018'!$W154+' الشركه 2018'!$Z154+' الشركه 2018'!$AA154+' الشركه 2018'!$AC154+' الشركه 2018'!$AD154+' الشركه 2018'!$AF154</f>
        <v>2585</v>
      </c>
      <c r="AH154" s="111">
        <f>Table6[[#This Row],[راتب الضمان]]*8%</f>
        <v>413.6</v>
      </c>
      <c r="AI154" s="111">
        <f>' الشركه 2018'!$H154-' الشركه 2018'!$AG154-' الشركه 2018'!$AH154</f>
        <v>2171.4</v>
      </c>
      <c r="AJ154" s="111">
        <f>' الشركه 2018'!$CF154</f>
        <v>0</v>
      </c>
      <c r="AK154" s="117">
        <f>' الشركه 2018'!$AI154+' الشركه 2018'!$AJ154</f>
        <v>2171.4</v>
      </c>
      <c r="AL154" s="152"/>
      <c r="AM154" s="153"/>
      <c r="AN154" s="9">
        <f>Table6[[#This Row],[اجمالى الاستحقاق]]-Table6[[#This Row],[Column2]]+Table6[[#This Row],[حوافز غير مستقره]]</f>
        <v>2171.4</v>
      </c>
      <c r="AO154" s="59"/>
      <c r="AP154" s="169"/>
      <c r="AQ154" s="176"/>
      <c r="AR154" s="124"/>
      <c r="AS154" s="155"/>
      <c r="AT154" s="170"/>
      <c r="AU154" s="124"/>
      <c r="AV154" s="124"/>
      <c r="AW154" s="124"/>
      <c r="AX154" s="124"/>
      <c r="AY154" s="124"/>
      <c r="AZ154" s="124"/>
      <c r="BA154" s="124"/>
      <c r="BB154" s="124"/>
      <c r="BC154" s="124"/>
      <c r="BD154" s="124"/>
      <c r="BE154" s="124"/>
      <c r="BF154" s="124"/>
      <c r="BG154" s="124"/>
      <c r="BH154" s="124"/>
      <c r="BI154" s="124"/>
      <c r="BJ154" s="124"/>
      <c r="BK154" s="124"/>
      <c r="BL154" s="124"/>
      <c r="BM154" s="124"/>
      <c r="BN154" s="124"/>
      <c r="BO154" s="124"/>
      <c r="BP154" s="124"/>
      <c r="BQ154" s="124"/>
      <c r="BR154" s="124"/>
      <c r="BS154" s="124"/>
      <c r="BT154" s="124"/>
      <c r="BU154" s="124"/>
      <c r="BV154" s="124"/>
      <c r="BW154" s="124"/>
      <c r="BX154" s="124"/>
      <c r="BY154" s="124"/>
      <c r="BZ154" s="171"/>
      <c r="CA154" s="172"/>
      <c r="CB15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54" s="131">
        <f>' الشركه 2018'!$H154*67%*1.5*' الشركه 2018'!$CB154/208</f>
        <v>0</v>
      </c>
      <c r="CE154" s="132">
        <f>' الشركه 2018'!$H154*67%*2*' الشركه 2018'!$CC154/208</f>
        <v>0</v>
      </c>
      <c r="CF154" s="133">
        <f>' الشركه 2018'!$CD154+' الشركه 2018'!$CE154</f>
        <v>0</v>
      </c>
      <c r="CG154" s="124"/>
      <c r="CH154" s="177">
        <f>SUMIF(C154:C424,' الشركه 2018'!$CG148,L154:L424)</f>
        <v>0</v>
      </c>
      <c r="CI154" s="124"/>
      <c r="CJ154" s="177">
        <f>' الشركه 2018'!$CH148*' الشركه 2018'!$CI148</f>
        <v>0</v>
      </c>
      <c r="CK154" s="177">
        <f>' الشركه 2018'!$CJ148*8%</f>
        <v>0</v>
      </c>
      <c r="CL154" s="177">
        <f>' الشركه 2018'!$CJ148*17%</f>
        <v>0</v>
      </c>
      <c r="CM154" s="177">
        <f>' الشركه 2018'!$CJ148*25%</f>
        <v>0</v>
      </c>
      <c r="CN154" s="162"/>
      <c r="CO154" s="162"/>
      <c r="CP154" s="163"/>
      <c r="CQ154" s="164" t="e">
        <f>VLOOKUP(Table6[[#This Row],[الرقم الوظيفى]],[4]!Table3[#Data],26,FALSE)</f>
        <v>#REF!</v>
      </c>
      <c r="CR154" s="165">
        <v>200</v>
      </c>
      <c r="CS154" s="124"/>
    </row>
    <row r="155" spans="1:97" ht="28" customHeight="1" thickTop="1" thickBot="1">
      <c r="A155" s="222">
        <v>817</v>
      </c>
      <c r="B155" s="142" t="s">
        <v>222</v>
      </c>
      <c r="C155" s="59" t="s">
        <v>90</v>
      </c>
      <c r="D155" s="143" t="s">
        <v>74</v>
      </c>
      <c r="E155" s="174"/>
      <c r="F155" s="143"/>
      <c r="G155" s="145">
        <v>42156</v>
      </c>
      <c r="H155" s="146">
        <v>4100</v>
      </c>
      <c r="I155" s="106">
        <f>Table6[[#This Row],[مرتب]]/30</f>
        <v>136.66666666666666</v>
      </c>
      <c r="J155" s="107">
        <v>30</v>
      </c>
      <c r="K155" s="107">
        <f t="shared" si="2"/>
        <v>4100</v>
      </c>
      <c r="L155" s="108">
        <v>4100</v>
      </c>
      <c r="M155" s="107">
        <f>Table6[[#This Row],[مرتب الضمان]]*17%</f>
        <v>697</v>
      </c>
      <c r="N155" s="107">
        <f>' الشركه 2018'!$H155*35%</f>
        <v>1435</v>
      </c>
      <c r="O155" s="107">
        <f>' الشركه 2018'!$H155*32%</f>
        <v>1312</v>
      </c>
      <c r="P155" s="107">
        <f>' الشركه 2018'!$H155*12%</f>
        <v>492</v>
      </c>
      <c r="Q155" s="107">
        <f>' الشركه 2018'!$H155*13%</f>
        <v>533</v>
      </c>
      <c r="R155" s="107">
        <f>' الشركه 2018'!$H155*6%</f>
        <v>246</v>
      </c>
      <c r="S155" s="107">
        <f>' الشركه 2018'!$H155*2%</f>
        <v>82</v>
      </c>
      <c r="T155" s="107">
        <f>' الشركه 2018'!$O155+' الشركه 2018'!$P155+' الشركه 2018'!$Q155+' الشركه 2018'!$R155+' الشركه 2018'!$S155</f>
        <v>2665</v>
      </c>
      <c r="U155" s="109">
        <f>VLOOKUP(Table6[[#This Row],[الرقم الوظيفى]],[2]بالخصم!$B$1:$AK$1200,35,)</f>
        <v>0</v>
      </c>
      <c r="V155" s="147"/>
      <c r="W155" s="111">
        <f>Table6[[#This Row],[عدد ايام الاجازه]]*Table6[[#This Row],[ح راتب اليوم]]</f>
        <v>0</v>
      </c>
      <c r="X155" s="148"/>
      <c r="Y155" s="60"/>
      <c r="Z155" s="111">
        <f>Table6[[#This Row],[عدد ايام الجزاء]]*Table6[[#This Row],[ح راتب اليوم]]</f>
        <v>0</v>
      </c>
      <c r="AA155" s="112">
        <f>Table6[[#This Row],[مرتب]]*50%</f>
        <v>2050</v>
      </c>
      <c r="AB155" s="113" t="e">
        <f>VLOOKUP(Table6[[#This Row],[الرقم الوظيفى]],[3]!Table25289[#Data],23,)</f>
        <v>#REF!</v>
      </c>
      <c r="AC155" s="149">
        <v>200</v>
      </c>
      <c r="AD155" s="247"/>
      <c r="AE155" s="113" t="e">
        <f>VLOOKUP(Table6[[#This Row],[الرقم الوظيفى]],[3]!Table252894[#Data],22,)</f>
        <v>#REF!</v>
      </c>
      <c r="AF155" s="248"/>
      <c r="AG155" s="111">
        <f>' الشركه 2018'!$W155+' الشركه 2018'!$Z155+' الشركه 2018'!$AA155+' الشركه 2018'!$AC155+' الشركه 2018'!$AD155+' الشركه 2018'!$AF155</f>
        <v>2250</v>
      </c>
      <c r="AH155" s="111">
        <f>Table6[[#This Row],[راتب الضمان]]*8%</f>
        <v>328</v>
      </c>
      <c r="AI155" s="111">
        <f>' الشركه 2018'!$H155-' الشركه 2018'!$AG155-' الشركه 2018'!$AH155</f>
        <v>1522</v>
      </c>
      <c r="AJ155" s="111">
        <f>' الشركه 2018'!$CF155</f>
        <v>792.40384615384619</v>
      </c>
      <c r="AK155" s="117">
        <f>' الشركه 2018'!$AI155+' الشركه 2018'!$AJ155</f>
        <v>2314.4038461538462</v>
      </c>
      <c r="AL155" s="152"/>
      <c r="AM155" s="153"/>
      <c r="AN155" s="9">
        <f>Table6[[#This Row],[اجمالى الاستحقاق]]-Table6[[#This Row],[Column2]]+Table6[[#This Row],[حوافز غير مستقره]]</f>
        <v>2314.4038461538462</v>
      </c>
      <c r="AO155" s="59"/>
      <c r="AP155" s="169"/>
      <c r="AQ155" s="176"/>
      <c r="AR155" s="124"/>
      <c r="AS155" s="155"/>
      <c r="AT155" s="170"/>
      <c r="AU155" s="124"/>
      <c r="AV155" s="124"/>
      <c r="AW155" s="124"/>
      <c r="AX155" s="124"/>
      <c r="AY155" s="124"/>
      <c r="AZ155" s="124"/>
      <c r="BA155" s="124"/>
      <c r="BB155" s="124"/>
      <c r="BC155" s="124">
        <v>12</v>
      </c>
      <c r="BD155" s="124"/>
      <c r="BE155" s="124"/>
      <c r="BF155" s="124"/>
      <c r="BG155" s="124"/>
      <c r="BH155" s="124"/>
      <c r="BI155" s="124"/>
      <c r="BJ155" s="124"/>
      <c r="BK155" s="124"/>
      <c r="BL155" s="124">
        <v>8</v>
      </c>
      <c r="BM155" s="124">
        <v>8</v>
      </c>
      <c r="BN155" s="124">
        <v>8</v>
      </c>
      <c r="BO155" s="124"/>
      <c r="BP155" s="124"/>
      <c r="BQ155" s="124"/>
      <c r="BR155" s="124"/>
      <c r="BS155" s="124"/>
      <c r="BT155" s="124"/>
      <c r="BU155" s="124"/>
      <c r="BV155" s="124"/>
      <c r="BW155" s="124"/>
      <c r="BX155" s="124"/>
      <c r="BY155" s="124"/>
      <c r="BZ155" s="159"/>
      <c r="CA155" s="160"/>
      <c r="CB15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155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55" s="131">
        <f>' الشركه 2018'!$H155*67%*1.5*' الشركه 2018'!$CB155/208</f>
        <v>475.44230769230768</v>
      </c>
      <c r="CE155" s="132">
        <f>' الشركه 2018'!$H155*67%*2*' الشركه 2018'!$CC155/208</f>
        <v>316.96153846153845</v>
      </c>
      <c r="CF155" s="133">
        <f>' الشركه 2018'!$CD155+' الشركه 2018'!$CE155</f>
        <v>792.40384615384619</v>
      </c>
      <c r="CG155" s="124"/>
      <c r="CH155" s="177">
        <f>SUMIF(C155:C425,' الشركه 2018'!$CG149,L155:L425)</f>
        <v>0</v>
      </c>
      <c r="CI155" s="124"/>
      <c r="CJ155" s="177">
        <f>' الشركه 2018'!$CH149*' الشركه 2018'!$CI149</f>
        <v>0</v>
      </c>
      <c r="CK155" s="177">
        <f>' الشركه 2018'!$CJ149*8%</f>
        <v>0</v>
      </c>
      <c r="CL155" s="177">
        <f>' الشركه 2018'!$CJ149*17%</f>
        <v>0</v>
      </c>
      <c r="CM155" s="177">
        <f>' الشركه 2018'!$CJ149*25%</f>
        <v>0</v>
      </c>
      <c r="CN155" s="162"/>
      <c r="CO155" s="162"/>
      <c r="CP155" s="163">
        <v>200</v>
      </c>
      <c r="CQ155" s="164" t="e">
        <f>VLOOKUP(Table6[[#This Row],[الرقم الوظيفى]],[4]!Table3[#Data],26,FALSE)</f>
        <v>#REF!</v>
      </c>
      <c r="CR155" s="165">
        <v>300</v>
      </c>
      <c r="CS155" s="124"/>
    </row>
    <row r="156" spans="1:97" ht="28" customHeight="1" thickTop="1" thickBot="1">
      <c r="A156" s="222">
        <v>823</v>
      </c>
      <c r="B156" s="142" t="s">
        <v>171</v>
      </c>
      <c r="C156" s="59" t="s">
        <v>90</v>
      </c>
      <c r="D156" s="143" t="s">
        <v>72</v>
      </c>
      <c r="E156" s="174"/>
      <c r="F156" s="143" t="s">
        <v>682</v>
      </c>
      <c r="G156" s="145">
        <v>42173</v>
      </c>
      <c r="H156" s="146">
        <v>4610</v>
      </c>
      <c r="I156" s="106">
        <f>Table6[[#This Row],[مرتب]]/30</f>
        <v>153.66666666666666</v>
      </c>
      <c r="J156" s="107">
        <v>30</v>
      </c>
      <c r="K156" s="107">
        <f t="shared" si="2"/>
        <v>4610</v>
      </c>
      <c r="L156" s="108">
        <v>4610</v>
      </c>
      <c r="M156" s="107">
        <f>Table6[[#This Row],[مرتب الضمان]]*17%</f>
        <v>783.7</v>
      </c>
      <c r="N156" s="107">
        <f>' الشركه 2018'!$H156*35%</f>
        <v>1613.5</v>
      </c>
      <c r="O156" s="107">
        <f>' الشركه 2018'!$H156*32%</f>
        <v>1475.2</v>
      </c>
      <c r="P156" s="107">
        <f>' الشركه 2018'!$H156*12%</f>
        <v>553.19999999999993</v>
      </c>
      <c r="Q156" s="107">
        <f>' الشركه 2018'!$H156*13%</f>
        <v>599.30000000000007</v>
      </c>
      <c r="R156" s="107">
        <f>' الشركه 2018'!$H156*6%</f>
        <v>276.59999999999997</v>
      </c>
      <c r="S156" s="107">
        <f>' الشركه 2018'!$H156*2%</f>
        <v>92.2</v>
      </c>
      <c r="T156" s="107">
        <f>' الشركه 2018'!$O156+' الشركه 2018'!$P156+' الشركه 2018'!$Q156+' الشركه 2018'!$R156+' الشركه 2018'!$S156</f>
        <v>2996.5</v>
      </c>
      <c r="U156" s="109">
        <f>VLOOKUP(Table6[[#This Row],[الرقم الوظيفى]],[2]بالخصم!$B$1:$AK$1200,35,)</f>
        <v>0</v>
      </c>
      <c r="V156" s="147"/>
      <c r="W156" s="111">
        <f>Table6[[#This Row],[عدد ايام الاجازه]]*Table6[[#This Row],[ح راتب اليوم]]</f>
        <v>0</v>
      </c>
      <c r="X156" s="148"/>
      <c r="Y156" s="60"/>
      <c r="Z156" s="111">
        <f>Table6[[#This Row],[عدد ايام الجزاء]]*Table6[[#This Row],[ح راتب اليوم]]</f>
        <v>0</v>
      </c>
      <c r="AA156" s="112">
        <f>Table6[[#This Row],[مرتب]]*50%</f>
        <v>2305</v>
      </c>
      <c r="AB156" s="113" t="e">
        <f>VLOOKUP(Table6[[#This Row],[الرقم الوظيفى]],[3]!Table25289[#Data],23,)</f>
        <v>#REF!</v>
      </c>
      <c r="AC156" s="149"/>
      <c r="AD156" s="150"/>
      <c r="AE156" s="113" t="e">
        <f>VLOOKUP(Table6[[#This Row],[الرقم الوظيفى]],[3]!Table252894[#Data],22,)</f>
        <v>#REF!</v>
      </c>
      <c r="AF156" s="151"/>
      <c r="AG156" s="111">
        <f>' الشركه 2018'!$W156+' الشركه 2018'!$Z156+' الشركه 2018'!$AA156+' الشركه 2018'!$AC156+' الشركه 2018'!$AD156+' الشركه 2018'!$AF156</f>
        <v>2305</v>
      </c>
      <c r="AH156" s="111">
        <f>Table6[[#This Row],[راتب الضمان]]*8%</f>
        <v>368.8</v>
      </c>
      <c r="AI156" s="111">
        <f>' الشركه 2018'!$H156-' الشركه 2018'!$AG156-' الشركه 2018'!$AH156</f>
        <v>1936.2</v>
      </c>
      <c r="AJ156" s="111">
        <f>' الشركه 2018'!$CF156</f>
        <v>445.48557692307691</v>
      </c>
      <c r="AK156" s="117">
        <f>' الشركه 2018'!$AI156+' الشركه 2018'!$AJ156</f>
        <v>2381.685576923077</v>
      </c>
      <c r="AL156" s="152"/>
      <c r="AM156" s="153"/>
      <c r="AN156" s="9">
        <f>Table6[[#This Row],[اجمالى الاستحقاق]]-Table6[[#This Row],[Column2]]+Table6[[#This Row],[حوافز غير مستقره]]</f>
        <v>2381.685576923077</v>
      </c>
      <c r="AO156" s="59"/>
      <c r="AP156" s="169"/>
      <c r="AQ156" s="176"/>
      <c r="AR156" s="124"/>
      <c r="AS156" s="155"/>
      <c r="AT156" s="170"/>
      <c r="AU156" s="124"/>
      <c r="AV156" s="124"/>
      <c r="AW156" s="124"/>
      <c r="AX156" s="124"/>
      <c r="AY156" s="124"/>
      <c r="AZ156" s="124"/>
      <c r="BA156" s="124"/>
      <c r="BB156" s="124"/>
      <c r="BC156" s="124"/>
      <c r="BD156" s="124"/>
      <c r="BE156" s="124"/>
      <c r="BF156" s="124"/>
      <c r="BG156" s="124"/>
      <c r="BH156" s="124"/>
      <c r="BI156" s="124">
        <v>4</v>
      </c>
      <c r="BJ156" s="124"/>
      <c r="BK156" s="124"/>
      <c r="BL156" s="124">
        <v>4</v>
      </c>
      <c r="BM156" s="124">
        <v>8</v>
      </c>
      <c r="BN156" s="124"/>
      <c r="BO156" s="124"/>
      <c r="BP156" s="124">
        <v>4</v>
      </c>
      <c r="BQ156" s="124"/>
      <c r="BR156" s="124"/>
      <c r="BS156" s="124"/>
      <c r="BT156" s="124"/>
      <c r="BU156" s="124"/>
      <c r="BV156" s="124"/>
      <c r="BW156" s="124"/>
      <c r="BX156" s="124"/>
      <c r="BY156" s="124"/>
      <c r="BZ156" s="171"/>
      <c r="CA156" s="172"/>
      <c r="CB15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20</v>
      </c>
      <c r="CC15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56" s="131">
        <f>' الشركه 2018'!$H156*67%*1.5*' الشركه 2018'!$CB156/208</f>
        <v>445.48557692307691</v>
      </c>
      <c r="CE156" s="132">
        <f>' الشركه 2018'!$H156*67%*2*' الشركه 2018'!$CC156/208</f>
        <v>0</v>
      </c>
      <c r="CF156" s="133">
        <f>' الشركه 2018'!$CD156+' الشركه 2018'!$CE156</f>
        <v>445.48557692307691</v>
      </c>
      <c r="CG156" s="124"/>
      <c r="CH156" s="177">
        <f>SUMIF(C156:C427,' الشركه 2018'!$CG150,L156:L427)</f>
        <v>0</v>
      </c>
      <c r="CI156" s="124"/>
      <c r="CJ156" s="177">
        <f>' الشركه 2018'!$CH150*' الشركه 2018'!$CI150</f>
        <v>0</v>
      </c>
      <c r="CK156" s="177">
        <f>' الشركه 2018'!$CJ150*8%</f>
        <v>0</v>
      </c>
      <c r="CL156" s="177">
        <f>' الشركه 2018'!$CJ150*17%</f>
        <v>0</v>
      </c>
      <c r="CM156" s="177">
        <f>' الشركه 2018'!$CJ150*25%</f>
        <v>0</v>
      </c>
      <c r="CN156" s="162"/>
      <c r="CO156" s="162"/>
      <c r="CP156" s="163">
        <v>300</v>
      </c>
      <c r="CQ156" s="164" t="e">
        <f>VLOOKUP(Table6[[#This Row],[الرقم الوظيفى]],[4]!Table3[#Data],26,FALSE)</f>
        <v>#REF!</v>
      </c>
      <c r="CR156" s="165"/>
      <c r="CS156" s="124"/>
    </row>
    <row r="157" spans="1:97" ht="28" customHeight="1" thickTop="1" thickBot="1">
      <c r="A157" s="222">
        <v>825</v>
      </c>
      <c r="B157" s="142" t="s">
        <v>425</v>
      </c>
      <c r="C157" s="59" t="s">
        <v>90</v>
      </c>
      <c r="D157" s="143" t="s">
        <v>83</v>
      </c>
      <c r="E157" s="174" t="s">
        <v>678</v>
      </c>
      <c r="F157" s="143" t="s">
        <v>423</v>
      </c>
      <c r="G157" s="145">
        <v>42186</v>
      </c>
      <c r="H157" s="146">
        <v>4640</v>
      </c>
      <c r="I157" s="106">
        <f>Table6[[#This Row],[مرتب]]/30</f>
        <v>154.66666666666666</v>
      </c>
      <c r="J157" s="107">
        <v>30</v>
      </c>
      <c r="K157" s="107">
        <f t="shared" si="2"/>
        <v>0</v>
      </c>
      <c r="L157" s="108">
        <v>0</v>
      </c>
      <c r="M157" s="107">
        <f>Table6[[#This Row],[مرتب الضمان]]*17%</f>
        <v>0</v>
      </c>
      <c r="N157" s="107">
        <f>' الشركه 2018'!$H157*35%</f>
        <v>1624</v>
      </c>
      <c r="O157" s="107">
        <f>' الشركه 2018'!$H157*32%</f>
        <v>1484.8</v>
      </c>
      <c r="P157" s="107">
        <f>' الشركه 2018'!$H157*12%</f>
        <v>556.79999999999995</v>
      </c>
      <c r="Q157" s="107">
        <f>' الشركه 2018'!$H157*13%</f>
        <v>603.20000000000005</v>
      </c>
      <c r="R157" s="107">
        <f>' الشركه 2018'!$H157*6%</f>
        <v>278.39999999999998</v>
      </c>
      <c r="S157" s="107">
        <f>' الشركه 2018'!$H157*2%</f>
        <v>92.8</v>
      </c>
      <c r="T157" s="107">
        <f>' الشركه 2018'!$O157+' الشركه 2018'!$P157+' الشركه 2018'!$Q157+' الشركه 2018'!$R157+' الشركه 2018'!$S157</f>
        <v>3016.0000000000005</v>
      </c>
      <c r="U157" s="109">
        <f>VLOOKUP(Table6[[#This Row],[الرقم الوظيفى]],[2]بالخصم!$B$1:$AK$1200,35,)</f>
        <v>0</v>
      </c>
      <c r="V157" s="147"/>
      <c r="W157" s="111">
        <f>Table6[[#This Row],[عدد ايام الاجازه]]*Table6[[#This Row],[ح راتب اليوم]]</f>
        <v>0</v>
      </c>
      <c r="X157" s="148"/>
      <c r="Y157" s="60"/>
      <c r="Z157" s="111">
        <f>Table6[[#This Row],[عدد ايام الجزاء]]*Table6[[#This Row],[ح راتب اليوم]]</f>
        <v>0</v>
      </c>
      <c r="AA157" s="112">
        <f>Table6[[#This Row],[مرتب]]*50%</f>
        <v>2320</v>
      </c>
      <c r="AB157" s="113" t="e">
        <f>VLOOKUP(Table6[[#This Row],[الرقم الوظيفى]],[3]!Table25289[#Data],23,)</f>
        <v>#REF!</v>
      </c>
      <c r="AC157" s="149"/>
      <c r="AD157" s="168"/>
      <c r="AE157" s="113" t="e">
        <f>VLOOKUP(Table6[[#This Row],[الرقم الوظيفى]],[3]!Table252894[#Data],22,)</f>
        <v>#REF!</v>
      </c>
      <c r="AF157" s="151"/>
      <c r="AG157" s="111">
        <f>' الشركه 2018'!$W157+' الشركه 2018'!$Z157+' الشركه 2018'!$AA157+' الشركه 2018'!$AC157+' الشركه 2018'!$AD157+' الشركه 2018'!$AF157</f>
        <v>2320</v>
      </c>
      <c r="AH157" s="111">
        <f>Table6[[#This Row],[راتب الضمان]]*8%</f>
        <v>0</v>
      </c>
      <c r="AI157" s="111">
        <f>' الشركه 2018'!$H157-' الشركه 2018'!$AG157-' الشركه 2018'!$AH157</f>
        <v>2320</v>
      </c>
      <c r="AJ157" s="111">
        <f>' الشركه 2018'!$CF157</f>
        <v>627.73846153846159</v>
      </c>
      <c r="AK157" s="117">
        <f>' الشركه 2018'!$AI157+' الشركه 2018'!$AJ157</f>
        <v>2947.7384615384617</v>
      </c>
      <c r="AL157" s="152"/>
      <c r="AM157" s="153"/>
      <c r="AN157" s="9">
        <f>Table6[[#This Row],[اجمالى الاستحقاق]]-Table6[[#This Row],[Column2]]+Table6[[#This Row],[حوافز غير مستقره]]</f>
        <v>2947.7384615384617</v>
      </c>
      <c r="AO157" s="56"/>
      <c r="AP157" s="169"/>
      <c r="AQ157" s="176"/>
      <c r="AR157" s="124"/>
      <c r="AS157" s="155"/>
      <c r="AT157" s="170"/>
      <c r="AU157" s="124"/>
      <c r="AV157" s="124"/>
      <c r="AW157" s="124"/>
      <c r="AX157" s="124"/>
      <c r="AY157" s="124"/>
      <c r="AZ157" s="124"/>
      <c r="BA157" s="124"/>
      <c r="BB157" s="124"/>
      <c r="BC157" s="124">
        <v>11</v>
      </c>
      <c r="BD157" s="124"/>
      <c r="BE157" s="124"/>
      <c r="BF157" s="124"/>
      <c r="BG157" s="124"/>
      <c r="BH157" s="124"/>
      <c r="BI157" s="124"/>
      <c r="BJ157" s="124">
        <v>10</v>
      </c>
      <c r="BK157" s="124"/>
      <c r="BL157" s="124"/>
      <c r="BM157" s="124"/>
      <c r="BN157" s="124"/>
      <c r="BO157" s="124"/>
      <c r="BP157" s="124"/>
      <c r="BQ157" s="124"/>
      <c r="BR157" s="124"/>
      <c r="BS157" s="124"/>
      <c r="BT157" s="124"/>
      <c r="BU157" s="124"/>
      <c r="BV157" s="124"/>
      <c r="BW157" s="124"/>
      <c r="BX157" s="124"/>
      <c r="BY157" s="124"/>
      <c r="BZ157" s="171"/>
      <c r="CA157" s="172"/>
      <c r="CB15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7" s="130">
        <f>Table6[[#This Row],[Friday, November 23, 2018]]+Table6[[#This Row],[Friday, November 30, 2018]]+Table6[[#This Row],[Friday, December 07, 2018]]+Table6[[#This Row],[Friday, December 14, 2018]]+Table6[[#This Row],[فروقات عطله]]</f>
        <v>21</v>
      </c>
      <c r="CD157" s="131">
        <f>' الشركه 2018'!$H157*67%*1.5*' الشركه 2018'!$CB157/208</f>
        <v>0</v>
      </c>
      <c r="CE157" s="132">
        <f>' الشركه 2018'!$H157*67%*2*' الشركه 2018'!$CC157/208</f>
        <v>627.73846153846159</v>
      </c>
      <c r="CF157" s="133">
        <f>' الشركه 2018'!$CD157+' الشركه 2018'!$CE157</f>
        <v>627.73846153846159</v>
      </c>
      <c r="CG157" s="124"/>
      <c r="CH157" s="177">
        <f>SUMIF(C157:C428,' الشركه 2018'!$CG151,L157:L428)</f>
        <v>0</v>
      </c>
      <c r="CI157" s="124"/>
      <c r="CJ157" s="177">
        <f>' الشركه 2018'!$CH151*' الشركه 2018'!$CI151</f>
        <v>0</v>
      </c>
      <c r="CK157" s="177">
        <f>' الشركه 2018'!$CJ151*8%</f>
        <v>0</v>
      </c>
      <c r="CL157" s="177">
        <f>' الشركه 2018'!$CJ151*17%</f>
        <v>0</v>
      </c>
      <c r="CM157" s="177">
        <f>' الشركه 2018'!$CJ151*25%</f>
        <v>0</v>
      </c>
      <c r="CN157" s="162"/>
      <c r="CO157" s="162"/>
      <c r="CP157" s="163">
        <v>800</v>
      </c>
      <c r="CQ157" s="164" t="e">
        <f>VLOOKUP(Table6[[#This Row],[الرقم الوظيفى]],[4]!Table3[#Data],26,FALSE)</f>
        <v>#REF!</v>
      </c>
      <c r="CR157" s="165">
        <v>800</v>
      </c>
      <c r="CS157" s="124"/>
    </row>
    <row r="158" spans="1:97" ht="28" customHeight="1" thickTop="1" thickBot="1">
      <c r="A158" s="222">
        <v>830</v>
      </c>
      <c r="B158" s="142" t="s">
        <v>394</v>
      </c>
      <c r="C158" s="59" t="s">
        <v>90</v>
      </c>
      <c r="D158" s="143" t="s">
        <v>81</v>
      </c>
      <c r="E158" s="180" t="s">
        <v>601</v>
      </c>
      <c r="F158" s="143" t="s">
        <v>224</v>
      </c>
      <c r="G158" s="145">
        <v>42217</v>
      </c>
      <c r="H158" s="146">
        <v>4100</v>
      </c>
      <c r="I158" s="106">
        <f>Table6[[#This Row],[مرتب]]/30</f>
        <v>136.66666666666666</v>
      </c>
      <c r="J158" s="107">
        <v>30</v>
      </c>
      <c r="K158" s="107">
        <f t="shared" si="2"/>
        <v>4100</v>
      </c>
      <c r="L158" s="108">
        <v>4100</v>
      </c>
      <c r="M158" s="107">
        <f>Table6[[#This Row],[مرتب الضمان]]*17%</f>
        <v>697</v>
      </c>
      <c r="N158" s="107">
        <f>' الشركه 2018'!$H158*35%</f>
        <v>1435</v>
      </c>
      <c r="O158" s="107">
        <f>' الشركه 2018'!$H158*32%</f>
        <v>1312</v>
      </c>
      <c r="P158" s="107">
        <f>' الشركه 2018'!$H158*12%</f>
        <v>492</v>
      </c>
      <c r="Q158" s="107">
        <f>' الشركه 2018'!$H158*13%</f>
        <v>533</v>
      </c>
      <c r="R158" s="107">
        <f>' الشركه 2018'!$H158*6%</f>
        <v>246</v>
      </c>
      <c r="S158" s="107">
        <f>' الشركه 2018'!$H158*2%</f>
        <v>82</v>
      </c>
      <c r="T158" s="107">
        <f>' الشركه 2018'!$O158+' الشركه 2018'!$P158+' الشركه 2018'!$Q158+' الشركه 2018'!$R158+' الشركه 2018'!$S158</f>
        <v>2665</v>
      </c>
      <c r="U158" s="109">
        <f>VLOOKUP(Table6[[#This Row],[الرقم الوظيفى]],[2]بالخصم!$B$1:$AK$1200,35,)</f>
        <v>0</v>
      </c>
      <c r="V158" s="147"/>
      <c r="W158" s="111">
        <f>Table6[[#This Row],[عدد ايام الاجازه]]*Table6[[#This Row],[ح راتب اليوم]]</f>
        <v>0</v>
      </c>
      <c r="X158" s="148"/>
      <c r="Y158" s="60"/>
      <c r="Z158" s="111">
        <f>Table6[[#This Row],[عدد ايام الجزاء]]*Table6[[#This Row],[ح راتب اليوم]]</f>
        <v>0</v>
      </c>
      <c r="AA158" s="112">
        <f>Table6[[#This Row],[مرتب]]*50%</f>
        <v>2050</v>
      </c>
      <c r="AB158" s="113" t="e">
        <f>VLOOKUP(Table6[[#This Row],[الرقم الوظيفى]],[3]!Table25289[#Data],23,)</f>
        <v>#REF!</v>
      </c>
      <c r="AC158" s="149"/>
      <c r="AD158" s="150"/>
      <c r="AE158" s="113" t="e">
        <f>VLOOKUP(Table6[[#This Row],[الرقم الوظيفى]],[3]!Table252894[#Data],22,)</f>
        <v>#REF!</v>
      </c>
      <c r="AF158" s="151"/>
      <c r="AG158" s="111">
        <f>' الشركه 2018'!$W158+' الشركه 2018'!$Z158+' الشركه 2018'!$AA158+' الشركه 2018'!$AC158+' الشركه 2018'!$AD158+' الشركه 2018'!$AF158</f>
        <v>2050</v>
      </c>
      <c r="AH158" s="111">
        <f>Table6[[#This Row],[راتب الضمان]]*8%</f>
        <v>328</v>
      </c>
      <c r="AI158" s="111">
        <f>' الشركه 2018'!$H158-' الشركه 2018'!$AG158-' الشركه 2018'!$AH158</f>
        <v>1722</v>
      </c>
      <c r="AJ158" s="111">
        <f>' الشركه 2018'!$CF158</f>
        <v>0</v>
      </c>
      <c r="AK158" s="117">
        <f>' الشركه 2018'!$AI158+' الشركه 2018'!$AJ158</f>
        <v>1722</v>
      </c>
      <c r="AL158" s="152"/>
      <c r="AM158" s="153"/>
      <c r="AN158" s="9">
        <f>Table6[[#This Row],[اجمالى الاستحقاق]]-Table6[[#This Row],[Column2]]+Table6[[#This Row],[حوافز غير مستقره]]</f>
        <v>1722</v>
      </c>
      <c r="AO158" s="59"/>
      <c r="AP158" s="169"/>
      <c r="AQ158" s="176"/>
      <c r="AR158" s="124"/>
      <c r="AS158" s="155"/>
      <c r="AT158" s="170"/>
      <c r="AU158" s="124"/>
      <c r="AV158" s="124"/>
      <c r="AW158" s="124"/>
      <c r="AX158" s="124"/>
      <c r="AY158" s="124"/>
      <c r="AZ158" s="124"/>
      <c r="BA158" s="124"/>
      <c r="BB158" s="124"/>
      <c r="BC158" s="124"/>
      <c r="BD158" s="124"/>
      <c r="BE158" s="124"/>
      <c r="BF158" s="124"/>
      <c r="BG158" s="124"/>
      <c r="BH158" s="124"/>
      <c r="BI158" s="124"/>
      <c r="BJ158" s="124"/>
      <c r="BK158" s="124"/>
      <c r="BL158" s="124"/>
      <c r="BM158" s="124"/>
      <c r="BN158" s="124"/>
      <c r="BO158" s="124"/>
      <c r="BP158" s="124"/>
      <c r="BQ158" s="124"/>
      <c r="BR158" s="124"/>
      <c r="BS158" s="124"/>
      <c r="BT158" s="124"/>
      <c r="BU158" s="124"/>
      <c r="BV158" s="124"/>
      <c r="BW158" s="124"/>
      <c r="BX158" s="124"/>
      <c r="BY158" s="124"/>
      <c r="BZ158" s="171"/>
      <c r="CA158" s="172"/>
      <c r="CB15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58" s="131">
        <f>' الشركه 2018'!$H158*67%*1.5*' الشركه 2018'!$CB158/208</f>
        <v>0</v>
      </c>
      <c r="CE158" s="132">
        <f>' الشركه 2018'!$H158*67%*2*' الشركه 2018'!$CC158/208</f>
        <v>0</v>
      </c>
      <c r="CF158" s="133">
        <f>' الشركه 2018'!$CD158+' الشركه 2018'!$CE158</f>
        <v>0</v>
      </c>
      <c r="CG158" s="124"/>
      <c r="CH158" s="177">
        <f>SUMIF(C158:C430,' الشركه 2018'!$CG153,L158:L430)</f>
        <v>0</v>
      </c>
      <c r="CI158" s="124"/>
      <c r="CJ158" s="177">
        <f>' الشركه 2018'!$CH153*' الشركه 2018'!$CI153</f>
        <v>0</v>
      </c>
      <c r="CK158" s="177">
        <f>' الشركه 2018'!$CJ153*8%</f>
        <v>0</v>
      </c>
      <c r="CL158" s="177">
        <f>' الشركه 2018'!$CJ153*17%</f>
        <v>0</v>
      </c>
      <c r="CM158" s="177">
        <f>' الشركه 2018'!$CJ153*25%</f>
        <v>0</v>
      </c>
      <c r="CN158" s="162"/>
      <c r="CO158" s="162"/>
      <c r="CP158" s="163">
        <v>800</v>
      </c>
      <c r="CQ158" s="164" t="e">
        <f>VLOOKUP(Table6[[#This Row],[الرقم الوظيفى]],[4]!Table3[#Data],26,FALSE)</f>
        <v>#REF!</v>
      </c>
      <c r="CR158" s="199"/>
      <c r="CS158" s="124"/>
    </row>
    <row r="159" spans="1:97" ht="28" customHeight="1" thickTop="1" thickBot="1">
      <c r="A159" s="222">
        <v>832</v>
      </c>
      <c r="B159" s="142" t="s">
        <v>417</v>
      </c>
      <c r="C159" s="59" t="s">
        <v>90</v>
      </c>
      <c r="D159" s="143" t="s">
        <v>83</v>
      </c>
      <c r="E159" s="174" t="s">
        <v>637</v>
      </c>
      <c r="F159" s="143" t="s">
        <v>426</v>
      </c>
      <c r="G159" s="145">
        <v>42220</v>
      </c>
      <c r="H159" s="146">
        <v>5140</v>
      </c>
      <c r="I159" s="106">
        <f>Table6[[#This Row],[مرتب]]/30</f>
        <v>171.33333333333334</v>
      </c>
      <c r="J159" s="107">
        <v>30</v>
      </c>
      <c r="K159" s="107">
        <f t="shared" si="2"/>
        <v>5140</v>
      </c>
      <c r="L159" s="108">
        <v>5140</v>
      </c>
      <c r="M159" s="107">
        <f>Table6[[#This Row],[مرتب الضمان]]*17%</f>
        <v>873.80000000000007</v>
      </c>
      <c r="N159" s="107">
        <f>' الشركه 2018'!$H159*35%</f>
        <v>1798.9999999999998</v>
      </c>
      <c r="O159" s="107">
        <f>' الشركه 2018'!$H159*32%</f>
        <v>1644.8</v>
      </c>
      <c r="P159" s="107">
        <f>' الشركه 2018'!$H159*12%</f>
        <v>616.79999999999995</v>
      </c>
      <c r="Q159" s="107">
        <f>' الشركه 2018'!$H159*13%</f>
        <v>668.2</v>
      </c>
      <c r="R159" s="107">
        <f>' الشركه 2018'!$H159*6%</f>
        <v>308.39999999999998</v>
      </c>
      <c r="S159" s="107">
        <f>' الشركه 2018'!$H159*2%</f>
        <v>102.8</v>
      </c>
      <c r="T159" s="107">
        <f>' الشركه 2018'!$O159+' الشركه 2018'!$P159+' الشركه 2018'!$Q159+' الشركه 2018'!$R159+' الشركه 2018'!$S159</f>
        <v>3341.0000000000005</v>
      </c>
      <c r="U159" s="109">
        <f>VLOOKUP(Table6[[#This Row],[الرقم الوظيفى]],[2]بالخصم!$B$1:$AK$1200,35,)</f>
        <v>0</v>
      </c>
      <c r="V159" s="147"/>
      <c r="W159" s="111">
        <f>Table6[[#This Row],[عدد ايام الاجازه]]*Table6[[#This Row],[ح راتب اليوم]]</f>
        <v>0</v>
      </c>
      <c r="X159" s="148"/>
      <c r="Y159" s="60"/>
      <c r="Z159" s="111">
        <f>Table6[[#This Row],[عدد ايام الجزاء]]*Table6[[#This Row],[ح راتب اليوم]]</f>
        <v>0</v>
      </c>
      <c r="AA159" s="112">
        <f>Table6[[#This Row],[مرتب]]*50%</f>
        <v>2570</v>
      </c>
      <c r="AB159" s="113" t="e">
        <f>VLOOKUP(Table6[[#This Row],[الرقم الوظيفى]],[3]!Table25289[#Data],23,)</f>
        <v>#REF!</v>
      </c>
      <c r="AC159" s="149"/>
      <c r="AD159" s="150"/>
      <c r="AE159" s="113" t="e">
        <f>VLOOKUP(Table6[[#This Row],[الرقم الوظيفى]],[3]!Table252894[#Data],22,)</f>
        <v>#REF!</v>
      </c>
      <c r="AF159" s="151"/>
      <c r="AG159" s="111">
        <f>' الشركه 2018'!$W159+' الشركه 2018'!$Z159+' الشركه 2018'!$AA159+' الشركه 2018'!$AC159+' الشركه 2018'!$AD159+' الشركه 2018'!$AF159</f>
        <v>2570</v>
      </c>
      <c r="AH159" s="111">
        <f>Table6[[#This Row],[راتب الضمان]]*8%</f>
        <v>411.2</v>
      </c>
      <c r="AI159" s="111">
        <f>' الشركه 2018'!$H159-' الشركه 2018'!$AG159-' الشركه 2018'!$AH159</f>
        <v>2158.8000000000002</v>
      </c>
      <c r="AJ159" s="111">
        <f>' الشركه 2018'!$CF159</f>
        <v>1158.9711538461538</v>
      </c>
      <c r="AK159" s="117">
        <f>' الشركه 2018'!$AI159+' الشركه 2018'!$AJ159</f>
        <v>3317.771153846154</v>
      </c>
      <c r="AL159" s="152"/>
      <c r="AM159" s="153"/>
      <c r="AN159" s="9">
        <f>Table6[[#This Row],[اجمالى الاستحقاق]]-Table6[[#This Row],[Column2]]+Table6[[#This Row],[حوافز غير مستقره]]</f>
        <v>3317.771153846154</v>
      </c>
      <c r="AO159" s="59"/>
      <c r="AP159" s="169"/>
      <c r="AQ159" s="176"/>
      <c r="AR159" s="124"/>
      <c r="AS159" s="155"/>
      <c r="AT159" s="170"/>
      <c r="AU159" s="124"/>
      <c r="AV159" s="124">
        <v>12</v>
      </c>
      <c r="AW159" s="124"/>
      <c r="AX159" s="124"/>
      <c r="AY159" s="124"/>
      <c r="AZ159" s="124"/>
      <c r="BA159" s="124"/>
      <c r="BB159" s="124"/>
      <c r="BC159" s="124">
        <v>12</v>
      </c>
      <c r="BD159" s="124"/>
      <c r="BE159" s="124"/>
      <c r="BF159" s="124"/>
      <c r="BG159" s="124"/>
      <c r="BH159" s="124"/>
      <c r="BI159" s="124"/>
      <c r="BJ159" s="124">
        <v>11</v>
      </c>
      <c r="BK159" s="124"/>
      <c r="BL159" s="124"/>
      <c r="BM159" s="124"/>
      <c r="BN159" s="124"/>
      <c r="BO159" s="124"/>
      <c r="BP159" s="124"/>
      <c r="BQ159" s="124"/>
      <c r="BR159" s="124"/>
      <c r="BS159" s="124"/>
      <c r="BT159" s="124"/>
      <c r="BU159" s="124"/>
      <c r="BV159" s="124"/>
      <c r="BW159" s="124"/>
      <c r="BX159" s="124"/>
      <c r="BY159" s="124"/>
      <c r="BZ159" s="171"/>
      <c r="CA159" s="172"/>
      <c r="CB15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59" s="130">
        <f>Table6[[#This Row],[Friday, November 23, 2018]]+Table6[[#This Row],[Friday, November 30, 2018]]+Table6[[#This Row],[Friday, December 07, 2018]]+Table6[[#This Row],[Friday, December 14, 2018]]+Table6[[#This Row],[فروقات عطله]]</f>
        <v>35</v>
      </c>
      <c r="CD159" s="131">
        <f>' الشركه 2018'!$H159*67%*1.5*' الشركه 2018'!$CB159/208</f>
        <v>0</v>
      </c>
      <c r="CE159" s="132">
        <f>' الشركه 2018'!$H159*67%*2*' الشركه 2018'!$CC159/208</f>
        <v>1158.9711538461538</v>
      </c>
      <c r="CF159" s="133">
        <f>' الشركه 2018'!$CD159+' الشركه 2018'!$CE159</f>
        <v>1158.9711538461538</v>
      </c>
      <c r="CG159" s="124"/>
      <c r="CH159" s="177">
        <f>SUMIF(C159:C431,' الشركه 2018'!$CG154,L159:L431)</f>
        <v>0</v>
      </c>
      <c r="CI159" s="124"/>
      <c r="CJ159" s="177">
        <f>' الشركه 2018'!$CH154*' الشركه 2018'!$CI154</f>
        <v>0</v>
      </c>
      <c r="CK159" s="177">
        <f>' الشركه 2018'!$CJ154*8%</f>
        <v>0</v>
      </c>
      <c r="CL159" s="177">
        <f>' الشركه 2018'!$CJ154*17%</f>
        <v>0</v>
      </c>
      <c r="CM159" s="177">
        <f>' الشركه 2018'!$CJ154*25%</f>
        <v>0</v>
      </c>
      <c r="CN159" s="162"/>
      <c r="CO159" s="162"/>
      <c r="CP159" s="163"/>
      <c r="CQ159" s="164" t="e">
        <f>VLOOKUP(Table6[[#This Row],[الرقم الوظيفى]],[4]!Table3[#Data],26,FALSE)</f>
        <v>#REF!</v>
      </c>
      <c r="CR159" s="165">
        <v>200</v>
      </c>
      <c r="CS159" s="124"/>
    </row>
    <row r="160" spans="1:97" ht="28" customHeight="1" thickTop="1" thickBot="1">
      <c r="A160" s="222">
        <v>833</v>
      </c>
      <c r="B160" s="142" t="s">
        <v>273</v>
      </c>
      <c r="C160" s="59" t="s">
        <v>90</v>
      </c>
      <c r="D160" s="143" t="s">
        <v>74</v>
      </c>
      <c r="E160" s="174"/>
      <c r="F160" s="143" t="s">
        <v>63</v>
      </c>
      <c r="G160" s="145">
        <v>42228</v>
      </c>
      <c r="H160" s="146">
        <v>3090</v>
      </c>
      <c r="I160" s="106">
        <f>Table6[[#This Row],[مرتب]]/30</f>
        <v>103</v>
      </c>
      <c r="J160" s="107">
        <v>30</v>
      </c>
      <c r="K160" s="107">
        <f t="shared" si="2"/>
        <v>3090</v>
      </c>
      <c r="L160" s="108">
        <v>3090</v>
      </c>
      <c r="M160" s="107">
        <f>Table6[[#This Row],[مرتب الضمان]]*17%</f>
        <v>525.30000000000007</v>
      </c>
      <c r="N160" s="107">
        <f>' الشركه 2018'!$H160*35%</f>
        <v>1081.5</v>
      </c>
      <c r="O160" s="107">
        <f>' الشركه 2018'!$H160*32%</f>
        <v>988.80000000000007</v>
      </c>
      <c r="P160" s="107">
        <f>' الشركه 2018'!$H160*12%</f>
        <v>370.8</v>
      </c>
      <c r="Q160" s="107">
        <f>' الشركه 2018'!$H160*13%</f>
        <v>401.7</v>
      </c>
      <c r="R160" s="107">
        <f>' الشركه 2018'!$H160*6%</f>
        <v>185.4</v>
      </c>
      <c r="S160" s="107">
        <f>' الشركه 2018'!$H160*2%</f>
        <v>61.800000000000004</v>
      </c>
      <c r="T160" s="107">
        <f>' الشركه 2018'!$O160+' الشركه 2018'!$P160+' الشركه 2018'!$Q160+' الشركه 2018'!$R160+' الشركه 2018'!$S160</f>
        <v>2008.5000000000002</v>
      </c>
      <c r="U160" s="109">
        <f>VLOOKUP(Table6[[#This Row],[الرقم الوظيفى]],[2]بالخصم!$B$1:$AK$1200,35,)</f>
        <v>0</v>
      </c>
      <c r="V160" s="147"/>
      <c r="W160" s="111">
        <f>Table6[[#This Row],[عدد ايام الاجازه]]*Table6[[#This Row],[ح راتب اليوم]]</f>
        <v>0</v>
      </c>
      <c r="X160" s="148"/>
      <c r="Y160" s="60"/>
      <c r="Z160" s="111">
        <f>Table6[[#This Row],[عدد ايام الجزاء]]*Table6[[#This Row],[ح راتب اليوم]]</f>
        <v>0</v>
      </c>
      <c r="AA160" s="112">
        <f>Table6[[#This Row],[مرتب]]*50%</f>
        <v>1545</v>
      </c>
      <c r="AB160" s="113" t="e">
        <f>VLOOKUP(Table6[[#This Row],[الرقم الوظيفى]],[3]!Table25289[#Data],23,)</f>
        <v>#REF!</v>
      </c>
      <c r="AC160" s="149"/>
      <c r="AD160" s="150"/>
      <c r="AE160" s="113" t="e">
        <f>VLOOKUP(Table6[[#This Row],[الرقم الوظيفى]],[3]!Table252894[#Data],22,)</f>
        <v>#REF!</v>
      </c>
      <c r="AF160" s="151"/>
      <c r="AG160" s="111">
        <f>' الشركه 2018'!$W160+' الشركه 2018'!$Z160+' الشركه 2018'!$AA160+' الشركه 2018'!$AC160+' الشركه 2018'!$AD160+' الشركه 2018'!$AF160</f>
        <v>1545</v>
      </c>
      <c r="AH160" s="111">
        <f>Table6[[#This Row],[راتب الضمان]]*8%</f>
        <v>247.20000000000002</v>
      </c>
      <c r="AI160" s="111">
        <f>' الشركه 2018'!$H160-' الشركه 2018'!$AG160-' الشركه 2018'!$AH160</f>
        <v>1297.8</v>
      </c>
      <c r="AJ160" s="111">
        <f>' الشركه 2018'!$CF160</f>
        <v>0</v>
      </c>
      <c r="AK160" s="117">
        <f>' الشركه 2018'!$AI160+' الشركه 2018'!$AJ160</f>
        <v>1297.8</v>
      </c>
      <c r="AL160" s="152"/>
      <c r="AM160" s="153"/>
      <c r="AN160" s="9">
        <f>Table6[[#This Row],[اجمالى الاستحقاق]]-Table6[[#This Row],[Column2]]+Table6[[#This Row],[حوافز غير مستقره]]</f>
        <v>1297.8</v>
      </c>
      <c r="AO160" s="59"/>
      <c r="AP160" s="169"/>
      <c r="AQ160" s="176"/>
      <c r="AR160" s="124"/>
      <c r="AS160" s="155"/>
      <c r="AT160" s="170"/>
      <c r="AU160" s="124"/>
      <c r="AV160" s="124"/>
      <c r="AW160" s="124"/>
      <c r="AX160" s="124"/>
      <c r="AY160" s="124"/>
      <c r="AZ160" s="124"/>
      <c r="BA160" s="124"/>
      <c r="BB160" s="124"/>
      <c r="BC160" s="124"/>
      <c r="BD160" s="124"/>
      <c r="BE160" s="124"/>
      <c r="BF160" s="124"/>
      <c r="BG160" s="124"/>
      <c r="BH160" s="124"/>
      <c r="BI160" s="124"/>
      <c r="BJ160" s="124"/>
      <c r="BK160" s="124"/>
      <c r="BL160" s="124"/>
      <c r="BM160" s="124"/>
      <c r="BN160" s="124"/>
      <c r="BO160" s="124"/>
      <c r="BP160" s="124"/>
      <c r="BQ160" s="124"/>
      <c r="BR160" s="124"/>
      <c r="BS160" s="124"/>
      <c r="BT160" s="124"/>
      <c r="BU160" s="124"/>
      <c r="BV160" s="124"/>
      <c r="BW160" s="124"/>
      <c r="BX160" s="124"/>
      <c r="BY160" s="124"/>
      <c r="BZ160" s="171"/>
      <c r="CA160" s="172"/>
      <c r="CB16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0" s="131">
        <f>' الشركه 2018'!$H160*67%*1.5*' الشركه 2018'!$CB160/208</f>
        <v>0</v>
      </c>
      <c r="CE160" s="132">
        <f>' الشركه 2018'!$H160*67%*2*' الشركه 2018'!$CC160/208</f>
        <v>0</v>
      </c>
      <c r="CF160" s="133">
        <f>' الشركه 2018'!$CD160+' الشركه 2018'!$CE160</f>
        <v>0</v>
      </c>
      <c r="CG160" s="124"/>
      <c r="CH160" s="177">
        <f>SUMIF(C160:C432,' الشركه 2018'!$CG155,L160:L432)</f>
        <v>0</v>
      </c>
      <c r="CI160" s="124"/>
      <c r="CJ160" s="177">
        <f>' الشركه 2018'!$CH155*' الشركه 2018'!$CI155</f>
        <v>0</v>
      </c>
      <c r="CK160" s="177">
        <f>' الشركه 2018'!$CJ155*8%</f>
        <v>0</v>
      </c>
      <c r="CL160" s="177">
        <f>' الشركه 2018'!$CJ155*17%</f>
        <v>0</v>
      </c>
      <c r="CM160" s="177">
        <f>' الشركه 2018'!$CJ155*25%</f>
        <v>0</v>
      </c>
      <c r="CN160" s="162"/>
      <c r="CO160" s="162"/>
      <c r="CP160" s="163"/>
      <c r="CQ160" s="164" t="e">
        <f>VLOOKUP(Table6[[#This Row],[الرقم الوظيفى]],[4]!Table3[#Data],26,FALSE)</f>
        <v>#REF!</v>
      </c>
      <c r="CR160" s="165"/>
      <c r="CS160" s="124"/>
    </row>
    <row r="161" spans="1:97" ht="28" customHeight="1" thickTop="1" thickBot="1">
      <c r="A161" s="222">
        <v>834</v>
      </c>
      <c r="B161" s="142" t="s">
        <v>339</v>
      </c>
      <c r="C161" s="59" t="s">
        <v>90</v>
      </c>
      <c r="D161" s="143" t="s">
        <v>76</v>
      </c>
      <c r="E161" s="174"/>
      <c r="F161" s="143" t="s">
        <v>63</v>
      </c>
      <c r="G161" s="145">
        <v>42229</v>
      </c>
      <c r="H161" s="146">
        <v>3090</v>
      </c>
      <c r="I161" s="106">
        <f>Table6[[#This Row],[مرتب]]/30</f>
        <v>103</v>
      </c>
      <c r="J161" s="107">
        <v>30</v>
      </c>
      <c r="K161" s="107">
        <f t="shared" si="2"/>
        <v>3090</v>
      </c>
      <c r="L161" s="108">
        <v>3090</v>
      </c>
      <c r="M161" s="107">
        <f>Table6[[#This Row],[مرتب الضمان]]*17%</f>
        <v>525.30000000000007</v>
      </c>
      <c r="N161" s="107">
        <f>' الشركه 2018'!$H161*35%</f>
        <v>1081.5</v>
      </c>
      <c r="O161" s="107">
        <f>' الشركه 2018'!$H161*32%</f>
        <v>988.80000000000007</v>
      </c>
      <c r="P161" s="107">
        <f>' الشركه 2018'!$H161*12%</f>
        <v>370.8</v>
      </c>
      <c r="Q161" s="107">
        <f>' الشركه 2018'!$H161*13%</f>
        <v>401.7</v>
      </c>
      <c r="R161" s="107">
        <f>' الشركه 2018'!$H161*6%</f>
        <v>185.4</v>
      </c>
      <c r="S161" s="107">
        <f>' الشركه 2018'!$H161*2%</f>
        <v>61.800000000000004</v>
      </c>
      <c r="T161" s="107">
        <f>' الشركه 2018'!$O161+' الشركه 2018'!$P161+' الشركه 2018'!$Q161+' الشركه 2018'!$R161+' الشركه 2018'!$S161</f>
        <v>2008.5000000000002</v>
      </c>
      <c r="U161" s="109">
        <f>VLOOKUP(Table6[[#This Row],[الرقم الوظيفى]],[2]بالخصم!$B$1:$AK$1200,35,)</f>
        <v>0</v>
      </c>
      <c r="V161" s="147"/>
      <c r="W161" s="111">
        <f>Table6[[#This Row],[عدد ايام الاجازه]]*Table6[[#This Row],[ح راتب اليوم]]</f>
        <v>0</v>
      </c>
      <c r="X161" s="148"/>
      <c r="Y161" s="60"/>
      <c r="Z161" s="111">
        <f>Table6[[#This Row],[عدد ايام الجزاء]]*Table6[[#This Row],[ح راتب اليوم]]</f>
        <v>0</v>
      </c>
      <c r="AA161" s="112">
        <f>Table6[[#This Row],[مرتب]]*50%</f>
        <v>1545</v>
      </c>
      <c r="AB161" s="113" t="e">
        <f>VLOOKUP(Table6[[#This Row],[الرقم الوظيفى]],[3]!Table25289[#Data],23,)</f>
        <v>#REF!</v>
      </c>
      <c r="AC161" s="149"/>
      <c r="AD161" s="150"/>
      <c r="AE161" s="113" t="e">
        <f>VLOOKUP(Table6[[#This Row],[الرقم الوظيفى]],[3]!Table252894[#Data],22,)</f>
        <v>#REF!</v>
      </c>
      <c r="AF161" s="151"/>
      <c r="AG161" s="111">
        <f>' الشركه 2018'!$W161+' الشركه 2018'!$Z161+' الشركه 2018'!$AA161+' الشركه 2018'!$AC161+' الشركه 2018'!$AD161+' الشركه 2018'!$AF161</f>
        <v>1545</v>
      </c>
      <c r="AH161" s="111">
        <f>Table6[[#This Row],[راتب الضمان]]*8%</f>
        <v>247.20000000000002</v>
      </c>
      <c r="AI161" s="111">
        <f>' الشركه 2018'!$H161-' الشركه 2018'!$AG161-' الشركه 2018'!$AH161</f>
        <v>1297.8</v>
      </c>
      <c r="AJ161" s="111">
        <f>' الشركه 2018'!$CF161</f>
        <v>0</v>
      </c>
      <c r="AK161" s="117">
        <f>' الشركه 2018'!$AI161+' الشركه 2018'!$AJ161</f>
        <v>1297.8</v>
      </c>
      <c r="AL161" s="152"/>
      <c r="AM161" s="153"/>
      <c r="AN161" s="9">
        <f>Table6[[#This Row],[اجمالى الاستحقاق]]-Table6[[#This Row],[Column2]]+Table6[[#This Row],[حوافز غير مستقره]]</f>
        <v>1297.8</v>
      </c>
      <c r="AO161" s="59"/>
      <c r="AP161" s="169"/>
      <c r="AQ161" s="176"/>
      <c r="AR161" s="124"/>
      <c r="AS161" s="155"/>
      <c r="AT161" s="170"/>
      <c r="AU161" s="124"/>
      <c r="AV161" s="124"/>
      <c r="AW161" s="124"/>
      <c r="AX161" s="124"/>
      <c r="AY161" s="124"/>
      <c r="AZ161" s="124"/>
      <c r="BA161" s="124"/>
      <c r="BB161" s="124"/>
      <c r="BC161" s="124"/>
      <c r="BD161" s="124"/>
      <c r="BE161" s="124"/>
      <c r="BF161" s="124"/>
      <c r="BG161" s="124"/>
      <c r="BH161" s="124"/>
      <c r="BI161" s="124"/>
      <c r="BJ161" s="124"/>
      <c r="BK161" s="124"/>
      <c r="BL161" s="124"/>
      <c r="BM161" s="124"/>
      <c r="BN161" s="124"/>
      <c r="BO161" s="124"/>
      <c r="BP161" s="124"/>
      <c r="BQ161" s="124"/>
      <c r="BR161" s="124"/>
      <c r="BS161" s="124"/>
      <c r="BT161" s="124"/>
      <c r="BU161" s="124"/>
      <c r="BV161" s="124"/>
      <c r="BW161" s="124"/>
      <c r="BX161" s="124"/>
      <c r="BY161" s="124"/>
      <c r="BZ161" s="171"/>
      <c r="CA161" s="172"/>
      <c r="CB16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1" s="131">
        <f>' الشركه 2018'!$H161*67%*1.5*' الشركه 2018'!$CB161/208</f>
        <v>0</v>
      </c>
      <c r="CE161" s="132">
        <f>' الشركه 2018'!$H161*67%*2*' الشركه 2018'!$CC161/208</f>
        <v>0</v>
      </c>
      <c r="CF161" s="133">
        <f>' الشركه 2018'!$CD161+' الشركه 2018'!$CE161</f>
        <v>0</v>
      </c>
      <c r="CG161" s="124"/>
      <c r="CH161" s="177">
        <f>SUMIF(C161:C433,' الشركه 2018'!$CG156,L161:L433)</f>
        <v>0</v>
      </c>
      <c r="CI161" s="124"/>
      <c r="CJ161" s="177">
        <f>' الشركه 2018'!$CH156*' الشركه 2018'!$CI156</f>
        <v>0</v>
      </c>
      <c r="CK161" s="177">
        <f>' الشركه 2018'!$CJ156*8%</f>
        <v>0</v>
      </c>
      <c r="CL161" s="177">
        <f>' الشركه 2018'!$CJ156*17%</f>
        <v>0</v>
      </c>
      <c r="CM161" s="177">
        <f>' الشركه 2018'!$CJ156*25%</f>
        <v>0</v>
      </c>
      <c r="CN161" s="162"/>
      <c r="CO161" s="162"/>
      <c r="CP161" s="163">
        <v>400</v>
      </c>
      <c r="CQ161" s="164" t="e">
        <f>VLOOKUP(Table6[[#This Row],[الرقم الوظيفى]],[4]!Table3[#Data],26,FALSE)</f>
        <v>#REF!</v>
      </c>
      <c r="CR161" s="165">
        <v>2000</v>
      </c>
      <c r="CS161" s="124"/>
    </row>
    <row r="162" spans="1:97" ht="28" customHeight="1" thickTop="1" thickBot="1">
      <c r="A162" s="222">
        <v>839</v>
      </c>
      <c r="B162" s="249" t="s">
        <v>683</v>
      </c>
      <c r="C162" s="201" t="s">
        <v>90</v>
      </c>
      <c r="D162" s="11" t="s">
        <v>83</v>
      </c>
      <c r="E162" s="202"/>
      <c r="F162" s="11"/>
      <c r="G162" s="145">
        <v>43043</v>
      </c>
      <c r="H162" s="154">
        <v>4000</v>
      </c>
      <c r="I162" s="203">
        <f>Table6[[#This Row],[مرتب]]/30</f>
        <v>133.33333333333334</v>
      </c>
      <c r="J162" s="107">
        <v>30</v>
      </c>
      <c r="K162" s="107">
        <f t="shared" si="2"/>
        <v>4000.0000000000005</v>
      </c>
      <c r="L162" s="107">
        <v>4000</v>
      </c>
      <c r="M162" s="107">
        <f>Table6[[#This Row],[مرتب الضمان]]*17%</f>
        <v>680</v>
      </c>
      <c r="N162" s="107">
        <f>' الشركه 2018'!$H162*35%</f>
        <v>1400</v>
      </c>
      <c r="O162" s="107">
        <f>' الشركه 2018'!$H162*32%</f>
        <v>1280</v>
      </c>
      <c r="P162" s="107">
        <f>' الشركه 2018'!$H162*12%</f>
        <v>480</v>
      </c>
      <c r="Q162" s="107">
        <f>' الشركه 2018'!$H162*13%</f>
        <v>520</v>
      </c>
      <c r="R162" s="107">
        <f>' الشركه 2018'!$H162*6%</f>
        <v>240</v>
      </c>
      <c r="S162" s="107">
        <f>' الشركه 2018'!$H162*2%</f>
        <v>80</v>
      </c>
      <c r="T162" s="107">
        <f>' الشركه 2018'!$O162+' الشركه 2018'!$P162+' الشركه 2018'!$Q162+' الشركه 2018'!$R162+' الشركه 2018'!$S162</f>
        <v>2600</v>
      </c>
      <c r="U162" s="109">
        <f>VLOOKUP(Table6[[#This Row],[الرقم الوظيفى]],[2]بالخصم!$B$1:$AK$1200,35,)</f>
        <v>1</v>
      </c>
      <c r="V162" s="204"/>
      <c r="W162" s="111">
        <f>Table6[[#This Row],[عدد ايام الاجازه]]*Table6[[#This Row],[ح راتب اليوم]]</f>
        <v>0</v>
      </c>
      <c r="X162" s="148"/>
      <c r="Y162" s="201"/>
      <c r="Z162" s="111">
        <f>Table6[[#This Row],[عدد ايام الجزاء]]*Table6[[#This Row],[ح راتب اليوم]]</f>
        <v>0</v>
      </c>
      <c r="AA162" s="112">
        <f>Table6[[#This Row],[مرتب]]*50%</f>
        <v>2000</v>
      </c>
      <c r="AB162" s="113" t="e">
        <f>VLOOKUP(Table6[[#This Row],[الرقم الوظيفى]],[3]!Table25289[#Data],23,)</f>
        <v>#REF!</v>
      </c>
      <c r="AC162" s="205"/>
      <c r="AD162" s="206"/>
      <c r="AE162" s="113" t="e">
        <f>VLOOKUP(Table6[[#This Row],[الرقم الوظيفى]],[3]!Table252894[#Data],22,)</f>
        <v>#REF!</v>
      </c>
      <c r="AF162" s="207"/>
      <c r="AG162" s="111">
        <f>' الشركه 2018'!$W162+' الشركه 2018'!$Z162+' الشركه 2018'!$AA162+' الشركه 2018'!$AC162+' الشركه 2018'!$AD162+' الشركه 2018'!$AF162</f>
        <v>2000</v>
      </c>
      <c r="AH162" s="111">
        <f>Table6[[#This Row],[راتب الضمان]]*8%</f>
        <v>320.00000000000006</v>
      </c>
      <c r="AI162" s="111">
        <f>' الشركه 2018'!$H162-' الشركه 2018'!$AG162-' الشركه 2018'!$AH162</f>
        <v>1680</v>
      </c>
      <c r="AJ162" s="111">
        <f>' الشركه 2018'!$CF162</f>
        <v>283.46153846153845</v>
      </c>
      <c r="AK162" s="117">
        <f>' الشركه 2018'!$AI162+' الشركه 2018'!$AJ162</f>
        <v>1963.4615384615386</v>
      </c>
      <c r="AL162" s="152"/>
      <c r="AM162" s="153"/>
      <c r="AN162" s="9">
        <f>Table6[[#This Row],[اجمالى الاستحقاق]]-Table6[[#This Row],[Column2]]+Table6[[#This Row],[حوافز غير مستقره]]</f>
        <v>1963.4615384615386</v>
      </c>
      <c r="AO162" s="59"/>
      <c r="AP162" s="169"/>
      <c r="AQ162" s="176"/>
      <c r="AR162" s="124"/>
      <c r="AS162" s="208"/>
      <c r="AT162" s="170"/>
      <c r="AU162" s="124"/>
      <c r="AV162" s="124"/>
      <c r="AW162" s="124"/>
      <c r="AX162" s="124"/>
      <c r="AY162" s="124"/>
      <c r="AZ162" s="124"/>
      <c r="BA162" s="124"/>
      <c r="BB162" s="124"/>
      <c r="BC162" s="124">
        <v>11</v>
      </c>
      <c r="BD162" s="124"/>
      <c r="BE162" s="124"/>
      <c r="BF162" s="124"/>
      <c r="BG162" s="124"/>
      <c r="BH162" s="228"/>
      <c r="BI162" s="124"/>
      <c r="BJ162" s="228"/>
      <c r="BK162" s="124"/>
      <c r="BL162" s="124"/>
      <c r="BM162" s="177"/>
      <c r="BN162" s="177"/>
      <c r="BO162" s="124"/>
      <c r="BP162" s="177"/>
      <c r="BQ162" s="124"/>
      <c r="BR162" s="177"/>
      <c r="BS162" s="177"/>
      <c r="BT162" s="124"/>
      <c r="BU162" s="124"/>
      <c r="BV162" s="124"/>
      <c r="BW162" s="177"/>
      <c r="BX162" s="177"/>
      <c r="BY162" s="177"/>
      <c r="BZ162" s="177"/>
      <c r="CA162" s="177"/>
      <c r="CB16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2" s="130">
        <f>Table6[[#This Row],[Friday, November 23, 2018]]+Table6[[#This Row],[Friday, November 30, 2018]]+Table6[[#This Row],[Friday, December 07, 2018]]+Table6[[#This Row],[Friday, December 14, 2018]]+Table6[[#This Row],[فروقات عطله]]</f>
        <v>11</v>
      </c>
      <c r="CD162" s="131">
        <f>' الشركه 2018'!$H162*67%*1.5*' الشركه 2018'!$CB162/208</f>
        <v>0</v>
      </c>
      <c r="CE162" s="132">
        <f>' الشركه 2018'!$H162*67%*2*' الشركه 2018'!$CC162/208</f>
        <v>283.46153846153845</v>
      </c>
      <c r="CF162" s="133">
        <f>' الشركه 2018'!$CD162+' الشركه 2018'!$CE162</f>
        <v>283.46153846153845</v>
      </c>
      <c r="CG162" s="124"/>
      <c r="CH162" s="177"/>
      <c r="CI162" s="124"/>
      <c r="CJ162" s="162"/>
      <c r="CK162" s="162"/>
      <c r="CL162" s="177"/>
      <c r="CM162" s="162"/>
      <c r="CN162" s="162"/>
      <c r="CO162" s="162"/>
      <c r="CP162" s="163"/>
      <c r="CQ162" s="164" t="e">
        <f>VLOOKUP(Table6[[#This Row],[الرقم الوظيفى]],[4]!Table3[#Data],26,FALSE)</f>
        <v>#REF!</v>
      </c>
      <c r="CR162" s="165"/>
      <c r="CS162" s="124"/>
    </row>
    <row r="163" spans="1:97" ht="28" customHeight="1" thickTop="1" thickBot="1">
      <c r="A163" s="222">
        <v>840</v>
      </c>
      <c r="B163" s="142" t="s">
        <v>422</v>
      </c>
      <c r="C163" s="59" t="s">
        <v>90</v>
      </c>
      <c r="D163" s="143" t="s">
        <v>83</v>
      </c>
      <c r="E163" s="174" t="s">
        <v>627</v>
      </c>
      <c r="F163" s="143" t="s">
        <v>418</v>
      </c>
      <c r="G163" s="145">
        <v>42248</v>
      </c>
      <c r="H163" s="146">
        <v>4600</v>
      </c>
      <c r="I163" s="106">
        <f>Table6[[#This Row],[مرتب]]/30</f>
        <v>153.33333333333334</v>
      </c>
      <c r="J163" s="107">
        <v>30</v>
      </c>
      <c r="K163" s="107">
        <f t="shared" si="2"/>
        <v>4600</v>
      </c>
      <c r="L163" s="108">
        <v>4600</v>
      </c>
      <c r="M163" s="107">
        <f>Table6[[#This Row],[مرتب الضمان]]*17%</f>
        <v>782</v>
      </c>
      <c r="N163" s="107">
        <f>' الشركه 2018'!$H163*35%</f>
        <v>1610</v>
      </c>
      <c r="O163" s="107">
        <f>' الشركه 2018'!$H163*32%</f>
        <v>1472</v>
      </c>
      <c r="P163" s="107">
        <f>' الشركه 2018'!$H163*12%</f>
        <v>552</v>
      </c>
      <c r="Q163" s="107">
        <f>' الشركه 2018'!$H163*13%</f>
        <v>598</v>
      </c>
      <c r="R163" s="107">
        <f>' الشركه 2018'!$H163*6%</f>
        <v>276</v>
      </c>
      <c r="S163" s="107">
        <f>' الشركه 2018'!$H163*2%</f>
        <v>92</v>
      </c>
      <c r="T163" s="107">
        <f>' الشركه 2018'!$O163+' الشركه 2018'!$P163+' الشركه 2018'!$Q163+' الشركه 2018'!$R163+' الشركه 2018'!$S163</f>
        <v>2990</v>
      </c>
      <c r="U163" s="109">
        <f>VLOOKUP(Table6[[#This Row],[الرقم الوظيفى]],[2]بالخصم!$B$1:$AK$1200,35,)</f>
        <v>0</v>
      </c>
      <c r="V163" s="147"/>
      <c r="W163" s="111">
        <f>Table6[[#This Row],[عدد ايام الاجازه]]*Table6[[#This Row],[ح راتب اليوم]]</f>
        <v>0</v>
      </c>
      <c r="X163" s="148"/>
      <c r="Y163" s="60"/>
      <c r="Z163" s="111">
        <f>Table6[[#This Row],[عدد ايام الجزاء]]*Table6[[#This Row],[ح راتب اليوم]]</f>
        <v>0</v>
      </c>
      <c r="AA163" s="112">
        <f>Table6[[#This Row],[مرتب]]*50%</f>
        <v>2300</v>
      </c>
      <c r="AB163" s="113" t="e">
        <f>VLOOKUP(Table6[[#This Row],[الرقم الوظيفى]],[3]!Table25289[#Data],23,)</f>
        <v>#REF!</v>
      </c>
      <c r="AC163" s="149"/>
      <c r="AD163" s="150"/>
      <c r="AE163" s="113" t="e">
        <f>VLOOKUP(Table6[[#This Row],[الرقم الوظيفى]],[3]!Table252894[#Data],22,)</f>
        <v>#REF!</v>
      </c>
      <c r="AF163" s="151"/>
      <c r="AG163" s="111">
        <f>' الشركه 2018'!$W163+' الشركه 2018'!$Z163+' الشركه 2018'!$AA163+' الشركه 2018'!$AC163+' الشركه 2018'!$AD163+' الشركه 2018'!$AF163</f>
        <v>2300</v>
      </c>
      <c r="AH163" s="111">
        <f>Table6[[#This Row],[راتب الضمان]]*8%</f>
        <v>368</v>
      </c>
      <c r="AI163" s="111">
        <f>' الشركه 2018'!$H163-' الشركه 2018'!$AG163-' الشركه 2018'!$AH163</f>
        <v>1932</v>
      </c>
      <c r="AJ163" s="111">
        <f>' الشركه 2018'!$CF163</f>
        <v>0</v>
      </c>
      <c r="AK163" s="117">
        <f>' الشركه 2018'!$AI163+' الشركه 2018'!$AJ163</f>
        <v>1932</v>
      </c>
      <c r="AL163" s="152"/>
      <c r="AM163" s="153"/>
      <c r="AN163" s="9">
        <f>Table6[[#This Row],[اجمالى الاستحقاق]]-Table6[[#This Row],[Column2]]+Table6[[#This Row],[حوافز غير مستقره]]</f>
        <v>1932</v>
      </c>
      <c r="AO163" s="59"/>
      <c r="AP163" s="169"/>
      <c r="AQ163" s="176"/>
      <c r="AR163" s="124"/>
      <c r="AS163" s="155"/>
      <c r="AT163" s="170"/>
      <c r="AU163" s="124"/>
      <c r="AV163" s="124"/>
      <c r="AW163" s="124"/>
      <c r="AX163" s="124"/>
      <c r="AY163" s="124"/>
      <c r="AZ163" s="124"/>
      <c r="BA163" s="124"/>
      <c r="BB163" s="124"/>
      <c r="BC163" s="124"/>
      <c r="BD163" s="124"/>
      <c r="BE163" s="124"/>
      <c r="BF163" s="124"/>
      <c r="BG163" s="124"/>
      <c r="BH163" s="124"/>
      <c r="BI163" s="124"/>
      <c r="BJ163" s="124"/>
      <c r="BK163" s="124"/>
      <c r="BL163" s="124"/>
      <c r="BM163" s="124"/>
      <c r="BN163" s="124"/>
      <c r="BO163" s="124"/>
      <c r="BP163" s="124"/>
      <c r="BQ163" s="124"/>
      <c r="BR163" s="124"/>
      <c r="BS163" s="124"/>
      <c r="BT163" s="124"/>
      <c r="BU163" s="124"/>
      <c r="BV163" s="124"/>
      <c r="BW163" s="124"/>
      <c r="BX163" s="124"/>
      <c r="BY163" s="124"/>
      <c r="BZ163" s="171"/>
      <c r="CA163" s="172"/>
      <c r="CB16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3" s="131">
        <f>' الشركه 2018'!$H163*67%*1.5*' الشركه 2018'!$CB163/208</f>
        <v>0</v>
      </c>
      <c r="CE163" s="132">
        <f>' الشركه 2018'!$H163*67%*2*' الشركه 2018'!$CC163/208</f>
        <v>0</v>
      </c>
      <c r="CF163" s="133">
        <f>' الشركه 2018'!$CD163+' الشركه 2018'!$CE163</f>
        <v>0</v>
      </c>
      <c r="CG163" s="124"/>
      <c r="CH163" s="177">
        <f>SUMIF(C163:C437,' الشركه 2018'!$CG157,L163:L437)</f>
        <v>0</v>
      </c>
      <c r="CI163" s="124"/>
      <c r="CJ163" s="177">
        <f>' الشركه 2018'!$CH157*' الشركه 2018'!$CI157</f>
        <v>0</v>
      </c>
      <c r="CK163" s="177">
        <f>' الشركه 2018'!$CJ157*8%</f>
        <v>0</v>
      </c>
      <c r="CL163" s="177">
        <f>' الشركه 2018'!$CJ157*17%</f>
        <v>0</v>
      </c>
      <c r="CM163" s="177">
        <f>' الشركه 2018'!$CJ157*25%</f>
        <v>0</v>
      </c>
      <c r="CN163" s="162"/>
      <c r="CO163" s="162"/>
      <c r="CP163" s="163">
        <v>200</v>
      </c>
      <c r="CQ163" s="164" t="e">
        <f>VLOOKUP(Table6[[#This Row],[الرقم الوظيفى]],[4]!Table3[#Data],26,FALSE)</f>
        <v>#REF!</v>
      </c>
      <c r="CR163" s="165"/>
      <c r="CS163" s="124"/>
    </row>
    <row r="164" spans="1:97" ht="28" customHeight="1" thickTop="1" thickBot="1">
      <c r="A164" s="222">
        <v>842</v>
      </c>
      <c r="B164" s="142" t="s">
        <v>240</v>
      </c>
      <c r="C164" s="59" t="s">
        <v>90</v>
      </c>
      <c r="D164" s="143" t="s">
        <v>74</v>
      </c>
      <c r="E164" s="174"/>
      <c r="F164" s="143"/>
      <c r="G164" s="145">
        <v>42248</v>
      </c>
      <c r="H164" s="146">
        <v>4100</v>
      </c>
      <c r="I164" s="106">
        <f>Table6[[#This Row],[مرتب]]/30</f>
        <v>136.66666666666666</v>
      </c>
      <c r="J164" s="107">
        <v>30</v>
      </c>
      <c r="K164" s="107">
        <f t="shared" si="2"/>
        <v>4100</v>
      </c>
      <c r="L164" s="108">
        <v>4100</v>
      </c>
      <c r="M164" s="107">
        <f>Table6[[#This Row],[مرتب الضمان]]*17%</f>
        <v>697</v>
      </c>
      <c r="N164" s="107">
        <f>' الشركه 2018'!$H164*35%</f>
        <v>1435</v>
      </c>
      <c r="O164" s="107">
        <f>' الشركه 2018'!$H164*32%</f>
        <v>1312</v>
      </c>
      <c r="P164" s="107">
        <f>' الشركه 2018'!$H164*12%</f>
        <v>492</v>
      </c>
      <c r="Q164" s="107">
        <f>' الشركه 2018'!$H164*13%</f>
        <v>533</v>
      </c>
      <c r="R164" s="107">
        <f>' الشركه 2018'!$H164*6%</f>
        <v>246</v>
      </c>
      <c r="S164" s="107">
        <f>' الشركه 2018'!$H164*2%</f>
        <v>82</v>
      </c>
      <c r="T164" s="107">
        <f>' الشركه 2018'!$O164+' الشركه 2018'!$P164+' الشركه 2018'!$Q164+' الشركه 2018'!$R164+' الشركه 2018'!$S164</f>
        <v>2665</v>
      </c>
      <c r="U164" s="109">
        <f>VLOOKUP(Table6[[#This Row],[الرقم الوظيفى]],[2]بالخصم!$B$1:$AK$1200,35,)</f>
        <v>0</v>
      </c>
      <c r="V164" s="147"/>
      <c r="W164" s="111">
        <f>Table6[[#This Row],[عدد ايام الاجازه]]*Table6[[#This Row],[ح راتب اليوم]]</f>
        <v>0</v>
      </c>
      <c r="X164" s="148"/>
      <c r="Y164" s="60"/>
      <c r="Z164" s="111">
        <f>Table6[[#This Row],[عدد ايام الجزاء]]*Table6[[#This Row],[ح راتب اليوم]]</f>
        <v>0</v>
      </c>
      <c r="AA164" s="112">
        <f>Table6[[#This Row],[مرتب]]*50%</f>
        <v>2050</v>
      </c>
      <c r="AB164" s="113" t="e">
        <f>VLOOKUP(Table6[[#This Row],[الرقم الوظيفى]],[3]!Table25289[#Data],23,)</f>
        <v>#REF!</v>
      </c>
      <c r="AC164" s="149"/>
      <c r="AD164" s="150"/>
      <c r="AE164" s="113" t="e">
        <f>VLOOKUP(Table6[[#This Row],[الرقم الوظيفى]],[3]!Table252894[#Data],22,)</f>
        <v>#REF!</v>
      </c>
      <c r="AF164" s="151"/>
      <c r="AG164" s="111">
        <f>' الشركه 2018'!$W164+' الشركه 2018'!$Z164+' الشركه 2018'!$AA164+' الشركه 2018'!$AC164+' الشركه 2018'!$AD164+' الشركه 2018'!$AF164</f>
        <v>2050</v>
      </c>
      <c r="AH164" s="111">
        <f>Table6[[#This Row],[راتب الضمان]]*8%</f>
        <v>328</v>
      </c>
      <c r="AI164" s="111">
        <f>' الشركه 2018'!$H164-' الشركه 2018'!$AG164-' الشركه 2018'!$AH164</f>
        <v>1722</v>
      </c>
      <c r="AJ164" s="111">
        <f>' الشركه 2018'!$CF164</f>
        <v>633.92307692307691</v>
      </c>
      <c r="AK164" s="117">
        <f>' الشركه 2018'!$AI164+' الشركه 2018'!$AJ164</f>
        <v>2355.9230769230771</v>
      </c>
      <c r="AL164" s="152"/>
      <c r="AM164" s="153"/>
      <c r="AN164" s="9">
        <f>Table6[[#This Row],[اجمالى الاستحقاق]]-Table6[[#This Row],[Column2]]+Table6[[#This Row],[حوافز غير مستقره]]</f>
        <v>2355.9230769230771</v>
      </c>
      <c r="AO164" s="59"/>
      <c r="AP164" s="169"/>
      <c r="AQ164" s="176"/>
      <c r="AR164" s="124"/>
      <c r="AS164" s="155"/>
      <c r="AT164" s="170"/>
      <c r="AU164" s="124"/>
      <c r="AV164" s="124">
        <v>12</v>
      </c>
      <c r="AW164" s="124"/>
      <c r="AX164" s="124"/>
      <c r="AY164" s="124"/>
      <c r="AZ164" s="124"/>
      <c r="BA164" s="124"/>
      <c r="BB164" s="124"/>
      <c r="BC164" s="124">
        <v>12</v>
      </c>
      <c r="BD164" s="124"/>
      <c r="BE164" s="124"/>
      <c r="BF164" s="124"/>
      <c r="BG164" s="124"/>
      <c r="BH164" s="124"/>
      <c r="BI164" s="124"/>
      <c r="BJ164" s="124"/>
      <c r="BK164" s="124"/>
      <c r="BL164" s="124"/>
      <c r="BM164" s="124"/>
      <c r="BN164" s="124"/>
      <c r="BO164" s="124"/>
      <c r="BP164" s="124"/>
      <c r="BQ164" s="124"/>
      <c r="BR164" s="124"/>
      <c r="BS164" s="124"/>
      <c r="BT164" s="124"/>
      <c r="BU164" s="124"/>
      <c r="BV164" s="124"/>
      <c r="BW164" s="124"/>
      <c r="BX164" s="124"/>
      <c r="BY164" s="124"/>
      <c r="BZ164" s="159"/>
      <c r="CA164" s="160"/>
      <c r="CB16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4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64" s="131">
        <f>' الشركه 2018'!$H164*67%*1.5*' الشركه 2018'!$CB164/208</f>
        <v>0</v>
      </c>
      <c r="CE164" s="132">
        <f>' الشركه 2018'!$H164*67%*2*' الشركه 2018'!$CC164/208</f>
        <v>633.92307692307691</v>
      </c>
      <c r="CF164" s="133">
        <f>' الشركه 2018'!$CD164+' الشركه 2018'!$CE164</f>
        <v>633.92307692307691</v>
      </c>
      <c r="CG164" s="124"/>
      <c r="CH164" s="177">
        <f>SUMIF(C164:C438,' الشركه 2018'!#REF!,L164:L438)</f>
        <v>0</v>
      </c>
      <c r="CI164" s="124"/>
      <c r="CJ164" s="177" t="e">
        <f>' الشركه 2018'!#REF!*' الشركه 2018'!#REF!</f>
        <v>#REF!</v>
      </c>
      <c r="CK164" s="177" t="e">
        <f>' الشركه 2018'!#REF!*8%</f>
        <v>#REF!</v>
      </c>
      <c r="CL164" s="177" t="e">
        <f>' الشركه 2018'!#REF!*17%</f>
        <v>#REF!</v>
      </c>
      <c r="CM164" s="177" t="e">
        <f>' الشركه 2018'!#REF!*25%</f>
        <v>#REF!</v>
      </c>
      <c r="CN164" s="162"/>
      <c r="CO164" s="162"/>
      <c r="CP164" s="163"/>
      <c r="CQ164" s="164" t="e">
        <f>VLOOKUP(Table6[[#This Row],[الرقم الوظيفى]],[4]!Table3[#Data],26,FALSE)</f>
        <v>#REF!</v>
      </c>
      <c r="CR164" s="165">
        <v>800</v>
      </c>
      <c r="CS164" s="124"/>
    </row>
    <row r="165" spans="1:97" ht="28" customHeight="1" thickTop="1" thickBot="1">
      <c r="A165" s="222">
        <v>849</v>
      </c>
      <c r="B165" s="142" t="s">
        <v>169</v>
      </c>
      <c r="C165" s="59" t="s">
        <v>90</v>
      </c>
      <c r="D165" s="143" t="s">
        <v>684</v>
      </c>
      <c r="E165" s="174"/>
      <c r="F165" s="143"/>
      <c r="G165" s="145">
        <v>42309</v>
      </c>
      <c r="H165" s="146">
        <v>4090</v>
      </c>
      <c r="I165" s="106">
        <f>Table6[[#This Row],[مرتب]]/30</f>
        <v>136.33333333333334</v>
      </c>
      <c r="J165" s="107">
        <v>30</v>
      </c>
      <c r="K165" s="107">
        <f t="shared" si="2"/>
        <v>4090.0000000000005</v>
      </c>
      <c r="L165" s="108">
        <v>4090</v>
      </c>
      <c r="M165" s="107">
        <f>Table6[[#This Row],[مرتب الضمان]]*17%</f>
        <v>695.30000000000007</v>
      </c>
      <c r="N165" s="107">
        <f>' الشركه 2018'!$H165*35%</f>
        <v>1431.5</v>
      </c>
      <c r="O165" s="107">
        <f>' الشركه 2018'!$H165*32%</f>
        <v>1308.8</v>
      </c>
      <c r="P165" s="107">
        <f>' الشركه 2018'!$H165*12%</f>
        <v>490.79999999999995</v>
      </c>
      <c r="Q165" s="107">
        <f>' الشركه 2018'!$H165*13%</f>
        <v>531.70000000000005</v>
      </c>
      <c r="R165" s="107">
        <f>' الشركه 2018'!$H165*6%</f>
        <v>245.39999999999998</v>
      </c>
      <c r="S165" s="107">
        <f>' الشركه 2018'!$H165*2%</f>
        <v>81.8</v>
      </c>
      <c r="T165" s="107">
        <f>' الشركه 2018'!$O165+' الشركه 2018'!$P165+' الشركه 2018'!$Q165+' الشركه 2018'!$R165+' الشركه 2018'!$S165</f>
        <v>2658.5000000000005</v>
      </c>
      <c r="U165" s="109">
        <f>VLOOKUP(Table6[[#This Row],[الرقم الوظيفى]],[2]بالخصم!$B$1:$AK$1200,35,)</f>
        <v>0</v>
      </c>
      <c r="V165" s="147"/>
      <c r="W165" s="111">
        <f>Table6[[#This Row],[عدد ايام الاجازه]]*Table6[[#This Row],[ح راتب اليوم]]</f>
        <v>0</v>
      </c>
      <c r="X165" s="148"/>
      <c r="Y165" s="60"/>
      <c r="Z165" s="111">
        <f>Table6[[#This Row],[عدد ايام الجزاء]]*Table6[[#This Row],[ح راتب اليوم]]</f>
        <v>0</v>
      </c>
      <c r="AA165" s="112">
        <f>Table6[[#This Row],[مرتب]]*50%</f>
        <v>2045</v>
      </c>
      <c r="AB165" s="113" t="e">
        <f>VLOOKUP(Table6[[#This Row],[الرقم الوظيفى]],[3]!Table25289[#Data],23,)</f>
        <v>#REF!</v>
      </c>
      <c r="AC165" s="149"/>
      <c r="AD165" s="150"/>
      <c r="AE165" s="113" t="e">
        <f>VLOOKUP(Table6[[#This Row],[الرقم الوظيفى]],[3]!Table252894[#Data],22,)</f>
        <v>#REF!</v>
      </c>
      <c r="AF165" s="151"/>
      <c r="AG165" s="111">
        <f>' الشركه 2018'!$W165+' الشركه 2018'!$Z165+' الشركه 2018'!$AA165+' الشركه 2018'!$AC165+' الشركه 2018'!$AD165+' الشركه 2018'!$AF165</f>
        <v>2045</v>
      </c>
      <c r="AH165" s="111">
        <f>Table6[[#This Row],[راتب الضمان]]*8%</f>
        <v>327.20000000000005</v>
      </c>
      <c r="AI165" s="111">
        <f>' الشركه 2018'!$H165-' الشركه 2018'!$AG165-' الشركه 2018'!$AH165</f>
        <v>1717.8</v>
      </c>
      <c r="AJ165" s="111">
        <f>' الشركه 2018'!$CF165</f>
        <v>0</v>
      </c>
      <c r="AK165" s="117">
        <f>' الشركه 2018'!$AI165+' الشركه 2018'!$AJ165</f>
        <v>1717.8</v>
      </c>
      <c r="AL165" s="152"/>
      <c r="AM165" s="153"/>
      <c r="AN165" s="9">
        <f>Table6[[#This Row],[اجمالى الاستحقاق]]-Table6[[#This Row],[Column2]]+Table6[[#This Row],[حوافز غير مستقره]]</f>
        <v>1717.8</v>
      </c>
      <c r="AO165" s="59"/>
      <c r="AP165" s="169"/>
      <c r="AQ165" s="176"/>
      <c r="AR165" s="124"/>
      <c r="AS165" s="155"/>
      <c r="AT165" s="170"/>
      <c r="AU165" s="124"/>
      <c r="AV165" s="124"/>
      <c r="AW165" s="124"/>
      <c r="AX165" s="124"/>
      <c r="AY165" s="124"/>
      <c r="AZ165" s="124"/>
      <c r="BA165" s="124"/>
      <c r="BB165" s="124"/>
      <c r="BC165" s="124"/>
      <c r="BD165" s="124"/>
      <c r="BE165" s="124"/>
      <c r="BF165" s="124"/>
      <c r="BG165" s="124"/>
      <c r="BH165" s="124"/>
      <c r="BI165" s="124"/>
      <c r="BJ165" s="124"/>
      <c r="BK165" s="124"/>
      <c r="BL165" s="124"/>
      <c r="BM165" s="124"/>
      <c r="BN165" s="124"/>
      <c r="BO165" s="124"/>
      <c r="BP165" s="124"/>
      <c r="BQ165" s="124"/>
      <c r="BR165" s="124"/>
      <c r="BS165" s="124"/>
      <c r="BT165" s="124"/>
      <c r="BU165" s="124"/>
      <c r="BV165" s="124"/>
      <c r="BW165" s="124"/>
      <c r="BX165" s="124"/>
      <c r="BY165" s="124"/>
      <c r="BZ165" s="159"/>
      <c r="CA165" s="160"/>
      <c r="CB16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5" s="131">
        <f>' الشركه 2018'!$H165*67%*1.5*' الشركه 2018'!$CB165/208</f>
        <v>0</v>
      </c>
      <c r="CE165" s="132">
        <f>' الشركه 2018'!$H165*67%*2*' الشركه 2018'!$CC165/208</f>
        <v>0</v>
      </c>
      <c r="CF165" s="133">
        <f>' الشركه 2018'!$CD165+' الشركه 2018'!$CE165</f>
        <v>0</v>
      </c>
      <c r="CG165" s="124"/>
      <c r="CH165" s="177">
        <f>SUMIF(C165:C440,' الشركه 2018'!$CG158,L165:L440)</f>
        <v>0</v>
      </c>
      <c r="CI165" s="124"/>
      <c r="CJ165" s="177">
        <f>' الشركه 2018'!$CH158*' الشركه 2018'!$CI158</f>
        <v>0</v>
      </c>
      <c r="CK165" s="177">
        <f>' الشركه 2018'!$CJ158*8%</f>
        <v>0</v>
      </c>
      <c r="CL165" s="177">
        <f>' الشركه 2018'!$CJ158*17%</f>
        <v>0</v>
      </c>
      <c r="CM165" s="177">
        <f>' الشركه 2018'!$CJ158*25%</f>
        <v>0</v>
      </c>
      <c r="CN165" s="162"/>
      <c r="CO165" s="162"/>
      <c r="CP165" s="163">
        <v>1000</v>
      </c>
      <c r="CQ165" s="164" t="e">
        <f>VLOOKUP(Table6[[#This Row],[الرقم الوظيفى]],[4]!Table3[#Data],26,FALSE)</f>
        <v>#REF!</v>
      </c>
      <c r="CR165" s="165"/>
      <c r="CS165" s="124"/>
    </row>
    <row r="166" spans="1:97" ht="28" customHeight="1" thickTop="1" thickBot="1">
      <c r="A166" s="222">
        <v>852</v>
      </c>
      <c r="B166" s="142" t="s">
        <v>306</v>
      </c>
      <c r="C166" s="59" t="s">
        <v>90</v>
      </c>
      <c r="D166" s="143" t="s">
        <v>74</v>
      </c>
      <c r="E166" s="174"/>
      <c r="F166" s="143"/>
      <c r="G166" s="145">
        <v>42316</v>
      </c>
      <c r="H166" s="146">
        <v>3080</v>
      </c>
      <c r="I166" s="106">
        <f>Table6[[#This Row],[مرتب]]/30</f>
        <v>102.66666666666667</v>
      </c>
      <c r="J166" s="107">
        <v>30</v>
      </c>
      <c r="K166" s="107">
        <f t="shared" si="2"/>
        <v>3080</v>
      </c>
      <c r="L166" s="108">
        <v>3080</v>
      </c>
      <c r="M166" s="107">
        <f>Table6[[#This Row],[مرتب الضمان]]*17%</f>
        <v>523.6</v>
      </c>
      <c r="N166" s="107">
        <f>' الشركه 2018'!$H166*35%</f>
        <v>1078</v>
      </c>
      <c r="O166" s="107">
        <f>' الشركه 2018'!$H166*32%</f>
        <v>985.6</v>
      </c>
      <c r="P166" s="107">
        <f>' الشركه 2018'!$H166*12%</f>
        <v>369.59999999999997</v>
      </c>
      <c r="Q166" s="107">
        <f>' الشركه 2018'!$H166*13%</f>
        <v>400.40000000000003</v>
      </c>
      <c r="R166" s="107">
        <f>' الشركه 2018'!$H166*6%</f>
        <v>184.79999999999998</v>
      </c>
      <c r="S166" s="107">
        <f>' الشركه 2018'!$H166*2%</f>
        <v>61.6</v>
      </c>
      <c r="T166" s="107">
        <f>' الشركه 2018'!$O166+' الشركه 2018'!$P166+' الشركه 2018'!$Q166+' الشركه 2018'!$R166+' الشركه 2018'!$S166</f>
        <v>2002</v>
      </c>
      <c r="U166" s="109">
        <f>VLOOKUP(Table6[[#This Row],[الرقم الوظيفى]],[2]بالخصم!$B$1:$AK$1200,35,)</f>
        <v>0</v>
      </c>
      <c r="V166" s="147"/>
      <c r="W166" s="111">
        <f>Table6[[#This Row],[عدد ايام الاجازه]]*Table6[[#This Row],[ح راتب اليوم]]</f>
        <v>0</v>
      </c>
      <c r="X166" s="148"/>
      <c r="Y166" s="60"/>
      <c r="Z166" s="111">
        <f>Table6[[#This Row],[عدد ايام الجزاء]]*Table6[[#This Row],[ح راتب اليوم]]</f>
        <v>0</v>
      </c>
      <c r="AA166" s="112">
        <f>Table6[[#This Row],[مرتب]]*50%</f>
        <v>1540</v>
      </c>
      <c r="AB166" s="113" t="e">
        <f>VLOOKUP(Table6[[#This Row],[الرقم الوظيفى]],[3]!Table25289[#Data],23,)</f>
        <v>#REF!</v>
      </c>
      <c r="AC166" s="149"/>
      <c r="AD166" s="150"/>
      <c r="AE166" s="113" t="e">
        <f>VLOOKUP(Table6[[#This Row],[الرقم الوظيفى]],[3]!Table252894[#Data],22,)</f>
        <v>#REF!</v>
      </c>
      <c r="AF166" s="151"/>
      <c r="AG166" s="111">
        <f>' الشركه 2018'!$W166+' الشركه 2018'!$Z166+' الشركه 2018'!$AA166+' الشركه 2018'!$AC166+' الشركه 2018'!$AD166+' الشركه 2018'!$AF166</f>
        <v>1540</v>
      </c>
      <c r="AH166" s="111">
        <f>Table6[[#This Row],[راتب الضمان]]*8%</f>
        <v>246.4</v>
      </c>
      <c r="AI166" s="111">
        <f>' الشركه 2018'!$H166-' الشركه 2018'!$AG166-' الشركه 2018'!$AH166</f>
        <v>1293.5999999999999</v>
      </c>
      <c r="AJ166" s="111">
        <f>' الشركه 2018'!$CF166</f>
        <v>0</v>
      </c>
      <c r="AK166" s="117">
        <f>' الشركه 2018'!$AI166+' الشركه 2018'!$AJ166</f>
        <v>1293.5999999999999</v>
      </c>
      <c r="AL166" s="152"/>
      <c r="AM166" s="153"/>
      <c r="AN166" s="9">
        <f>Table6[[#This Row],[اجمالى الاستحقاق]]-Table6[[#This Row],[Column2]]+Table6[[#This Row],[حوافز غير مستقره]]</f>
        <v>1293.5999999999999</v>
      </c>
      <c r="AO166" s="59"/>
      <c r="AP166" s="169"/>
      <c r="AQ166" s="176"/>
      <c r="AR166" s="124"/>
      <c r="AS166" s="155"/>
      <c r="AT166" s="170"/>
      <c r="AU166" s="124"/>
      <c r="AV166" s="124"/>
      <c r="AW166" s="124"/>
      <c r="AX166" s="124"/>
      <c r="AY166" s="124"/>
      <c r="AZ166" s="124"/>
      <c r="BA166" s="124"/>
      <c r="BB166" s="124"/>
      <c r="BC166" s="124"/>
      <c r="BD166" s="124"/>
      <c r="BE166" s="124"/>
      <c r="BF166" s="124"/>
      <c r="BG166" s="124"/>
      <c r="BH166" s="124"/>
      <c r="BI166" s="124"/>
      <c r="BJ166" s="124"/>
      <c r="BK166" s="124"/>
      <c r="BL166" s="124"/>
      <c r="BM166" s="124"/>
      <c r="BN166" s="124"/>
      <c r="BO166" s="124"/>
      <c r="BP166" s="124"/>
      <c r="BQ166" s="124"/>
      <c r="BR166" s="124"/>
      <c r="BS166" s="124"/>
      <c r="BT166" s="124"/>
      <c r="BU166" s="124"/>
      <c r="BV166" s="124"/>
      <c r="BW166" s="124"/>
      <c r="BX166" s="124"/>
      <c r="BY166" s="124"/>
      <c r="BZ166" s="171"/>
      <c r="CA166" s="172"/>
      <c r="CB16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6" s="131">
        <f>' الشركه 2018'!$H166*67%*1.5*' الشركه 2018'!$CB166/208</f>
        <v>0</v>
      </c>
      <c r="CE166" s="132">
        <f>' الشركه 2018'!$H166*67%*2*' الشركه 2018'!$CC166/208</f>
        <v>0</v>
      </c>
      <c r="CF166" s="133">
        <f>' الشركه 2018'!$CD166+' الشركه 2018'!$CE166</f>
        <v>0</v>
      </c>
      <c r="CG166" s="124"/>
      <c r="CH166" s="177">
        <f>SUMIF(C166:C441,' الشركه 2018'!$CG159,L166:L441)</f>
        <v>0</v>
      </c>
      <c r="CI166" s="124"/>
      <c r="CJ166" s="177">
        <f>' الشركه 2018'!$CH159*' الشركه 2018'!$CI159</f>
        <v>0</v>
      </c>
      <c r="CK166" s="177">
        <f>' الشركه 2018'!$CJ159*8%</f>
        <v>0</v>
      </c>
      <c r="CL166" s="177">
        <f>' الشركه 2018'!$CJ159*17%</f>
        <v>0</v>
      </c>
      <c r="CM166" s="177">
        <f>' الشركه 2018'!$CJ159*25%</f>
        <v>0</v>
      </c>
      <c r="CN166" s="162"/>
      <c r="CO166" s="162"/>
      <c r="CP166" s="163"/>
      <c r="CQ166" s="164" t="e">
        <f>VLOOKUP(Table6[[#This Row],[الرقم الوظيفى]],[4]!Table3[#Data],26,FALSE)</f>
        <v>#REF!</v>
      </c>
      <c r="CR166" s="165">
        <v>300</v>
      </c>
      <c r="CS166" s="124"/>
    </row>
    <row r="167" spans="1:97" ht="28" customHeight="1" thickTop="1" thickBot="1">
      <c r="A167" s="222">
        <v>854</v>
      </c>
      <c r="B167" s="142" t="s">
        <v>337</v>
      </c>
      <c r="C167" s="59" t="s">
        <v>90</v>
      </c>
      <c r="D167" s="143" t="s">
        <v>76</v>
      </c>
      <c r="E167" s="174"/>
      <c r="F167" s="143"/>
      <c r="G167" s="145">
        <v>42329</v>
      </c>
      <c r="H167" s="146">
        <v>3080</v>
      </c>
      <c r="I167" s="106">
        <f>Table6[[#This Row],[مرتب]]/30</f>
        <v>102.66666666666667</v>
      </c>
      <c r="J167" s="107">
        <v>30</v>
      </c>
      <c r="K167" s="107">
        <f t="shared" si="2"/>
        <v>3080</v>
      </c>
      <c r="L167" s="108">
        <v>3080</v>
      </c>
      <c r="M167" s="107">
        <f>Table6[[#This Row],[مرتب الضمان]]*17%</f>
        <v>523.6</v>
      </c>
      <c r="N167" s="107">
        <f>' الشركه 2018'!$H167*35%</f>
        <v>1078</v>
      </c>
      <c r="O167" s="107">
        <f>' الشركه 2018'!$H167*32%</f>
        <v>985.6</v>
      </c>
      <c r="P167" s="107">
        <f>' الشركه 2018'!$H167*12%</f>
        <v>369.59999999999997</v>
      </c>
      <c r="Q167" s="107">
        <f>' الشركه 2018'!$H167*13%</f>
        <v>400.40000000000003</v>
      </c>
      <c r="R167" s="107">
        <f>' الشركه 2018'!$H167*6%</f>
        <v>184.79999999999998</v>
      </c>
      <c r="S167" s="107">
        <f>' الشركه 2018'!$H167*2%</f>
        <v>61.6</v>
      </c>
      <c r="T167" s="107">
        <f>' الشركه 2018'!$O167+' الشركه 2018'!$P167+' الشركه 2018'!$Q167+' الشركه 2018'!$R167+' الشركه 2018'!$S167</f>
        <v>2002</v>
      </c>
      <c r="U167" s="109">
        <f>VLOOKUP(Table6[[#This Row],[الرقم الوظيفى]],[2]بالخصم!$B$1:$AK$1200,35,)</f>
        <v>0</v>
      </c>
      <c r="V167" s="147"/>
      <c r="W167" s="111">
        <f>Table6[[#This Row],[عدد ايام الاجازه]]*Table6[[#This Row],[ح راتب اليوم]]</f>
        <v>0</v>
      </c>
      <c r="X167" s="148"/>
      <c r="Y167" s="60"/>
      <c r="Z167" s="111">
        <f>Table6[[#This Row],[عدد ايام الجزاء]]*Table6[[#This Row],[ح راتب اليوم]]</f>
        <v>0</v>
      </c>
      <c r="AA167" s="112">
        <f>Table6[[#This Row],[مرتب]]*50%</f>
        <v>1540</v>
      </c>
      <c r="AB167" s="113" t="e">
        <f>VLOOKUP(Table6[[#This Row],[الرقم الوظيفى]],[3]!Table25289[#Data],23,)</f>
        <v>#REF!</v>
      </c>
      <c r="AC167" s="149"/>
      <c r="AD167" s="150"/>
      <c r="AE167" s="113" t="e">
        <f>VLOOKUP(Table6[[#This Row],[الرقم الوظيفى]],[3]!Table252894[#Data],22,)</f>
        <v>#REF!</v>
      </c>
      <c r="AF167" s="151"/>
      <c r="AG167" s="111">
        <f>' الشركه 2018'!$W167+' الشركه 2018'!$Z167+' الشركه 2018'!$AA167+' الشركه 2018'!$AC167+' الشركه 2018'!$AD167+' الشركه 2018'!$AF167</f>
        <v>1540</v>
      </c>
      <c r="AH167" s="111">
        <f>Table6[[#This Row],[راتب الضمان]]*8%</f>
        <v>246.4</v>
      </c>
      <c r="AI167" s="111">
        <f>' الشركه 2018'!$H167-' الشركه 2018'!$AG167-' الشركه 2018'!$AH167</f>
        <v>1293.5999999999999</v>
      </c>
      <c r="AJ167" s="111">
        <f>' الشركه 2018'!$CF167</f>
        <v>0</v>
      </c>
      <c r="AK167" s="117">
        <f>' الشركه 2018'!$AI167+' الشركه 2018'!$AJ167</f>
        <v>1293.5999999999999</v>
      </c>
      <c r="AL167" s="152"/>
      <c r="AM167" s="153"/>
      <c r="AN167" s="9">
        <f>Table6[[#This Row],[اجمالى الاستحقاق]]-Table6[[#This Row],[Column2]]+Table6[[#This Row],[حوافز غير مستقره]]</f>
        <v>1293.5999999999999</v>
      </c>
      <c r="AO167" s="59"/>
      <c r="AP167" s="169"/>
      <c r="AQ167" s="176"/>
      <c r="AR167" s="124"/>
      <c r="AS167" s="155"/>
      <c r="AT167" s="170"/>
      <c r="AU167" s="124"/>
      <c r="AV167" s="124"/>
      <c r="AW167" s="124"/>
      <c r="AX167" s="124"/>
      <c r="AY167" s="124"/>
      <c r="AZ167" s="124"/>
      <c r="BA167" s="124"/>
      <c r="BB167" s="124"/>
      <c r="BC167" s="124"/>
      <c r="BD167" s="124"/>
      <c r="BE167" s="124"/>
      <c r="BF167" s="124"/>
      <c r="BG167" s="124"/>
      <c r="BH167" s="124"/>
      <c r="BI167" s="124"/>
      <c r="BJ167" s="124"/>
      <c r="BK167" s="124"/>
      <c r="BL167" s="124"/>
      <c r="BM167" s="124"/>
      <c r="BN167" s="124"/>
      <c r="BO167" s="124"/>
      <c r="BP167" s="124"/>
      <c r="BQ167" s="124"/>
      <c r="BR167" s="124"/>
      <c r="BS167" s="124"/>
      <c r="BT167" s="124"/>
      <c r="BU167" s="124"/>
      <c r="BV167" s="124"/>
      <c r="BW167" s="124"/>
      <c r="BX167" s="124"/>
      <c r="BY167" s="124"/>
      <c r="BZ167" s="171"/>
      <c r="CA167" s="172"/>
      <c r="CB16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7" s="131">
        <f>' الشركه 2018'!$H167*67%*1.5*' الشركه 2018'!$CB167/208</f>
        <v>0</v>
      </c>
      <c r="CE167" s="132">
        <f>' الشركه 2018'!$H167*67%*2*' الشركه 2018'!$CC167/208</f>
        <v>0</v>
      </c>
      <c r="CF167" s="133">
        <f>' الشركه 2018'!$CD167+' الشركه 2018'!$CE167</f>
        <v>0</v>
      </c>
      <c r="CG167" s="124"/>
      <c r="CH167" s="177">
        <f>SUMIF(C167:C443,' الشركه 2018'!$CG161,L167:L443)</f>
        <v>0</v>
      </c>
      <c r="CI167" s="124"/>
      <c r="CJ167" s="177">
        <f>' الشركه 2018'!$CH161*' الشركه 2018'!$CI161</f>
        <v>0</v>
      </c>
      <c r="CK167" s="177">
        <f>' الشركه 2018'!$CJ161*8%</f>
        <v>0</v>
      </c>
      <c r="CL167" s="177">
        <f>' الشركه 2018'!$CJ161*17%</f>
        <v>0</v>
      </c>
      <c r="CM167" s="177">
        <f>' الشركه 2018'!$CJ161*25%</f>
        <v>0</v>
      </c>
      <c r="CN167" s="162"/>
      <c r="CO167" s="162"/>
      <c r="CP167" s="163">
        <v>500</v>
      </c>
      <c r="CQ167" s="164" t="e">
        <f>VLOOKUP(Table6[[#This Row],[الرقم الوظيفى]],[4]!Table3[#Data],26,FALSE)</f>
        <v>#REF!</v>
      </c>
      <c r="CR167" s="165">
        <v>1000</v>
      </c>
      <c r="CS167" s="124"/>
    </row>
    <row r="168" spans="1:97" ht="28" customHeight="1" thickTop="1" thickBot="1">
      <c r="A168" s="222">
        <v>855</v>
      </c>
      <c r="B168" s="142" t="s">
        <v>362</v>
      </c>
      <c r="C168" s="59" t="s">
        <v>90</v>
      </c>
      <c r="D168" s="143" t="s">
        <v>80</v>
      </c>
      <c r="E168" s="174"/>
      <c r="F168" s="143"/>
      <c r="G168" s="145">
        <v>42353</v>
      </c>
      <c r="H168" s="146">
        <v>5100</v>
      </c>
      <c r="I168" s="106">
        <f>Table6[[#This Row],[مرتب]]/30</f>
        <v>170</v>
      </c>
      <c r="J168" s="107">
        <v>30</v>
      </c>
      <c r="K168" s="107">
        <f t="shared" si="2"/>
        <v>5100</v>
      </c>
      <c r="L168" s="108">
        <v>5100</v>
      </c>
      <c r="M168" s="107">
        <f>Table6[[#This Row],[مرتب الضمان]]*17%</f>
        <v>867.00000000000011</v>
      </c>
      <c r="N168" s="107">
        <f>' الشركه 2018'!$H168*35%</f>
        <v>1785</v>
      </c>
      <c r="O168" s="107">
        <f>' الشركه 2018'!$H168*32%</f>
        <v>1632</v>
      </c>
      <c r="P168" s="107">
        <f>' الشركه 2018'!$H168*12%</f>
        <v>612</v>
      </c>
      <c r="Q168" s="107">
        <f>' الشركه 2018'!$H168*13%</f>
        <v>663</v>
      </c>
      <c r="R168" s="107">
        <f>' الشركه 2018'!$H168*6%</f>
        <v>306</v>
      </c>
      <c r="S168" s="107">
        <f>' الشركه 2018'!$H168*2%</f>
        <v>102</v>
      </c>
      <c r="T168" s="107">
        <f>' الشركه 2018'!$O168+' الشركه 2018'!$P168+' الشركه 2018'!$Q168+' الشركه 2018'!$R168+' الشركه 2018'!$S168</f>
        <v>3315</v>
      </c>
      <c r="U168" s="109">
        <f>VLOOKUP(Table6[[#This Row],[الرقم الوظيفى]],[2]بالخصم!$B$1:$AK$1200,35,)</f>
        <v>0</v>
      </c>
      <c r="V168" s="147"/>
      <c r="W168" s="111">
        <f>Table6[[#This Row],[عدد ايام الاجازه]]*Table6[[#This Row],[ح راتب اليوم]]</f>
        <v>0</v>
      </c>
      <c r="X168" s="148"/>
      <c r="Y168" s="60"/>
      <c r="Z168" s="111">
        <f>Table6[[#This Row],[عدد ايام الجزاء]]*Table6[[#This Row],[ح راتب اليوم]]</f>
        <v>0</v>
      </c>
      <c r="AA168" s="112">
        <f>Table6[[#This Row],[مرتب]]*50%</f>
        <v>2550</v>
      </c>
      <c r="AB168" s="113" t="e">
        <f>VLOOKUP(Table6[[#This Row],[الرقم الوظيفى]],[3]!Table25289[#Data],23,)</f>
        <v>#REF!</v>
      </c>
      <c r="AC168" s="149"/>
      <c r="AD168" s="150"/>
      <c r="AE168" s="113" t="e">
        <f>VLOOKUP(Table6[[#This Row],[الرقم الوظيفى]],[3]!Table252894[#Data],22,)</f>
        <v>#REF!</v>
      </c>
      <c r="AF168" s="151"/>
      <c r="AG168" s="111">
        <f>' الشركه 2018'!$W168+' الشركه 2018'!$Z168+' الشركه 2018'!$AA168+' الشركه 2018'!$AC168+' الشركه 2018'!$AD168+' الشركه 2018'!$AF168</f>
        <v>2550</v>
      </c>
      <c r="AH168" s="111">
        <f>Table6[[#This Row],[راتب الضمان]]*8%</f>
        <v>408</v>
      </c>
      <c r="AI168" s="111">
        <f>' الشركه 2018'!$H168-' الشركه 2018'!$AG168-' الشركه 2018'!$AH168</f>
        <v>2142</v>
      </c>
      <c r="AJ168" s="111">
        <f>' الشركه 2018'!$CF168</f>
        <v>0</v>
      </c>
      <c r="AK168" s="117">
        <f>' الشركه 2018'!$AI168+' الشركه 2018'!$AJ168</f>
        <v>2142</v>
      </c>
      <c r="AL168" s="152"/>
      <c r="AM168" s="153"/>
      <c r="AN168" s="9">
        <f>Table6[[#This Row],[اجمالى الاستحقاق]]-Table6[[#This Row],[Column2]]+Table6[[#This Row],[حوافز غير مستقره]]</f>
        <v>2142</v>
      </c>
      <c r="AO168" s="59"/>
      <c r="AP168" s="169"/>
      <c r="AQ168" s="176"/>
      <c r="AR168" s="124"/>
      <c r="AS168" s="155"/>
      <c r="AT168" s="170"/>
      <c r="AU168" s="124"/>
      <c r="AV168" s="124"/>
      <c r="AW168" s="124"/>
      <c r="AX168" s="124"/>
      <c r="AY168" s="124"/>
      <c r="AZ168" s="124"/>
      <c r="BA168" s="124"/>
      <c r="BB168" s="124"/>
      <c r="BC168" s="124"/>
      <c r="BD168" s="124"/>
      <c r="BE168" s="124"/>
      <c r="BF168" s="124"/>
      <c r="BG168" s="124"/>
      <c r="BH168" s="124"/>
      <c r="BI168" s="124"/>
      <c r="BJ168" s="124"/>
      <c r="BK168" s="124"/>
      <c r="BL168" s="124"/>
      <c r="BM168" s="124"/>
      <c r="BN168" s="124"/>
      <c r="BO168" s="124"/>
      <c r="BP168" s="124"/>
      <c r="BQ168" s="124"/>
      <c r="BR168" s="124"/>
      <c r="BS168" s="124"/>
      <c r="BT168" s="124"/>
      <c r="BU168" s="124"/>
      <c r="BV168" s="124"/>
      <c r="BW168" s="124"/>
      <c r="BX168" s="124"/>
      <c r="BY168" s="124"/>
      <c r="BZ168" s="171"/>
      <c r="CA168" s="172"/>
      <c r="CB16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8" s="131">
        <f>' الشركه 2018'!$H168*67%*1.5*' الشركه 2018'!$CB168/208</f>
        <v>0</v>
      </c>
      <c r="CE168" s="132">
        <f>' الشركه 2018'!$H168*67%*2*' الشركه 2018'!$CC168/208</f>
        <v>0</v>
      </c>
      <c r="CF168" s="133">
        <f>' الشركه 2018'!$CD168+' الشركه 2018'!$CE168</f>
        <v>0</v>
      </c>
      <c r="CG168" s="124"/>
      <c r="CH168" s="177">
        <f>SUMIF(C168:C444,' الشركه 2018'!$CG162,L168:L444)</f>
        <v>0</v>
      </c>
      <c r="CI168" s="124"/>
      <c r="CJ168" s="177">
        <f>' الشركه 2018'!$CH162*' الشركه 2018'!$CI162</f>
        <v>0</v>
      </c>
      <c r="CK168" s="177">
        <f>' الشركه 2018'!$CJ162*8%</f>
        <v>0</v>
      </c>
      <c r="CL168" s="177">
        <f>' الشركه 2018'!$CJ162*17%</f>
        <v>0</v>
      </c>
      <c r="CM168" s="177">
        <f>' الشركه 2018'!$CJ162*25%</f>
        <v>0</v>
      </c>
      <c r="CN168" s="162"/>
      <c r="CO168" s="162"/>
      <c r="CP168" s="163"/>
      <c r="CQ168" s="164" t="e">
        <f>VLOOKUP(Table6[[#This Row],[الرقم الوظيفى]],[4]!Table3[#Data],26,FALSE)</f>
        <v>#REF!</v>
      </c>
      <c r="CR168" s="165">
        <v>500</v>
      </c>
      <c r="CS168" s="124"/>
    </row>
    <row r="169" spans="1:97" ht="22" customHeight="1" thickTop="1" thickBot="1">
      <c r="A169" s="222">
        <v>856</v>
      </c>
      <c r="B169" s="200" t="s">
        <v>216</v>
      </c>
      <c r="C169" s="201" t="s">
        <v>90</v>
      </c>
      <c r="D169" s="11" t="s">
        <v>74</v>
      </c>
      <c r="E169" s="144"/>
      <c r="F169" s="11"/>
      <c r="G169" s="184">
        <v>42372</v>
      </c>
      <c r="H169" s="210">
        <v>5550</v>
      </c>
      <c r="I169" s="211">
        <f>Table6[[#This Row],[مرتب]]/30</f>
        <v>185</v>
      </c>
      <c r="J169" s="107">
        <v>30</v>
      </c>
      <c r="K169" s="107">
        <f t="shared" si="2"/>
        <v>5550</v>
      </c>
      <c r="L169" s="212">
        <v>5550</v>
      </c>
      <c r="M169" s="107">
        <f>Table6[[#This Row],[مرتب الضمان]]*17%</f>
        <v>943.50000000000011</v>
      </c>
      <c r="N169" s="107">
        <f>' الشركه 2018'!$H169*35%</f>
        <v>1942.4999999999998</v>
      </c>
      <c r="O169" s="107">
        <f>' الشركه 2018'!$H169*32%</f>
        <v>1776</v>
      </c>
      <c r="P169" s="107">
        <f>' الشركه 2018'!$H169*12%</f>
        <v>666</v>
      </c>
      <c r="Q169" s="107">
        <f>' الشركه 2018'!$H169*13%</f>
        <v>721.5</v>
      </c>
      <c r="R169" s="107">
        <f>' الشركه 2018'!$H169*6%</f>
        <v>333</v>
      </c>
      <c r="S169" s="107">
        <f>' الشركه 2018'!$H169*2%</f>
        <v>111</v>
      </c>
      <c r="T169" s="107">
        <f>' الشركه 2018'!$O169+' الشركه 2018'!$P169+' الشركه 2018'!$Q169+' الشركه 2018'!$R169+' الشركه 2018'!$S169</f>
        <v>3607.5</v>
      </c>
      <c r="U169" s="109">
        <f>VLOOKUP(Table6[[#This Row],[الرقم الوظيفى]],[2]بالخصم!$B$1:$AK$1200,35,)</f>
        <v>0</v>
      </c>
      <c r="V169" s="213"/>
      <c r="W169" s="111">
        <f>Table6[[#This Row],[عدد ايام الاجازه]]*Table6[[#This Row],[ح راتب اليوم]]</f>
        <v>0</v>
      </c>
      <c r="X169" s="148"/>
      <c r="Y169" s="214"/>
      <c r="Z169" s="111">
        <f>Table6[[#This Row],[عدد ايام الجزاء]]*Table6[[#This Row],[ح راتب اليوم]]</f>
        <v>0</v>
      </c>
      <c r="AA169" s="112">
        <f>Table6[[#This Row],[مرتب]]*50%</f>
        <v>2775</v>
      </c>
      <c r="AB169" s="113" t="e">
        <f>VLOOKUP(Table6[[#This Row],[الرقم الوظيفى]],[3]!Table25289[#Data],23,)</f>
        <v>#REF!</v>
      </c>
      <c r="AC169" s="215"/>
      <c r="AD169" s="206"/>
      <c r="AE169" s="113" t="e">
        <f>VLOOKUP(Table6[[#This Row],[الرقم الوظيفى]],[3]!Table252894[#Data],22,)</f>
        <v>#REF!</v>
      </c>
      <c r="AF169" s="179"/>
      <c r="AG169" s="111">
        <f>' الشركه 2018'!$W169+' الشركه 2018'!$Z169+' الشركه 2018'!$AA169+' الشركه 2018'!$AC169+' الشركه 2018'!$AD169+' الشركه 2018'!$AF169</f>
        <v>2775</v>
      </c>
      <c r="AH169" s="111">
        <f>Table6[[#This Row],[راتب الضمان]]*8%</f>
        <v>444</v>
      </c>
      <c r="AI169" s="111">
        <f>' الشركه 2018'!$H169-' الشركه 2018'!$AG169-' الشركه 2018'!$AH169</f>
        <v>2331</v>
      </c>
      <c r="AJ169" s="111">
        <f>' الشركه 2018'!$CF169</f>
        <v>0</v>
      </c>
      <c r="AK169" s="117">
        <f>' الشركه 2018'!$AI169+' الشركه 2018'!$AJ169</f>
        <v>2331</v>
      </c>
      <c r="AL169" s="152"/>
      <c r="AM169" s="153"/>
      <c r="AN169" s="9">
        <f>Table6[[#This Row],[اجمالى الاستحقاق]]-Table6[[#This Row],[Column2]]+Table6[[#This Row],[حوافز غير مستقره]]</f>
        <v>2331</v>
      </c>
      <c r="AO169" s="201"/>
      <c r="AP169" s="169"/>
      <c r="AQ169" s="176"/>
      <c r="AR169" s="124"/>
      <c r="AS169" s="155"/>
      <c r="AT169" s="170"/>
      <c r="AU169" s="124"/>
      <c r="AV169" s="124"/>
      <c r="AW169" s="124"/>
      <c r="AX169" s="124"/>
      <c r="AY169" s="124"/>
      <c r="AZ169" s="124"/>
      <c r="BA169" s="124"/>
      <c r="BB169" s="124"/>
      <c r="BC169" s="124"/>
      <c r="BD169" s="124"/>
      <c r="BE169" s="124"/>
      <c r="BF169" s="124"/>
      <c r="BG169" s="124"/>
      <c r="BH169" s="124"/>
      <c r="BI169" s="124"/>
      <c r="BJ169" s="124"/>
      <c r="BK169" s="124"/>
      <c r="BL169" s="124"/>
      <c r="BM169" s="124"/>
      <c r="BN169" s="124"/>
      <c r="BO169" s="124"/>
      <c r="BP169" s="124"/>
      <c r="BQ169" s="124"/>
      <c r="BR169" s="124"/>
      <c r="BS169" s="124"/>
      <c r="BT169" s="124"/>
      <c r="BU169" s="124"/>
      <c r="BV169" s="124"/>
      <c r="BW169" s="124"/>
      <c r="BX169" s="124"/>
      <c r="BY169" s="124"/>
      <c r="BZ169" s="171"/>
      <c r="CA169" s="172"/>
      <c r="CB16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6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69" s="131">
        <f>' الشركه 2018'!$H169*67%*1.5*' الشركه 2018'!$CB169/208</f>
        <v>0</v>
      </c>
      <c r="CE169" s="132">
        <f>' الشركه 2018'!$H169*67%*2*' الشركه 2018'!$CC169/208</f>
        <v>0</v>
      </c>
      <c r="CF169" s="133">
        <f>' الشركه 2018'!$CD169+' الشركه 2018'!$CE169</f>
        <v>0</v>
      </c>
      <c r="CG169" s="124"/>
      <c r="CH169" s="177">
        <f>SUMIF(C169:C445,' الشركه 2018'!$CG163,L169:L445)</f>
        <v>0</v>
      </c>
      <c r="CI169" s="124"/>
      <c r="CJ169" s="177">
        <f>' الشركه 2018'!$CH163*' الشركه 2018'!$CI163</f>
        <v>0</v>
      </c>
      <c r="CK169" s="177">
        <f>' الشركه 2018'!$CJ163*8%</f>
        <v>0</v>
      </c>
      <c r="CL169" s="177">
        <f>' الشركه 2018'!$CJ163*17%</f>
        <v>0</v>
      </c>
      <c r="CM169" s="177">
        <f>' الشركه 2018'!$CJ163*25%</f>
        <v>0</v>
      </c>
      <c r="CN169" s="162"/>
      <c r="CO169" s="162"/>
      <c r="CP169" s="163"/>
      <c r="CQ169" s="164" t="e">
        <f>VLOOKUP(Table6[[#This Row],[الرقم الوظيفى]],[4]!Table3[#Data],26,FALSE)</f>
        <v>#REF!</v>
      </c>
      <c r="CR169" s="165">
        <v>700</v>
      </c>
      <c r="CS169" s="124"/>
    </row>
    <row r="170" spans="1:97" s="259" customFormat="1" ht="28" customHeight="1" thickTop="1" thickBot="1">
      <c r="A170" s="181">
        <v>857</v>
      </c>
      <c r="B170" s="250" t="s">
        <v>174</v>
      </c>
      <c r="C170" s="143" t="s">
        <v>137</v>
      </c>
      <c r="D170" s="143" t="s">
        <v>611</v>
      </c>
      <c r="E170" s="174" t="s">
        <v>679</v>
      </c>
      <c r="F170" s="143" t="s">
        <v>173</v>
      </c>
      <c r="G170" s="145">
        <v>42386</v>
      </c>
      <c r="H170" s="251">
        <v>4080</v>
      </c>
      <c r="I170" s="252">
        <f>Table6[[#This Row],[مرتب]]/30</f>
        <v>136</v>
      </c>
      <c r="J170" s="143">
        <v>30</v>
      </c>
      <c r="K170" s="143">
        <f t="shared" si="2"/>
        <v>4080</v>
      </c>
      <c r="L170" s="108">
        <v>4080</v>
      </c>
      <c r="M170" s="143">
        <f>Table6[[#This Row],[مرتب الضمان]]*17%</f>
        <v>693.6</v>
      </c>
      <c r="N170" s="143">
        <f>' الشركه 2018'!$H170*35%</f>
        <v>1428</v>
      </c>
      <c r="O170" s="143">
        <f>' الشركه 2018'!$H170*32%</f>
        <v>1305.6000000000001</v>
      </c>
      <c r="P170" s="143">
        <f>' الشركه 2018'!$H170*12%</f>
        <v>489.59999999999997</v>
      </c>
      <c r="Q170" s="143">
        <f>' الشركه 2018'!$H170*13%</f>
        <v>530.4</v>
      </c>
      <c r="R170" s="143">
        <f>' الشركه 2018'!$H170*6%</f>
        <v>244.79999999999998</v>
      </c>
      <c r="S170" s="143">
        <f>' الشركه 2018'!$H170*2%</f>
        <v>81.600000000000009</v>
      </c>
      <c r="T170" s="143">
        <f>' الشركه 2018'!$O170+' الشركه 2018'!$P170+' الشركه 2018'!$Q170+' الشركه 2018'!$R170+' الشركه 2018'!$S170</f>
        <v>2652</v>
      </c>
      <c r="U170" s="109">
        <f>VLOOKUP(Table6[[#This Row],[الرقم الوظيفى]],[2]بالخصم!$B$1:$AK$1200,35,)</f>
        <v>0</v>
      </c>
      <c r="V170" s="253"/>
      <c r="W170" s="187">
        <f>Table6[[#This Row],[عدد ايام الاجازه]]*Table6[[#This Row],[ح راتب اليوم]]</f>
        <v>0</v>
      </c>
      <c r="X170" s="188"/>
      <c r="Y170" s="254"/>
      <c r="Z170" s="187">
        <f>Table6[[#This Row],[عدد ايام الجزاء]]*Table6[[#This Row],[ح راتب اليوم]]</f>
        <v>0</v>
      </c>
      <c r="AA170" s="190"/>
      <c r="AB170" s="191" t="e">
        <f>VLOOKUP(Table6[[#This Row],[الرقم الوظيفى]],[3]!Table25289[#Data],23,)</f>
        <v>#REF!</v>
      </c>
      <c r="AC170" s="192">
        <v>500</v>
      </c>
      <c r="AD170" s="255"/>
      <c r="AE170" s="113" t="e">
        <f>VLOOKUP(Table6[[#This Row],[الرقم الوظيفى]],[3]!Table252894[#Data],22,)</f>
        <v>#REF!</v>
      </c>
      <c r="AF170" s="194"/>
      <c r="AG170" s="111">
        <f>' الشركه 2018'!$W170+' الشركه 2018'!$Z170+' الشركه 2018'!$AA170+' الشركه 2018'!$AC170+' الشركه 2018'!$AD170+' الشركه 2018'!$AF170</f>
        <v>500</v>
      </c>
      <c r="AH170" s="111">
        <f>Table6[[#This Row],[راتب الضمان]]*8%</f>
        <v>326.40000000000003</v>
      </c>
      <c r="AI170" s="111">
        <f>' الشركه 2018'!$H170-' الشركه 2018'!$AG170-' الشركه 2018'!$AH170</f>
        <v>3253.6</v>
      </c>
      <c r="AJ170" s="111">
        <f>' الشركه 2018'!$CF170</f>
        <v>136.02288461538464</v>
      </c>
      <c r="AK170" s="117">
        <f>' الشركه 2018'!$AI170+' الشركه 2018'!$AJ170</f>
        <v>3389.6228846153845</v>
      </c>
      <c r="AL170" s="195"/>
      <c r="AM170" s="256"/>
      <c r="AN170" s="9">
        <f>Table6[[#This Row],[اجمالى الاستحقاق]]-Table6[[#This Row],[Column2]]+Table6[[#This Row],[حوافز غير مستقره]]</f>
        <v>3389.6228846153845</v>
      </c>
      <c r="AO170" s="257"/>
      <c r="AP170" s="198"/>
      <c r="AQ170" s="176"/>
      <c r="AR170" s="124"/>
      <c r="AS170" s="155"/>
      <c r="AT170" s="170"/>
      <c r="AU170" s="124">
        <v>1</v>
      </c>
      <c r="AV170" s="124"/>
      <c r="AW170" s="124"/>
      <c r="AX170" s="124"/>
      <c r="AY170" s="124"/>
      <c r="AZ170" s="124"/>
      <c r="BA170" s="124">
        <v>1.5</v>
      </c>
      <c r="BB170" s="124">
        <v>1.5</v>
      </c>
      <c r="BC170" s="124"/>
      <c r="BD170" s="124"/>
      <c r="BE170" s="124"/>
      <c r="BF170" s="124"/>
      <c r="BG170" s="124"/>
      <c r="BH170" s="124"/>
      <c r="BI170" s="124"/>
      <c r="BJ170" s="124"/>
      <c r="BK170" s="124"/>
      <c r="BL170" s="124">
        <v>0.9</v>
      </c>
      <c r="BM170" s="124">
        <v>2</v>
      </c>
      <c r="BN170" s="124"/>
      <c r="BO170" s="124"/>
      <c r="BP170" s="124"/>
      <c r="BQ170" s="124"/>
      <c r="BR170" s="124"/>
      <c r="BS170" s="124"/>
      <c r="BT170" s="124"/>
      <c r="BU170" s="124"/>
      <c r="BV170" s="124"/>
      <c r="BW170" s="124"/>
      <c r="BX170" s="124"/>
      <c r="BY170" s="124"/>
      <c r="BZ170" s="159"/>
      <c r="CA170" s="160"/>
      <c r="CB17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6.9</v>
      </c>
      <c r="CC17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0" s="131">
        <f>' الشركه 2018'!$H170*67%*1.5*' الشركه 2018'!$CB170/208</f>
        <v>136.02288461538464</v>
      </c>
      <c r="CE170" s="132">
        <f>' الشركه 2018'!$H170*67%*2*' الشركه 2018'!$CC170/208</f>
        <v>0</v>
      </c>
      <c r="CF170" s="133">
        <f>' الشركه 2018'!$CD170+' الشركه 2018'!$CE170</f>
        <v>136.02288461538464</v>
      </c>
      <c r="CG170" s="124"/>
      <c r="CH170" s="177">
        <f>SUMIF(C170:C446,' الشركه 2018'!$CG164,L170:L446)</f>
        <v>0</v>
      </c>
      <c r="CI170" s="124"/>
      <c r="CJ170" s="177">
        <f>' الشركه 2018'!$CH164*' الشركه 2018'!$CI164</f>
        <v>0</v>
      </c>
      <c r="CK170" s="177" t="e">
        <f>' الشركه 2018'!$CJ164*8%</f>
        <v>#REF!</v>
      </c>
      <c r="CL170" s="177" t="e">
        <f>' الشركه 2018'!$CJ164*17%</f>
        <v>#REF!</v>
      </c>
      <c r="CM170" s="177" t="e">
        <f>' الشركه 2018'!$CJ164*25%</f>
        <v>#REF!</v>
      </c>
      <c r="CN170" s="162"/>
      <c r="CO170" s="162"/>
      <c r="CP170" s="163">
        <v>300</v>
      </c>
      <c r="CQ170" s="164" t="e">
        <f>VLOOKUP(Table6[[#This Row],[الرقم الوظيفى]],[4]!Table3[#Data],26,FALSE)</f>
        <v>#REF!</v>
      </c>
      <c r="CR170" s="165">
        <v>500</v>
      </c>
      <c r="CS170" s="258"/>
    </row>
    <row r="171" spans="1:97" s="259" customFormat="1" ht="28" customHeight="1" thickTop="1" thickBot="1">
      <c r="A171" s="222">
        <v>859</v>
      </c>
      <c r="B171" s="142" t="s">
        <v>175</v>
      </c>
      <c r="C171" s="59" t="s">
        <v>90</v>
      </c>
      <c r="D171" s="143" t="s">
        <v>611</v>
      </c>
      <c r="E171" s="174" t="s">
        <v>679</v>
      </c>
      <c r="F171" s="143" t="s">
        <v>173</v>
      </c>
      <c r="G171" s="145">
        <v>42401</v>
      </c>
      <c r="H171" s="146">
        <v>4080</v>
      </c>
      <c r="I171" s="106">
        <f>Table6[[#This Row],[مرتب]]/30</f>
        <v>136</v>
      </c>
      <c r="J171" s="107">
        <v>30</v>
      </c>
      <c r="K171" s="107">
        <f t="shared" si="2"/>
        <v>4080</v>
      </c>
      <c r="L171" s="108">
        <v>4080</v>
      </c>
      <c r="M171" s="107">
        <f>Table6[[#This Row],[مرتب الضمان]]*17%</f>
        <v>693.6</v>
      </c>
      <c r="N171" s="107">
        <f>' الشركه 2018'!$H171*35%</f>
        <v>1428</v>
      </c>
      <c r="O171" s="107">
        <f>' الشركه 2018'!$H171*32%</f>
        <v>1305.6000000000001</v>
      </c>
      <c r="P171" s="107">
        <f>' الشركه 2018'!$H171*12%</f>
        <v>489.59999999999997</v>
      </c>
      <c r="Q171" s="107">
        <f>' الشركه 2018'!$H171*13%</f>
        <v>530.4</v>
      </c>
      <c r="R171" s="107">
        <f>' الشركه 2018'!$H171*6%</f>
        <v>244.79999999999998</v>
      </c>
      <c r="S171" s="107">
        <f>' الشركه 2018'!$H171*2%</f>
        <v>81.600000000000009</v>
      </c>
      <c r="T171" s="107">
        <f>' الشركه 2018'!$O171+' الشركه 2018'!$P171+' الشركه 2018'!$Q171+' الشركه 2018'!$R171+' الشركه 2018'!$S171</f>
        <v>2652</v>
      </c>
      <c r="U171" s="109">
        <f>VLOOKUP(Table6[[#This Row],[الرقم الوظيفى]],[2]بالخصم!$B$1:$AK$1200,35,)</f>
        <v>0</v>
      </c>
      <c r="V171" s="147"/>
      <c r="W171" s="111">
        <f>Table6[[#This Row],[عدد ايام الاجازه]]*Table6[[#This Row],[ح راتب اليوم]]</f>
        <v>0</v>
      </c>
      <c r="X171" s="148"/>
      <c r="Y171" s="60"/>
      <c r="Z171" s="111">
        <f>Table6[[#This Row],[عدد ايام الجزاء]]*Table6[[#This Row],[ح راتب اليوم]]</f>
        <v>0</v>
      </c>
      <c r="AA171" s="112">
        <f>Table6[[#This Row],[مرتب]]*50%</f>
        <v>2040</v>
      </c>
      <c r="AB171" s="113" t="e">
        <f>VLOOKUP(Table6[[#This Row],[الرقم الوظيفى]],[3]!Table25289[#Data],23,)</f>
        <v>#REF!</v>
      </c>
      <c r="AC171" s="149"/>
      <c r="AD171" s="150"/>
      <c r="AE171" s="113" t="e">
        <f>VLOOKUP(Table6[[#This Row],[الرقم الوظيفى]],[3]!Table252894[#Data],22,)</f>
        <v>#REF!</v>
      </c>
      <c r="AF171" s="151">
        <v>250</v>
      </c>
      <c r="AG171" s="111">
        <f>' الشركه 2018'!$W171+' الشركه 2018'!$Z171+' الشركه 2018'!$AA171+' الشركه 2018'!$AC171+' الشركه 2018'!$AD171+' الشركه 2018'!$AF171</f>
        <v>2290</v>
      </c>
      <c r="AH171" s="111">
        <f>Table6[[#This Row],[راتب الضمان]]*8%</f>
        <v>326.40000000000003</v>
      </c>
      <c r="AI171" s="111">
        <f>' الشركه 2018'!$H171-' الشركه 2018'!$AG171-' الشركه 2018'!$AH171</f>
        <v>1463.6</v>
      </c>
      <c r="AJ171" s="111">
        <f>' الشركه 2018'!$CF171</f>
        <v>630.83076923076931</v>
      </c>
      <c r="AK171" s="117">
        <f>' الشركه 2018'!$AI171+' الشركه 2018'!$AJ171</f>
        <v>2094.4307692307693</v>
      </c>
      <c r="AL171" s="152"/>
      <c r="AM171" s="153"/>
      <c r="AN171" s="9">
        <f>Table6[[#This Row],[اجمالى الاستحقاق]]-Table6[[#This Row],[Column2]]+Table6[[#This Row],[حوافز غير مستقره]]</f>
        <v>2094.4307692307693</v>
      </c>
      <c r="AO171" s="59"/>
      <c r="AP171" s="169"/>
      <c r="AQ171" s="176"/>
      <c r="AR171" s="124"/>
      <c r="AS171" s="155"/>
      <c r="AT171" s="170"/>
      <c r="AU171" s="124"/>
      <c r="AV171" s="124"/>
      <c r="AW171" s="124"/>
      <c r="AX171" s="124"/>
      <c r="AY171" s="124"/>
      <c r="AZ171" s="124"/>
      <c r="BA171" s="124"/>
      <c r="BB171" s="124"/>
      <c r="BC171" s="124">
        <v>12</v>
      </c>
      <c r="BD171" s="124"/>
      <c r="BE171" s="124"/>
      <c r="BF171" s="124"/>
      <c r="BG171" s="124"/>
      <c r="BH171" s="124"/>
      <c r="BI171" s="124"/>
      <c r="BJ171" s="124"/>
      <c r="BK171" s="124"/>
      <c r="BL171" s="124"/>
      <c r="BM171" s="124"/>
      <c r="BN171" s="124"/>
      <c r="BO171" s="124"/>
      <c r="BP171" s="124"/>
      <c r="BQ171" s="124">
        <v>12</v>
      </c>
      <c r="BR171" s="124"/>
      <c r="BS171" s="124"/>
      <c r="BT171" s="124"/>
      <c r="BU171" s="124"/>
      <c r="BV171" s="124"/>
      <c r="BW171" s="124"/>
      <c r="BX171" s="124"/>
      <c r="BY171" s="124"/>
      <c r="BZ171" s="171"/>
      <c r="CA171" s="172"/>
      <c r="CB17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1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71" s="131">
        <f>' الشركه 2018'!$H171*67%*1.5*' الشركه 2018'!$CB171/208</f>
        <v>0</v>
      </c>
      <c r="CE171" s="132">
        <f>' الشركه 2018'!$H171*67%*2*' الشركه 2018'!$CC171/208</f>
        <v>630.83076923076931</v>
      </c>
      <c r="CF171" s="133">
        <f>' الشركه 2018'!$CD171+' الشركه 2018'!$CE171</f>
        <v>630.83076923076931</v>
      </c>
      <c r="CG171" s="124"/>
      <c r="CH171" s="177">
        <f>SUMIF(C171:C447,' الشركه 2018'!$CG165,L171:L447)</f>
        <v>0</v>
      </c>
      <c r="CI171" s="124"/>
      <c r="CJ171" s="177">
        <f>' الشركه 2018'!$CH165*' الشركه 2018'!$CI165</f>
        <v>0</v>
      </c>
      <c r="CK171" s="177">
        <f>' الشركه 2018'!$CJ165*8%</f>
        <v>0</v>
      </c>
      <c r="CL171" s="177">
        <f>' الشركه 2018'!$CJ165*17%</f>
        <v>0</v>
      </c>
      <c r="CM171" s="177">
        <f>' الشركه 2018'!$CJ165*25%</f>
        <v>0</v>
      </c>
      <c r="CN171" s="162"/>
      <c r="CO171" s="162"/>
      <c r="CP171" s="163">
        <v>400</v>
      </c>
      <c r="CQ171" s="164" t="e">
        <f>VLOOKUP(Table6[[#This Row],[الرقم الوظيفى]],[4]!Table3[#Data],26,FALSE)</f>
        <v>#REF!</v>
      </c>
      <c r="CR171" s="165"/>
      <c r="CS171" s="258"/>
    </row>
    <row r="172" spans="1:97" s="259" customFormat="1" ht="28" customHeight="1" thickTop="1" thickBot="1">
      <c r="A172" s="222">
        <v>860</v>
      </c>
      <c r="B172" s="244" t="s">
        <v>685</v>
      </c>
      <c r="C172" s="245" t="s">
        <v>90</v>
      </c>
      <c r="D172" s="11" t="s">
        <v>74</v>
      </c>
      <c r="E172" s="202"/>
      <c r="F172" s="11"/>
      <c r="G172" s="246">
        <v>42919</v>
      </c>
      <c r="H172" s="146">
        <v>3020</v>
      </c>
      <c r="I172" s="106">
        <f>Table6[[#This Row],[مرتب]]/30</f>
        <v>100.66666666666667</v>
      </c>
      <c r="J172" s="107">
        <v>30</v>
      </c>
      <c r="K172" s="107">
        <f t="shared" si="2"/>
        <v>3020</v>
      </c>
      <c r="L172" s="108">
        <v>3020</v>
      </c>
      <c r="M172" s="107">
        <f>Table6[[#This Row],[مرتب الضمان]]*17%</f>
        <v>513.40000000000009</v>
      </c>
      <c r="N172" s="107">
        <f>' الشركه 2018'!$H172*35%</f>
        <v>1057</v>
      </c>
      <c r="O172" s="107">
        <f>' الشركه 2018'!$H172*32%</f>
        <v>966.4</v>
      </c>
      <c r="P172" s="107">
        <f>' الشركه 2018'!$H172*12%</f>
        <v>362.4</v>
      </c>
      <c r="Q172" s="107">
        <f>' الشركه 2018'!$H172*13%</f>
        <v>392.6</v>
      </c>
      <c r="R172" s="107">
        <f>' الشركه 2018'!$H172*6%</f>
        <v>181.2</v>
      </c>
      <c r="S172" s="107">
        <f>' الشركه 2018'!$H172*2%</f>
        <v>60.4</v>
      </c>
      <c r="T172" s="107">
        <f>' الشركه 2018'!$O172+' الشركه 2018'!$P172+' الشركه 2018'!$Q172+' الشركه 2018'!$R172+' الشركه 2018'!$S172</f>
        <v>1963.0000000000002</v>
      </c>
      <c r="U172" s="109">
        <f>VLOOKUP(Table6[[#This Row],[الرقم الوظيفى]],[2]بالخصم!$B$1:$AK$1200,35,)</f>
        <v>0</v>
      </c>
      <c r="V172" s="213"/>
      <c r="W172" s="111">
        <f>Table6[[#This Row],[عدد ايام الاجازه]]*Table6[[#This Row],[ح راتب اليوم]]</f>
        <v>0</v>
      </c>
      <c r="X172" s="148"/>
      <c r="Y172" s="214"/>
      <c r="Z172" s="111">
        <f>Table6[[#This Row],[عدد ايام الجزاء]]*Table6[[#This Row],[ح راتب اليوم]]</f>
        <v>0</v>
      </c>
      <c r="AA172" s="112">
        <f>Table6[[#This Row],[مرتب]]*50%</f>
        <v>1510</v>
      </c>
      <c r="AB172" s="113" t="e">
        <f>VLOOKUP(Table6[[#This Row],[الرقم الوظيفى]],[3]!Table25289[#Data],23,)</f>
        <v>#REF!</v>
      </c>
      <c r="AC172" s="215">
        <v>200</v>
      </c>
      <c r="AD172" s="206"/>
      <c r="AE172" s="113" t="e">
        <f>VLOOKUP(Table6[[#This Row],[الرقم الوظيفى]],[3]!Table252894[#Data],22,)</f>
        <v>#REF!</v>
      </c>
      <c r="AF172" s="151"/>
      <c r="AG172" s="111">
        <f>' الشركه 2018'!$W172+' الشركه 2018'!$Z172+' الشركه 2018'!$AA172+' الشركه 2018'!$AC172+' الشركه 2018'!$AD172+' الشركه 2018'!$AF172</f>
        <v>1710</v>
      </c>
      <c r="AH172" s="111">
        <f>Table6[[#This Row],[راتب الضمان]]*8%</f>
        <v>241.6</v>
      </c>
      <c r="AI172" s="111">
        <f>' الشركه 2018'!$H172-' الشركه 2018'!$AG172-' الشركه 2018'!$AH172</f>
        <v>1068.4000000000001</v>
      </c>
      <c r="AJ172" s="111">
        <f>' الشركه 2018'!$CF172</f>
        <v>0</v>
      </c>
      <c r="AK172" s="117">
        <f>' الشركه 2018'!$AI172+' الشركه 2018'!$AJ172</f>
        <v>1068.4000000000001</v>
      </c>
      <c r="AL172" s="152"/>
      <c r="AM172" s="153"/>
      <c r="AN172" s="9">
        <f>Table6[[#This Row],[اجمالى الاستحقاق]]-Table6[[#This Row],[Column2]]+Table6[[#This Row],[حوافز غير مستقره]]</f>
        <v>1068.4000000000001</v>
      </c>
      <c r="AO172" s="59"/>
      <c r="AP172" s="169"/>
      <c r="AQ172" s="176"/>
      <c r="AR172" s="124"/>
      <c r="AS172" s="208"/>
      <c r="AT172" s="170"/>
      <c r="AU172" s="124"/>
      <c r="AV172" s="124"/>
      <c r="AW172" s="124"/>
      <c r="AX172" s="124"/>
      <c r="AY172" s="124"/>
      <c r="AZ172" s="124"/>
      <c r="BA172" s="124"/>
      <c r="BB172" s="124"/>
      <c r="BC172" s="124"/>
      <c r="BD172" s="124"/>
      <c r="BE172" s="124"/>
      <c r="BF172" s="124"/>
      <c r="BG172" s="124"/>
      <c r="BH172" s="124"/>
      <c r="BI172" s="124"/>
      <c r="BJ172" s="124"/>
      <c r="BK172" s="124"/>
      <c r="BL172" s="124"/>
      <c r="BM172" s="177"/>
      <c r="BN172" s="177"/>
      <c r="BO172" s="177"/>
      <c r="BP172" s="177"/>
      <c r="BQ172" s="177"/>
      <c r="BR172" s="177"/>
      <c r="BS172" s="177"/>
      <c r="BT172" s="124"/>
      <c r="BU172" s="124"/>
      <c r="BV172" s="177"/>
      <c r="BW172" s="177"/>
      <c r="BX172" s="177"/>
      <c r="BY172" s="177"/>
      <c r="BZ172" s="171"/>
      <c r="CA172" s="172"/>
      <c r="CB17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2" s="131">
        <f>' الشركه 2018'!$H172*67%*1.5*' الشركه 2018'!$CB172/208</f>
        <v>0</v>
      </c>
      <c r="CE172" s="132">
        <f>' الشركه 2018'!$H172*67%*2*' الشركه 2018'!$CC172/208</f>
        <v>0</v>
      </c>
      <c r="CF172" s="133">
        <f>' الشركه 2018'!$CD172+' الشركه 2018'!$CE172</f>
        <v>0</v>
      </c>
      <c r="CG172" s="124"/>
      <c r="CH172" s="177"/>
      <c r="CI172" s="124"/>
      <c r="CJ172" s="162"/>
      <c r="CK172" s="162"/>
      <c r="CL172" s="177"/>
      <c r="CM172" s="162"/>
      <c r="CN172" s="162"/>
      <c r="CO172" s="162"/>
      <c r="CP172" s="163"/>
      <c r="CQ172" s="164" t="e">
        <f>VLOOKUP(Table6[[#This Row],[الرقم الوظيفى]],[4]!Table3[#Data],26,FALSE)</f>
        <v>#REF!</v>
      </c>
      <c r="CR172" s="165"/>
      <c r="CS172" s="258"/>
    </row>
    <row r="173" spans="1:97" s="259" customFormat="1" ht="28" customHeight="1" thickTop="1" thickBot="1">
      <c r="A173" s="222">
        <v>862</v>
      </c>
      <c r="B173" s="142" t="s">
        <v>263</v>
      </c>
      <c r="C173" s="59" t="s">
        <v>90</v>
      </c>
      <c r="D173" s="143" t="s">
        <v>74</v>
      </c>
      <c r="E173" s="174"/>
      <c r="F173" s="143" t="s">
        <v>63</v>
      </c>
      <c r="G173" s="145">
        <v>42404</v>
      </c>
      <c r="H173" s="146">
        <v>4080</v>
      </c>
      <c r="I173" s="106">
        <f>Table6[[#This Row],[مرتب]]/30</f>
        <v>136</v>
      </c>
      <c r="J173" s="107">
        <v>30</v>
      </c>
      <c r="K173" s="107">
        <f t="shared" si="2"/>
        <v>4080</v>
      </c>
      <c r="L173" s="108">
        <v>4080</v>
      </c>
      <c r="M173" s="107">
        <f>Table6[[#This Row],[مرتب الضمان]]*17%</f>
        <v>693.6</v>
      </c>
      <c r="N173" s="107">
        <f>' الشركه 2018'!$H173*35%</f>
        <v>1428</v>
      </c>
      <c r="O173" s="107">
        <f>' الشركه 2018'!$H173*32%</f>
        <v>1305.6000000000001</v>
      </c>
      <c r="P173" s="107">
        <f>' الشركه 2018'!$H173*12%</f>
        <v>489.59999999999997</v>
      </c>
      <c r="Q173" s="107">
        <f>' الشركه 2018'!$H173*13%</f>
        <v>530.4</v>
      </c>
      <c r="R173" s="107">
        <f>' الشركه 2018'!$H173*6%</f>
        <v>244.79999999999998</v>
      </c>
      <c r="S173" s="107">
        <f>' الشركه 2018'!$H173*2%</f>
        <v>81.600000000000009</v>
      </c>
      <c r="T173" s="107">
        <f>' الشركه 2018'!$O173+' الشركه 2018'!$P173+' الشركه 2018'!$Q173+' الشركه 2018'!$R173+' الشركه 2018'!$S173</f>
        <v>2652</v>
      </c>
      <c r="U173" s="109">
        <f>VLOOKUP(Table6[[#This Row],[الرقم الوظيفى]],[2]بالخصم!$B$1:$AK$1200,35,)</f>
        <v>0</v>
      </c>
      <c r="V173" s="147"/>
      <c r="W173" s="111">
        <f>Table6[[#This Row],[عدد ايام الاجازه]]*Table6[[#This Row],[ح راتب اليوم]]</f>
        <v>0</v>
      </c>
      <c r="X173" s="148"/>
      <c r="Y173" s="60"/>
      <c r="Z173" s="111">
        <f>Table6[[#This Row],[عدد ايام الجزاء]]*Table6[[#This Row],[ح راتب اليوم]]</f>
        <v>0</v>
      </c>
      <c r="AA173" s="112">
        <f>Table6[[#This Row],[مرتب]]*50%</f>
        <v>2040</v>
      </c>
      <c r="AB173" s="113" t="e">
        <f>VLOOKUP(Table6[[#This Row],[الرقم الوظيفى]],[3]!Table25289[#Data],23,)</f>
        <v>#REF!</v>
      </c>
      <c r="AC173" s="149"/>
      <c r="AD173" s="150"/>
      <c r="AE173" s="113" t="e">
        <f>VLOOKUP(Table6[[#This Row],[الرقم الوظيفى]],[3]!Table252894[#Data],22,)</f>
        <v>#REF!</v>
      </c>
      <c r="AF173" s="151"/>
      <c r="AG173" s="111">
        <f>' الشركه 2018'!$W173+' الشركه 2018'!$Z173+' الشركه 2018'!$AA173+' الشركه 2018'!$AC173+' الشركه 2018'!$AD173+' الشركه 2018'!$AF173</f>
        <v>2040</v>
      </c>
      <c r="AH173" s="111">
        <f>Table6[[#This Row],[راتب الضمان]]*8%</f>
        <v>326.40000000000003</v>
      </c>
      <c r="AI173" s="111">
        <f>' الشركه 2018'!$H173-' الشركه 2018'!$AG173-' الشركه 2018'!$AH173</f>
        <v>1713.6</v>
      </c>
      <c r="AJ173" s="111">
        <f>' الشركه 2018'!$CF173</f>
        <v>630.83076923076931</v>
      </c>
      <c r="AK173" s="117">
        <f>' الشركه 2018'!$AI173+' الشركه 2018'!$AJ173</f>
        <v>2344.4307692307693</v>
      </c>
      <c r="AL173" s="152"/>
      <c r="AM173" s="153"/>
      <c r="AN173" s="9">
        <f>Table6[[#This Row],[اجمالى الاستحقاق]]-Table6[[#This Row],[Column2]]+Table6[[#This Row],[حوافز غير مستقره]]</f>
        <v>2344.4307692307693</v>
      </c>
      <c r="AO173" s="59"/>
      <c r="AP173" s="169"/>
      <c r="AQ173" s="176"/>
      <c r="AR173" s="124"/>
      <c r="AS173" s="155"/>
      <c r="AT173" s="170"/>
      <c r="AU173" s="124"/>
      <c r="AV173" s="124"/>
      <c r="AW173" s="124"/>
      <c r="AX173" s="124"/>
      <c r="AY173" s="124"/>
      <c r="AZ173" s="124"/>
      <c r="BA173" s="124"/>
      <c r="BB173" s="124"/>
      <c r="BC173" s="124">
        <v>12</v>
      </c>
      <c r="BD173" s="124"/>
      <c r="BE173" s="124"/>
      <c r="BF173" s="124"/>
      <c r="BG173" s="124"/>
      <c r="BH173" s="124"/>
      <c r="BI173" s="124"/>
      <c r="BJ173" s="124"/>
      <c r="BK173" s="124"/>
      <c r="BL173" s="124">
        <v>8</v>
      </c>
      <c r="BM173" s="124"/>
      <c r="BN173" s="124">
        <v>8</v>
      </c>
      <c r="BO173" s="124"/>
      <c r="BP173" s="124"/>
      <c r="BQ173" s="124"/>
      <c r="BR173" s="124"/>
      <c r="BS173" s="124"/>
      <c r="BT173" s="124"/>
      <c r="BU173" s="124"/>
      <c r="BV173" s="124"/>
      <c r="BW173" s="124"/>
      <c r="BX173" s="124"/>
      <c r="BY173" s="124"/>
      <c r="BZ173" s="171"/>
      <c r="CA173" s="172"/>
      <c r="CB17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173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73" s="131">
        <f>' الشركه 2018'!$H173*67%*1.5*' الشركه 2018'!$CB173/208</f>
        <v>315.41538461538465</v>
      </c>
      <c r="CE173" s="132">
        <f>' الشركه 2018'!$H173*67%*2*' الشركه 2018'!$CC173/208</f>
        <v>315.41538461538465</v>
      </c>
      <c r="CF173" s="133">
        <f>' الشركه 2018'!$CD173+' الشركه 2018'!$CE173</f>
        <v>630.83076923076931</v>
      </c>
      <c r="CG173" s="124"/>
      <c r="CH173" s="177">
        <f>SUMIF(C173:C451,' الشركه 2018'!#REF!,L173:L451)</f>
        <v>0</v>
      </c>
      <c r="CI173" s="124"/>
      <c r="CJ173" s="177" t="e">
        <f>' الشركه 2018'!#REF!*' الشركه 2018'!#REF!</f>
        <v>#REF!</v>
      </c>
      <c r="CK173" s="177" t="e">
        <f>' الشركه 2018'!#REF!*8%</f>
        <v>#REF!</v>
      </c>
      <c r="CL173" s="177" t="e">
        <f>' الشركه 2018'!#REF!*17%</f>
        <v>#REF!</v>
      </c>
      <c r="CM173" s="177" t="e">
        <f>' الشركه 2018'!#REF!*25%</f>
        <v>#REF!</v>
      </c>
      <c r="CN173" s="162"/>
      <c r="CO173" s="162"/>
      <c r="CP173" s="163">
        <v>300</v>
      </c>
      <c r="CQ173" s="164" t="e">
        <f>VLOOKUP(Table6[[#This Row],[الرقم الوظيفى]],[4]!Table3[#Data],26,FALSE)</f>
        <v>#REF!</v>
      </c>
      <c r="CR173" s="165"/>
      <c r="CS173" s="258"/>
    </row>
    <row r="174" spans="1:97" s="259" customFormat="1" ht="28" customHeight="1" thickTop="1" thickBot="1">
      <c r="A174" s="222">
        <v>863</v>
      </c>
      <c r="B174" s="142" t="s">
        <v>411</v>
      </c>
      <c r="C174" s="59" t="s">
        <v>90</v>
      </c>
      <c r="D174" s="143" t="s">
        <v>82</v>
      </c>
      <c r="E174" s="174" t="s">
        <v>652</v>
      </c>
      <c r="F174" s="143" t="s">
        <v>112</v>
      </c>
      <c r="G174" s="145">
        <v>42409</v>
      </c>
      <c r="H174" s="146">
        <v>5090</v>
      </c>
      <c r="I174" s="106">
        <f>Table6[[#This Row],[مرتب]]/30</f>
        <v>169.66666666666666</v>
      </c>
      <c r="J174" s="107">
        <v>30</v>
      </c>
      <c r="K174" s="107">
        <f t="shared" si="2"/>
        <v>5090</v>
      </c>
      <c r="L174" s="108">
        <v>5090</v>
      </c>
      <c r="M174" s="107">
        <f>Table6[[#This Row],[مرتب الضمان]]*17%</f>
        <v>865.30000000000007</v>
      </c>
      <c r="N174" s="107">
        <f>' الشركه 2018'!$H174*35%</f>
        <v>1781.5</v>
      </c>
      <c r="O174" s="107">
        <f>' الشركه 2018'!$H174*32%</f>
        <v>1628.8</v>
      </c>
      <c r="P174" s="107">
        <f>' الشركه 2018'!$H174*12%</f>
        <v>610.79999999999995</v>
      </c>
      <c r="Q174" s="107">
        <f>' الشركه 2018'!$H174*13%</f>
        <v>661.7</v>
      </c>
      <c r="R174" s="107">
        <f>' الشركه 2018'!$H174*6%</f>
        <v>305.39999999999998</v>
      </c>
      <c r="S174" s="107">
        <f>' الشركه 2018'!$H174*2%</f>
        <v>101.8</v>
      </c>
      <c r="T174" s="107">
        <f>' الشركه 2018'!$O174+' الشركه 2018'!$P174+' الشركه 2018'!$Q174+' الشركه 2018'!$R174+' الشركه 2018'!$S174</f>
        <v>3308.5000000000005</v>
      </c>
      <c r="U174" s="109">
        <f>VLOOKUP(Table6[[#This Row],[الرقم الوظيفى]],[2]بالخصم!$B$1:$AK$1200,35,)</f>
        <v>0</v>
      </c>
      <c r="V174" s="147"/>
      <c r="W174" s="111">
        <f>Table6[[#This Row],[عدد ايام الاجازه]]*Table6[[#This Row],[ح راتب اليوم]]</f>
        <v>0</v>
      </c>
      <c r="X174" s="148"/>
      <c r="Y174" s="60"/>
      <c r="Z174" s="111">
        <f>Table6[[#This Row],[عدد ايام الجزاء]]*Table6[[#This Row],[ح راتب اليوم]]</f>
        <v>0</v>
      </c>
      <c r="AA174" s="112">
        <f>Table6[[#This Row],[مرتب]]*50%</f>
        <v>2545</v>
      </c>
      <c r="AB174" s="113" t="e">
        <f>VLOOKUP(Table6[[#This Row],[الرقم الوظيفى]],[3]!Table25289[#Data],23,)</f>
        <v>#REF!</v>
      </c>
      <c r="AC174" s="149"/>
      <c r="AD174" s="150"/>
      <c r="AE174" s="113" t="e">
        <f>VLOOKUP(Table6[[#This Row],[الرقم الوظيفى]],[3]!Table252894[#Data],22,)</f>
        <v>#REF!</v>
      </c>
      <c r="AF174" s="151"/>
      <c r="AG174" s="111">
        <f>' الشركه 2018'!$W174+' الشركه 2018'!$Z174+' الشركه 2018'!$AA174+' الشركه 2018'!$AC174+' الشركه 2018'!$AD174+' الشركه 2018'!$AF174</f>
        <v>2545</v>
      </c>
      <c r="AH174" s="111">
        <f>Table6[[#This Row],[راتب الضمان]]*8%</f>
        <v>407.2</v>
      </c>
      <c r="AI174" s="111">
        <f>' الشركه 2018'!$H174-' الشركه 2018'!$AG174-' الشركه 2018'!$AH174</f>
        <v>2137.8000000000002</v>
      </c>
      <c r="AJ174" s="111">
        <f>' الشركه 2018'!$CF174</f>
        <v>0</v>
      </c>
      <c r="AK174" s="117">
        <f>' الشركه 2018'!$AI174+' الشركه 2018'!$AJ174</f>
        <v>2137.8000000000002</v>
      </c>
      <c r="AL174" s="152"/>
      <c r="AM174" s="153"/>
      <c r="AN174" s="9">
        <f>Table6[[#This Row],[اجمالى الاستحقاق]]-Table6[[#This Row],[Column2]]+Table6[[#This Row],[حوافز غير مستقره]]</f>
        <v>2137.8000000000002</v>
      </c>
      <c r="AO174" s="59"/>
      <c r="AP174" s="169"/>
      <c r="AQ174" s="176"/>
      <c r="AR174" s="124"/>
      <c r="AS174" s="155"/>
      <c r="AT174" s="170"/>
      <c r="AU174" s="124"/>
      <c r="AV174" s="124"/>
      <c r="AW174" s="124"/>
      <c r="AX174" s="124"/>
      <c r="AY174" s="124"/>
      <c r="AZ174" s="124"/>
      <c r="BA174" s="124"/>
      <c r="BB174" s="124"/>
      <c r="BC174" s="124"/>
      <c r="BD174" s="124"/>
      <c r="BE174" s="124"/>
      <c r="BF174" s="124"/>
      <c r="BG174" s="124"/>
      <c r="BH174" s="124"/>
      <c r="BI174" s="124"/>
      <c r="BJ174" s="124"/>
      <c r="BK174" s="124"/>
      <c r="BL174" s="124"/>
      <c r="BM174" s="124"/>
      <c r="BN174" s="124"/>
      <c r="BO174" s="124"/>
      <c r="BP174" s="124"/>
      <c r="BQ174" s="124"/>
      <c r="BR174" s="124"/>
      <c r="BS174" s="124"/>
      <c r="BT174" s="124"/>
      <c r="BU174" s="124"/>
      <c r="BV174" s="124"/>
      <c r="BW174" s="124"/>
      <c r="BX174" s="124"/>
      <c r="BY174" s="124"/>
      <c r="BZ174" s="171"/>
      <c r="CA174" s="172"/>
      <c r="CB17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4" s="131">
        <f>' الشركه 2018'!$H174*67%*1.5*' الشركه 2018'!$CB174/208</f>
        <v>0</v>
      </c>
      <c r="CE174" s="132">
        <f>' الشركه 2018'!$H174*67%*2*' الشركه 2018'!$CC174/208</f>
        <v>0</v>
      </c>
      <c r="CF174" s="133">
        <f>' الشركه 2018'!$CD174+' الشركه 2018'!$CE174</f>
        <v>0</v>
      </c>
      <c r="CG174" s="124"/>
      <c r="CH174" s="177">
        <f>SUMIF(C174:C452,' الشركه 2018'!$CG166,L174:L452)</f>
        <v>0</v>
      </c>
      <c r="CI174" s="124"/>
      <c r="CJ174" s="177">
        <f>' الشركه 2018'!$CH166*' الشركه 2018'!$CI166</f>
        <v>0</v>
      </c>
      <c r="CK174" s="177">
        <f>' الشركه 2018'!$CJ166*8%</f>
        <v>0</v>
      </c>
      <c r="CL174" s="177">
        <f>' الشركه 2018'!$CJ166*17%</f>
        <v>0</v>
      </c>
      <c r="CM174" s="177">
        <f>' الشركه 2018'!$CJ166*25%</f>
        <v>0</v>
      </c>
      <c r="CN174" s="162"/>
      <c r="CO174" s="162"/>
      <c r="CP174" s="163"/>
      <c r="CQ174" s="164" t="e">
        <f>VLOOKUP(Table6[[#This Row],[الرقم الوظيفى]],[4]!Table3[#Data],26,FALSE)</f>
        <v>#REF!</v>
      </c>
      <c r="CR174" s="165">
        <v>300</v>
      </c>
      <c r="CS174" s="258"/>
    </row>
    <row r="175" spans="1:97" s="259" customFormat="1" ht="28" customHeight="1" thickTop="1" thickBot="1">
      <c r="A175" s="222">
        <v>866</v>
      </c>
      <c r="B175" s="142" t="s">
        <v>279</v>
      </c>
      <c r="C175" s="59" t="s">
        <v>90</v>
      </c>
      <c r="D175" s="143" t="s">
        <v>74</v>
      </c>
      <c r="E175" s="174"/>
      <c r="F175" s="143" t="s">
        <v>63</v>
      </c>
      <c r="G175" s="145">
        <v>42415</v>
      </c>
      <c r="H175" s="146">
        <v>3070</v>
      </c>
      <c r="I175" s="106">
        <f>Table6[[#This Row],[مرتب]]/30</f>
        <v>102.33333333333333</v>
      </c>
      <c r="J175" s="107">
        <v>30</v>
      </c>
      <c r="K175" s="107">
        <f t="shared" si="2"/>
        <v>3070</v>
      </c>
      <c r="L175" s="108">
        <v>3070</v>
      </c>
      <c r="M175" s="107">
        <f>Table6[[#This Row],[مرتب الضمان]]*17%</f>
        <v>521.90000000000009</v>
      </c>
      <c r="N175" s="107">
        <f>' الشركه 2018'!$H175*35%</f>
        <v>1074.5</v>
      </c>
      <c r="O175" s="107">
        <f>' الشركه 2018'!$H175*32%</f>
        <v>982.4</v>
      </c>
      <c r="P175" s="107">
        <f>' الشركه 2018'!$H175*12%</f>
        <v>368.4</v>
      </c>
      <c r="Q175" s="107">
        <f>' الشركه 2018'!$H175*13%</f>
        <v>399.1</v>
      </c>
      <c r="R175" s="107">
        <f>' الشركه 2018'!$H175*6%</f>
        <v>184.2</v>
      </c>
      <c r="S175" s="107">
        <f>' الشركه 2018'!$H175*2%</f>
        <v>61.4</v>
      </c>
      <c r="T175" s="107">
        <f>' الشركه 2018'!$O175+' الشركه 2018'!$P175+' الشركه 2018'!$Q175+' الشركه 2018'!$R175+' الشركه 2018'!$S175</f>
        <v>1995.5000000000002</v>
      </c>
      <c r="U175" s="109">
        <f>VLOOKUP(Table6[[#This Row],[الرقم الوظيفى]],[2]بالخصم!$B$1:$AK$1200,35,)</f>
        <v>0</v>
      </c>
      <c r="V175" s="147"/>
      <c r="W175" s="111">
        <f>Table6[[#This Row],[عدد ايام الاجازه]]*Table6[[#This Row],[ح راتب اليوم]]</f>
        <v>0</v>
      </c>
      <c r="X175" s="148"/>
      <c r="Y175" s="60"/>
      <c r="Z175" s="111">
        <f>Table6[[#This Row],[عدد ايام الجزاء]]*Table6[[#This Row],[ح راتب اليوم]]</f>
        <v>0</v>
      </c>
      <c r="AA175" s="112">
        <f>Table6[[#This Row],[مرتب]]*50%</f>
        <v>1535</v>
      </c>
      <c r="AB175" s="113" t="e">
        <f>VLOOKUP(Table6[[#This Row],[الرقم الوظيفى]],[3]!Table25289[#Data],23,)</f>
        <v>#REF!</v>
      </c>
      <c r="AC175" s="149"/>
      <c r="AD175" s="150"/>
      <c r="AE175" s="113" t="e">
        <f>VLOOKUP(Table6[[#This Row],[الرقم الوظيفى]],[3]!Table252894[#Data],22,)</f>
        <v>#REF!</v>
      </c>
      <c r="AF175" s="151"/>
      <c r="AG175" s="111">
        <f>' الشركه 2018'!$W175+' الشركه 2018'!$Z175+' الشركه 2018'!$AA175+' الشركه 2018'!$AC175+' الشركه 2018'!$AD175+' الشركه 2018'!$AF175</f>
        <v>1535</v>
      </c>
      <c r="AH175" s="111">
        <f>Table6[[#This Row],[راتب الضمان]]*8%</f>
        <v>245.6</v>
      </c>
      <c r="AI175" s="111">
        <f>' الشركه 2018'!$H175-' الشركه 2018'!$AG175-' الشركه 2018'!$AH175</f>
        <v>1289.4000000000001</v>
      </c>
      <c r="AJ175" s="111">
        <f>' الشركه 2018'!$CF175</f>
        <v>0</v>
      </c>
      <c r="AK175" s="117">
        <f>' الشركه 2018'!$AI175+' الشركه 2018'!$AJ175</f>
        <v>1289.4000000000001</v>
      </c>
      <c r="AL175" s="152"/>
      <c r="AM175" s="153"/>
      <c r="AN175" s="9">
        <f>Table6[[#This Row],[اجمالى الاستحقاق]]-Table6[[#This Row],[Column2]]+Table6[[#This Row],[حوافز غير مستقره]]</f>
        <v>1289.4000000000001</v>
      </c>
      <c r="AO175" s="59"/>
      <c r="AP175" s="169"/>
      <c r="AQ175" s="176"/>
      <c r="AR175" s="124"/>
      <c r="AS175" s="155"/>
      <c r="AT175" s="170"/>
      <c r="AU175" s="124"/>
      <c r="AV175" s="124"/>
      <c r="AW175" s="124"/>
      <c r="AX175" s="124"/>
      <c r="AY175" s="124"/>
      <c r="AZ175" s="124"/>
      <c r="BA175" s="124"/>
      <c r="BB175" s="124"/>
      <c r="BC175" s="124"/>
      <c r="BD175" s="124"/>
      <c r="BE175" s="124"/>
      <c r="BF175" s="124"/>
      <c r="BG175" s="124"/>
      <c r="BH175" s="124"/>
      <c r="BI175" s="124"/>
      <c r="BJ175" s="124"/>
      <c r="BK175" s="124"/>
      <c r="BL175" s="124"/>
      <c r="BM175" s="124"/>
      <c r="BN175" s="124"/>
      <c r="BO175" s="124"/>
      <c r="BP175" s="124"/>
      <c r="BQ175" s="124"/>
      <c r="BR175" s="124"/>
      <c r="BS175" s="124"/>
      <c r="BT175" s="124"/>
      <c r="BU175" s="124"/>
      <c r="BV175" s="124"/>
      <c r="BW175" s="124"/>
      <c r="BX175" s="124"/>
      <c r="BY175" s="124"/>
      <c r="BZ175" s="171"/>
      <c r="CA175" s="172"/>
      <c r="CB17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5" s="131">
        <f>' الشركه 2018'!$H175*67%*1.5*' الشركه 2018'!$CB175/208</f>
        <v>0</v>
      </c>
      <c r="CE175" s="132">
        <f>' الشركه 2018'!$H175*67%*2*' الشركه 2018'!$CC175/208</f>
        <v>0</v>
      </c>
      <c r="CF175" s="133">
        <f>' الشركه 2018'!$CD175+' الشركه 2018'!$CE175</f>
        <v>0</v>
      </c>
      <c r="CG175" s="124"/>
      <c r="CH175" s="177">
        <f>SUMIF(C175:C455,' الشركه 2018'!$CG168,L175:L455)</f>
        <v>0</v>
      </c>
      <c r="CI175" s="124"/>
      <c r="CJ175" s="177">
        <f>' الشركه 2018'!$CH168*' الشركه 2018'!$CI168</f>
        <v>0</v>
      </c>
      <c r="CK175" s="177">
        <f>' الشركه 2018'!$CJ168*8%</f>
        <v>0</v>
      </c>
      <c r="CL175" s="177">
        <f>' الشركه 2018'!$CJ168*17%</f>
        <v>0</v>
      </c>
      <c r="CM175" s="177">
        <f>' الشركه 2018'!$CJ168*25%</f>
        <v>0</v>
      </c>
      <c r="CN175" s="162"/>
      <c r="CO175" s="162"/>
      <c r="CP175" s="163"/>
      <c r="CQ175" s="164" t="e">
        <f>VLOOKUP(Table6[[#This Row],[الرقم الوظيفى]],[4]!Table3[#Data],26,FALSE)</f>
        <v>#REF!</v>
      </c>
      <c r="CR175" s="165"/>
      <c r="CS175" s="258"/>
    </row>
    <row r="176" spans="1:97" s="259" customFormat="1" ht="28" customHeight="1" thickTop="1" thickBot="1">
      <c r="A176" s="222">
        <v>867</v>
      </c>
      <c r="B176" s="142" t="s">
        <v>360</v>
      </c>
      <c r="C176" s="59" t="s">
        <v>90</v>
      </c>
      <c r="D176" s="143" t="s">
        <v>79</v>
      </c>
      <c r="E176" s="174" t="s">
        <v>686</v>
      </c>
      <c r="F176" s="143" t="s">
        <v>359</v>
      </c>
      <c r="G176" s="145">
        <v>42424</v>
      </c>
      <c r="H176" s="146">
        <v>4090</v>
      </c>
      <c r="I176" s="106">
        <f>Table6[[#This Row],[مرتب]]/30</f>
        <v>136.33333333333334</v>
      </c>
      <c r="J176" s="107">
        <v>30</v>
      </c>
      <c r="K176" s="107">
        <f t="shared" si="2"/>
        <v>4090.0000000000005</v>
      </c>
      <c r="L176" s="108">
        <v>4090</v>
      </c>
      <c r="M176" s="107">
        <f>Table6[[#This Row],[مرتب الضمان]]*17%</f>
        <v>695.30000000000007</v>
      </c>
      <c r="N176" s="107">
        <f>' الشركه 2018'!$H176*35%</f>
        <v>1431.5</v>
      </c>
      <c r="O176" s="107">
        <f>' الشركه 2018'!$H176*32%</f>
        <v>1308.8</v>
      </c>
      <c r="P176" s="107">
        <f>' الشركه 2018'!$H176*12%</f>
        <v>490.79999999999995</v>
      </c>
      <c r="Q176" s="107">
        <f>' الشركه 2018'!$H176*13%</f>
        <v>531.70000000000005</v>
      </c>
      <c r="R176" s="107">
        <f>' الشركه 2018'!$H176*6%</f>
        <v>245.39999999999998</v>
      </c>
      <c r="S176" s="107">
        <f>' الشركه 2018'!$H176*2%</f>
        <v>81.8</v>
      </c>
      <c r="T176" s="107">
        <f>' الشركه 2018'!$O176+' الشركه 2018'!$P176+' الشركه 2018'!$Q176+' الشركه 2018'!$R176+' الشركه 2018'!$S176</f>
        <v>2658.5000000000005</v>
      </c>
      <c r="U176" s="109">
        <f>VLOOKUP(Table6[[#This Row],[الرقم الوظيفى]],[2]بالخصم!$B$1:$AK$1200,35,)</f>
        <v>0</v>
      </c>
      <c r="V176" s="147"/>
      <c r="W176" s="111">
        <f>Table6[[#This Row],[عدد ايام الاجازه]]*Table6[[#This Row],[ح راتب اليوم]]</f>
        <v>0</v>
      </c>
      <c r="X176" s="148"/>
      <c r="Y176" s="60"/>
      <c r="Z176" s="111">
        <f>Table6[[#This Row],[عدد ايام الجزاء]]*Table6[[#This Row],[ح راتب اليوم]]</f>
        <v>0</v>
      </c>
      <c r="AA176" s="112">
        <f>Table6[[#This Row],[مرتب]]*50%</f>
        <v>2045</v>
      </c>
      <c r="AB176" s="113" t="e">
        <f>VLOOKUP(Table6[[#This Row],[الرقم الوظيفى]],[3]!Table25289[#Data],23,)</f>
        <v>#REF!</v>
      </c>
      <c r="AC176" s="149"/>
      <c r="AD176" s="150"/>
      <c r="AE176" s="113" t="e">
        <f>VLOOKUP(Table6[[#This Row],[الرقم الوظيفى]],[3]!Table252894[#Data],22,)</f>
        <v>#REF!</v>
      </c>
      <c r="AF176" s="151"/>
      <c r="AG176" s="111">
        <f>' الشركه 2018'!$W176+' الشركه 2018'!$Z176+' الشركه 2018'!$AA176+' الشركه 2018'!$AC176+' الشركه 2018'!$AD176+' الشركه 2018'!$AF176</f>
        <v>2045</v>
      </c>
      <c r="AH176" s="111">
        <f>Table6[[#This Row],[راتب الضمان]]*8%</f>
        <v>327.20000000000005</v>
      </c>
      <c r="AI176" s="111">
        <f>' الشركه 2018'!$H176-' الشركه 2018'!$AG176-' الشركه 2018'!$AH176</f>
        <v>1717.8</v>
      </c>
      <c r="AJ176" s="111">
        <f>' الشركه 2018'!$CF176</f>
        <v>0</v>
      </c>
      <c r="AK176" s="117">
        <f>' الشركه 2018'!$AI176+' الشركه 2018'!$AJ176</f>
        <v>1717.8</v>
      </c>
      <c r="AL176" s="152"/>
      <c r="AM176" s="153"/>
      <c r="AN176" s="9">
        <f>Table6[[#This Row],[اجمالى الاستحقاق]]-Table6[[#This Row],[Column2]]+Table6[[#This Row],[حوافز غير مستقره]]</f>
        <v>1717.8</v>
      </c>
      <c r="AO176" s="59"/>
      <c r="AP176" s="169"/>
      <c r="AQ176" s="176"/>
      <c r="AR176" s="124"/>
      <c r="AS176" s="155"/>
      <c r="AT176" s="170"/>
      <c r="AU176" s="124"/>
      <c r="AV176" s="124"/>
      <c r="AW176" s="124"/>
      <c r="AX176" s="124"/>
      <c r="AY176" s="124"/>
      <c r="AZ176" s="124"/>
      <c r="BA176" s="124"/>
      <c r="BB176" s="124"/>
      <c r="BC176" s="124"/>
      <c r="BD176" s="124"/>
      <c r="BE176" s="124"/>
      <c r="BF176" s="124"/>
      <c r="BG176" s="124"/>
      <c r="BH176" s="124"/>
      <c r="BI176" s="124"/>
      <c r="BJ176" s="124"/>
      <c r="BK176" s="124"/>
      <c r="BL176" s="124"/>
      <c r="BM176" s="124"/>
      <c r="BN176" s="124"/>
      <c r="BO176" s="124"/>
      <c r="BP176" s="124"/>
      <c r="BQ176" s="124"/>
      <c r="BR176" s="124"/>
      <c r="BS176" s="124"/>
      <c r="BT176" s="124"/>
      <c r="BU176" s="124"/>
      <c r="BV176" s="124"/>
      <c r="BW176" s="124"/>
      <c r="BX176" s="124"/>
      <c r="BY176" s="124"/>
      <c r="BZ176" s="171"/>
      <c r="CA176" s="172"/>
      <c r="CB17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6" s="131">
        <f>' الشركه 2018'!$H176*67%*1.5*' الشركه 2018'!$CB176/208</f>
        <v>0</v>
      </c>
      <c r="CE176" s="132">
        <f>' الشركه 2018'!$H176*67%*2*' الشركه 2018'!$CC176/208</f>
        <v>0</v>
      </c>
      <c r="CF176" s="133">
        <f>' الشركه 2018'!$CD176+' الشركه 2018'!$CE176</f>
        <v>0</v>
      </c>
      <c r="CG176" s="124"/>
      <c r="CH176" s="177">
        <f>SUMIF(C176:C456,' الشركه 2018'!#REF!,L176:L456)</f>
        <v>0</v>
      </c>
      <c r="CI176" s="124"/>
      <c r="CJ176" s="177" t="e">
        <f>' الشركه 2018'!#REF!*' الشركه 2018'!#REF!</f>
        <v>#REF!</v>
      </c>
      <c r="CK176" s="177" t="e">
        <f>' الشركه 2018'!#REF!*8%</f>
        <v>#REF!</v>
      </c>
      <c r="CL176" s="177" t="e">
        <f>' الشركه 2018'!#REF!*17%</f>
        <v>#REF!</v>
      </c>
      <c r="CM176" s="177" t="e">
        <f>' الشركه 2018'!#REF!*25%</f>
        <v>#REF!</v>
      </c>
      <c r="CN176" s="162"/>
      <c r="CO176" s="162"/>
      <c r="CP176" s="163"/>
      <c r="CQ176" s="164" t="e">
        <f>VLOOKUP(Table6[[#This Row],[الرقم الوظيفى]],[4]!Table3[#Data],26,FALSE)</f>
        <v>#REF!</v>
      </c>
      <c r="CR176" s="165"/>
      <c r="CS176" s="258"/>
    </row>
    <row r="177" spans="1:97" ht="28" customHeight="1" thickTop="1" thickBot="1">
      <c r="A177" s="181">
        <v>868</v>
      </c>
      <c r="B177" s="182" t="s">
        <v>687</v>
      </c>
      <c r="C177" s="11" t="s">
        <v>137</v>
      </c>
      <c r="D177" s="183" t="s">
        <v>77</v>
      </c>
      <c r="E177" s="174"/>
      <c r="F177" s="143"/>
      <c r="G177" s="184">
        <v>42417</v>
      </c>
      <c r="H177" s="185">
        <v>5060</v>
      </c>
      <c r="I177" s="103">
        <f>Table6[[#This Row],[مرتب]]/30</f>
        <v>168.66666666666666</v>
      </c>
      <c r="J177" s="143">
        <v>30</v>
      </c>
      <c r="K177" s="143">
        <f t="shared" si="2"/>
        <v>5060</v>
      </c>
      <c r="L177" s="12">
        <v>5060</v>
      </c>
      <c r="M177" s="143">
        <f>Table6[[#This Row],[مرتب الضمان]]*17%</f>
        <v>860.2</v>
      </c>
      <c r="N177" s="143">
        <f>' الشركه 2018'!$H177*35%</f>
        <v>1771</v>
      </c>
      <c r="O177" s="143">
        <f>' الشركه 2018'!$H177*32%</f>
        <v>1619.2</v>
      </c>
      <c r="P177" s="143">
        <f>' الشركه 2018'!$H177*12%</f>
        <v>607.19999999999993</v>
      </c>
      <c r="Q177" s="143">
        <f>' الشركه 2018'!$H177*13%</f>
        <v>657.80000000000007</v>
      </c>
      <c r="R177" s="143">
        <f>' الشركه 2018'!$H177*6%</f>
        <v>303.59999999999997</v>
      </c>
      <c r="S177" s="143">
        <f>' الشركه 2018'!$H177*2%</f>
        <v>101.2</v>
      </c>
      <c r="T177" s="143">
        <f>' الشركه 2018'!$O177+' الشركه 2018'!$P177+' الشركه 2018'!$Q177+' الشركه 2018'!$R177+' الشركه 2018'!$S177</f>
        <v>3289</v>
      </c>
      <c r="U177" s="109">
        <f>VLOOKUP(Table6[[#This Row],[الرقم الوظيفى]],[2]بالخصم!$B$1:$AK$1200,35,)</f>
        <v>0</v>
      </c>
      <c r="V177" s="186"/>
      <c r="W177" s="187">
        <f>Table6[[#This Row],[عدد ايام الاجازه]]*Table6[[#This Row],[ح راتب اليوم]]</f>
        <v>0</v>
      </c>
      <c r="X177" s="188"/>
      <c r="Y177" s="189"/>
      <c r="Z177" s="187">
        <f>Table6[[#This Row],[عدد ايام الجزاء]]*Table6[[#This Row],[ح راتب اليوم]]</f>
        <v>0</v>
      </c>
      <c r="AA177" s="190"/>
      <c r="AB177" s="191" t="e">
        <f>VLOOKUP(Table6[[#This Row],[الرقم الوظيفى]],[3]!Table25289[#Data],23,)</f>
        <v>#REF!</v>
      </c>
      <c r="AC177" s="224">
        <v>500</v>
      </c>
      <c r="AD177" s="193"/>
      <c r="AE177" s="113" t="e">
        <f>VLOOKUP(Table6[[#This Row],[الرقم الوظيفى]],[3]!Table252894[#Data],22,)</f>
        <v>#REF!</v>
      </c>
      <c r="AF177" s="226"/>
      <c r="AG177" s="111">
        <f>' الشركه 2018'!$W177+' الشركه 2018'!$Z177+' الشركه 2018'!$AA177+' الشركه 2018'!$AC177+' الشركه 2018'!$AD177+' الشركه 2018'!$AF177</f>
        <v>500</v>
      </c>
      <c r="AH177" s="111">
        <f>Table6[[#This Row],[راتب الضمان]]*8%</f>
        <v>404.8</v>
      </c>
      <c r="AI177" s="111">
        <f>' الشركه 2018'!$H177-' الشركه 2018'!$AG177-' الشركه 2018'!$AH177</f>
        <v>4155.2</v>
      </c>
      <c r="AJ177" s="111">
        <f>' الشركه 2018'!$CF177</f>
        <v>0</v>
      </c>
      <c r="AK177" s="117">
        <f>' الشركه 2018'!$AI177+' الشركه 2018'!$AJ177</f>
        <v>4155.2</v>
      </c>
      <c r="AL177" s="195"/>
      <c r="AM177" s="196"/>
      <c r="AN177" s="9">
        <f>Table6[[#This Row],[اجمالى الاستحقاق]]-Table6[[#This Row],[Column2]]+Table6[[#This Row],[حوافز غير مستقره]]</f>
        <v>4155.2</v>
      </c>
      <c r="AO177" s="197"/>
      <c r="AP177" s="198"/>
      <c r="AQ177" s="176"/>
      <c r="AR177" s="124"/>
      <c r="AS177" s="155"/>
      <c r="AT177" s="170"/>
      <c r="AU177" s="124"/>
      <c r="AV177" s="124"/>
      <c r="AW177" s="124"/>
      <c r="AX177" s="124"/>
      <c r="AY177" s="124"/>
      <c r="AZ177" s="124"/>
      <c r="BA177" s="124"/>
      <c r="BB177" s="124"/>
      <c r="BC177" s="124"/>
      <c r="BD177" s="124"/>
      <c r="BE177" s="124"/>
      <c r="BF177" s="124"/>
      <c r="BG177" s="124"/>
      <c r="BH177" s="124"/>
      <c r="BI177" s="124"/>
      <c r="BJ177" s="124"/>
      <c r="BK177" s="124"/>
      <c r="BL177" s="124"/>
      <c r="BM177" s="124"/>
      <c r="BN177" s="124"/>
      <c r="BO177" s="124"/>
      <c r="BP177" s="124"/>
      <c r="BQ177" s="124"/>
      <c r="BR177" s="124"/>
      <c r="BS177" s="124"/>
      <c r="BT177" s="124"/>
      <c r="BU177" s="124"/>
      <c r="BV177" s="124"/>
      <c r="BW177" s="124"/>
      <c r="BX177" s="124"/>
      <c r="BY177" s="124"/>
      <c r="BZ177" s="171"/>
      <c r="CA177" s="172"/>
      <c r="CB17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7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7" s="131">
        <f>' الشركه 2018'!$H177*67%*1.5*' الشركه 2018'!$CB177/208</f>
        <v>0</v>
      </c>
      <c r="CE177" s="132">
        <f>' الشركه 2018'!$H177*67%*2*' الشركه 2018'!$CC177/208</f>
        <v>0</v>
      </c>
      <c r="CF177" s="133">
        <f>' الشركه 2018'!$CD177+' الشركه 2018'!$CE177</f>
        <v>0</v>
      </c>
      <c r="CG177" s="124"/>
      <c r="CH177" s="177">
        <f>SUMIF(C177:C477,' الشركه 2018'!#REF!,L177:L477)</f>
        <v>0</v>
      </c>
      <c r="CI177" s="124"/>
      <c r="CJ177" s="177" t="e">
        <f>' الشركه 2018'!#REF!*' الشركه 2018'!#REF!</f>
        <v>#REF!</v>
      </c>
      <c r="CK177" s="177" t="e">
        <f>' الشركه 2018'!#REF!*8%</f>
        <v>#REF!</v>
      </c>
      <c r="CL177" s="177" t="e">
        <f>' الشركه 2018'!#REF!*17%</f>
        <v>#REF!</v>
      </c>
      <c r="CM177" s="177" t="e">
        <f>' الشركه 2018'!#REF!*25%</f>
        <v>#REF!</v>
      </c>
      <c r="CN177" s="162"/>
      <c r="CO177" s="162"/>
      <c r="CP177" s="240"/>
      <c r="CQ177" s="164" t="e">
        <f>VLOOKUP(Table6[[#This Row],[الرقم الوظيفى]],[4]!Table3[#Data],26,FALSE)</f>
        <v>#REF!</v>
      </c>
      <c r="CR177" s="165"/>
      <c r="CS177" s="124"/>
    </row>
    <row r="178" spans="1:97" ht="28" customHeight="1" thickTop="1" thickBot="1">
      <c r="A178" s="222">
        <v>873</v>
      </c>
      <c r="B178" s="142" t="s">
        <v>319</v>
      </c>
      <c r="C178" s="59" t="s">
        <v>90</v>
      </c>
      <c r="D178" s="143" t="s">
        <v>75</v>
      </c>
      <c r="E178" s="174"/>
      <c r="F178" s="143" t="s">
        <v>63</v>
      </c>
      <c r="G178" s="145">
        <v>42436</v>
      </c>
      <c r="H178" s="146">
        <v>3060</v>
      </c>
      <c r="I178" s="106">
        <f>Table6[[#This Row],[مرتب]]/30</f>
        <v>102</v>
      </c>
      <c r="J178" s="107">
        <v>30</v>
      </c>
      <c r="K178" s="107">
        <f t="shared" si="2"/>
        <v>3060</v>
      </c>
      <c r="L178" s="108">
        <v>3060</v>
      </c>
      <c r="M178" s="107">
        <f>Table6[[#This Row],[مرتب الضمان]]*17%</f>
        <v>520.20000000000005</v>
      </c>
      <c r="N178" s="107">
        <f>' الشركه 2018'!$H178*35%</f>
        <v>1071</v>
      </c>
      <c r="O178" s="107">
        <f>' الشركه 2018'!$H178*32%</f>
        <v>979.2</v>
      </c>
      <c r="P178" s="107">
        <f>' الشركه 2018'!$H178*12%</f>
        <v>367.2</v>
      </c>
      <c r="Q178" s="107">
        <f>' الشركه 2018'!$H178*13%</f>
        <v>397.8</v>
      </c>
      <c r="R178" s="107">
        <f>' الشركه 2018'!$H178*6%</f>
        <v>183.6</v>
      </c>
      <c r="S178" s="107">
        <f>' الشركه 2018'!$H178*2%</f>
        <v>61.2</v>
      </c>
      <c r="T178" s="107">
        <f>' الشركه 2018'!$O178+' الشركه 2018'!$P178+' الشركه 2018'!$Q178+' الشركه 2018'!$R178+' الشركه 2018'!$S178</f>
        <v>1989</v>
      </c>
      <c r="U178" s="109">
        <f>VLOOKUP(Table6[[#This Row],[الرقم الوظيفى]],[2]بالخصم!$B$1:$AK$1200,35,)</f>
        <v>0</v>
      </c>
      <c r="V178" s="147"/>
      <c r="W178" s="111">
        <f>Table6[[#This Row],[عدد ايام الاجازه]]*Table6[[#This Row],[ح راتب اليوم]]</f>
        <v>0</v>
      </c>
      <c r="X178" s="148"/>
      <c r="Y178" s="60"/>
      <c r="Z178" s="111">
        <f>Table6[[#This Row],[عدد ايام الجزاء]]*Table6[[#This Row],[ح راتب اليوم]]</f>
        <v>0</v>
      </c>
      <c r="AA178" s="112">
        <f>Table6[[#This Row],[مرتب]]*50%</f>
        <v>1530</v>
      </c>
      <c r="AB178" s="113" t="e">
        <f>VLOOKUP(Table6[[#This Row],[الرقم الوظيفى]],[3]!Table25289[#Data],23,)</f>
        <v>#REF!</v>
      </c>
      <c r="AC178" s="149"/>
      <c r="AD178" s="150"/>
      <c r="AE178" s="113" t="e">
        <f>VLOOKUP(Table6[[#This Row],[الرقم الوظيفى]],[3]!Table252894[#Data],22,)</f>
        <v>#REF!</v>
      </c>
      <c r="AF178" s="151"/>
      <c r="AG178" s="111">
        <f>' الشركه 2018'!$W178+' الشركه 2018'!$Z178+' الشركه 2018'!$AA178+' الشركه 2018'!$AC178+' الشركه 2018'!$AD178+' الشركه 2018'!$AF178</f>
        <v>1530</v>
      </c>
      <c r="AH178" s="111">
        <f>Table6[[#This Row],[راتب الضمان]]*8%</f>
        <v>244.8</v>
      </c>
      <c r="AI178" s="111">
        <f>' الشركه 2018'!$H178-' الشركه 2018'!$AG178-' الشركه 2018'!$AH178</f>
        <v>1285.2</v>
      </c>
      <c r="AJ178" s="111">
        <f>' الشركه 2018'!$CF178</f>
        <v>1182.8076923076924</v>
      </c>
      <c r="AK178" s="117">
        <f>' الشركه 2018'!$AI178+' الشركه 2018'!$AJ178</f>
        <v>2468.0076923076922</v>
      </c>
      <c r="AL178" s="152"/>
      <c r="AM178" s="153"/>
      <c r="AN178" s="9">
        <f>Table6[[#This Row],[اجمالى الاستحقاق]]-Table6[[#This Row],[Column2]]+Table6[[#This Row],[حوافز غير مستقره]]</f>
        <v>2468.0076923076922</v>
      </c>
      <c r="AO178" s="59"/>
      <c r="AP178" s="169"/>
      <c r="AQ178" s="176"/>
      <c r="AR178" s="124"/>
      <c r="AS178" s="155"/>
      <c r="AT178" s="170"/>
      <c r="AU178" s="124"/>
      <c r="AV178" s="124">
        <v>12</v>
      </c>
      <c r="AW178" s="124"/>
      <c r="AX178" s="124">
        <v>8</v>
      </c>
      <c r="AY178" s="124"/>
      <c r="AZ178" s="124"/>
      <c r="BA178" s="124"/>
      <c r="BB178" s="124"/>
      <c r="BC178" s="124">
        <v>12</v>
      </c>
      <c r="BD178" s="124"/>
      <c r="BE178" s="124"/>
      <c r="BF178" s="124"/>
      <c r="BG178" s="124"/>
      <c r="BH178" s="124">
        <v>8</v>
      </c>
      <c r="BI178" s="124"/>
      <c r="BJ178" s="124"/>
      <c r="BK178" s="124"/>
      <c r="BL178" s="124">
        <v>8</v>
      </c>
      <c r="BM178" s="124"/>
      <c r="BN178" s="124"/>
      <c r="BO178" s="124">
        <v>8</v>
      </c>
      <c r="BP178" s="124"/>
      <c r="BQ178" s="124"/>
      <c r="BR178" s="124"/>
      <c r="BS178" s="124">
        <v>8</v>
      </c>
      <c r="BT178" s="124">
        <v>8</v>
      </c>
      <c r="BU178" s="124"/>
      <c r="BV178" s="124"/>
      <c r="BW178" s="124"/>
      <c r="BX178" s="124"/>
      <c r="BY178" s="124"/>
      <c r="BZ178" s="171"/>
      <c r="CA178" s="172"/>
      <c r="CB17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48</v>
      </c>
      <c r="CC178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178" s="131">
        <f>' الشركه 2018'!$H178*67%*1.5*' الشركه 2018'!$CB178/208</f>
        <v>709.68461538461554</v>
      </c>
      <c r="CE178" s="132">
        <f>' الشركه 2018'!$H178*67%*2*' الشركه 2018'!$CC178/208</f>
        <v>473.12307692307695</v>
      </c>
      <c r="CF178" s="133">
        <f>' الشركه 2018'!$CD178+' الشركه 2018'!$CE178</f>
        <v>1182.8076923076924</v>
      </c>
      <c r="CG178" s="124"/>
      <c r="CH178" s="177">
        <f>SUMIF(C178:C461,' الشركه 2018'!$CG169,L178:L461)</f>
        <v>0</v>
      </c>
      <c r="CI178" s="124"/>
      <c r="CJ178" s="177">
        <f>' الشركه 2018'!$CH169*' الشركه 2018'!$CI169</f>
        <v>0</v>
      </c>
      <c r="CK178" s="177">
        <f>' الشركه 2018'!$CJ169*8%</f>
        <v>0</v>
      </c>
      <c r="CL178" s="177">
        <f>' الشركه 2018'!$CJ169*17%</f>
        <v>0</v>
      </c>
      <c r="CM178" s="177">
        <f>' الشركه 2018'!$CJ169*25%</f>
        <v>0</v>
      </c>
      <c r="CN178" s="162"/>
      <c r="CO178" s="162"/>
      <c r="CP178" s="163"/>
      <c r="CQ178" s="164" t="e">
        <f>VLOOKUP(Table6[[#This Row],[الرقم الوظيفى]],[4]!Table3[#Data],26,FALSE)</f>
        <v>#REF!</v>
      </c>
      <c r="CR178" s="165"/>
      <c r="CS178" s="124"/>
    </row>
    <row r="179" spans="1:97" ht="28" customHeight="1" thickTop="1" thickBot="1">
      <c r="A179" s="222">
        <v>874</v>
      </c>
      <c r="B179" s="142" t="s">
        <v>407</v>
      </c>
      <c r="C179" s="59" t="s">
        <v>90</v>
      </c>
      <c r="D179" s="143" t="s">
        <v>81</v>
      </c>
      <c r="E179" s="180" t="s">
        <v>668</v>
      </c>
      <c r="F179" s="143" t="s">
        <v>405</v>
      </c>
      <c r="G179" s="145">
        <v>42437</v>
      </c>
      <c r="H179" s="146">
        <v>3570</v>
      </c>
      <c r="I179" s="106">
        <f>Table6[[#This Row],[مرتب]]/30</f>
        <v>119</v>
      </c>
      <c r="J179" s="107">
        <v>30</v>
      </c>
      <c r="K179" s="107">
        <f t="shared" si="2"/>
        <v>3570</v>
      </c>
      <c r="L179" s="108">
        <v>3570</v>
      </c>
      <c r="M179" s="107">
        <f>Table6[[#This Row],[مرتب الضمان]]*17%</f>
        <v>606.90000000000009</v>
      </c>
      <c r="N179" s="107">
        <f>' الشركه 2018'!$H179*35%</f>
        <v>1249.5</v>
      </c>
      <c r="O179" s="107">
        <f>' الشركه 2018'!$H179*32%</f>
        <v>1142.4000000000001</v>
      </c>
      <c r="P179" s="107">
        <f>' الشركه 2018'!$H179*12%</f>
        <v>428.4</v>
      </c>
      <c r="Q179" s="107">
        <f>' الشركه 2018'!$H179*13%</f>
        <v>464.1</v>
      </c>
      <c r="R179" s="107">
        <f>' الشركه 2018'!$H179*6%</f>
        <v>214.2</v>
      </c>
      <c r="S179" s="107">
        <f>' الشركه 2018'!$H179*2%</f>
        <v>71.400000000000006</v>
      </c>
      <c r="T179" s="107">
        <f>' الشركه 2018'!$O179+' الشركه 2018'!$P179+' الشركه 2018'!$Q179+' الشركه 2018'!$R179+' الشركه 2018'!$S179</f>
        <v>2320.5</v>
      </c>
      <c r="U179" s="109">
        <f>VLOOKUP(Table6[[#This Row],[الرقم الوظيفى]],[2]بالخصم!$B$1:$AK$1200,35,)</f>
        <v>0</v>
      </c>
      <c r="V179" s="147"/>
      <c r="W179" s="111">
        <f>Table6[[#This Row],[عدد ايام الاجازه]]*Table6[[#This Row],[ح راتب اليوم]]</f>
        <v>0</v>
      </c>
      <c r="X179" s="148"/>
      <c r="Y179" s="60"/>
      <c r="Z179" s="111">
        <f>Table6[[#This Row],[عدد ايام الجزاء]]*Table6[[#This Row],[ح راتب اليوم]]</f>
        <v>0</v>
      </c>
      <c r="AA179" s="112">
        <f>Table6[[#This Row],[مرتب]]*50%</f>
        <v>1785</v>
      </c>
      <c r="AB179" s="113" t="e">
        <f>VLOOKUP(Table6[[#This Row],[الرقم الوظيفى]],[3]!Table25289[#Data],23,)</f>
        <v>#REF!</v>
      </c>
      <c r="AC179" s="149"/>
      <c r="AD179" s="150"/>
      <c r="AE179" s="113" t="e">
        <f>VLOOKUP(Table6[[#This Row],[الرقم الوظيفى]],[3]!Table252894[#Data],22,)</f>
        <v>#REF!</v>
      </c>
      <c r="AF179" s="151"/>
      <c r="AG179" s="111">
        <f>' الشركه 2018'!$W179+' الشركه 2018'!$Z179+' الشركه 2018'!$AA179+' الشركه 2018'!$AC179+' الشركه 2018'!$AD179+' الشركه 2018'!$AF179</f>
        <v>1785</v>
      </c>
      <c r="AH179" s="111">
        <f>Table6[[#This Row],[راتب الضمان]]*8%</f>
        <v>285.60000000000002</v>
      </c>
      <c r="AI179" s="111">
        <f>' الشركه 2018'!$H179-' الشركه 2018'!$AG179-' الشركه 2018'!$AH179</f>
        <v>1499.4</v>
      </c>
      <c r="AJ179" s="111">
        <f>' الشركه 2018'!$CF179</f>
        <v>413.98269230769233</v>
      </c>
      <c r="AK179" s="117">
        <f>' الشركه 2018'!$AI179+' الشركه 2018'!$AJ179</f>
        <v>1913.3826923076924</v>
      </c>
      <c r="AL179" s="152"/>
      <c r="AM179" s="153"/>
      <c r="AN179" s="9">
        <f>Table6[[#This Row],[اجمالى الاستحقاق]]-Table6[[#This Row],[Column2]]+Table6[[#This Row],[حوافز غير مستقره]]</f>
        <v>1913.3826923076924</v>
      </c>
      <c r="AO179" s="59"/>
      <c r="AP179" s="169"/>
      <c r="AQ179" s="176"/>
      <c r="AR179" s="124"/>
      <c r="AS179" s="155"/>
      <c r="AT179" s="170"/>
      <c r="AU179" s="124"/>
      <c r="AV179" s="124"/>
      <c r="AW179" s="124"/>
      <c r="AX179" s="124"/>
      <c r="AY179" s="124"/>
      <c r="AZ179" s="124"/>
      <c r="BA179" s="124"/>
      <c r="BB179" s="124"/>
      <c r="BC179" s="124"/>
      <c r="BD179" s="124"/>
      <c r="BE179" s="124"/>
      <c r="BF179" s="124"/>
      <c r="BG179" s="124">
        <v>8</v>
      </c>
      <c r="BH179" s="124">
        <v>8</v>
      </c>
      <c r="BI179" s="124"/>
      <c r="BJ179" s="124"/>
      <c r="BK179" s="124"/>
      <c r="BL179" s="124"/>
      <c r="BM179" s="124"/>
      <c r="BN179" s="124"/>
      <c r="BO179" s="124"/>
      <c r="BP179" s="124">
        <v>8</v>
      </c>
      <c r="BQ179" s="124"/>
      <c r="BR179" s="124"/>
      <c r="BS179" s="124"/>
      <c r="BT179" s="124"/>
      <c r="BU179" s="124"/>
      <c r="BV179" s="124"/>
      <c r="BW179" s="124"/>
      <c r="BX179" s="124"/>
      <c r="BY179" s="124"/>
      <c r="BZ179" s="159"/>
      <c r="CA179" s="160"/>
      <c r="CB17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17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79" s="131">
        <f>' الشركه 2018'!$H179*67%*1.5*' الشركه 2018'!$CB179/208</f>
        <v>413.98269230769233</v>
      </c>
      <c r="CE179" s="132">
        <f>' الشركه 2018'!$H179*67%*2*' الشركه 2018'!$CC179/208</f>
        <v>0</v>
      </c>
      <c r="CF179" s="133">
        <f>' الشركه 2018'!$CD179+' الشركه 2018'!$CE179</f>
        <v>413.98269230769233</v>
      </c>
      <c r="CG179" s="124"/>
      <c r="CH179" s="177">
        <f>SUMIF(C179:C462,' الشركه 2018'!$CG170,L179:L462)</f>
        <v>0</v>
      </c>
      <c r="CI179" s="124"/>
      <c r="CJ179" s="177">
        <f>' الشركه 2018'!$CH170*' الشركه 2018'!$CI170</f>
        <v>0</v>
      </c>
      <c r="CK179" s="177">
        <f>' الشركه 2018'!$CJ170*8%</f>
        <v>0</v>
      </c>
      <c r="CL179" s="177">
        <f>' الشركه 2018'!$CJ170*17%</f>
        <v>0</v>
      </c>
      <c r="CM179" s="177">
        <f>' الشركه 2018'!$CJ170*25%</f>
        <v>0</v>
      </c>
      <c r="CN179" s="162"/>
      <c r="CO179" s="162"/>
      <c r="CP179" s="163">
        <v>200</v>
      </c>
      <c r="CQ179" s="164" t="e">
        <f>VLOOKUP(Table6[[#This Row],[الرقم الوظيفى]],[4]!Table3[#Data],26,FALSE)</f>
        <v>#REF!</v>
      </c>
      <c r="CR179" s="165">
        <v>500</v>
      </c>
      <c r="CS179" s="124"/>
    </row>
    <row r="180" spans="1:97" ht="28" customHeight="1" thickTop="1" thickBot="1">
      <c r="A180" s="222">
        <v>882</v>
      </c>
      <c r="B180" s="142" t="s">
        <v>304</v>
      </c>
      <c r="C180" s="59" t="s">
        <v>90</v>
      </c>
      <c r="D180" s="143" t="s">
        <v>74</v>
      </c>
      <c r="E180" s="174"/>
      <c r="F180" s="143" t="s">
        <v>63</v>
      </c>
      <c r="G180" s="145">
        <v>42504</v>
      </c>
      <c r="H180" s="146">
        <v>3050</v>
      </c>
      <c r="I180" s="106">
        <f>Table6[[#This Row],[مرتب]]/30</f>
        <v>101.66666666666667</v>
      </c>
      <c r="J180" s="107">
        <v>30</v>
      </c>
      <c r="K180" s="107">
        <f t="shared" si="2"/>
        <v>3050</v>
      </c>
      <c r="L180" s="108">
        <v>3050</v>
      </c>
      <c r="M180" s="107">
        <f>Table6[[#This Row],[مرتب الضمان]]*17%</f>
        <v>518.5</v>
      </c>
      <c r="N180" s="107">
        <f>' الشركه 2018'!$H180*35%</f>
        <v>1067.5</v>
      </c>
      <c r="O180" s="107">
        <f>' الشركه 2018'!$H180*32%</f>
        <v>976</v>
      </c>
      <c r="P180" s="107">
        <f>' الشركه 2018'!$H180*12%</f>
        <v>366</v>
      </c>
      <c r="Q180" s="107">
        <f>' الشركه 2018'!$H180*13%</f>
        <v>396.5</v>
      </c>
      <c r="R180" s="107">
        <f>' الشركه 2018'!$H180*6%</f>
        <v>183</v>
      </c>
      <c r="S180" s="107">
        <f>' الشركه 2018'!$H180*2%</f>
        <v>61</v>
      </c>
      <c r="T180" s="107">
        <f>' الشركه 2018'!$O180+' الشركه 2018'!$P180+' الشركه 2018'!$Q180+' الشركه 2018'!$R180+' الشركه 2018'!$S180</f>
        <v>1982.5</v>
      </c>
      <c r="U180" s="109">
        <f>VLOOKUP(Table6[[#This Row],[الرقم الوظيفى]],[2]بالخصم!$B$1:$AK$1200,35,)</f>
        <v>0</v>
      </c>
      <c r="V180" s="147"/>
      <c r="W180" s="111">
        <f>Table6[[#This Row],[عدد ايام الاجازه]]*Table6[[#This Row],[ح راتب اليوم]]</f>
        <v>0</v>
      </c>
      <c r="X180" s="148"/>
      <c r="Y180" s="60"/>
      <c r="Z180" s="111">
        <f>Table6[[#This Row],[عدد ايام الجزاء]]*Table6[[#This Row],[ح راتب اليوم]]</f>
        <v>0</v>
      </c>
      <c r="AA180" s="112">
        <f>Table6[[#This Row],[مرتب]]*50%</f>
        <v>1525</v>
      </c>
      <c r="AB180" s="113" t="e">
        <f>VLOOKUP(Table6[[#This Row],[الرقم الوظيفى]],[3]!Table25289[#Data],23,)</f>
        <v>#REF!</v>
      </c>
      <c r="AC180" s="149"/>
      <c r="AD180" s="150"/>
      <c r="AE180" s="113" t="e">
        <f>VLOOKUP(Table6[[#This Row],[الرقم الوظيفى]],[3]!Table252894[#Data],22,)</f>
        <v>#REF!</v>
      </c>
      <c r="AF180" s="151"/>
      <c r="AG180" s="111">
        <f>' الشركه 2018'!$W180+' الشركه 2018'!$Z180+' الشركه 2018'!$AA180+' الشركه 2018'!$AC180+' الشركه 2018'!$AD180+' الشركه 2018'!$AF180</f>
        <v>1525</v>
      </c>
      <c r="AH180" s="111">
        <f>Table6[[#This Row],[راتب الضمان]]*8%</f>
        <v>244</v>
      </c>
      <c r="AI180" s="111">
        <f>' الشركه 2018'!$H180-' الشركه 2018'!$AG180-' الشركه 2018'!$AH180</f>
        <v>1281</v>
      </c>
      <c r="AJ180" s="111">
        <f>' الشركه 2018'!$CF180</f>
        <v>0</v>
      </c>
      <c r="AK180" s="117">
        <f>' الشركه 2018'!$AI180+' الشركه 2018'!$AJ180</f>
        <v>1281</v>
      </c>
      <c r="AL180" s="152"/>
      <c r="AM180" s="153"/>
      <c r="AN180" s="9">
        <f>Table6[[#This Row],[اجمالى الاستحقاق]]-Table6[[#This Row],[Column2]]+Table6[[#This Row],[حوافز غير مستقره]]</f>
        <v>1281</v>
      </c>
      <c r="AO180" s="59"/>
      <c r="AP180" s="169"/>
      <c r="AQ180" s="176"/>
      <c r="AR180" s="124"/>
      <c r="AS180" s="155"/>
      <c r="AT180" s="170"/>
      <c r="AU180" s="124"/>
      <c r="AV180" s="124"/>
      <c r="AW180" s="124"/>
      <c r="AX180" s="124"/>
      <c r="AY180" s="124"/>
      <c r="AZ180" s="124"/>
      <c r="BA180" s="124"/>
      <c r="BB180" s="124"/>
      <c r="BC180" s="124"/>
      <c r="BD180" s="124"/>
      <c r="BE180" s="124"/>
      <c r="BF180" s="124"/>
      <c r="BG180" s="124"/>
      <c r="BH180" s="124"/>
      <c r="BI180" s="124"/>
      <c r="BJ180" s="124"/>
      <c r="BK180" s="124"/>
      <c r="BL180" s="124"/>
      <c r="BM180" s="124"/>
      <c r="BN180" s="124"/>
      <c r="BO180" s="124"/>
      <c r="BP180" s="124"/>
      <c r="BQ180" s="124"/>
      <c r="BR180" s="124"/>
      <c r="BS180" s="124"/>
      <c r="BT180" s="124"/>
      <c r="BU180" s="124"/>
      <c r="BV180" s="124"/>
      <c r="BW180" s="124"/>
      <c r="BX180" s="124"/>
      <c r="BY180" s="124"/>
      <c r="BZ180" s="171"/>
      <c r="CA180" s="172"/>
      <c r="CB18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0" s="131">
        <f>' الشركه 2018'!$H180*67%*1.5*' الشركه 2018'!$CB180/208</f>
        <v>0</v>
      </c>
      <c r="CE180" s="132">
        <f>' الشركه 2018'!$H180*67%*2*' الشركه 2018'!$CC180/208</f>
        <v>0</v>
      </c>
      <c r="CF180" s="133">
        <f>' الشركه 2018'!$CD180+' الشركه 2018'!$CE180</f>
        <v>0</v>
      </c>
      <c r="CG180" s="124"/>
      <c r="CH180" s="177">
        <f>SUMIF(C180:C469,' الشركه 2018'!#REF!,L180:L469)</f>
        <v>0</v>
      </c>
      <c r="CI180" s="124"/>
      <c r="CJ180" s="177" t="e">
        <f>' الشركه 2018'!#REF!*' الشركه 2018'!#REF!</f>
        <v>#REF!</v>
      </c>
      <c r="CK180" s="177" t="e">
        <f>' الشركه 2018'!#REF!*8%</f>
        <v>#REF!</v>
      </c>
      <c r="CL180" s="177" t="e">
        <f>' الشركه 2018'!#REF!*17%</f>
        <v>#REF!</v>
      </c>
      <c r="CM180" s="177" t="e">
        <f>' الشركه 2018'!#REF!*25%</f>
        <v>#REF!</v>
      </c>
      <c r="CN180" s="162"/>
      <c r="CO180" s="162"/>
      <c r="CP180" s="163"/>
      <c r="CQ180" s="164" t="e">
        <f>VLOOKUP(Table6[[#This Row],[الرقم الوظيفى]],[4]!Table3[#Data],26,FALSE)</f>
        <v>#REF!</v>
      </c>
      <c r="CR180" s="165">
        <v>500</v>
      </c>
      <c r="CS180" s="124"/>
    </row>
    <row r="181" spans="1:97" ht="28" customHeight="1" thickTop="1" thickBot="1">
      <c r="A181" s="222">
        <v>883</v>
      </c>
      <c r="B181" s="142" t="s">
        <v>252</v>
      </c>
      <c r="C181" s="59" t="s">
        <v>90</v>
      </c>
      <c r="D181" s="143" t="s">
        <v>74</v>
      </c>
      <c r="E181" s="174"/>
      <c r="F181" s="143" t="s">
        <v>688</v>
      </c>
      <c r="G181" s="145">
        <v>42504</v>
      </c>
      <c r="H181" s="146">
        <v>4060</v>
      </c>
      <c r="I181" s="106">
        <f>Table6[[#This Row],[مرتب]]/30</f>
        <v>135.33333333333334</v>
      </c>
      <c r="J181" s="107">
        <v>30</v>
      </c>
      <c r="K181" s="107">
        <f t="shared" si="2"/>
        <v>4060.0000000000005</v>
      </c>
      <c r="L181" s="108">
        <v>4060</v>
      </c>
      <c r="M181" s="107">
        <f>Table6[[#This Row],[مرتب الضمان]]*17%</f>
        <v>690.2</v>
      </c>
      <c r="N181" s="107">
        <f>' الشركه 2018'!$H181*35%</f>
        <v>1421</v>
      </c>
      <c r="O181" s="107">
        <f>' الشركه 2018'!$H181*32%</f>
        <v>1299.2</v>
      </c>
      <c r="P181" s="107">
        <f>' الشركه 2018'!$H181*12%</f>
        <v>487.2</v>
      </c>
      <c r="Q181" s="107">
        <f>' الشركه 2018'!$H181*13%</f>
        <v>527.80000000000007</v>
      </c>
      <c r="R181" s="107">
        <f>' الشركه 2018'!$H181*6%</f>
        <v>243.6</v>
      </c>
      <c r="S181" s="107">
        <f>' الشركه 2018'!$H181*2%</f>
        <v>81.2</v>
      </c>
      <c r="T181" s="107">
        <f>' الشركه 2018'!$O181+' الشركه 2018'!$P181+' الشركه 2018'!$Q181+' الشركه 2018'!$R181+' الشركه 2018'!$S181</f>
        <v>2639</v>
      </c>
      <c r="U181" s="109">
        <f>VLOOKUP(Table6[[#This Row],[الرقم الوظيفى]],[2]بالخصم!$B$1:$AK$1200,35,)</f>
        <v>0</v>
      </c>
      <c r="V181" s="147"/>
      <c r="W181" s="111">
        <f>Table6[[#This Row],[عدد ايام الاجازه]]*Table6[[#This Row],[ح راتب اليوم]]</f>
        <v>0</v>
      </c>
      <c r="X181" s="148"/>
      <c r="Y181" s="60"/>
      <c r="Z181" s="111">
        <f>Table6[[#This Row],[عدد ايام الجزاء]]*Table6[[#This Row],[ح راتب اليوم]]</f>
        <v>0</v>
      </c>
      <c r="AA181" s="112">
        <f>Table6[[#This Row],[مرتب]]*50%</f>
        <v>2030</v>
      </c>
      <c r="AB181" s="113" t="e">
        <f>VLOOKUP(Table6[[#This Row],[الرقم الوظيفى]],[3]!Table25289[#Data],23,)</f>
        <v>#REF!</v>
      </c>
      <c r="AC181" s="149"/>
      <c r="AD181" s="150"/>
      <c r="AE181" s="113" t="e">
        <f>VLOOKUP(Table6[[#This Row],[الرقم الوظيفى]],[3]!Table252894[#Data],22,)</f>
        <v>#REF!</v>
      </c>
      <c r="AF181" s="151"/>
      <c r="AG181" s="111">
        <f>' الشركه 2018'!$W181+' الشركه 2018'!$Z181+' الشركه 2018'!$AA181+' الشركه 2018'!$AC181+' الشركه 2018'!$AD181+' الشركه 2018'!$AF181</f>
        <v>2030</v>
      </c>
      <c r="AH181" s="111">
        <f>Table6[[#This Row],[راتب الضمان]]*8%</f>
        <v>324.80000000000007</v>
      </c>
      <c r="AI181" s="111">
        <f>' الشركه 2018'!$H181-' الشركه 2018'!$AG181-' الشركه 2018'!$AH181</f>
        <v>1705.1999999999998</v>
      </c>
      <c r="AJ181" s="111">
        <f>' الشركه 2018'!$CF181</f>
        <v>1883.2153846153847</v>
      </c>
      <c r="AK181" s="117">
        <f>' الشركه 2018'!$AI181+' الشركه 2018'!$AJ181</f>
        <v>3588.4153846153845</v>
      </c>
      <c r="AL181" s="152"/>
      <c r="AM181" s="153"/>
      <c r="AN181" s="9">
        <f>Table6[[#This Row],[اجمالى الاستحقاق]]-Table6[[#This Row],[Column2]]+Table6[[#This Row],[حوافز غير مستقره]]</f>
        <v>3588.4153846153845</v>
      </c>
      <c r="AO181" s="59"/>
      <c r="AP181" s="169"/>
      <c r="AQ181" s="176"/>
      <c r="AR181" s="124"/>
      <c r="AS181" s="155"/>
      <c r="AT181" s="170"/>
      <c r="AU181" s="124"/>
      <c r="AV181" s="124">
        <v>24</v>
      </c>
      <c r="AW181" s="124"/>
      <c r="AX181" s="124"/>
      <c r="AY181" s="124"/>
      <c r="AZ181" s="124"/>
      <c r="BA181" s="124"/>
      <c r="BB181" s="124"/>
      <c r="BC181" s="124">
        <v>24</v>
      </c>
      <c r="BD181" s="124"/>
      <c r="BE181" s="124"/>
      <c r="BF181" s="124"/>
      <c r="BG181" s="124"/>
      <c r="BH181" s="124"/>
      <c r="BI181" s="124"/>
      <c r="BJ181" s="124"/>
      <c r="BK181" s="124"/>
      <c r="BL181" s="124">
        <v>8</v>
      </c>
      <c r="BM181" s="124">
        <v>8</v>
      </c>
      <c r="BN181" s="124">
        <v>8</v>
      </c>
      <c r="BO181" s="124"/>
      <c r="BP181" s="124"/>
      <c r="BQ181" s="124"/>
      <c r="BR181" s="124">
        <v>8</v>
      </c>
      <c r="BS181" s="124"/>
      <c r="BT181" s="124"/>
      <c r="BU181" s="124"/>
      <c r="BV181" s="124"/>
      <c r="BW181" s="124"/>
      <c r="BX181" s="124"/>
      <c r="BY181" s="124"/>
      <c r="BZ181" s="159"/>
      <c r="CA181" s="160"/>
      <c r="CB18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32</v>
      </c>
      <c r="CC181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81" s="131">
        <f>' الشركه 2018'!$H181*67%*1.5*' الشركه 2018'!$CB181/208</f>
        <v>627.73846153846159</v>
      </c>
      <c r="CE181" s="132">
        <f>' الشركه 2018'!$H181*67%*2*' الشركه 2018'!$CC181/208</f>
        <v>1255.4769230769232</v>
      </c>
      <c r="CF181" s="133">
        <f>' الشركه 2018'!$CD181+' الشركه 2018'!$CE181</f>
        <v>1883.2153846153847</v>
      </c>
      <c r="CG181" s="124"/>
      <c r="CH181" s="177">
        <f>SUMIF(C181:C469,' الشركه 2018'!$CG173,L181:L469)</f>
        <v>0</v>
      </c>
      <c r="CI181" s="124"/>
      <c r="CJ181" s="177">
        <f>' الشركه 2018'!$CH173*' الشركه 2018'!$CI173</f>
        <v>0</v>
      </c>
      <c r="CK181" s="177" t="e">
        <f>' الشركه 2018'!$CJ173*8%</f>
        <v>#REF!</v>
      </c>
      <c r="CL181" s="177" t="e">
        <f>' الشركه 2018'!$CJ173*17%</f>
        <v>#REF!</v>
      </c>
      <c r="CM181" s="177" t="e">
        <f>' الشركه 2018'!$CJ173*25%</f>
        <v>#REF!</v>
      </c>
      <c r="CN181" s="162"/>
      <c r="CO181" s="162"/>
      <c r="CP181" s="163"/>
      <c r="CQ181" s="164" t="e">
        <f>VLOOKUP(Table6[[#This Row],[الرقم الوظيفى]],[4]!Table3[#Data],26,FALSE)</f>
        <v>#REF!</v>
      </c>
      <c r="CR181" s="165"/>
      <c r="CS181" s="124"/>
    </row>
    <row r="182" spans="1:97" ht="28" customHeight="1" thickTop="1" thickBot="1">
      <c r="A182" s="222">
        <v>894</v>
      </c>
      <c r="B182" s="142" t="s">
        <v>266</v>
      </c>
      <c r="C182" s="59" t="s">
        <v>90</v>
      </c>
      <c r="D182" s="143" t="s">
        <v>74</v>
      </c>
      <c r="E182" s="174"/>
      <c r="F182" s="143" t="s">
        <v>63</v>
      </c>
      <c r="G182" s="145">
        <v>42509</v>
      </c>
      <c r="H182" s="146">
        <v>4050</v>
      </c>
      <c r="I182" s="106">
        <f>Table6[[#This Row],[مرتب]]/30</f>
        <v>135</v>
      </c>
      <c r="J182" s="107">
        <v>30</v>
      </c>
      <c r="K182" s="107">
        <f t="shared" si="2"/>
        <v>4050</v>
      </c>
      <c r="L182" s="108">
        <v>4050</v>
      </c>
      <c r="M182" s="107">
        <f>Table6[[#This Row],[مرتب الضمان]]*17%</f>
        <v>688.5</v>
      </c>
      <c r="N182" s="107">
        <f>' الشركه 2018'!$H182*35%</f>
        <v>1417.5</v>
      </c>
      <c r="O182" s="107">
        <f>' الشركه 2018'!$H182*32%</f>
        <v>1296</v>
      </c>
      <c r="P182" s="107">
        <f>' الشركه 2018'!$H182*12%</f>
        <v>486</v>
      </c>
      <c r="Q182" s="107">
        <f>' الشركه 2018'!$H182*13%</f>
        <v>526.5</v>
      </c>
      <c r="R182" s="107">
        <f>' الشركه 2018'!$H182*6%</f>
        <v>243</v>
      </c>
      <c r="S182" s="107">
        <f>' الشركه 2018'!$H182*2%</f>
        <v>81</v>
      </c>
      <c r="T182" s="107">
        <f>' الشركه 2018'!$O182+' الشركه 2018'!$P182+' الشركه 2018'!$Q182+' الشركه 2018'!$R182+' الشركه 2018'!$S182</f>
        <v>2632.5</v>
      </c>
      <c r="U182" s="109">
        <f>VLOOKUP(Table6[[#This Row],[الرقم الوظيفى]],[2]بالخصم!$B$1:$AK$1200,35,)</f>
        <v>0</v>
      </c>
      <c r="V182" s="147"/>
      <c r="W182" s="111">
        <f>Table6[[#This Row],[عدد ايام الاجازه]]*Table6[[#This Row],[ح راتب اليوم]]</f>
        <v>0</v>
      </c>
      <c r="X182" s="148"/>
      <c r="Y182" s="60"/>
      <c r="Z182" s="111">
        <f>Table6[[#This Row],[عدد ايام الجزاء]]*Table6[[#This Row],[ح راتب اليوم]]</f>
        <v>0</v>
      </c>
      <c r="AA182" s="112">
        <f>Table6[[#This Row],[مرتب]]*50%</f>
        <v>2025</v>
      </c>
      <c r="AB182" s="113" t="e">
        <f>VLOOKUP(Table6[[#This Row],[الرقم الوظيفى]],[3]!Table25289[#Data],23,)</f>
        <v>#REF!</v>
      </c>
      <c r="AC182" s="149"/>
      <c r="AD182" s="150"/>
      <c r="AE182" s="113" t="e">
        <f>VLOOKUP(Table6[[#This Row],[الرقم الوظيفى]],[3]!Table252894[#Data],22,)</f>
        <v>#REF!</v>
      </c>
      <c r="AF182" s="151"/>
      <c r="AG182" s="111">
        <f>' الشركه 2018'!$W182+' الشركه 2018'!$Z182+' الشركه 2018'!$AA182+' الشركه 2018'!$AC182+' الشركه 2018'!$AD182+' الشركه 2018'!$AF182</f>
        <v>2025</v>
      </c>
      <c r="AH182" s="111">
        <f>Table6[[#This Row],[راتب الضمان]]*8%</f>
        <v>324</v>
      </c>
      <c r="AI182" s="111">
        <f>' الشركه 2018'!$H182-' الشركه 2018'!$AG182-' الشركه 2018'!$AH182</f>
        <v>1701</v>
      </c>
      <c r="AJ182" s="111">
        <f>' الشركه 2018'!$CF182</f>
        <v>313.09615384615387</v>
      </c>
      <c r="AK182" s="117">
        <f>' الشركه 2018'!$AI182+' الشركه 2018'!$AJ182</f>
        <v>2014.0961538461538</v>
      </c>
      <c r="AL182" s="152"/>
      <c r="AM182" s="153"/>
      <c r="AN182" s="9">
        <f>Table6[[#This Row],[اجمالى الاستحقاق]]-Table6[[#This Row],[Column2]]+Table6[[#This Row],[حوافز غير مستقره]]</f>
        <v>2014.0961538461538</v>
      </c>
      <c r="AO182" s="59"/>
      <c r="AP182" s="169"/>
      <c r="AQ182" s="176"/>
      <c r="AR182" s="124"/>
      <c r="AS182" s="155"/>
      <c r="AT182" s="170"/>
      <c r="AU182" s="124"/>
      <c r="AV182" s="124">
        <v>12</v>
      </c>
      <c r="AW182" s="124"/>
      <c r="AX182" s="124"/>
      <c r="AY182" s="124"/>
      <c r="AZ182" s="124"/>
      <c r="BA182" s="124"/>
      <c r="BB182" s="124"/>
      <c r="BC182" s="124"/>
      <c r="BD182" s="124"/>
      <c r="BE182" s="124"/>
      <c r="BF182" s="124"/>
      <c r="BG182" s="124"/>
      <c r="BH182" s="124"/>
      <c r="BI182" s="124"/>
      <c r="BJ182" s="124"/>
      <c r="BK182" s="124"/>
      <c r="BL182" s="124"/>
      <c r="BM182" s="124"/>
      <c r="BN182" s="124"/>
      <c r="BO182" s="124"/>
      <c r="BP182" s="124"/>
      <c r="BQ182" s="124"/>
      <c r="BR182" s="124"/>
      <c r="BS182" s="124"/>
      <c r="BT182" s="124"/>
      <c r="BU182" s="124"/>
      <c r="BV182" s="124"/>
      <c r="BW182" s="124"/>
      <c r="BX182" s="124"/>
      <c r="BY182" s="124"/>
      <c r="BZ182" s="171"/>
      <c r="CA182" s="172"/>
      <c r="CB18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2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82" s="131">
        <f>' الشركه 2018'!$H182*67%*1.5*' الشركه 2018'!$CB182/208</f>
        <v>0</v>
      </c>
      <c r="CE182" s="132">
        <f>' الشركه 2018'!$H182*67%*2*' الشركه 2018'!$CC182/208</f>
        <v>313.09615384615387</v>
      </c>
      <c r="CF182" s="133">
        <f>' الشركه 2018'!$CD182+' الشركه 2018'!$CE182</f>
        <v>313.09615384615387</v>
      </c>
      <c r="CG182" s="124"/>
      <c r="CH182" s="177">
        <f>SUMIF(C182:C472,' الشركه 2018'!$CG174,L182:L472)</f>
        <v>0</v>
      </c>
      <c r="CI182" s="124"/>
      <c r="CJ182" s="177">
        <f>' الشركه 2018'!$CH174*' الشركه 2018'!$CI174</f>
        <v>0</v>
      </c>
      <c r="CK182" s="177">
        <f>' الشركه 2018'!$CJ174*8%</f>
        <v>0</v>
      </c>
      <c r="CL182" s="177">
        <f>' الشركه 2018'!$CJ174*17%</f>
        <v>0</v>
      </c>
      <c r="CM182" s="177">
        <f>' الشركه 2018'!$CJ174*25%</f>
        <v>0</v>
      </c>
      <c r="CN182" s="162"/>
      <c r="CO182" s="162"/>
      <c r="CP182" s="163">
        <v>100</v>
      </c>
      <c r="CQ182" s="164" t="e">
        <f>VLOOKUP(Table6[[#This Row],[الرقم الوظيفى]],[4]!Table3[#Data],26,FALSE)</f>
        <v>#REF!</v>
      </c>
      <c r="CR182" s="165"/>
      <c r="CS182" s="124"/>
    </row>
    <row r="183" spans="1:97" ht="28" customHeight="1" thickTop="1" thickBot="1">
      <c r="A183" s="222">
        <v>895</v>
      </c>
      <c r="B183" s="142" t="s">
        <v>430</v>
      </c>
      <c r="C183" s="59" t="s">
        <v>90</v>
      </c>
      <c r="D183" s="143" t="s">
        <v>83</v>
      </c>
      <c r="E183" s="174" t="s">
        <v>83</v>
      </c>
      <c r="F183" s="143" t="s">
        <v>423</v>
      </c>
      <c r="G183" s="145">
        <v>42522</v>
      </c>
      <c r="H183" s="146">
        <v>4070</v>
      </c>
      <c r="I183" s="106">
        <f>Table6[[#This Row],[مرتب]]/30</f>
        <v>135.66666666666666</v>
      </c>
      <c r="J183" s="107">
        <v>30</v>
      </c>
      <c r="K183" s="107">
        <f t="shared" si="2"/>
        <v>4069.9999999999995</v>
      </c>
      <c r="L183" s="108">
        <v>4070</v>
      </c>
      <c r="M183" s="107">
        <f>Table6[[#This Row],[مرتب الضمان]]*17%</f>
        <v>691.90000000000009</v>
      </c>
      <c r="N183" s="107">
        <f>' الشركه 2018'!$H183*35%</f>
        <v>1424.5</v>
      </c>
      <c r="O183" s="107">
        <f>' الشركه 2018'!$H183*32%</f>
        <v>1302.4000000000001</v>
      </c>
      <c r="P183" s="107">
        <f>' الشركه 2018'!$H183*12%</f>
        <v>488.4</v>
      </c>
      <c r="Q183" s="107">
        <f>' الشركه 2018'!$H183*13%</f>
        <v>529.1</v>
      </c>
      <c r="R183" s="107">
        <f>' الشركه 2018'!$H183*6%</f>
        <v>244.2</v>
      </c>
      <c r="S183" s="107">
        <f>' الشركه 2018'!$H183*2%</f>
        <v>81.400000000000006</v>
      </c>
      <c r="T183" s="107">
        <f>' الشركه 2018'!$O183+' الشركه 2018'!$P183+' الشركه 2018'!$Q183+' الشركه 2018'!$R183+' الشركه 2018'!$S183</f>
        <v>2645.5</v>
      </c>
      <c r="U183" s="109">
        <f>VLOOKUP(Table6[[#This Row],[الرقم الوظيفى]],[2]بالخصم!$B$1:$AK$1200,35,)</f>
        <v>0</v>
      </c>
      <c r="V183" s="147"/>
      <c r="W183" s="111">
        <f>Table6[[#This Row],[عدد ايام الاجازه]]*Table6[[#This Row],[ح راتب اليوم]]</f>
        <v>0</v>
      </c>
      <c r="X183" s="148"/>
      <c r="Y183" s="60"/>
      <c r="Z183" s="111">
        <f>Table6[[#This Row],[عدد ايام الجزاء]]*Table6[[#This Row],[ح راتب اليوم]]</f>
        <v>0</v>
      </c>
      <c r="AA183" s="112">
        <f>Table6[[#This Row],[مرتب]]*50%</f>
        <v>2035</v>
      </c>
      <c r="AB183" s="113" t="e">
        <f>VLOOKUP(Table6[[#This Row],[الرقم الوظيفى]],[3]!Table25289[#Data],23,)</f>
        <v>#REF!</v>
      </c>
      <c r="AC183" s="149"/>
      <c r="AD183" s="150"/>
      <c r="AE183" s="113" t="e">
        <f>VLOOKUP(Table6[[#This Row],[الرقم الوظيفى]],[3]!Table252894[#Data],22,)</f>
        <v>#REF!</v>
      </c>
      <c r="AF183" s="151"/>
      <c r="AG183" s="111">
        <f>' الشركه 2018'!$W183+' الشركه 2018'!$Z183+' الشركه 2018'!$AA183+' الشركه 2018'!$AC183+' الشركه 2018'!$AD183+' الشركه 2018'!$AF183</f>
        <v>2035</v>
      </c>
      <c r="AH183" s="111">
        <f>Table6[[#This Row],[راتب الضمان]]*8%</f>
        <v>325.59999999999997</v>
      </c>
      <c r="AI183" s="111">
        <f>' الشركه 2018'!$H183-' الشركه 2018'!$AG183-' الشركه 2018'!$AH183</f>
        <v>1709.4</v>
      </c>
      <c r="AJ183" s="111">
        <f>' الشركه 2018'!$CF183</f>
        <v>0</v>
      </c>
      <c r="AK183" s="117">
        <f>' الشركه 2018'!$AI183+' الشركه 2018'!$AJ183</f>
        <v>1709.4</v>
      </c>
      <c r="AL183" s="152"/>
      <c r="AM183" s="153"/>
      <c r="AN183" s="9">
        <f>Table6[[#This Row],[اجمالى الاستحقاق]]-Table6[[#This Row],[Column2]]+Table6[[#This Row],[حوافز غير مستقره]]</f>
        <v>1709.4</v>
      </c>
      <c r="AO183" s="59"/>
      <c r="AP183" s="169"/>
      <c r="AQ183" s="176"/>
      <c r="AR183" s="124"/>
      <c r="AS183" s="155"/>
      <c r="AT183" s="170"/>
      <c r="AU183" s="124"/>
      <c r="AV183" s="124"/>
      <c r="AW183" s="124"/>
      <c r="AX183" s="124"/>
      <c r="AY183" s="124"/>
      <c r="AZ183" s="124"/>
      <c r="BA183" s="124"/>
      <c r="BB183" s="124"/>
      <c r="BC183" s="124"/>
      <c r="BD183" s="124"/>
      <c r="BE183" s="124"/>
      <c r="BF183" s="124"/>
      <c r="BG183" s="124"/>
      <c r="BH183" s="124"/>
      <c r="BI183" s="124"/>
      <c r="BJ183" s="124"/>
      <c r="BK183" s="124"/>
      <c r="BL183" s="124"/>
      <c r="BM183" s="124"/>
      <c r="BN183" s="124"/>
      <c r="BO183" s="124"/>
      <c r="BP183" s="124"/>
      <c r="BQ183" s="124"/>
      <c r="BR183" s="124"/>
      <c r="BS183" s="124"/>
      <c r="BT183" s="124"/>
      <c r="BU183" s="124"/>
      <c r="BV183" s="124"/>
      <c r="BW183" s="124"/>
      <c r="BX183" s="124"/>
      <c r="BY183" s="124"/>
      <c r="BZ183" s="171"/>
      <c r="CA183" s="172"/>
      <c r="CB18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3" s="131">
        <f>' الشركه 2018'!$H183*67%*1.5*' الشركه 2018'!$CB183/208</f>
        <v>0</v>
      </c>
      <c r="CE183" s="132">
        <f>' الشركه 2018'!$H183*67%*2*' الشركه 2018'!$CC183/208</f>
        <v>0</v>
      </c>
      <c r="CF183" s="133">
        <f>' الشركه 2018'!$CD183+' الشركه 2018'!$CE183</f>
        <v>0</v>
      </c>
      <c r="CG183" s="124"/>
      <c r="CH183" s="177">
        <f>SUMIF(C183:C462,' الشركه 2018'!$CG175,L183:L462)</f>
        <v>0</v>
      </c>
      <c r="CI183" s="124"/>
      <c r="CJ183" s="177">
        <f>' الشركه 2018'!$CH175*' الشركه 2018'!$CI175</f>
        <v>0</v>
      </c>
      <c r="CK183" s="177">
        <f>' الشركه 2018'!$CJ175*8%</f>
        <v>0</v>
      </c>
      <c r="CL183" s="177">
        <f>' الشركه 2018'!$CJ175*17%</f>
        <v>0</v>
      </c>
      <c r="CM183" s="177">
        <f>' الشركه 2018'!$CJ175*25%</f>
        <v>0</v>
      </c>
      <c r="CN183" s="162"/>
      <c r="CO183" s="162"/>
      <c r="CP183" s="163"/>
      <c r="CQ183" s="164" t="e">
        <f>VLOOKUP(Table6[[#This Row],[الرقم الوظيفى]],[4]!Table3[#Data],26,FALSE)</f>
        <v>#REF!</v>
      </c>
      <c r="CR183" s="165"/>
      <c r="CS183" s="124"/>
    </row>
    <row r="184" spans="1:97" ht="28" customHeight="1" thickTop="1" thickBot="1">
      <c r="A184" s="222">
        <v>896</v>
      </c>
      <c r="B184" s="142" t="s">
        <v>303</v>
      </c>
      <c r="C184" s="59" t="s">
        <v>90</v>
      </c>
      <c r="D184" s="143" t="s">
        <v>74</v>
      </c>
      <c r="E184" s="174"/>
      <c r="F184" s="143" t="s">
        <v>63</v>
      </c>
      <c r="G184" s="145">
        <v>42522</v>
      </c>
      <c r="H184" s="146">
        <v>3050</v>
      </c>
      <c r="I184" s="106">
        <f>Table6[[#This Row],[مرتب]]/30</f>
        <v>101.66666666666667</v>
      </c>
      <c r="J184" s="107">
        <v>30</v>
      </c>
      <c r="K184" s="107">
        <f t="shared" si="2"/>
        <v>3050</v>
      </c>
      <c r="L184" s="108">
        <v>3050</v>
      </c>
      <c r="M184" s="107">
        <f>Table6[[#This Row],[مرتب الضمان]]*17%</f>
        <v>518.5</v>
      </c>
      <c r="N184" s="107">
        <f>' الشركه 2018'!$H184*35%</f>
        <v>1067.5</v>
      </c>
      <c r="O184" s="107">
        <f>' الشركه 2018'!$H184*32%</f>
        <v>976</v>
      </c>
      <c r="P184" s="107">
        <f>' الشركه 2018'!$H184*12%</f>
        <v>366</v>
      </c>
      <c r="Q184" s="107">
        <f>' الشركه 2018'!$H184*13%</f>
        <v>396.5</v>
      </c>
      <c r="R184" s="107">
        <f>' الشركه 2018'!$H184*6%</f>
        <v>183</v>
      </c>
      <c r="S184" s="107">
        <f>' الشركه 2018'!$H184*2%</f>
        <v>61</v>
      </c>
      <c r="T184" s="107">
        <f>' الشركه 2018'!$O184+' الشركه 2018'!$P184+' الشركه 2018'!$Q184+' الشركه 2018'!$R184+' الشركه 2018'!$S184</f>
        <v>1982.5</v>
      </c>
      <c r="U184" s="109">
        <f>VLOOKUP(Table6[[#This Row],[الرقم الوظيفى]],[2]بالخصم!$B$1:$AK$1200,35,)</f>
        <v>0</v>
      </c>
      <c r="V184" s="147"/>
      <c r="W184" s="111">
        <f>Table6[[#This Row],[عدد ايام الاجازه]]*Table6[[#This Row],[ح راتب اليوم]]</f>
        <v>0</v>
      </c>
      <c r="X184" s="148"/>
      <c r="Y184" s="60"/>
      <c r="Z184" s="111">
        <f>Table6[[#This Row],[عدد ايام الجزاء]]*Table6[[#This Row],[ح راتب اليوم]]</f>
        <v>0</v>
      </c>
      <c r="AA184" s="112">
        <f>Table6[[#This Row],[مرتب]]*50%</f>
        <v>1525</v>
      </c>
      <c r="AB184" s="113" t="e">
        <f>VLOOKUP(Table6[[#This Row],[الرقم الوظيفى]],[3]!Table25289[#Data],23,)</f>
        <v>#REF!</v>
      </c>
      <c r="AC184" s="149"/>
      <c r="AD184" s="150"/>
      <c r="AE184" s="113" t="e">
        <f>VLOOKUP(Table6[[#This Row],[الرقم الوظيفى]],[3]!Table252894[#Data],22,)</f>
        <v>#REF!</v>
      </c>
      <c r="AF184" s="151"/>
      <c r="AG184" s="111">
        <f>' الشركه 2018'!$W184+' الشركه 2018'!$Z184+' الشركه 2018'!$AA184+' الشركه 2018'!$AC184+' الشركه 2018'!$AD184+' الشركه 2018'!$AF184</f>
        <v>1525</v>
      </c>
      <c r="AH184" s="111">
        <f>Table6[[#This Row],[راتب الضمان]]*8%</f>
        <v>244</v>
      </c>
      <c r="AI184" s="111">
        <f>' الشركه 2018'!$H184-' الشركه 2018'!$AG184-' الشركه 2018'!$AH184</f>
        <v>1281</v>
      </c>
      <c r="AJ184" s="111">
        <f>' الشركه 2018'!$CF184</f>
        <v>0</v>
      </c>
      <c r="AK184" s="117">
        <f>' الشركه 2018'!$AI184+' الشركه 2018'!$AJ184</f>
        <v>1281</v>
      </c>
      <c r="AL184" s="152"/>
      <c r="AM184" s="153"/>
      <c r="AN184" s="9">
        <f>Table6[[#This Row],[اجمالى الاستحقاق]]-Table6[[#This Row],[Column2]]+Table6[[#This Row],[حوافز غير مستقره]]</f>
        <v>1281</v>
      </c>
      <c r="AO184" s="59"/>
      <c r="AP184" s="169"/>
      <c r="AQ184" s="176"/>
      <c r="AR184" s="124"/>
      <c r="AS184" s="155"/>
      <c r="AT184" s="170"/>
      <c r="AU184" s="124"/>
      <c r="AV184" s="124"/>
      <c r="AW184" s="124"/>
      <c r="AX184" s="124"/>
      <c r="AY184" s="124"/>
      <c r="AZ184" s="124"/>
      <c r="BA184" s="124"/>
      <c r="BB184" s="124"/>
      <c r="BC184" s="124"/>
      <c r="BD184" s="124"/>
      <c r="BE184" s="124"/>
      <c r="BF184" s="124"/>
      <c r="BG184" s="124"/>
      <c r="BH184" s="124"/>
      <c r="BI184" s="124"/>
      <c r="BJ184" s="124"/>
      <c r="BK184" s="124"/>
      <c r="BL184" s="124"/>
      <c r="BM184" s="124"/>
      <c r="BN184" s="124"/>
      <c r="BO184" s="124"/>
      <c r="BP184" s="124"/>
      <c r="BQ184" s="124"/>
      <c r="BR184" s="124"/>
      <c r="BS184" s="124"/>
      <c r="BT184" s="124"/>
      <c r="BU184" s="124"/>
      <c r="BV184" s="124"/>
      <c r="BW184" s="124"/>
      <c r="BX184" s="124"/>
      <c r="BY184" s="124"/>
      <c r="BZ184" s="171"/>
      <c r="CA184" s="172"/>
      <c r="CB18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4" s="131">
        <f>' الشركه 2018'!$H184*67%*1.5*' الشركه 2018'!$CB184/208</f>
        <v>0</v>
      </c>
      <c r="CE184" s="132">
        <f>' الشركه 2018'!$H184*67%*2*' الشركه 2018'!$CC184/208</f>
        <v>0</v>
      </c>
      <c r="CF184" s="133">
        <f>' الشركه 2018'!$CD184+' الشركه 2018'!$CE184</f>
        <v>0</v>
      </c>
      <c r="CG184" s="124"/>
      <c r="CH184" s="177">
        <f>SUMIF(C184:C463,' الشركه 2018'!$CG176,L184:L463)</f>
        <v>0</v>
      </c>
      <c r="CI184" s="124"/>
      <c r="CJ184" s="177">
        <f>' الشركه 2018'!$CH176*' الشركه 2018'!$CI176</f>
        <v>0</v>
      </c>
      <c r="CK184" s="177" t="e">
        <f>' الشركه 2018'!$CJ176*8%</f>
        <v>#REF!</v>
      </c>
      <c r="CL184" s="177" t="e">
        <f>' الشركه 2018'!$CJ176*17%</f>
        <v>#REF!</v>
      </c>
      <c r="CM184" s="177" t="e">
        <f>' الشركه 2018'!$CJ176*25%</f>
        <v>#REF!</v>
      </c>
      <c r="CN184" s="162"/>
      <c r="CO184" s="162"/>
      <c r="CP184" s="163">
        <v>500</v>
      </c>
      <c r="CQ184" s="164" t="e">
        <f>VLOOKUP(Table6[[#This Row],[الرقم الوظيفى]],[4]!Table3[#Data],26,FALSE)</f>
        <v>#REF!</v>
      </c>
      <c r="CR184" s="165">
        <v>500</v>
      </c>
      <c r="CS184" s="124"/>
    </row>
    <row r="185" spans="1:97" ht="28" customHeight="1" thickTop="1" thickBot="1">
      <c r="A185" s="222">
        <v>900</v>
      </c>
      <c r="B185" s="142" t="s">
        <v>364</v>
      </c>
      <c r="C185" s="59" t="s">
        <v>90</v>
      </c>
      <c r="D185" s="143" t="s">
        <v>80</v>
      </c>
      <c r="E185" s="174"/>
      <c r="F185" s="143"/>
      <c r="G185" s="145">
        <v>42523</v>
      </c>
      <c r="H185" s="146">
        <v>4570</v>
      </c>
      <c r="I185" s="106">
        <f>Table6[[#This Row],[مرتب]]/30</f>
        <v>152.33333333333334</v>
      </c>
      <c r="J185" s="107">
        <v>30</v>
      </c>
      <c r="K185" s="107">
        <f t="shared" si="2"/>
        <v>4570</v>
      </c>
      <c r="L185" s="108">
        <v>4570</v>
      </c>
      <c r="M185" s="107">
        <f>Table6[[#This Row],[مرتب الضمان]]*17%</f>
        <v>776.90000000000009</v>
      </c>
      <c r="N185" s="107">
        <f>' الشركه 2018'!$H185*35%</f>
        <v>1599.5</v>
      </c>
      <c r="O185" s="107">
        <f>' الشركه 2018'!$H185*32%</f>
        <v>1462.4</v>
      </c>
      <c r="P185" s="107">
        <f>' الشركه 2018'!$H185*12%</f>
        <v>548.4</v>
      </c>
      <c r="Q185" s="107">
        <f>' الشركه 2018'!$H185*13%</f>
        <v>594.1</v>
      </c>
      <c r="R185" s="107">
        <f>' الشركه 2018'!$H185*6%</f>
        <v>274.2</v>
      </c>
      <c r="S185" s="107">
        <f>' الشركه 2018'!$H185*2%</f>
        <v>91.4</v>
      </c>
      <c r="T185" s="107">
        <f>' الشركه 2018'!$O185+' الشركه 2018'!$P185+' الشركه 2018'!$Q185+' الشركه 2018'!$R185+' الشركه 2018'!$S185</f>
        <v>2970.5</v>
      </c>
      <c r="U185" s="109">
        <f>VLOOKUP(Table6[[#This Row],[الرقم الوظيفى]],[2]بالخصم!$B$1:$AK$1200,35,)</f>
        <v>0</v>
      </c>
      <c r="V185" s="147"/>
      <c r="W185" s="111">
        <f>Table6[[#This Row],[عدد ايام الاجازه]]*Table6[[#This Row],[ح راتب اليوم]]</f>
        <v>0</v>
      </c>
      <c r="X185" s="148"/>
      <c r="Y185" s="60"/>
      <c r="Z185" s="111">
        <f>Table6[[#This Row],[عدد ايام الجزاء]]*Table6[[#This Row],[ح راتب اليوم]]</f>
        <v>0</v>
      </c>
      <c r="AA185" s="112">
        <f>Table6[[#This Row],[مرتب]]*50%</f>
        <v>2285</v>
      </c>
      <c r="AB185" s="113" t="e">
        <f>VLOOKUP(Table6[[#This Row],[الرقم الوظيفى]],[3]!Table25289[#Data],23,)</f>
        <v>#REF!</v>
      </c>
      <c r="AC185" s="149"/>
      <c r="AD185" s="150"/>
      <c r="AE185" s="113" t="e">
        <f>VLOOKUP(Table6[[#This Row],[الرقم الوظيفى]],[3]!Table252894[#Data],22,)</f>
        <v>#REF!</v>
      </c>
      <c r="AF185" s="151"/>
      <c r="AG185" s="111">
        <f>' الشركه 2018'!$W185+' الشركه 2018'!$Z185+' الشركه 2018'!$AA185+' الشركه 2018'!$AC185+' الشركه 2018'!$AD185+' الشركه 2018'!$AF185</f>
        <v>2285</v>
      </c>
      <c r="AH185" s="111">
        <f>Table6[[#This Row],[راتب الضمان]]*8%</f>
        <v>365.6</v>
      </c>
      <c r="AI185" s="111">
        <f>' الشركه 2018'!$H185-' الشركه 2018'!$AG185-' الشركه 2018'!$AH185</f>
        <v>1919.4</v>
      </c>
      <c r="AJ185" s="111">
        <f>' الشركه 2018'!$CF185</f>
        <v>0</v>
      </c>
      <c r="AK185" s="117">
        <f>' الشركه 2018'!$AI185+' الشركه 2018'!$AJ185</f>
        <v>1919.4</v>
      </c>
      <c r="AL185" s="152"/>
      <c r="AM185" s="153"/>
      <c r="AN185" s="9">
        <f>Table6[[#This Row],[اجمالى الاستحقاق]]-Table6[[#This Row],[Column2]]+Table6[[#This Row],[حوافز غير مستقره]]</f>
        <v>1919.4</v>
      </c>
      <c r="AO185" s="59"/>
      <c r="AP185" s="169"/>
      <c r="AQ185" s="176"/>
      <c r="AR185" s="124"/>
      <c r="AS185" s="155"/>
      <c r="AT185" s="170"/>
      <c r="AU185" s="124"/>
      <c r="AV185" s="124"/>
      <c r="AW185" s="124"/>
      <c r="AX185" s="124"/>
      <c r="AY185" s="124"/>
      <c r="AZ185" s="124"/>
      <c r="BA185" s="124"/>
      <c r="BB185" s="124"/>
      <c r="BC185" s="124"/>
      <c r="BD185" s="124"/>
      <c r="BE185" s="124"/>
      <c r="BF185" s="124"/>
      <c r="BG185" s="124"/>
      <c r="BH185" s="124"/>
      <c r="BI185" s="124"/>
      <c r="BJ185" s="124"/>
      <c r="BK185" s="124"/>
      <c r="BL185" s="124"/>
      <c r="BM185" s="124"/>
      <c r="BN185" s="124"/>
      <c r="BO185" s="124"/>
      <c r="BP185" s="124"/>
      <c r="BQ185" s="124"/>
      <c r="BR185" s="124"/>
      <c r="BS185" s="124"/>
      <c r="BT185" s="124"/>
      <c r="BU185" s="124"/>
      <c r="BV185" s="124"/>
      <c r="BW185" s="124"/>
      <c r="BX185" s="124"/>
      <c r="BY185" s="124"/>
      <c r="BZ185" s="171"/>
      <c r="CA185" s="172"/>
      <c r="CB18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5" s="131">
        <f>' الشركه 2018'!$H185*67%*1.5*' الشركه 2018'!$CB185/208</f>
        <v>0</v>
      </c>
      <c r="CE185" s="132">
        <f>' الشركه 2018'!$H185*67%*2*' الشركه 2018'!$CC185/208</f>
        <v>0</v>
      </c>
      <c r="CF185" s="133">
        <f>' الشركه 2018'!$CD185+' الشركه 2018'!$CE185</f>
        <v>0</v>
      </c>
      <c r="CG185" s="124"/>
      <c r="CH185" s="177">
        <f>SUMIF(C185:C462,' الشركه 2018'!$CG177,L185:L462)</f>
        <v>0</v>
      </c>
      <c r="CI185" s="124"/>
      <c r="CJ185" s="177">
        <f>' الشركه 2018'!$CH177*' الشركه 2018'!$CI177</f>
        <v>0</v>
      </c>
      <c r="CK185" s="177" t="e">
        <f>' الشركه 2018'!$CJ177*8%</f>
        <v>#REF!</v>
      </c>
      <c r="CL185" s="177" t="e">
        <f>' الشركه 2018'!$CJ177*17%</f>
        <v>#REF!</v>
      </c>
      <c r="CM185" s="177" t="e">
        <f>' الشركه 2018'!$CJ177*25%</f>
        <v>#REF!</v>
      </c>
      <c r="CN185" s="162"/>
      <c r="CO185" s="162"/>
      <c r="CP185" s="163">
        <v>500</v>
      </c>
      <c r="CQ185" s="164" t="e">
        <f>VLOOKUP(Table6[[#This Row],[الرقم الوظيفى]],[4]!Table3[#Data],26,FALSE)</f>
        <v>#REF!</v>
      </c>
      <c r="CR185" s="165"/>
      <c r="CS185" s="124"/>
    </row>
    <row r="186" spans="1:97" ht="28" customHeight="1" thickTop="1" thickBot="1">
      <c r="A186" s="222">
        <v>902</v>
      </c>
      <c r="B186" s="142" t="s">
        <v>92</v>
      </c>
      <c r="C186" s="59" t="s">
        <v>90</v>
      </c>
      <c r="D186" s="143" t="s">
        <v>72</v>
      </c>
      <c r="E186" s="174"/>
      <c r="F186" s="143"/>
      <c r="G186" s="145">
        <v>42541</v>
      </c>
      <c r="H186" s="146">
        <v>6500</v>
      </c>
      <c r="I186" s="106">
        <f>Table6[[#This Row],[مرتب]]/30</f>
        <v>216.66666666666666</v>
      </c>
      <c r="J186" s="107">
        <v>30</v>
      </c>
      <c r="K186" s="107">
        <f t="shared" si="2"/>
        <v>6500</v>
      </c>
      <c r="L186" s="108">
        <v>6500</v>
      </c>
      <c r="M186" s="107">
        <f>Table6[[#This Row],[مرتب الضمان]]*17%</f>
        <v>1105</v>
      </c>
      <c r="N186" s="107">
        <f>' الشركه 2018'!$H186*35%</f>
        <v>2275</v>
      </c>
      <c r="O186" s="107">
        <f>' الشركه 2018'!$H186*32%</f>
        <v>2080</v>
      </c>
      <c r="P186" s="107">
        <f>' الشركه 2018'!$H186*12%</f>
        <v>780</v>
      </c>
      <c r="Q186" s="107">
        <f>' الشركه 2018'!$H186*13%</f>
        <v>845</v>
      </c>
      <c r="R186" s="107">
        <f>' الشركه 2018'!$H186*6%</f>
        <v>390</v>
      </c>
      <c r="S186" s="107">
        <f>' الشركه 2018'!$H186*2%</f>
        <v>130</v>
      </c>
      <c r="T186" s="107">
        <f>' الشركه 2018'!$O186+' الشركه 2018'!$P186+' الشركه 2018'!$Q186+' الشركه 2018'!$R186+' الشركه 2018'!$S186</f>
        <v>4225</v>
      </c>
      <c r="U186" s="109">
        <f>VLOOKUP(Table6[[#This Row],[الرقم الوظيفى]],[2]بالخصم!$B$1:$AK$1200,35,)</f>
        <v>0</v>
      </c>
      <c r="V186" s="147"/>
      <c r="W186" s="111">
        <f>Table6[[#This Row],[عدد ايام الاجازه]]*Table6[[#This Row],[ح راتب اليوم]]</f>
        <v>0</v>
      </c>
      <c r="X186" s="148"/>
      <c r="Y186" s="60"/>
      <c r="Z186" s="111">
        <f>Table6[[#This Row],[عدد ايام الجزاء]]*Table6[[#This Row],[ح راتب اليوم]]</f>
        <v>0</v>
      </c>
      <c r="AA186" s="112">
        <f>Table6[[#This Row],[مرتب]]*50%</f>
        <v>3250</v>
      </c>
      <c r="AB186" s="113" t="e">
        <f>VLOOKUP(Table6[[#This Row],[الرقم الوظيفى]],[3]!Table25289[#Data],23,)</f>
        <v>#REF!</v>
      </c>
      <c r="AC186" s="149">
        <v>500</v>
      </c>
      <c r="AD186" s="150"/>
      <c r="AE186" s="113" t="e">
        <f>VLOOKUP(Table6[[#This Row],[الرقم الوظيفى]],[3]!Table252894[#Data],22,)</f>
        <v>#REF!</v>
      </c>
      <c r="AF186" s="151"/>
      <c r="AG186" s="111">
        <f>' الشركه 2018'!$W186+' الشركه 2018'!$Z186+' الشركه 2018'!$AA186+' الشركه 2018'!$AC186+' الشركه 2018'!$AD186+' الشركه 2018'!$AF186</f>
        <v>3750</v>
      </c>
      <c r="AH186" s="111">
        <f>Table6[[#This Row],[راتب الضمان]]*8%</f>
        <v>520</v>
      </c>
      <c r="AI186" s="111">
        <f>' الشركه 2018'!$H186-' الشركه 2018'!$AG186-' الشركه 2018'!$AH186</f>
        <v>2230</v>
      </c>
      <c r="AJ186" s="111">
        <f>' الشركه 2018'!$CF186</f>
        <v>1329.53125</v>
      </c>
      <c r="AK186" s="117">
        <f>' الشركه 2018'!$AI186+' الشركه 2018'!$AJ186</f>
        <v>3559.53125</v>
      </c>
      <c r="AL186" s="152"/>
      <c r="AM186" s="153"/>
      <c r="AN186" s="9">
        <f>Table6[[#This Row],[اجمالى الاستحقاق]]-Table6[[#This Row],[Column2]]+Table6[[#This Row],[حوافز غير مستقره]]</f>
        <v>3559.53125</v>
      </c>
      <c r="AO186" s="59"/>
      <c r="AP186" s="169"/>
      <c r="AQ186" s="176"/>
      <c r="AR186" s="124"/>
      <c r="AS186" s="155"/>
      <c r="AT186" s="170"/>
      <c r="AU186" s="124"/>
      <c r="AV186" s="124"/>
      <c r="AW186" s="124"/>
      <c r="AX186" s="124"/>
      <c r="AY186" s="124"/>
      <c r="AZ186" s="124">
        <v>5</v>
      </c>
      <c r="BA186" s="124"/>
      <c r="BB186" s="124"/>
      <c r="BC186" s="124"/>
      <c r="BD186" s="124"/>
      <c r="BE186" s="124"/>
      <c r="BF186" s="124"/>
      <c r="BG186" s="124"/>
      <c r="BH186" s="124"/>
      <c r="BI186" s="124">
        <v>4</v>
      </c>
      <c r="BJ186" s="124">
        <v>10</v>
      </c>
      <c r="BK186" s="124">
        <v>4</v>
      </c>
      <c r="BL186" s="124">
        <v>4</v>
      </c>
      <c r="BM186" s="124">
        <v>8</v>
      </c>
      <c r="BN186" s="124"/>
      <c r="BO186" s="124"/>
      <c r="BP186" s="124">
        <v>4</v>
      </c>
      <c r="BQ186" s="124"/>
      <c r="BR186" s="124"/>
      <c r="BS186" s="124"/>
      <c r="BT186" s="124"/>
      <c r="BU186" s="124"/>
      <c r="BV186" s="124"/>
      <c r="BW186" s="124"/>
      <c r="BX186" s="124"/>
      <c r="BY186" s="124"/>
      <c r="BZ186" s="171"/>
      <c r="CA186" s="172"/>
      <c r="CB18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29</v>
      </c>
      <c r="CC186" s="130">
        <f>Table6[[#This Row],[Friday, November 23, 2018]]+Table6[[#This Row],[Friday, November 30, 2018]]+Table6[[#This Row],[Friday, December 07, 2018]]+Table6[[#This Row],[Friday, December 14, 2018]]+Table6[[#This Row],[فروقات عطله]]</f>
        <v>10</v>
      </c>
      <c r="CD186" s="131">
        <f>' الشركه 2018'!$H186*67%*1.5*' الشركه 2018'!$CB186/208</f>
        <v>910.78125</v>
      </c>
      <c r="CE186" s="132">
        <f>' الشركه 2018'!$H186*67%*2*' الشركه 2018'!$CC186/208</f>
        <v>418.75</v>
      </c>
      <c r="CF186" s="133">
        <f>' الشركه 2018'!$CD186+' الشركه 2018'!$CE186</f>
        <v>1329.53125</v>
      </c>
      <c r="CG186" s="124"/>
      <c r="CH186" s="177">
        <f>SUMIF(C186:C469,' الشركه 2018'!#REF!,L186:L469)</f>
        <v>0</v>
      </c>
      <c r="CI186" s="124"/>
      <c r="CJ186" s="177" t="e">
        <f>' الشركه 2018'!#REF!*' الشركه 2018'!#REF!</f>
        <v>#REF!</v>
      </c>
      <c r="CK186" s="177" t="e">
        <f>' الشركه 2018'!#REF!*8%</f>
        <v>#REF!</v>
      </c>
      <c r="CL186" s="177" t="e">
        <f>' الشركه 2018'!#REF!*17%</f>
        <v>#REF!</v>
      </c>
      <c r="CM186" s="177" t="e">
        <f>' الشركه 2018'!#REF!*25%</f>
        <v>#REF!</v>
      </c>
      <c r="CN186" s="162"/>
      <c r="CO186" s="162"/>
      <c r="CP186" s="163"/>
      <c r="CQ186" s="164" t="e">
        <f>VLOOKUP(Table6[[#This Row],[الرقم الوظيفى]],[4]!Table3[#Data],26,FALSE)</f>
        <v>#REF!</v>
      </c>
      <c r="CR186" s="165">
        <v>400</v>
      </c>
      <c r="CS186" s="124"/>
    </row>
    <row r="187" spans="1:97" ht="28" customHeight="1" thickTop="1" thickBot="1">
      <c r="A187" s="222">
        <v>904</v>
      </c>
      <c r="B187" s="142" t="s">
        <v>689</v>
      </c>
      <c r="C187" s="59" t="s">
        <v>90</v>
      </c>
      <c r="D187" s="143" t="s">
        <v>74</v>
      </c>
      <c r="E187" s="174"/>
      <c r="F187" s="143" t="s">
        <v>63</v>
      </c>
      <c r="G187" s="145">
        <v>42569</v>
      </c>
      <c r="H187" s="146">
        <v>3050</v>
      </c>
      <c r="I187" s="106">
        <f>Table6[[#This Row],[مرتب]]/30</f>
        <v>101.66666666666667</v>
      </c>
      <c r="J187" s="107">
        <v>30</v>
      </c>
      <c r="K187" s="107">
        <f t="shared" si="2"/>
        <v>3050</v>
      </c>
      <c r="L187" s="108">
        <v>3050</v>
      </c>
      <c r="M187" s="107">
        <f>Table6[[#This Row],[مرتب الضمان]]*17%</f>
        <v>518.5</v>
      </c>
      <c r="N187" s="107">
        <f>' الشركه 2018'!$H187*35%</f>
        <v>1067.5</v>
      </c>
      <c r="O187" s="107">
        <f>' الشركه 2018'!$H187*32%</f>
        <v>976</v>
      </c>
      <c r="P187" s="107">
        <f>' الشركه 2018'!$H187*12%</f>
        <v>366</v>
      </c>
      <c r="Q187" s="107">
        <f>' الشركه 2018'!$H187*13%</f>
        <v>396.5</v>
      </c>
      <c r="R187" s="107">
        <f>' الشركه 2018'!$H187*6%</f>
        <v>183</v>
      </c>
      <c r="S187" s="107">
        <f>' الشركه 2018'!$H187*2%</f>
        <v>61</v>
      </c>
      <c r="T187" s="107">
        <f>' الشركه 2018'!$O187+' الشركه 2018'!$P187+' الشركه 2018'!$Q187+' الشركه 2018'!$R187+' الشركه 2018'!$S187</f>
        <v>1982.5</v>
      </c>
      <c r="U187" s="109">
        <f>VLOOKUP(Table6[[#This Row],[الرقم الوظيفى]],[2]بالخصم!$B$1:$AK$1200,35,)</f>
        <v>0</v>
      </c>
      <c r="V187" s="147"/>
      <c r="W187" s="111">
        <f>Table6[[#This Row],[عدد ايام الاجازه]]*Table6[[#This Row],[ح راتب اليوم]]</f>
        <v>0</v>
      </c>
      <c r="X187" s="148"/>
      <c r="Y187" s="60"/>
      <c r="Z187" s="111">
        <f>Table6[[#This Row],[عدد ايام الجزاء]]*Table6[[#This Row],[ح راتب اليوم]]</f>
        <v>0</v>
      </c>
      <c r="AA187" s="112">
        <f>Table6[[#This Row],[مرتب]]*50%</f>
        <v>1525</v>
      </c>
      <c r="AB187" s="113" t="e">
        <f>VLOOKUP(Table6[[#This Row],[الرقم الوظيفى]],[3]!Table25289[#Data],23,)</f>
        <v>#REF!</v>
      </c>
      <c r="AC187" s="149"/>
      <c r="AD187" s="150"/>
      <c r="AE187" s="113" t="e">
        <f>VLOOKUP(Table6[[#This Row],[الرقم الوظيفى]],[3]!Table252894[#Data],22,)</f>
        <v>#REF!</v>
      </c>
      <c r="AF187" s="151"/>
      <c r="AG187" s="111">
        <f>' الشركه 2018'!$W187+' الشركه 2018'!$Z187+' الشركه 2018'!$AA187+' الشركه 2018'!$AC187+' الشركه 2018'!$AD187+' الشركه 2018'!$AF187</f>
        <v>1525</v>
      </c>
      <c r="AH187" s="111">
        <f>Table6[[#This Row],[راتب الضمان]]*8%</f>
        <v>244</v>
      </c>
      <c r="AI187" s="111">
        <f>' الشركه 2018'!$H187-' الشركه 2018'!$AG187-' الشركه 2018'!$AH187</f>
        <v>1281</v>
      </c>
      <c r="AJ187" s="111">
        <f>' الشركه 2018'!$CF187</f>
        <v>0</v>
      </c>
      <c r="AK187" s="117">
        <f>' الشركه 2018'!$AI187+' الشركه 2018'!$AJ187</f>
        <v>1281</v>
      </c>
      <c r="AL187" s="152"/>
      <c r="AM187" s="153"/>
      <c r="AN187" s="9">
        <f>Table6[[#This Row],[اجمالى الاستحقاق]]-Table6[[#This Row],[Column2]]+Table6[[#This Row],[حوافز غير مستقره]]</f>
        <v>1281</v>
      </c>
      <c r="AO187" s="59"/>
      <c r="AP187" s="169"/>
      <c r="AQ187" s="176"/>
      <c r="AR187" s="124"/>
      <c r="AS187" s="155"/>
      <c r="AT187" s="170"/>
      <c r="AU187" s="124"/>
      <c r="AV187" s="124"/>
      <c r="AW187" s="124"/>
      <c r="AX187" s="124"/>
      <c r="AY187" s="124"/>
      <c r="AZ187" s="124"/>
      <c r="BA187" s="124"/>
      <c r="BB187" s="124"/>
      <c r="BC187" s="124"/>
      <c r="BD187" s="124"/>
      <c r="BE187" s="124"/>
      <c r="BF187" s="124"/>
      <c r="BG187" s="124"/>
      <c r="BH187" s="124"/>
      <c r="BI187" s="124"/>
      <c r="BJ187" s="124"/>
      <c r="BK187" s="124"/>
      <c r="BL187" s="124"/>
      <c r="BM187" s="124"/>
      <c r="BN187" s="124"/>
      <c r="BO187" s="124"/>
      <c r="BP187" s="124"/>
      <c r="BQ187" s="124"/>
      <c r="BR187" s="124"/>
      <c r="BS187" s="124"/>
      <c r="BT187" s="124"/>
      <c r="BU187" s="124"/>
      <c r="BV187" s="124"/>
      <c r="BW187" s="124"/>
      <c r="BX187" s="124"/>
      <c r="BY187" s="124"/>
      <c r="BZ187" s="171"/>
      <c r="CA187" s="172"/>
      <c r="CB18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7" s="131">
        <f>' الشركه 2018'!$H187*67%*1.5*' الشركه 2018'!$CB187/208</f>
        <v>0</v>
      </c>
      <c r="CE187" s="132">
        <f>' الشركه 2018'!$H187*67%*2*' الشركه 2018'!$CC187/208</f>
        <v>0</v>
      </c>
      <c r="CF187" s="133">
        <f>' الشركه 2018'!$CD187+' الشركه 2018'!$CE187</f>
        <v>0</v>
      </c>
      <c r="CG187" s="124"/>
      <c r="CH187" s="177">
        <f>SUMIF(C187:C466,' الشركه 2018'!$CG178,L187:L466)</f>
        <v>0</v>
      </c>
      <c r="CI187" s="124"/>
      <c r="CJ187" s="177">
        <f>' الشركه 2018'!$CH178*' الشركه 2018'!$CI178</f>
        <v>0</v>
      </c>
      <c r="CK187" s="177">
        <f>' الشركه 2018'!$CJ178*8%</f>
        <v>0</v>
      </c>
      <c r="CL187" s="177">
        <f>' الشركه 2018'!$CJ178*17%</f>
        <v>0</v>
      </c>
      <c r="CM187" s="177">
        <f>' الشركه 2018'!$CJ178*25%</f>
        <v>0</v>
      </c>
      <c r="CN187" s="162"/>
      <c r="CO187" s="162"/>
      <c r="CP187" s="163"/>
      <c r="CQ187" s="164" t="e">
        <f>VLOOKUP(Table6[[#This Row],[الرقم الوظيفى]],[4]!Table3[#Data],26,FALSE)</f>
        <v>#REF!</v>
      </c>
      <c r="CR187" s="165">
        <v>500</v>
      </c>
      <c r="CS187" s="124"/>
    </row>
    <row r="188" spans="1:97" ht="28" customHeight="1" thickTop="1" thickBot="1">
      <c r="A188" s="222">
        <v>907</v>
      </c>
      <c r="B188" s="142" t="s">
        <v>432</v>
      </c>
      <c r="C188" s="59" t="s">
        <v>90</v>
      </c>
      <c r="D188" s="143" t="s">
        <v>83</v>
      </c>
      <c r="E188" s="174" t="s">
        <v>637</v>
      </c>
      <c r="F188" s="143" t="s">
        <v>690</v>
      </c>
      <c r="G188" s="145">
        <v>42583</v>
      </c>
      <c r="H188" s="210">
        <v>4060</v>
      </c>
      <c r="I188" s="211">
        <f>Table6[[#This Row],[مرتب]]/30</f>
        <v>135.33333333333334</v>
      </c>
      <c r="J188" s="107">
        <v>30</v>
      </c>
      <c r="K188" s="107">
        <f t="shared" si="2"/>
        <v>4060.0000000000005</v>
      </c>
      <c r="L188" s="212">
        <v>4060</v>
      </c>
      <c r="M188" s="107">
        <f>Table6[[#This Row],[مرتب الضمان]]*17%</f>
        <v>690.2</v>
      </c>
      <c r="N188" s="107">
        <f>' الشركه 2018'!$H188*35%</f>
        <v>1421</v>
      </c>
      <c r="O188" s="107">
        <f>' الشركه 2018'!$H188*32%</f>
        <v>1299.2</v>
      </c>
      <c r="P188" s="107">
        <f>' الشركه 2018'!$H188*12%</f>
        <v>487.2</v>
      </c>
      <c r="Q188" s="107">
        <f>' الشركه 2018'!$H188*13%</f>
        <v>527.80000000000007</v>
      </c>
      <c r="R188" s="107">
        <f>' الشركه 2018'!$H188*6%</f>
        <v>243.6</v>
      </c>
      <c r="S188" s="107">
        <f>' الشركه 2018'!$H188*2%</f>
        <v>81.2</v>
      </c>
      <c r="T188" s="107">
        <f>' الشركه 2018'!$O188+' الشركه 2018'!$P188+' الشركه 2018'!$Q188+' الشركه 2018'!$R188+' الشركه 2018'!$S188</f>
        <v>2639</v>
      </c>
      <c r="U188" s="109">
        <f>VLOOKUP(Table6[[#This Row],[الرقم الوظيفى]],[2]بالخصم!$B$1:$AK$1200,35,)</f>
        <v>0</v>
      </c>
      <c r="V188" s="213"/>
      <c r="W188" s="111">
        <f>Table6[[#This Row],[عدد ايام الاجازه]]*Table6[[#This Row],[ح راتب اليوم]]</f>
        <v>0</v>
      </c>
      <c r="X188" s="148"/>
      <c r="Y188" s="214"/>
      <c r="Z188" s="111">
        <f>Table6[[#This Row],[عدد ايام الجزاء]]*Table6[[#This Row],[ح راتب اليوم]]</f>
        <v>0</v>
      </c>
      <c r="AA188" s="112">
        <f>Table6[[#This Row],[مرتب]]*50%</f>
        <v>2030</v>
      </c>
      <c r="AB188" s="113" t="e">
        <f>VLOOKUP(Table6[[#This Row],[الرقم الوظيفى]],[3]!Table25289[#Data],23,)</f>
        <v>#REF!</v>
      </c>
      <c r="AC188" s="215"/>
      <c r="AD188" s="206"/>
      <c r="AE188" s="113" t="e">
        <f>VLOOKUP(Table6[[#This Row],[الرقم الوظيفى]],[3]!Table252894[#Data],22,)</f>
        <v>#REF!</v>
      </c>
      <c r="AF188" s="179"/>
      <c r="AG188" s="111">
        <f>' الشركه 2018'!$W188+' الشركه 2018'!$Z188+' الشركه 2018'!$AA188+' الشركه 2018'!$AC188+' الشركه 2018'!$AD188+' الشركه 2018'!$AF188</f>
        <v>2030</v>
      </c>
      <c r="AH188" s="111">
        <f>Table6[[#This Row],[راتب الضمان]]*8%</f>
        <v>324.80000000000007</v>
      </c>
      <c r="AI188" s="111">
        <f>' الشركه 2018'!$H188-' الشركه 2018'!$AG188-' الشركه 2018'!$AH188</f>
        <v>1705.1999999999998</v>
      </c>
      <c r="AJ188" s="111">
        <f>' الشركه 2018'!$CF188</f>
        <v>0</v>
      </c>
      <c r="AK188" s="117">
        <f>' الشركه 2018'!$AI188+' الشركه 2018'!$AJ188</f>
        <v>1705.1999999999998</v>
      </c>
      <c r="AL188" s="152"/>
      <c r="AM188" s="153"/>
      <c r="AN188" s="9">
        <f>Table6[[#This Row],[اجمالى الاستحقاق]]-Table6[[#This Row],[Column2]]+Table6[[#This Row],[حوافز غير مستقره]]</f>
        <v>1705.1999999999998</v>
      </c>
      <c r="AO188" s="201"/>
      <c r="AP188" s="169"/>
      <c r="AQ188" s="176"/>
      <c r="AR188" s="124"/>
      <c r="AS188" s="155"/>
      <c r="AT188" s="170"/>
      <c r="AU188" s="124"/>
      <c r="AV188" s="124"/>
      <c r="AW188" s="124"/>
      <c r="AX188" s="124"/>
      <c r="AY188" s="124"/>
      <c r="AZ188" s="124"/>
      <c r="BA188" s="124"/>
      <c r="BB188" s="124"/>
      <c r="BC188" s="124"/>
      <c r="BD188" s="124"/>
      <c r="BE188" s="124"/>
      <c r="BF188" s="124"/>
      <c r="BG188" s="124"/>
      <c r="BH188" s="124"/>
      <c r="BI188" s="124"/>
      <c r="BJ188" s="124"/>
      <c r="BK188" s="124"/>
      <c r="BL188" s="124"/>
      <c r="BM188" s="124"/>
      <c r="BN188" s="124"/>
      <c r="BO188" s="124"/>
      <c r="BP188" s="124"/>
      <c r="BQ188" s="124"/>
      <c r="BR188" s="124"/>
      <c r="BS188" s="124"/>
      <c r="BT188" s="124"/>
      <c r="BU188" s="124"/>
      <c r="BV188" s="124"/>
      <c r="BW188" s="124"/>
      <c r="BX188" s="124"/>
      <c r="BY188" s="124"/>
      <c r="BZ188" s="171"/>
      <c r="CA188" s="172"/>
      <c r="CB18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88" s="131">
        <f>' الشركه 2018'!$H188*67%*1.5*' الشركه 2018'!$CB188/208</f>
        <v>0</v>
      </c>
      <c r="CE188" s="132">
        <f>' الشركه 2018'!$H188*67%*2*' الشركه 2018'!$CC188/208</f>
        <v>0</v>
      </c>
      <c r="CF188" s="133">
        <f>' الشركه 2018'!$CD188+' الشركه 2018'!$CE188</f>
        <v>0</v>
      </c>
      <c r="CG188" s="216"/>
      <c r="CH188" s="217">
        <f>SUMIF(C188:C469,' الشركه 2018'!$CG179,L188:L469)</f>
        <v>0</v>
      </c>
      <c r="CI188" s="216"/>
      <c r="CJ188" s="217">
        <f>' الشركه 2018'!$CH179*' الشركه 2018'!$CI179</f>
        <v>0</v>
      </c>
      <c r="CK188" s="217">
        <f>' الشركه 2018'!$CJ179*8%</f>
        <v>0</v>
      </c>
      <c r="CL188" s="217">
        <f>' الشركه 2018'!$CJ179*17%</f>
        <v>0</v>
      </c>
      <c r="CM188" s="217">
        <f>' الشركه 2018'!$CJ179*25%</f>
        <v>0</v>
      </c>
      <c r="CN188" s="162"/>
      <c r="CO188" s="162"/>
      <c r="CP188" s="163"/>
      <c r="CQ188" s="164" t="e">
        <f>VLOOKUP(Table6[[#This Row],[الرقم الوظيفى]],[4]!Table3[#Data],26,FALSE)</f>
        <v>#REF!</v>
      </c>
      <c r="CR188" s="165">
        <v>500</v>
      </c>
      <c r="CS188" s="124"/>
    </row>
    <row r="189" spans="1:97" ht="28" customHeight="1" thickTop="1" thickBot="1">
      <c r="A189" s="222">
        <v>908</v>
      </c>
      <c r="B189" s="142" t="s">
        <v>434</v>
      </c>
      <c r="C189" s="59" t="s">
        <v>90</v>
      </c>
      <c r="D189" s="143" t="s">
        <v>83</v>
      </c>
      <c r="E189" s="174" t="s">
        <v>627</v>
      </c>
      <c r="F189" s="143" t="s">
        <v>433</v>
      </c>
      <c r="G189" s="145">
        <v>42583</v>
      </c>
      <c r="H189" s="210">
        <v>4060</v>
      </c>
      <c r="I189" s="211">
        <f>Table6[[#This Row],[مرتب]]/30</f>
        <v>135.33333333333334</v>
      </c>
      <c r="J189" s="107">
        <v>30</v>
      </c>
      <c r="K189" s="107">
        <f t="shared" si="2"/>
        <v>4060.0000000000005</v>
      </c>
      <c r="L189" s="212">
        <v>4060</v>
      </c>
      <c r="M189" s="107">
        <f>Table6[[#This Row],[مرتب الضمان]]*17%</f>
        <v>690.2</v>
      </c>
      <c r="N189" s="107">
        <f>' الشركه 2018'!$H189*35%</f>
        <v>1421</v>
      </c>
      <c r="O189" s="107">
        <f>' الشركه 2018'!$H189*32%</f>
        <v>1299.2</v>
      </c>
      <c r="P189" s="107">
        <f>' الشركه 2018'!$H189*12%</f>
        <v>487.2</v>
      </c>
      <c r="Q189" s="107">
        <f>' الشركه 2018'!$H189*13%</f>
        <v>527.80000000000007</v>
      </c>
      <c r="R189" s="107">
        <f>' الشركه 2018'!$H189*6%</f>
        <v>243.6</v>
      </c>
      <c r="S189" s="107">
        <f>' الشركه 2018'!$H189*2%</f>
        <v>81.2</v>
      </c>
      <c r="T189" s="107">
        <f>' الشركه 2018'!$O189+' الشركه 2018'!$P189+' الشركه 2018'!$Q189+' الشركه 2018'!$R189+' الشركه 2018'!$S189</f>
        <v>2639</v>
      </c>
      <c r="U189" s="109">
        <f>VLOOKUP(Table6[[#This Row],[الرقم الوظيفى]],[2]بالخصم!$B$1:$AK$1200,35,)</f>
        <v>0</v>
      </c>
      <c r="V189" s="213"/>
      <c r="W189" s="111">
        <f>Table6[[#This Row],[عدد ايام الاجازه]]*Table6[[#This Row],[ح راتب اليوم]]</f>
        <v>0</v>
      </c>
      <c r="X189" s="148"/>
      <c r="Y189" s="214"/>
      <c r="Z189" s="111">
        <f>Table6[[#This Row],[عدد ايام الجزاء]]*Table6[[#This Row],[ح راتب اليوم]]</f>
        <v>0</v>
      </c>
      <c r="AA189" s="112">
        <f>Table6[[#This Row],[مرتب]]*50%</f>
        <v>2030</v>
      </c>
      <c r="AB189" s="113" t="e">
        <f>VLOOKUP(Table6[[#This Row],[الرقم الوظيفى]],[3]!Table25289[#Data],23,)</f>
        <v>#REF!</v>
      </c>
      <c r="AC189" s="215"/>
      <c r="AD189" s="206"/>
      <c r="AE189" s="113" t="e">
        <f>VLOOKUP(Table6[[#This Row],[الرقم الوظيفى]],[3]!Table252894[#Data],22,)</f>
        <v>#REF!</v>
      </c>
      <c r="AF189" s="179"/>
      <c r="AG189" s="111">
        <f>' الشركه 2018'!$W189+' الشركه 2018'!$Z189+' الشركه 2018'!$AA189+' الشركه 2018'!$AC189+' الشركه 2018'!$AD189+' الشركه 2018'!$AF189</f>
        <v>2030</v>
      </c>
      <c r="AH189" s="111">
        <f>Table6[[#This Row],[راتب الضمان]]*8%</f>
        <v>324.80000000000007</v>
      </c>
      <c r="AI189" s="111">
        <f>' الشركه 2018'!$H189-' الشركه 2018'!$AG189-' الشركه 2018'!$AH189</f>
        <v>1705.1999999999998</v>
      </c>
      <c r="AJ189" s="111">
        <f>' الشركه 2018'!$CF189</f>
        <v>810.82884615384626</v>
      </c>
      <c r="AK189" s="117">
        <f>' الشركه 2018'!$AI189+' الشركه 2018'!$AJ189</f>
        <v>2516.0288461538462</v>
      </c>
      <c r="AL189" s="152"/>
      <c r="AM189" s="153"/>
      <c r="AN189" s="9">
        <f>Table6[[#This Row],[اجمالى الاستحقاق]]-Table6[[#This Row],[Column2]]+Table6[[#This Row],[حوافز غير مستقره]]</f>
        <v>2516.0288461538462</v>
      </c>
      <c r="AO189" s="201"/>
      <c r="AP189" s="169"/>
      <c r="AQ189" s="176"/>
      <c r="AR189" s="124"/>
      <c r="AS189" s="155"/>
      <c r="AT189" s="170"/>
      <c r="AU189" s="124"/>
      <c r="AV189" s="124">
        <v>9</v>
      </c>
      <c r="AW189" s="124"/>
      <c r="AX189" s="124"/>
      <c r="AY189" s="124"/>
      <c r="AZ189" s="124"/>
      <c r="BA189" s="124"/>
      <c r="BB189" s="124"/>
      <c r="BC189" s="124">
        <v>12</v>
      </c>
      <c r="BD189" s="124"/>
      <c r="BE189" s="124"/>
      <c r="BF189" s="124"/>
      <c r="BG189" s="124"/>
      <c r="BH189" s="124"/>
      <c r="BI189" s="124"/>
      <c r="BJ189" s="124">
        <v>10</v>
      </c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71"/>
      <c r="CA189" s="172"/>
      <c r="CB18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89" s="130">
        <f>Table6[[#This Row],[Friday, November 23, 2018]]+Table6[[#This Row],[Friday, November 30, 2018]]+Table6[[#This Row],[Friday, December 07, 2018]]+Table6[[#This Row],[Friday, December 14, 2018]]+Table6[[#This Row],[فروقات عطله]]</f>
        <v>31</v>
      </c>
      <c r="CD189" s="131">
        <f>' الشركه 2018'!$H189*67%*1.5*' الشركه 2018'!$CB189/208</f>
        <v>0</v>
      </c>
      <c r="CE189" s="132">
        <f>' الشركه 2018'!$H189*67%*2*' الشركه 2018'!$CC189/208</f>
        <v>810.82884615384626</v>
      </c>
      <c r="CF189" s="133">
        <f>' الشركه 2018'!$CD189+' الشركه 2018'!$CE189</f>
        <v>810.82884615384626</v>
      </c>
      <c r="CG189" s="216"/>
      <c r="CH189" s="217">
        <f>SUMIF(C189:C469,' الشركه 2018'!$CG180,L189:L469)</f>
        <v>0</v>
      </c>
      <c r="CI189" s="216"/>
      <c r="CJ189" s="217">
        <f>' الشركه 2018'!$CH180*' الشركه 2018'!$CI180</f>
        <v>0</v>
      </c>
      <c r="CK189" s="217" t="e">
        <f>' الشركه 2018'!$CJ180*8%</f>
        <v>#REF!</v>
      </c>
      <c r="CL189" s="217" t="e">
        <f>' الشركه 2018'!$CJ180*17%</f>
        <v>#REF!</v>
      </c>
      <c r="CM189" s="217" t="e">
        <f>' الشركه 2018'!$CJ180*25%</f>
        <v>#REF!</v>
      </c>
      <c r="CN189" s="162"/>
      <c r="CO189" s="162"/>
      <c r="CP189" s="163">
        <v>300</v>
      </c>
      <c r="CQ189" s="164" t="e">
        <f>VLOOKUP(Table6[[#This Row],[الرقم الوظيفى]],[4]!Table3[#Data],26,FALSE)</f>
        <v>#REF!</v>
      </c>
      <c r="CR189" s="165">
        <v>1000</v>
      </c>
      <c r="CS189" s="124"/>
    </row>
    <row r="190" spans="1:97" ht="28" customHeight="1" thickTop="1" thickBot="1">
      <c r="A190" s="222">
        <v>909</v>
      </c>
      <c r="B190" s="142" t="s">
        <v>212</v>
      </c>
      <c r="C190" s="59" t="s">
        <v>90</v>
      </c>
      <c r="D190" s="143" t="s">
        <v>74</v>
      </c>
      <c r="E190" s="174"/>
      <c r="F190" s="143" t="s">
        <v>207</v>
      </c>
      <c r="G190" s="145">
        <v>42585</v>
      </c>
      <c r="H190" s="210">
        <v>5550</v>
      </c>
      <c r="I190" s="211">
        <f>Table6[[#This Row],[مرتب]]/30</f>
        <v>185</v>
      </c>
      <c r="J190" s="107">
        <v>30</v>
      </c>
      <c r="K190" s="107">
        <f t="shared" si="2"/>
        <v>5550</v>
      </c>
      <c r="L190" s="212">
        <v>5550</v>
      </c>
      <c r="M190" s="107">
        <f>Table6[[#This Row],[مرتب الضمان]]*17%</f>
        <v>943.50000000000011</v>
      </c>
      <c r="N190" s="107">
        <f>' الشركه 2018'!$H190*35%</f>
        <v>1942.4999999999998</v>
      </c>
      <c r="O190" s="107">
        <f>' الشركه 2018'!$H190*32%</f>
        <v>1776</v>
      </c>
      <c r="P190" s="107">
        <f>' الشركه 2018'!$H190*12%</f>
        <v>666</v>
      </c>
      <c r="Q190" s="107">
        <f>' الشركه 2018'!$H190*13%</f>
        <v>721.5</v>
      </c>
      <c r="R190" s="107">
        <f>' الشركه 2018'!$H190*6%</f>
        <v>333</v>
      </c>
      <c r="S190" s="107">
        <f>' الشركه 2018'!$H190*2%</f>
        <v>111</v>
      </c>
      <c r="T190" s="107">
        <f>' الشركه 2018'!$O190+' الشركه 2018'!$P190+' الشركه 2018'!$Q190+' الشركه 2018'!$R190+' الشركه 2018'!$S190</f>
        <v>3607.5</v>
      </c>
      <c r="U190" s="109">
        <f>VLOOKUP(Table6[[#This Row],[الرقم الوظيفى]],[2]بالخصم!$B$1:$AK$1200,35,)</f>
        <v>0</v>
      </c>
      <c r="V190" s="213"/>
      <c r="W190" s="111">
        <f>Table6[[#This Row],[عدد ايام الاجازه]]*Table6[[#This Row],[ح راتب اليوم]]</f>
        <v>0</v>
      </c>
      <c r="X190" s="148"/>
      <c r="Y190" s="214"/>
      <c r="Z190" s="111">
        <f>Table6[[#This Row],[عدد ايام الجزاء]]*Table6[[#This Row],[ح راتب اليوم]]</f>
        <v>0</v>
      </c>
      <c r="AA190" s="112">
        <f>Table6[[#This Row],[مرتب]]*50%</f>
        <v>2775</v>
      </c>
      <c r="AB190" s="113" t="e">
        <f>VLOOKUP(Table6[[#This Row],[الرقم الوظيفى]],[3]!Table25289[#Data],23,)</f>
        <v>#REF!</v>
      </c>
      <c r="AC190" s="215"/>
      <c r="AD190" s="206"/>
      <c r="AE190" s="113" t="e">
        <f>VLOOKUP(Table6[[#This Row],[الرقم الوظيفى]],[3]!Table252894[#Data],22,)</f>
        <v>#REF!</v>
      </c>
      <c r="AF190" s="179"/>
      <c r="AG190" s="111">
        <f>' الشركه 2018'!$W190+' الشركه 2018'!$Z190+' الشركه 2018'!$AA190+' الشركه 2018'!$AC190+' الشركه 2018'!$AD190+' الشركه 2018'!$AF190</f>
        <v>2775</v>
      </c>
      <c r="AH190" s="111">
        <f>Table6[[#This Row],[راتب الضمان]]*8%</f>
        <v>444</v>
      </c>
      <c r="AI190" s="111">
        <f>' الشركه 2018'!$H190-' الشركه 2018'!$AG190-' الشركه 2018'!$AH190</f>
        <v>2331</v>
      </c>
      <c r="AJ190" s="111">
        <f>' الشركه 2018'!$CF190</f>
        <v>0</v>
      </c>
      <c r="AK190" s="117">
        <f>' الشركه 2018'!$AI190+' الشركه 2018'!$AJ190</f>
        <v>2331</v>
      </c>
      <c r="AL190" s="152"/>
      <c r="AM190" s="153"/>
      <c r="AN190" s="9">
        <f>Table6[[#This Row],[اجمالى الاستحقاق]]-Table6[[#This Row],[Column2]]+Table6[[#This Row],[حوافز غير مستقره]]</f>
        <v>2331</v>
      </c>
      <c r="AO190" s="201"/>
      <c r="AP190" s="169"/>
      <c r="AQ190" s="176"/>
      <c r="AR190" s="124"/>
      <c r="AS190" s="155"/>
      <c r="AT190" s="170"/>
      <c r="AU190" s="124"/>
      <c r="AV190" s="124"/>
      <c r="AW190" s="124"/>
      <c r="AX190" s="124"/>
      <c r="AY190" s="124"/>
      <c r="AZ190" s="124"/>
      <c r="BA190" s="124"/>
      <c r="BB190" s="124"/>
      <c r="BC190" s="124"/>
      <c r="BD190" s="124"/>
      <c r="BE190" s="124"/>
      <c r="BF190" s="124"/>
      <c r="BG190" s="124"/>
      <c r="BH190" s="124"/>
      <c r="BI190" s="124"/>
      <c r="BJ190" s="124"/>
      <c r="BK190" s="124"/>
      <c r="BL190" s="124"/>
      <c r="BM190" s="124"/>
      <c r="BN190" s="124"/>
      <c r="BO190" s="124"/>
      <c r="BP190" s="124"/>
      <c r="BQ190" s="124"/>
      <c r="BR190" s="124"/>
      <c r="BS190" s="124"/>
      <c r="BT190" s="124"/>
      <c r="BU190" s="124"/>
      <c r="BV190" s="124"/>
      <c r="BW190" s="124"/>
      <c r="BX190" s="124"/>
      <c r="BY190" s="124"/>
      <c r="BZ190" s="159"/>
      <c r="CA190" s="160"/>
      <c r="CB19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9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90" s="131">
        <f>' الشركه 2018'!$H190*67%*1.5*' الشركه 2018'!$CB190/208</f>
        <v>0</v>
      </c>
      <c r="CE190" s="132">
        <f>' الشركه 2018'!$H190*67%*2*' الشركه 2018'!$CC190/208</f>
        <v>0</v>
      </c>
      <c r="CF190" s="133">
        <f>' الشركه 2018'!$CD190+' الشركه 2018'!$CE190</f>
        <v>0</v>
      </c>
      <c r="CG190" s="216"/>
      <c r="CH190" s="217">
        <f>SUMIF(C190:C471,' الشركه 2018'!$CG181,L190:L471)</f>
        <v>0</v>
      </c>
      <c r="CI190" s="216"/>
      <c r="CJ190" s="217">
        <f>' الشركه 2018'!$CH181*' الشركه 2018'!$CI181</f>
        <v>0</v>
      </c>
      <c r="CK190" s="217">
        <f>' الشركه 2018'!$CJ181*8%</f>
        <v>0</v>
      </c>
      <c r="CL190" s="217">
        <f>' الشركه 2018'!$CJ181*17%</f>
        <v>0</v>
      </c>
      <c r="CM190" s="217">
        <f>' الشركه 2018'!$CJ181*25%</f>
        <v>0</v>
      </c>
      <c r="CN190" s="162"/>
      <c r="CO190" s="162"/>
      <c r="CP190" s="163"/>
      <c r="CQ190" s="164" t="e">
        <f>VLOOKUP(Table6[[#This Row],[الرقم الوظيفى]],[4]!Table3[#Data],26,FALSE)</f>
        <v>#REF!</v>
      </c>
      <c r="CR190" s="165"/>
      <c r="CS190" s="124"/>
    </row>
    <row r="191" spans="1:97" ht="28" customHeight="1" thickTop="1" thickBot="1">
      <c r="A191" s="222">
        <v>911</v>
      </c>
      <c r="B191" s="142" t="s">
        <v>259</v>
      </c>
      <c r="C191" s="59" t="s">
        <v>90</v>
      </c>
      <c r="D191" s="143" t="s">
        <v>74</v>
      </c>
      <c r="E191" s="174"/>
      <c r="F191" s="143" t="s">
        <v>63</v>
      </c>
      <c r="G191" s="145">
        <v>42593</v>
      </c>
      <c r="H191" s="210">
        <v>4050</v>
      </c>
      <c r="I191" s="211">
        <f>Table6[[#This Row],[مرتب]]/30</f>
        <v>135</v>
      </c>
      <c r="J191" s="107">
        <v>30</v>
      </c>
      <c r="K191" s="107">
        <f t="shared" si="2"/>
        <v>4050</v>
      </c>
      <c r="L191" s="212">
        <v>4050</v>
      </c>
      <c r="M191" s="107">
        <f>Table6[[#This Row],[مرتب الضمان]]*17%</f>
        <v>688.5</v>
      </c>
      <c r="N191" s="107">
        <f>' الشركه 2018'!$H191*35%</f>
        <v>1417.5</v>
      </c>
      <c r="O191" s="107">
        <f>' الشركه 2018'!$H191*32%</f>
        <v>1296</v>
      </c>
      <c r="P191" s="107">
        <f>' الشركه 2018'!$H191*12%</f>
        <v>486</v>
      </c>
      <c r="Q191" s="107">
        <f>' الشركه 2018'!$H191*13%</f>
        <v>526.5</v>
      </c>
      <c r="R191" s="107">
        <f>' الشركه 2018'!$H191*6%</f>
        <v>243</v>
      </c>
      <c r="S191" s="107">
        <f>' الشركه 2018'!$H191*2%</f>
        <v>81</v>
      </c>
      <c r="T191" s="107">
        <f>' الشركه 2018'!$O191+' الشركه 2018'!$P191+' الشركه 2018'!$Q191+' الشركه 2018'!$R191+' الشركه 2018'!$S191</f>
        <v>2632.5</v>
      </c>
      <c r="U191" s="109">
        <f>VLOOKUP(Table6[[#This Row],[الرقم الوظيفى]],[2]بالخصم!$B$1:$AK$1200,35,)</f>
        <v>0</v>
      </c>
      <c r="V191" s="213"/>
      <c r="W191" s="111">
        <f>Table6[[#This Row],[عدد ايام الاجازه]]*Table6[[#This Row],[ح راتب اليوم]]</f>
        <v>0</v>
      </c>
      <c r="X191" s="148"/>
      <c r="Y191" s="214"/>
      <c r="Z191" s="111">
        <f>Table6[[#This Row],[عدد ايام الجزاء]]*Table6[[#This Row],[ح راتب اليوم]]</f>
        <v>0</v>
      </c>
      <c r="AA191" s="112">
        <f>Table6[[#This Row],[مرتب]]*50%</f>
        <v>2025</v>
      </c>
      <c r="AB191" s="113" t="e">
        <f>VLOOKUP(Table6[[#This Row],[الرقم الوظيفى]],[3]!Table25289[#Data],23,)</f>
        <v>#REF!</v>
      </c>
      <c r="AC191" s="215"/>
      <c r="AD191" s="206"/>
      <c r="AE191" s="113" t="e">
        <f>VLOOKUP(Table6[[#This Row],[الرقم الوظيفى]],[3]!Table252894[#Data],22,)</f>
        <v>#REF!</v>
      </c>
      <c r="AF191" s="179"/>
      <c r="AG191" s="111">
        <f>' الشركه 2018'!$W191+' الشركه 2018'!$Z191+' الشركه 2018'!$AA191+' الشركه 2018'!$AC191+' الشركه 2018'!$AD191+' الشركه 2018'!$AF191</f>
        <v>2025</v>
      </c>
      <c r="AH191" s="111">
        <f>Table6[[#This Row],[راتب الضمان]]*8%</f>
        <v>324</v>
      </c>
      <c r="AI191" s="111">
        <f>' الشركه 2018'!$H191-' الشركه 2018'!$AG191-' الشركه 2018'!$AH191</f>
        <v>1701</v>
      </c>
      <c r="AJ191" s="111">
        <f>' الشركه 2018'!$CF191</f>
        <v>4383.3461538461543</v>
      </c>
      <c r="AK191" s="117">
        <f>' الشركه 2018'!$AI191+' الشركه 2018'!$AJ191</f>
        <v>6084.3461538461543</v>
      </c>
      <c r="AL191" s="152"/>
      <c r="AM191" s="153"/>
      <c r="AN191" s="9">
        <f>Table6[[#This Row],[اجمالى الاستحقاق]]-Table6[[#This Row],[Column2]]+Table6[[#This Row],[حوافز غير مستقره]]</f>
        <v>6084.3461538461543</v>
      </c>
      <c r="AO191" s="201"/>
      <c r="AP191" s="169"/>
      <c r="AQ191" s="176"/>
      <c r="AR191" s="124"/>
      <c r="AS191" s="155"/>
      <c r="AT191" s="170"/>
      <c r="AU191" s="124"/>
      <c r="AV191" s="124">
        <v>24</v>
      </c>
      <c r="AW191" s="124"/>
      <c r="AX191" s="124"/>
      <c r="AY191" s="124"/>
      <c r="AZ191" s="124">
        <v>8</v>
      </c>
      <c r="BA191" s="124"/>
      <c r="BB191" s="124"/>
      <c r="BC191" s="124">
        <v>24</v>
      </c>
      <c r="BD191" s="124">
        <v>16</v>
      </c>
      <c r="BE191" s="124">
        <v>8</v>
      </c>
      <c r="BF191" s="124"/>
      <c r="BG191" s="124"/>
      <c r="BH191" s="124">
        <v>16</v>
      </c>
      <c r="BI191" s="124"/>
      <c r="BJ191" s="124">
        <v>24</v>
      </c>
      <c r="BK191" s="124"/>
      <c r="BL191" s="124">
        <v>8</v>
      </c>
      <c r="BM191" s="124">
        <v>8</v>
      </c>
      <c r="BN191" s="124">
        <v>8</v>
      </c>
      <c r="BO191" s="124">
        <v>8</v>
      </c>
      <c r="BP191" s="124"/>
      <c r="BQ191" s="124">
        <v>24</v>
      </c>
      <c r="BR191" s="124">
        <v>8</v>
      </c>
      <c r="BS191" s="124">
        <v>8</v>
      </c>
      <c r="BT191" s="124"/>
      <c r="BU191" s="124"/>
      <c r="BV191" s="124"/>
      <c r="BW191" s="124"/>
      <c r="BX191" s="124"/>
      <c r="BY191" s="124"/>
      <c r="BZ191" s="171"/>
      <c r="CA191" s="172"/>
      <c r="CB19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96</v>
      </c>
      <c r="CC191" s="130">
        <f>Table6[[#This Row],[Friday, November 23, 2018]]+Table6[[#This Row],[Friday, November 30, 2018]]+Table6[[#This Row],[Friday, December 07, 2018]]+Table6[[#This Row],[Friday, December 14, 2018]]+Table6[[#This Row],[فروقات عطله]]</f>
        <v>96</v>
      </c>
      <c r="CD191" s="131">
        <f>' الشركه 2018'!$H191*67%*1.5*' الشركه 2018'!$CB191/208</f>
        <v>1878.5769230769231</v>
      </c>
      <c r="CE191" s="132">
        <f>' الشركه 2018'!$H191*67%*2*' الشركه 2018'!$CC191/208</f>
        <v>2504.7692307692309</v>
      </c>
      <c r="CF191" s="133">
        <f>' الشركه 2018'!$CD191+' الشركه 2018'!$CE191</f>
        <v>4383.3461538461543</v>
      </c>
      <c r="CG191" s="216"/>
      <c r="CH191" s="217">
        <f>SUMIF(C191:C471,' الشركه 2018'!$CG183,L191:L471)</f>
        <v>0</v>
      </c>
      <c r="CI191" s="216"/>
      <c r="CJ191" s="217">
        <f>' الشركه 2018'!$CH183*' الشركه 2018'!$CI183</f>
        <v>0</v>
      </c>
      <c r="CK191" s="217">
        <f>' الشركه 2018'!$CJ183*8%</f>
        <v>0</v>
      </c>
      <c r="CL191" s="217">
        <f>' الشركه 2018'!$CJ183*17%</f>
        <v>0</v>
      </c>
      <c r="CM191" s="217">
        <f>' الشركه 2018'!$CJ183*25%</f>
        <v>0</v>
      </c>
      <c r="CN191" s="162"/>
      <c r="CO191" s="162"/>
      <c r="CP191" s="163">
        <v>500</v>
      </c>
      <c r="CQ191" s="164" t="e">
        <f>VLOOKUP(Table6[[#This Row],[الرقم الوظيفى]],[4]!Table3[#Data],26,FALSE)</f>
        <v>#REF!</v>
      </c>
      <c r="CR191" s="138"/>
      <c r="CS191" s="124"/>
    </row>
    <row r="192" spans="1:97" ht="28" customHeight="1" thickTop="1" thickBot="1">
      <c r="A192" s="222">
        <v>912</v>
      </c>
      <c r="B192" s="142" t="s">
        <v>260</v>
      </c>
      <c r="C192" s="59" t="s">
        <v>90</v>
      </c>
      <c r="D192" s="143" t="s">
        <v>74</v>
      </c>
      <c r="E192" s="174"/>
      <c r="F192" s="143" t="s">
        <v>63</v>
      </c>
      <c r="G192" s="145">
        <v>42593</v>
      </c>
      <c r="H192" s="210">
        <v>4050</v>
      </c>
      <c r="I192" s="211">
        <f>Table6[[#This Row],[مرتب]]/30</f>
        <v>135</v>
      </c>
      <c r="J192" s="107">
        <v>30</v>
      </c>
      <c r="K192" s="107">
        <f t="shared" si="2"/>
        <v>4050</v>
      </c>
      <c r="L192" s="212">
        <v>4050</v>
      </c>
      <c r="M192" s="107">
        <f>Table6[[#This Row],[مرتب الضمان]]*17%</f>
        <v>688.5</v>
      </c>
      <c r="N192" s="107">
        <f>' الشركه 2018'!$H192*35%</f>
        <v>1417.5</v>
      </c>
      <c r="O192" s="107">
        <f>' الشركه 2018'!$H192*32%</f>
        <v>1296</v>
      </c>
      <c r="P192" s="107">
        <f>' الشركه 2018'!$H192*12%</f>
        <v>486</v>
      </c>
      <c r="Q192" s="107">
        <f>' الشركه 2018'!$H192*13%</f>
        <v>526.5</v>
      </c>
      <c r="R192" s="107">
        <f>' الشركه 2018'!$H192*6%</f>
        <v>243</v>
      </c>
      <c r="S192" s="107">
        <f>' الشركه 2018'!$H192*2%</f>
        <v>81</v>
      </c>
      <c r="T192" s="107">
        <f>' الشركه 2018'!$O192+' الشركه 2018'!$P192+' الشركه 2018'!$Q192+' الشركه 2018'!$R192+' الشركه 2018'!$S192</f>
        <v>2632.5</v>
      </c>
      <c r="U192" s="109">
        <f>VLOOKUP(Table6[[#This Row],[الرقم الوظيفى]],[2]بالخصم!$B$1:$AK$1200,35,)</f>
        <v>0</v>
      </c>
      <c r="V192" s="213"/>
      <c r="W192" s="111">
        <f>Table6[[#This Row],[عدد ايام الاجازه]]*Table6[[#This Row],[ح راتب اليوم]]</f>
        <v>0</v>
      </c>
      <c r="X192" s="148"/>
      <c r="Y192" s="214"/>
      <c r="Z192" s="111">
        <f>Table6[[#This Row],[عدد ايام الجزاء]]*Table6[[#This Row],[ح راتب اليوم]]</f>
        <v>0</v>
      </c>
      <c r="AA192" s="112">
        <f>Table6[[#This Row],[مرتب]]*50%</f>
        <v>2025</v>
      </c>
      <c r="AB192" s="113" t="e">
        <f>VLOOKUP(Table6[[#This Row],[الرقم الوظيفى]],[3]!Table25289[#Data],23,)</f>
        <v>#REF!</v>
      </c>
      <c r="AC192" s="215"/>
      <c r="AD192" s="206"/>
      <c r="AE192" s="113" t="e">
        <f>VLOOKUP(Table6[[#This Row],[الرقم الوظيفى]],[3]!Table252894[#Data],22,)</f>
        <v>#REF!</v>
      </c>
      <c r="AF192" s="179"/>
      <c r="AG192" s="111">
        <f>' الشركه 2018'!$W192+' الشركه 2018'!$Z192+' الشركه 2018'!$AA192+' الشركه 2018'!$AC192+' الشركه 2018'!$AD192+' الشركه 2018'!$AF192</f>
        <v>2025</v>
      </c>
      <c r="AH192" s="111">
        <f>Table6[[#This Row],[راتب الضمان]]*8%</f>
        <v>324</v>
      </c>
      <c r="AI192" s="111">
        <f>' الشركه 2018'!$H192-' الشركه 2018'!$AG192-' الشركه 2018'!$AH192</f>
        <v>1701</v>
      </c>
      <c r="AJ192" s="111">
        <f>' الشركه 2018'!$CF192</f>
        <v>313.09615384615387</v>
      </c>
      <c r="AK192" s="117">
        <f>' الشركه 2018'!$AI192+' الشركه 2018'!$AJ192</f>
        <v>2014.0961538461538</v>
      </c>
      <c r="AL192" s="152"/>
      <c r="AM192" s="153"/>
      <c r="AN192" s="9">
        <f>Table6[[#This Row],[اجمالى الاستحقاق]]-Table6[[#This Row],[Column2]]+Table6[[#This Row],[حوافز غير مستقره]]</f>
        <v>2014.0961538461538</v>
      </c>
      <c r="AO192" s="201"/>
      <c r="AP192" s="169"/>
      <c r="AQ192" s="176"/>
      <c r="AR192" s="124"/>
      <c r="AS192" s="155"/>
      <c r="AT192" s="170"/>
      <c r="AU192" s="124"/>
      <c r="AV192" s="124"/>
      <c r="AW192" s="124"/>
      <c r="AX192" s="124"/>
      <c r="AY192" s="124"/>
      <c r="AZ192" s="124"/>
      <c r="BA192" s="124"/>
      <c r="BB192" s="124"/>
      <c r="BC192" s="124">
        <v>12</v>
      </c>
      <c r="BD192" s="124"/>
      <c r="BE192" s="124"/>
      <c r="BF192" s="124"/>
      <c r="BG192" s="124"/>
      <c r="BH192" s="124"/>
      <c r="BI192" s="124"/>
      <c r="BJ192" s="124"/>
      <c r="BK192" s="124"/>
      <c r="BL192" s="124"/>
      <c r="BM192" s="124"/>
      <c r="BN192" s="124"/>
      <c r="BO192" s="124"/>
      <c r="BP192" s="124"/>
      <c r="BQ192" s="124"/>
      <c r="BR192" s="124"/>
      <c r="BS192" s="124"/>
      <c r="BT192" s="124"/>
      <c r="BU192" s="124"/>
      <c r="BV192" s="124"/>
      <c r="BW192" s="124"/>
      <c r="BX192" s="124"/>
      <c r="BY192" s="124"/>
      <c r="BZ192" s="171"/>
      <c r="CA192" s="172"/>
      <c r="CB19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92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192" s="131">
        <f>' الشركه 2018'!$H192*67%*1.5*' الشركه 2018'!$CB192/208</f>
        <v>0</v>
      </c>
      <c r="CE192" s="132">
        <f>' الشركه 2018'!$H192*67%*2*' الشركه 2018'!$CC192/208</f>
        <v>313.09615384615387</v>
      </c>
      <c r="CF192" s="133">
        <f>' الشركه 2018'!$CD192+' الشركه 2018'!$CE192</f>
        <v>313.09615384615387</v>
      </c>
      <c r="CG192" s="216"/>
      <c r="CH192" s="217">
        <f>SUMIF(C192:C471,' الشركه 2018'!$CG184,L192:L471)</f>
        <v>0</v>
      </c>
      <c r="CI192" s="216"/>
      <c r="CJ192" s="217">
        <f>' الشركه 2018'!$CH184*' الشركه 2018'!$CI184</f>
        <v>0</v>
      </c>
      <c r="CK192" s="217">
        <f>' الشركه 2018'!$CJ184*8%</f>
        <v>0</v>
      </c>
      <c r="CL192" s="217">
        <f>' الشركه 2018'!$CJ184*17%</f>
        <v>0</v>
      </c>
      <c r="CM192" s="217">
        <f>' الشركه 2018'!$CJ184*25%</f>
        <v>0</v>
      </c>
      <c r="CN192" s="162"/>
      <c r="CO192" s="162"/>
      <c r="CP192" s="163">
        <v>200</v>
      </c>
      <c r="CQ192" s="164" t="e">
        <f>VLOOKUP(Table6[[#This Row],[الرقم الوظيفى]],[4]!Table3[#Data],26,FALSE)</f>
        <v>#REF!</v>
      </c>
      <c r="CR192" s="165">
        <v>500</v>
      </c>
      <c r="CS192" s="124"/>
    </row>
    <row r="193" spans="1:97" ht="28" customHeight="1" thickTop="1" thickBot="1">
      <c r="A193" s="222">
        <v>916</v>
      </c>
      <c r="B193" s="142" t="s">
        <v>332</v>
      </c>
      <c r="C193" s="59" t="s">
        <v>90</v>
      </c>
      <c r="D193" s="143" t="s">
        <v>70</v>
      </c>
      <c r="E193" s="174" t="s">
        <v>76</v>
      </c>
      <c r="F193" s="143" t="s">
        <v>331</v>
      </c>
      <c r="G193" s="145">
        <v>42633</v>
      </c>
      <c r="H193" s="210">
        <v>3050</v>
      </c>
      <c r="I193" s="211">
        <f>Table6[[#This Row],[مرتب]]/30</f>
        <v>101.66666666666667</v>
      </c>
      <c r="J193" s="107">
        <v>30</v>
      </c>
      <c r="K193" s="107">
        <f t="shared" ref="K193:K256" si="3">L193/30*J193</f>
        <v>0</v>
      </c>
      <c r="L193" s="212">
        <v>0</v>
      </c>
      <c r="M193" s="107">
        <f>Table6[[#This Row],[مرتب الضمان]]*17%</f>
        <v>0</v>
      </c>
      <c r="N193" s="107">
        <f>' الشركه 2018'!$H193*35%</f>
        <v>1067.5</v>
      </c>
      <c r="O193" s="107">
        <f>' الشركه 2018'!$H193*32%</f>
        <v>976</v>
      </c>
      <c r="P193" s="107">
        <f>' الشركه 2018'!$H193*12%</f>
        <v>366</v>
      </c>
      <c r="Q193" s="107">
        <f>' الشركه 2018'!$H193*13%</f>
        <v>396.5</v>
      </c>
      <c r="R193" s="107">
        <f>' الشركه 2018'!$H193*6%</f>
        <v>183</v>
      </c>
      <c r="S193" s="107">
        <f>' الشركه 2018'!$H193*2%</f>
        <v>61</v>
      </c>
      <c r="T193" s="107">
        <f>' الشركه 2018'!$O193+' الشركه 2018'!$P193+' الشركه 2018'!$Q193+' الشركه 2018'!$R193+' الشركه 2018'!$S193</f>
        <v>1982.5</v>
      </c>
      <c r="U193" s="109">
        <f>VLOOKUP(Table6[[#This Row],[الرقم الوظيفى]],[2]بالخصم!$B$1:$AK$1200,35,)</f>
        <v>0</v>
      </c>
      <c r="V193" s="213"/>
      <c r="W193" s="111">
        <f>Table6[[#This Row],[عدد ايام الاجازه]]*Table6[[#This Row],[ح راتب اليوم]]</f>
        <v>0</v>
      </c>
      <c r="X193" s="148"/>
      <c r="Y193" s="214"/>
      <c r="Z193" s="111">
        <f>Table6[[#This Row],[عدد ايام الجزاء]]*Table6[[#This Row],[ح راتب اليوم]]</f>
        <v>0</v>
      </c>
      <c r="AA193" s="112">
        <f>Table6[[#This Row],[مرتب]]*50%</f>
        <v>1525</v>
      </c>
      <c r="AB193" s="113" t="e">
        <f>VLOOKUP(Table6[[#This Row],[الرقم الوظيفى]],[3]!Table25289[#Data],23,)</f>
        <v>#REF!</v>
      </c>
      <c r="AC193" s="215"/>
      <c r="AD193" s="206"/>
      <c r="AE193" s="113" t="e">
        <f>VLOOKUP(Table6[[#This Row],[الرقم الوظيفى]],[3]!Table252894[#Data],22,)</f>
        <v>#REF!</v>
      </c>
      <c r="AF193" s="179"/>
      <c r="AG193" s="111">
        <f>' الشركه 2018'!$W193+' الشركه 2018'!$Z193+' الشركه 2018'!$AA193+' الشركه 2018'!$AC193+' الشركه 2018'!$AD193+' الشركه 2018'!$AF193</f>
        <v>1525</v>
      </c>
      <c r="AH193" s="111">
        <f>Table6[[#This Row],[راتب الضمان]]*8%</f>
        <v>0</v>
      </c>
      <c r="AI193" s="111">
        <f>' الشركه 2018'!$H193-' الشركه 2018'!$AG193-' الشركه 2018'!$AH193</f>
        <v>1525</v>
      </c>
      <c r="AJ193" s="111">
        <f>' الشركه 2018'!$CF193</f>
        <v>0</v>
      </c>
      <c r="AK193" s="117">
        <f>' الشركه 2018'!$AI193+' الشركه 2018'!$AJ193</f>
        <v>1525</v>
      </c>
      <c r="AL193" s="152"/>
      <c r="AM193" s="153"/>
      <c r="AN193" s="9">
        <f>Table6[[#This Row],[اجمالى الاستحقاق]]-Table6[[#This Row],[Column2]]+Table6[[#This Row],[حوافز غير مستقره]]</f>
        <v>1525</v>
      </c>
      <c r="AO193" s="201"/>
      <c r="AP193" s="169"/>
      <c r="AQ193" s="176"/>
      <c r="AR193" s="124"/>
      <c r="AS193" s="155"/>
      <c r="AT193" s="170"/>
      <c r="AU193" s="124"/>
      <c r="AV193" s="124"/>
      <c r="AW193" s="124"/>
      <c r="AX193" s="124"/>
      <c r="AY193" s="124"/>
      <c r="AZ193" s="124"/>
      <c r="BA193" s="124"/>
      <c r="BB193" s="124"/>
      <c r="BC193" s="124"/>
      <c r="BD193" s="124"/>
      <c r="BE193" s="124"/>
      <c r="BF193" s="124"/>
      <c r="BG193" s="124"/>
      <c r="BH193" s="124"/>
      <c r="BI193" s="124"/>
      <c r="BJ193" s="124"/>
      <c r="BK193" s="124"/>
      <c r="BL193" s="124"/>
      <c r="BM193" s="124"/>
      <c r="BN193" s="124"/>
      <c r="BO193" s="124"/>
      <c r="BP193" s="124"/>
      <c r="BQ193" s="124"/>
      <c r="BR193" s="124"/>
      <c r="BS193" s="124"/>
      <c r="BT193" s="124"/>
      <c r="BU193" s="124"/>
      <c r="BV193" s="124"/>
      <c r="BW193" s="124"/>
      <c r="BX193" s="124"/>
      <c r="BY193" s="124"/>
      <c r="BZ193" s="171"/>
      <c r="CA193" s="172"/>
      <c r="CB19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9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93" s="131">
        <f>' الشركه 2018'!$H193*67%*1.5*' الشركه 2018'!$CB193/208</f>
        <v>0</v>
      </c>
      <c r="CE193" s="132">
        <f>' الشركه 2018'!$H193*67%*2*' الشركه 2018'!$CC193/208</f>
        <v>0</v>
      </c>
      <c r="CF193" s="133">
        <f>' الشركه 2018'!$CD193+' الشركه 2018'!$CE193</f>
        <v>0</v>
      </c>
      <c r="CG193" s="216"/>
      <c r="CH193" s="217">
        <f>SUMIF(C193:C474,' الشركه 2018'!$CG186,L193:L474)</f>
        <v>0</v>
      </c>
      <c r="CI193" s="216"/>
      <c r="CJ193" s="217">
        <f>' الشركه 2018'!$CH186*' الشركه 2018'!$CI186</f>
        <v>0</v>
      </c>
      <c r="CK193" s="217" t="e">
        <f>' الشركه 2018'!$CJ186*8%</f>
        <v>#REF!</v>
      </c>
      <c r="CL193" s="217" t="e">
        <f>' الشركه 2018'!$CJ186*17%</f>
        <v>#REF!</v>
      </c>
      <c r="CM193" s="217" t="e">
        <f>' الشركه 2018'!$CJ186*25%</f>
        <v>#REF!</v>
      </c>
      <c r="CN193" s="162"/>
      <c r="CO193" s="162"/>
      <c r="CP193" s="163"/>
      <c r="CQ193" s="164" t="e">
        <f>VLOOKUP(Table6[[#This Row],[الرقم الوظيفى]],[4]!Table3[#Data],26,FALSE)</f>
        <v>#REF!</v>
      </c>
      <c r="CR193" s="260"/>
      <c r="CS193" s="124"/>
    </row>
    <row r="194" spans="1:97" ht="28" customHeight="1" thickTop="1" thickBot="1">
      <c r="A194" s="141">
        <v>923</v>
      </c>
      <c r="B194" s="142" t="s">
        <v>415</v>
      </c>
      <c r="C194" s="59" t="s">
        <v>90</v>
      </c>
      <c r="D194" s="143" t="s">
        <v>83</v>
      </c>
      <c r="E194" s="174" t="s">
        <v>627</v>
      </c>
      <c r="F194" s="143" t="s">
        <v>418</v>
      </c>
      <c r="G194" s="145">
        <v>42710</v>
      </c>
      <c r="H194" s="146">
        <v>5060</v>
      </c>
      <c r="I194" s="106">
        <f>Table6[[#This Row],[مرتب]]/30</f>
        <v>168.66666666666666</v>
      </c>
      <c r="J194" s="107">
        <v>30</v>
      </c>
      <c r="K194" s="107">
        <f t="shared" si="3"/>
        <v>5060</v>
      </c>
      <c r="L194" s="108">
        <v>5060</v>
      </c>
      <c r="M194" s="107">
        <f>Table6[[#This Row],[مرتب الضمان]]*17%</f>
        <v>860.2</v>
      </c>
      <c r="N194" s="107">
        <f>' الشركه 2018'!$H194*35%</f>
        <v>1771</v>
      </c>
      <c r="O194" s="107">
        <f>' الشركه 2018'!$H194*32%</f>
        <v>1619.2</v>
      </c>
      <c r="P194" s="107">
        <f>' الشركه 2018'!$H194*12%</f>
        <v>607.19999999999993</v>
      </c>
      <c r="Q194" s="107">
        <f>' الشركه 2018'!$H194*13%</f>
        <v>657.80000000000007</v>
      </c>
      <c r="R194" s="107">
        <f>' الشركه 2018'!$H194*6%</f>
        <v>303.59999999999997</v>
      </c>
      <c r="S194" s="107">
        <f>' الشركه 2018'!$H194*2%</f>
        <v>101.2</v>
      </c>
      <c r="T194" s="107">
        <f>' الشركه 2018'!$O194+' الشركه 2018'!$P194+' الشركه 2018'!$Q194+' الشركه 2018'!$R194+' الشركه 2018'!$S194</f>
        <v>3289</v>
      </c>
      <c r="U194" s="109">
        <f>VLOOKUP(Table6[[#This Row],[الرقم الوظيفى]],[2]بالخصم!$B$1:$AK$1200,35,)</f>
        <v>0</v>
      </c>
      <c r="V194" s="147"/>
      <c r="W194" s="111">
        <f>Table6[[#This Row],[عدد ايام الاجازه]]*Table6[[#This Row],[ح راتب اليوم]]</f>
        <v>0</v>
      </c>
      <c r="X194" s="148"/>
      <c r="Y194" s="60"/>
      <c r="Z194" s="111">
        <f>Table6[[#This Row],[عدد ايام الجزاء]]*Table6[[#This Row],[ح راتب اليوم]]</f>
        <v>0</v>
      </c>
      <c r="AA194" s="112">
        <f>Table6[[#This Row],[مرتب]]*50%</f>
        <v>2530</v>
      </c>
      <c r="AB194" s="113" t="e">
        <f>VLOOKUP(Table6[[#This Row],[الرقم الوظيفى]],[3]!Table25289[#Data],23,)</f>
        <v>#REF!</v>
      </c>
      <c r="AC194" s="149"/>
      <c r="AD194" s="150"/>
      <c r="AE194" s="113" t="e">
        <f>VLOOKUP(Table6[[#This Row],[الرقم الوظيفى]],[3]!Table252894[#Data],22,)</f>
        <v>#REF!</v>
      </c>
      <c r="AF194" s="151"/>
      <c r="AG194" s="111">
        <f>' الشركه 2018'!$W194+' الشركه 2018'!$Z194+' الشركه 2018'!$AA194+' الشركه 2018'!$AC194+' الشركه 2018'!$AD194+' الشركه 2018'!$AF194</f>
        <v>2530</v>
      </c>
      <c r="AH194" s="111">
        <f>Table6[[#This Row],[راتب الضمان]]*8%</f>
        <v>404.8</v>
      </c>
      <c r="AI194" s="111">
        <f>' الشركه 2018'!$H194-' الشركه 2018'!$AG194-' الشركه 2018'!$AH194</f>
        <v>2125.1999999999998</v>
      </c>
      <c r="AJ194" s="111">
        <f>' الشركه 2018'!$CF194</f>
        <v>505.27019230769235</v>
      </c>
      <c r="AK194" s="117">
        <f>' الشركه 2018'!$AI194+' الشركه 2018'!$AJ194</f>
        <v>2630.4701923076923</v>
      </c>
      <c r="AL194" s="152"/>
      <c r="AM194" s="153"/>
      <c r="AN194" s="9">
        <f>Table6[[#This Row],[اجمالى الاستحقاق]]-Table6[[#This Row],[Column2]]+Table6[[#This Row],[حوافز غير مستقره]]</f>
        <v>2630.4701923076923</v>
      </c>
      <c r="AO194" s="59"/>
      <c r="AP194" s="169"/>
      <c r="AQ194" s="176"/>
      <c r="AR194" s="124"/>
      <c r="AS194" s="155"/>
      <c r="AT194" s="170"/>
      <c r="AU194" s="124"/>
      <c r="AV194" s="124"/>
      <c r="AW194" s="124"/>
      <c r="AX194" s="124"/>
      <c r="AY194" s="124"/>
      <c r="AZ194" s="124"/>
      <c r="BA194" s="124"/>
      <c r="BB194" s="124"/>
      <c r="BC194" s="124"/>
      <c r="BD194" s="124"/>
      <c r="BE194" s="124"/>
      <c r="BF194" s="124"/>
      <c r="BG194" s="124">
        <v>4</v>
      </c>
      <c r="BH194" s="124"/>
      <c r="BI194" s="124"/>
      <c r="BJ194" s="124">
        <v>9.5</v>
      </c>
      <c r="BK194" s="124">
        <v>4</v>
      </c>
      <c r="BL194" s="124"/>
      <c r="BM194" s="124"/>
      <c r="BN194" s="124"/>
      <c r="BO194" s="124"/>
      <c r="BP194" s="124"/>
      <c r="BQ194" s="124"/>
      <c r="BR194" s="124"/>
      <c r="BS194" s="124"/>
      <c r="BT194" s="124"/>
      <c r="BU194" s="124"/>
      <c r="BV194" s="124"/>
      <c r="BW194" s="124"/>
      <c r="BX194" s="124"/>
      <c r="BY194" s="124"/>
      <c r="BZ194" s="159"/>
      <c r="CA194" s="160"/>
      <c r="CB19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194" s="130">
        <f>Table6[[#This Row],[Friday, November 23, 2018]]+Table6[[#This Row],[Friday, November 30, 2018]]+Table6[[#This Row],[Friday, December 07, 2018]]+Table6[[#This Row],[Friday, December 14, 2018]]+Table6[[#This Row],[فروقات عطله]]</f>
        <v>9.5</v>
      </c>
      <c r="CD194" s="131">
        <f>' الشركه 2018'!$H194*67%*1.5*' الشركه 2018'!$CB194/208</f>
        <v>195.58846153846156</v>
      </c>
      <c r="CE194" s="132">
        <f>' الشركه 2018'!$H194*67%*2*' الشركه 2018'!$CC194/208</f>
        <v>309.6817307692308</v>
      </c>
      <c r="CF194" s="133">
        <f>' الشركه 2018'!$CD194+' الشركه 2018'!$CE194</f>
        <v>505.27019230769235</v>
      </c>
      <c r="CG194" s="124"/>
      <c r="CH194" s="177">
        <f>SUMIF(C194:C472,' الشركه 2018'!#REF!,L194:L472)</f>
        <v>0</v>
      </c>
      <c r="CI194" s="124"/>
      <c r="CJ194" s="177" t="e">
        <f>' الشركه 2018'!#REF!*' الشركه 2018'!#REF!</f>
        <v>#REF!</v>
      </c>
      <c r="CK194" s="177" t="e">
        <f>' الشركه 2018'!#REF!*8%</f>
        <v>#REF!</v>
      </c>
      <c r="CL194" s="177" t="e">
        <f>' الشركه 2018'!#REF!*17%</f>
        <v>#REF!</v>
      </c>
      <c r="CM194" s="177" t="e">
        <f>' الشركه 2018'!#REF!*25%</f>
        <v>#REF!</v>
      </c>
      <c r="CN194" s="162"/>
      <c r="CO194" s="162"/>
      <c r="CP194" s="261"/>
      <c r="CQ194" s="164" t="e">
        <f>VLOOKUP(Table6[[#This Row],[الرقم الوظيفى]],[4]!Table3[#Data],26,FALSE)</f>
        <v>#REF!</v>
      </c>
      <c r="CR194" s="165">
        <v>1500</v>
      </c>
      <c r="CS194" s="124"/>
    </row>
    <row r="195" spans="1:97" ht="28" customHeight="1" thickTop="1" thickBot="1">
      <c r="A195" s="262">
        <v>928</v>
      </c>
      <c r="B195" s="263" t="s">
        <v>409</v>
      </c>
      <c r="C195" s="264" t="s">
        <v>90</v>
      </c>
      <c r="D195" s="265" t="s">
        <v>81</v>
      </c>
      <c r="E195" s="266"/>
      <c r="F195" s="265"/>
      <c r="G195" s="267">
        <v>42739</v>
      </c>
      <c r="H195" s="268">
        <v>3040</v>
      </c>
      <c r="I195" s="269">
        <f>Table6[[#This Row],[مرتب]]/30</f>
        <v>101.33333333333333</v>
      </c>
      <c r="J195" s="107">
        <v>30</v>
      </c>
      <c r="K195" s="107">
        <f t="shared" si="3"/>
        <v>3040</v>
      </c>
      <c r="L195" s="108">
        <v>3040</v>
      </c>
      <c r="M195" s="107">
        <f>Table6[[#This Row],[مرتب الضمان]]*17%</f>
        <v>516.80000000000007</v>
      </c>
      <c r="N195" s="107">
        <f>' الشركه 2018'!$H195*35%</f>
        <v>1064</v>
      </c>
      <c r="O195" s="107">
        <f>' الشركه 2018'!$H195*32%</f>
        <v>972.80000000000007</v>
      </c>
      <c r="P195" s="107">
        <f>' الشركه 2018'!$H195*12%</f>
        <v>364.8</v>
      </c>
      <c r="Q195" s="107">
        <f>' الشركه 2018'!$H195*13%</f>
        <v>395.2</v>
      </c>
      <c r="R195" s="107">
        <f>' الشركه 2018'!$H195*6%</f>
        <v>182.4</v>
      </c>
      <c r="S195" s="107">
        <f>' الشركه 2018'!$H195*2%</f>
        <v>60.800000000000004</v>
      </c>
      <c r="T195" s="107">
        <f>' الشركه 2018'!$O195+' الشركه 2018'!$P195+' الشركه 2018'!$Q195+' الشركه 2018'!$R195+' الشركه 2018'!$S195</f>
        <v>1976.0000000000002</v>
      </c>
      <c r="U195" s="109">
        <f>VLOOKUP(Table6[[#This Row],[الرقم الوظيفى]],[2]بالخصم!$B$1:$AK$1200,35,)</f>
        <v>0</v>
      </c>
      <c r="V195" s="270"/>
      <c r="W195" s="111">
        <f>Table6[[#This Row],[عدد ايام الاجازه]]*Table6[[#This Row],[ح راتب اليوم]]</f>
        <v>0</v>
      </c>
      <c r="X195" s="271"/>
      <c r="Y195" s="272"/>
      <c r="Z195" s="111">
        <f>Table6[[#This Row],[عدد ايام الجزاء]]*Table6[[#This Row],[ح راتب اليوم]]</f>
        <v>0</v>
      </c>
      <c r="AA195" s="112">
        <f>Table6[[#This Row],[مرتب]]*50%</f>
        <v>1520</v>
      </c>
      <c r="AB195" s="113" t="e">
        <f>VLOOKUP(Table6[[#This Row],[الرقم الوظيفى]],[3]!Table25289[#Data],23,)</f>
        <v>#REF!</v>
      </c>
      <c r="AC195" s="273"/>
      <c r="AD195" s="274"/>
      <c r="AE195" s="113" t="e">
        <f>VLOOKUP(Table6[[#This Row],[الرقم الوظيفى]],[3]!Table252894[#Data],22,)</f>
        <v>#REF!</v>
      </c>
      <c r="AF195" s="275"/>
      <c r="AG195" s="111">
        <f>' الشركه 2018'!$W195+' الشركه 2018'!$Z195+' الشركه 2018'!$AA195+' الشركه 2018'!$AC195+' الشركه 2018'!$AD195+' الشركه 2018'!$AF195</f>
        <v>1520</v>
      </c>
      <c r="AH195" s="111">
        <f>Table6[[#This Row],[راتب الضمان]]*8%</f>
        <v>243.20000000000002</v>
      </c>
      <c r="AI195" s="111">
        <f>' الشركه 2018'!$H195-' الشركه 2018'!$AG195-' الشركه 2018'!$AH195</f>
        <v>1276.8</v>
      </c>
      <c r="AJ195" s="111">
        <f>' الشركه 2018'!$CF195</f>
        <v>866.61923076923085</v>
      </c>
      <c r="AK195" s="117">
        <f>' الشركه 2018'!$AI195+' الشركه 2018'!$AJ195</f>
        <v>2143.419230769231</v>
      </c>
      <c r="AL195" s="276"/>
      <c r="AM195" s="277"/>
      <c r="AN195" s="278">
        <f>Table6[[#This Row],[اجمالى الاستحقاق]]-Table6[[#This Row],[Column2]]+Table6[[#This Row],[حوافز غير مستقره]]</f>
        <v>2143.419230769231</v>
      </c>
      <c r="AO195" s="264"/>
      <c r="AP195" s="279"/>
      <c r="AQ195" s="176"/>
      <c r="AR195" s="124"/>
      <c r="AS195" s="155"/>
      <c r="AT195" s="280"/>
      <c r="AU195" s="281">
        <v>4</v>
      </c>
      <c r="AV195" s="281">
        <v>12</v>
      </c>
      <c r="AW195" s="281"/>
      <c r="AX195" s="281">
        <v>3</v>
      </c>
      <c r="AY195" s="281"/>
      <c r="AZ195" s="281"/>
      <c r="BA195" s="281"/>
      <c r="BB195" s="281"/>
      <c r="BC195" s="281">
        <v>24</v>
      </c>
      <c r="BD195" s="281"/>
      <c r="BE195" s="281"/>
      <c r="BF195" s="281"/>
      <c r="BG195" s="281"/>
      <c r="BH195" s="281"/>
      <c r="BI195" s="281"/>
      <c r="BJ195" s="281"/>
      <c r="BK195" s="281"/>
      <c r="BL195" s="281"/>
      <c r="BM195" s="281"/>
      <c r="BN195" s="281"/>
      <c r="BO195" s="281"/>
      <c r="BP195" s="281">
        <v>4</v>
      </c>
      <c r="BQ195" s="281"/>
      <c r="BR195" s="281"/>
      <c r="BS195" s="281"/>
      <c r="BT195" s="281"/>
      <c r="BU195" s="281"/>
      <c r="BV195" s="281"/>
      <c r="BW195" s="281"/>
      <c r="BX195" s="281"/>
      <c r="BY195" s="281"/>
      <c r="BZ195" s="282"/>
      <c r="CA195" s="283"/>
      <c r="CB195" s="28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11</v>
      </c>
      <c r="CC195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195" s="131">
        <f>' الشركه 2018'!$H195*67%*1.5*' الشركه 2018'!$CB195/208</f>
        <v>161.57307692307694</v>
      </c>
      <c r="CE195" s="132">
        <f>' الشركه 2018'!$H195*67%*2*' الشركه 2018'!$CC195/208</f>
        <v>705.04615384615386</v>
      </c>
      <c r="CF195" s="133">
        <f>' الشركه 2018'!$CD195+' الشركه 2018'!$CE195</f>
        <v>866.61923076923085</v>
      </c>
      <c r="CG195" s="281"/>
      <c r="CH195" s="285">
        <f>SUMIF(C195:C478,' الشركه 2018'!#REF!,L195:L478)</f>
        <v>0</v>
      </c>
      <c r="CI195" s="281"/>
      <c r="CJ195" s="285" t="e">
        <f>' الشركه 2018'!#REF!*' الشركه 2018'!#REF!</f>
        <v>#REF!</v>
      </c>
      <c r="CK195" s="285" t="e">
        <f>' الشركه 2018'!#REF!*8%</f>
        <v>#REF!</v>
      </c>
      <c r="CL195" s="285" t="e">
        <f>' الشركه 2018'!#REF!*17%</f>
        <v>#REF!</v>
      </c>
      <c r="CM195" s="285" t="e">
        <f>' الشركه 2018'!#REF!*25%</f>
        <v>#REF!</v>
      </c>
      <c r="CN195" s="286"/>
      <c r="CO195" s="286"/>
      <c r="CP195" s="287">
        <v>400</v>
      </c>
      <c r="CQ195" s="288" t="e">
        <f>VLOOKUP(Table6[[#This Row],[الرقم الوظيفى]],[4]!Table3[#Data],26,FALSE)</f>
        <v>#REF!</v>
      </c>
      <c r="CR195" s="165">
        <v>700</v>
      </c>
      <c r="CS195" s="124"/>
    </row>
    <row r="196" spans="1:97" ht="28" customHeight="1" thickBot="1">
      <c r="A196" s="289">
        <v>929</v>
      </c>
      <c r="B196" s="290" t="s">
        <v>377</v>
      </c>
      <c r="C196" s="291" t="s">
        <v>90</v>
      </c>
      <c r="D196" s="101" t="s">
        <v>81</v>
      </c>
      <c r="E196" s="102"/>
      <c r="F196" s="101"/>
      <c r="G196" s="104">
        <v>42749</v>
      </c>
      <c r="H196" s="292">
        <v>4540</v>
      </c>
      <c r="I196" s="293">
        <f>Table6[[#This Row],[مرتب]]/30</f>
        <v>151.33333333333334</v>
      </c>
      <c r="J196" s="107">
        <v>30</v>
      </c>
      <c r="K196" s="107">
        <f t="shared" si="3"/>
        <v>4540</v>
      </c>
      <c r="L196" s="212">
        <v>4540</v>
      </c>
      <c r="M196" s="107">
        <f>Table6[[#This Row],[مرتب الضمان]]*17%</f>
        <v>771.80000000000007</v>
      </c>
      <c r="N196" s="107">
        <f>' الشركه 2018'!$H196*35%</f>
        <v>1589</v>
      </c>
      <c r="O196" s="107">
        <f>' الشركه 2018'!$H196*32%</f>
        <v>1452.8</v>
      </c>
      <c r="P196" s="107">
        <f>' الشركه 2018'!$H196*12%</f>
        <v>544.79999999999995</v>
      </c>
      <c r="Q196" s="107">
        <f>' الشركه 2018'!$H196*13%</f>
        <v>590.20000000000005</v>
      </c>
      <c r="R196" s="107">
        <f>' الشركه 2018'!$H196*6%</f>
        <v>272.39999999999998</v>
      </c>
      <c r="S196" s="107">
        <f>' الشركه 2018'!$H196*2%</f>
        <v>90.8</v>
      </c>
      <c r="T196" s="107">
        <f>' الشركه 2018'!$O196+' الشركه 2018'!$P196+' الشركه 2018'!$Q196+' الشركه 2018'!$R196+' الشركه 2018'!$S196</f>
        <v>2951.0000000000005</v>
      </c>
      <c r="U196" s="109">
        <f>VLOOKUP(Table6[[#This Row],[الرقم الوظيفى]],[2]بالخصم!$B$1:$AK$1200,35,)</f>
        <v>0</v>
      </c>
      <c r="V196" s="294"/>
      <c r="W196" s="111">
        <f>Table6[[#This Row],[عدد ايام الاجازه]]*Table6[[#This Row],[ح راتب اليوم]]</f>
        <v>0</v>
      </c>
      <c r="X196" s="295"/>
      <c r="Y196" s="296"/>
      <c r="Z196" s="111">
        <f>Table6[[#This Row],[عدد ايام الجزاء]]*Table6[[#This Row],[ح راتب اليوم]]</f>
        <v>0</v>
      </c>
      <c r="AA196" s="112">
        <f>Table6[[#This Row],[مرتب]]*50%</f>
        <v>2270</v>
      </c>
      <c r="AB196" s="113" t="e">
        <f>VLOOKUP(Table6[[#This Row],[الرقم الوظيفى]],[3]!Table25289[#Data],23,)</f>
        <v>#REF!</v>
      </c>
      <c r="AC196" s="297"/>
      <c r="AD196" s="298"/>
      <c r="AE196" s="113" t="e">
        <f>VLOOKUP(Table6[[#This Row],[الرقم الوظيفى]],[3]!Table252894[#Data],22,)</f>
        <v>#REF!</v>
      </c>
      <c r="AF196" s="299"/>
      <c r="AG196" s="111">
        <f>' الشركه 2018'!$W196+' الشركه 2018'!$Z196+' الشركه 2018'!$AA196+' الشركه 2018'!$AC196+' الشركه 2018'!$AD196+' الشركه 2018'!$AF196</f>
        <v>2270</v>
      </c>
      <c r="AH196" s="111">
        <f>Table6[[#This Row],[راتب الضمان]]*8%</f>
        <v>363.2</v>
      </c>
      <c r="AI196" s="111">
        <f>' الشركه 2018'!$H196-' الشركه 2018'!$AG196-' الشركه 2018'!$AH196</f>
        <v>1906.8</v>
      </c>
      <c r="AJ196" s="111">
        <f>' الشركه 2018'!$CF196</f>
        <v>65.808173076923083</v>
      </c>
      <c r="AK196" s="117">
        <f>' الشركه 2018'!$AI196+' الشركه 2018'!$AJ196</f>
        <v>1972.6081730769231</v>
      </c>
      <c r="AL196" s="152"/>
      <c r="AM196" s="300"/>
      <c r="AN196" s="301">
        <f>Table6[[#This Row],[اجمالى الاستحقاق]]-Table6[[#This Row],[Column2]]+Table6[[#This Row],[حوافز غير مستقره]]</f>
        <v>1972.6081730769231</v>
      </c>
      <c r="AO196" s="291"/>
      <c r="AP196" s="302"/>
      <c r="AQ196" s="176"/>
      <c r="AR196" s="124"/>
      <c r="AS196" s="155"/>
      <c r="AT196" s="303"/>
      <c r="AU196" s="134"/>
      <c r="AV196" s="134"/>
      <c r="AW196" s="134"/>
      <c r="AX196" s="134">
        <v>3</v>
      </c>
      <c r="AY196" s="134"/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134"/>
      <c r="BJ196" s="134"/>
      <c r="BK196" s="134"/>
      <c r="BL196" s="134"/>
      <c r="BM196" s="134"/>
      <c r="BN196" s="134"/>
      <c r="BO196" s="134"/>
      <c r="BP196" s="134"/>
      <c r="BQ196" s="134"/>
      <c r="BR196" s="134"/>
      <c r="BS196" s="134"/>
      <c r="BT196" s="134"/>
      <c r="BU196" s="134"/>
      <c r="BV196" s="134"/>
      <c r="BW196" s="134"/>
      <c r="BX196" s="134"/>
      <c r="BY196" s="134"/>
      <c r="BZ196" s="304"/>
      <c r="CA196" s="305"/>
      <c r="CB196" s="129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19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96" s="131">
        <f>' الشركه 2018'!$H196*67%*1.5*' الشركه 2018'!$CB196/208</f>
        <v>65.808173076923083</v>
      </c>
      <c r="CE196" s="132">
        <f>' الشركه 2018'!$H196*67%*2*' الشركه 2018'!$CC196/208</f>
        <v>0</v>
      </c>
      <c r="CF196" s="133">
        <f>' الشركه 2018'!$CD196+' الشركه 2018'!$CE196</f>
        <v>65.808173076923083</v>
      </c>
      <c r="CG196" s="134"/>
      <c r="CH196" s="306">
        <f>SUMIF(C196:C479,' الشركه 2018'!#REF!,L196:L479)</f>
        <v>0</v>
      </c>
      <c r="CI196" s="134"/>
      <c r="CJ196" s="306" t="e">
        <f>' الشركه 2018'!#REF!*' الشركه 2018'!#REF!</f>
        <v>#REF!</v>
      </c>
      <c r="CK196" s="306" t="e">
        <f>' الشركه 2018'!#REF!*8%</f>
        <v>#REF!</v>
      </c>
      <c r="CL196" s="306" t="e">
        <f>' الشركه 2018'!#REF!*17%</f>
        <v>#REF!</v>
      </c>
      <c r="CM196" s="306" t="e">
        <f>' الشركه 2018'!#REF!*25%</f>
        <v>#REF!</v>
      </c>
      <c r="CN196" s="135"/>
      <c r="CO196" s="135"/>
      <c r="CP196" s="307">
        <v>500</v>
      </c>
      <c r="CQ196" s="137" t="e">
        <f>VLOOKUP(Table6[[#This Row],[الرقم الوظيفى]],[4]!Table3[#Data],26,FALSE)</f>
        <v>#REF!</v>
      </c>
      <c r="CR196" s="165">
        <v>300</v>
      </c>
      <c r="CS196" s="124"/>
    </row>
    <row r="197" spans="1:97" ht="28" customHeight="1" thickTop="1" thickBot="1">
      <c r="A197" s="308">
        <v>938</v>
      </c>
      <c r="B197" s="200" t="s">
        <v>282</v>
      </c>
      <c r="C197" s="59" t="s">
        <v>90</v>
      </c>
      <c r="D197" s="143" t="s">
        <v>74</v>
      </c>
      <c r="E197" s="202"/>
      <c r="F197" s="143" t="s">
        <v>63</v>
      </c>
      <c r="G197" s="145">
        <v>42778</v>
      </c>
      <c r="H197" s="146">
        <v>3030</v>
      </c>
      <c r="I197" s="106">
        <f>Table6[[#This Row],[مرتب]]/30</f>
        <v>101</v>
      </c>
      <c r="J197" s="107">
        <v>30</v>
      </c>
      <c r="K197" s="107">
        <f t="shared" si="3"/>
        <v>3030</v>
      </c>
      <c r="L197" s="108">
        <v>3030</v>
      </c>
      <c r="M197" s="107">
        <f>Table6[[#This Row],[مرتب الضمان]]*17%</f>
        <v>515.1</v>
      </c>
      <c r="N197" s="107">
        <f>' الشركه 2018'!$H197*35%</f>
        <v>1060.5</v>
      </c>
      <c r="O197" s="107">
        <f>' الشركه 2018'!$H197*32%</f>
        <v>969.6</v>
      </c>
      <c r="P197" s="107">
        <f>' الشركه 2018'!$H197*12%</f>
        <v>363.59999999999997</v>
      </c>
      <c r="Q197" s="107">
        <f>' الشركه 2018'!$H197*13%</f>
        <v>393.90000000000003</v>
      </c>
      <c r="R197" s="107">
        <f>' الشركه 2018'!$H197*6%</f>
        <v>181.79999999999998</v>
      </c>
      <c r="S197" s="107">
        <f>' الشركه 2018'!$H197*2%</f>
        <v>60.6</v>
      </c>
      <c r="T197" s="107">
        <f>' الشركه 2018'!$O197+' الشركه 2018'!$P197+' الشركه 2018'!$Q197+' الشركه 2018'!$R197+' الشركه 2018'!$S197</f>
        <v>1969.5</v>
      </c>
      <c r="U197" s="109">
        <f>VLOOKUP(Table6[[#This Row],[الرقم الوظيفى]],[2]بالخصم!$B$1:$AK$1200,35,)</f>
        <v>0</v>
      </c>
      <c r="V197" s="213"/>
      <c r="W197" s="111">
        <f>Table6[[#This Row],[عدد ايام الاجازه]]*Table6[[#This Row],[ح راتب اليوم]]</f>
        <v>0</v>
      </c>
      <c r="X197" s="148"/>
      <c r="Y197" s="214"/>
      <c r="Z197" s="111">
        <f>Table6[[#This Row],[عدد ايام الجزاء]]*Table6[[#This Row],[ح راتب اليوم]]</f>
        <v>0</v>
      </c>
      <c r="AA197" s="112">
        <f>Table6[[#This Row],[مرتب]]*50%</f>
        <v>1515</v>
      </c>
      <c r="AB197" s="113" t="e">
        <f>VLOOKUP(Table6[[#This Row],[الرقم الوظيفى]],[3]!Table25289[#Data],23,)</f>
        <v>#REF!</v>
      </c>
      <c r="AC197" s="215"/>
      <c r="AD197" s="206"/>
      <c r="AE197" s="113" t="e">
        <f>VLOOKUP(Table6[[#This Row],[الرقم الوظيفى]],[3]!Table252894[#Data],22,)</f>
        <v>#REF!</v>
      </c>
      <c r="AF197" s="179"/>
      <c r="AG197" s="111">
        <f>' الشركه 2018'!$W197+' الشركه 2018'!$Z197+' الشركه 2018'!$AA197+' الشركه 2018'!$AC197+' الشركه 2018'!$AD197+' الشركه 2018'!$AF197</f>
        <v>1515</v>
      </c>
      <c r="AH197" s="111">
        <f>Table6[[#This Row],[راتب الضمان]]*8%</f>
        <v>242.4</v>
      </c>
      <c r="AI197" s="111">
        <f>' الشركه 2018'!$H197-' الشركه 2018'!$AG197-' الشركه 2018'!$AH197</f>
        <v>1272.5999999999999</v>
      </c>
      <c r="AJ197" s="111">
        <f>' الشركه 2018'!$CF197</f>
        <v>936.96923076923076</v>
      </c>
      <c r="AK197" s="117">
        <f>' الشركه 2018'!$AI197+' الشركه 2018'!$AJ197</f>
        <v>2209.5692307692307</v>
      </c>
      <c r="AL197" s="152"/>
      <c r="AM197" s="153"/>
      <c r="AN197" s="9">
        <f>Table6[[#This Row],[اجمالى الاستحقاق]]-Table6[[#This Row],[Column2]]+Table6[[#This Row],[حوافز غير مستقره]]</f>
        <v>2209.5692307692307</v>
      </c>
      <c r="AO197" s="201"/>
      <c r="AP197" s="169"/>
      <c r="AQ197" s="176"/>
      <c r="AR197" s="124"/>
      <c r="AS197" s="155"/>
      <c r="AT197" s="170"/>
      <c r="AU197" s="124"/>
      <c r="AV197" s="124"/>
      <c r="AW197" s="124"/>
      <c r="AX197" s="124"/>
      <c r="AY197" s="124"/>
      <c r="AZ197" s="124"/>
      <c r="BA197" s="124"/>
      <c r="BB197" s="124"/>
      <c r="BC197" s="124">
        <v>12</v>
      </c>
      <c r="BD197" s="124"/>
      <c r="BE197" s="124"/>
      <c r="BF197" s="124"/>
      <c r="BG197" s="124"/>
      <c r="BH197" s="124"/>
      <c r="BI197" s="124"/>
      <c r="BJ197" s="124"/>
      <c r="BK197" s="124"/>
      <c r="BL197" s="124"/>
      <c r="BM197" s="124"/>
      <c r="BN197" s="124"/>
      <c r="BO197" s="124"/>
      <c r="BP197" s="124"/>
      <c r="BQ197" s="124">
        <v>24</v>
      </c>
      <c r="BR197" s="124"/>
      <c r="BS197" s="124"/>
      <c r="BT197" s="124"/>
      <c r="BU197" s="124"/>
      <c r="BV197" s="124"/>
      <c r="BW197" s="124"/>
      <c r="BX197" s="124"/>
      <c r="BY197" s="124"/>
      <c r="BZ197" s="171"/>
      <c r="CA197" s="172">
        <v>12</v>
      </c>
      <c r="CB19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97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197" s="131">
        <f>' الشركه 2018'!$H197*67%*1.5*' الشركه 2018'!$CB197/208</f>
        <v>0</v>
      </c>
      <c r="CE197" s="132">
        <f>' الشركه 2018'!$H197*67%*2*' الشركه 2018'!$CC197/208</f>
        <v>936.96923076923076</v>
      </c>
      <c r="CF197" s="133">
        <f>' الشركه 2018'!$CD197+' الشركه 2018'!$CE197</f>
        <v>936.96923076923076</v>
      </c>
      <c r="CG197" s="124"/>
      <c r="CH197" s="177">
        <f>SUMIF(C197:C491,' الشركه 2018'!$CG192,L197:L491)</f>
        <v>0</v>
      </c>
      <c r="CI197" s="124"/>
      <c r="CJ197" s="177">
        <f>' الشركه 2018'!$CH192*' الشركه 2018'!$CI192</f>
        <v>0</v>
      </c>
      <c r="CK197" s="177">
        <f>' الشركه 2018'!$CJ192*8%</f>
        <v>0</v>
      </c>
      <c r="CL197" s="177">
        <f>' الشركه 2018'!$CJ192*17%</f>
        <v>0</v>
      </c>
      <c r="CM197" s="177">
        <f>' الشركه 2018'!$CJ192*25%</f>
        <v>0</v>
      </c>
      <c r="CN197" s="162"/>
      <c r="CO197" s="162"/>
      <c r="CP197" s="163">
        <v>700</v>
      </c>
      <c r="CQ197" s="164" t="e">
        <f>VLOOKUP(Table6[[#This Row],[الرقم الوظيفى]],[4]!Table3[#Data],26,FALSE)</f>
        <v>#REF!</v>
      </c>
      <c r="CR197" s="165"/>
      <c r="CS197" s="124"/>
    </row>
    <row r="198" spans="1:97" ht="28" customHeight="1" thickTop="1" thickBot="1">
      <c r="A198" s="308">
        <v>939</v>
      </c>
      <c r="B198" s="200" t="s">
        <v>267</v>
      </c>
      <c r="C198" s="59" t="s">
        <v>90</v>
      </c>
      <c r="D198" s="143" t="s">
        <v>74</v>
      </c>
      <c r="E198" s="202"/>
      <c r="F198" s="143" t="s">
        <v>63</v>
      </c>
      <c r="G198" s="145">
        <v>42777</v>
      </c>
      <c r="H198" s="146">
        <v>4030</v>
      </c>
      <c r="I198" s="106">
        <f>Table6[[#This Row],[مرتب]]/30</f>
        <v>134.33333333333334</v>
      </c>
      <c r="J198" s="107">
        <v>30</v>
      </c>
      <c r="K198" s="107">
        <f t="shared" si="3"/>
        <v>4030.0000000000005</v>
      </c>
      <c r="L198" s="108">
        <v>4030</v>
      </c>
      <c r="M198" s="107">
        <f>Table6[[#This Row],[مرتب الضمان]]*17%</f>
        <v>685.1</v>
      </c>
      <c r="N198" s="107">
        <f>' الشركه 2018'!$H198*35%</f>
        <v>1410.5</v>
      </c>
      <c r="O198" s="107">
        <f>' الشركه 2018'!$H198*32%</f>
        <v>1289.6000000000001</v>
      </c>
      <c r="P198" s="107">
        <f>' الشركه 2018'!$H198*12%</f>
        <v>483.59999999999997</v>
      </c>
      <c r="Q198" s="107">
        <f>' الشركه 2018'!$H198*13%</f>
        <v>523.9</v>
      </c>
      <c r="R198" s="107">
        <f>' الشركه 2018'!$H198*6%</f>
        <v>241.79999999999998</v>
      </c>
      <c r="S198" s="107">
        <f>' الشركه 2018'!$H198*2%</f>
        <v>80.600000000000009</v>
      </c>
      <c r="T198" s="107">
        <f>' الشركه 2018'!$O198+' الشركه 2018'!$P198+' الشركه 2018'!$Q198+' الشركه 2018'!$R198+' الشركه 2018'!$S198</f>
        <v>2619.5</v>
      </c>
      <c r="U198" s="109">
        <f>VLOOKUP(Table6[[#This Row],[الرقم الوظيفى]],[2]بالخصم!$B$1:$AK$1200,35,)</f>
        <v>0</v>
      </c>
      <c r="V198" s="213"/>
      <c r="W198" s="111">
        <f>Table6[[#This Row],[عدد ايام الاجازه]]*Table6[[#This Row],[ح راتب اليوم]]</f>
        <v>0</v>
      </c>
      <c r="X198" s="148"/>
      <c r="Y198" s="214"/>
      <c r="Z198" s="111">
        <f>Table6[[#This Row],[عدد ايام الجزاء]]*Table6[[#This Row],[ح راتب اليوم]]</f>
        <v>0</v>
      </c>
      <c r="AA198" s="112">
        <f>Table6[[#This Row],[مرتب]]*50%</f>
        <v>2015</v>
      </c>
      <c r="AB198" s="113" t="e">
        <f>VLOOKUP(Table6[[#This Row],[الرقم الوظيفى]],[3]!Table25289[#Data],23,)</f>
        <v>#REF!</v>
      </c>
      <c r="AC198" s="309"/>
      <c r="AD198" s="310"/>
      <c r="AE198" s="113" t="e">
        <f>VLOOKUP(Table6[[#This Row],[الرقم الوظيفى]],[3]!Table252894[#Data],22,)</f>
        <v>#REF!</v>
      </c>
      <c r="AF198" s="309"/>
      <c r="AG198" s="111">
        <f>' الشركه 2018'!$W198+' الشركه 2018'!$Z198+' الشركه 2018'!$AA198+' الشركه 2018'!$AC198+' الشركه 2018'!$AD198+' الشركه 2018'!$AF198</f>
        <v>2015</v>
      </c>
      <c r="AH198" s="111">
        <f>Table6[[#This Row],[راتب الضمان]]*8%</f>
        <v>322.40000000000003</v>
      </c>
      <c r="AI198" s="111">
        <f>' الشركه 2018'!$H198-' الشركه 2018'!$AG198-' الشركه 2018'!$AH198</f>
        <v>1692.6</v>
      </c>
      <c r="AJ198" s="111">
        <f>' الشركه 2018'!$CF198</f>
        <v>1713.5250000000003</v>
      </c>
      <c r="AK198" s="117">
        <f>' الشركه 2018'!$AI198+' الشركه 2018'!$AJ198</f>
        <v>3406.125</v>
      </c>
      <c r="AL198" s="152"/>
      <c r="AM198" s="153"/>
      <c r="AN198" s="9">
        <f>Table6[[#This Row],[اجمالى الاستحقاق]]-Table6[[#This Row],[Column2]]+Table6[[#This Row],[حوافز غير مستقره]]</f>
        <v>3406.125</v>
      </c>
      <c r="AO198" s="201"/>
      <c r="AP198" s="169"/>
      <c r="AQ198" s="311"/>
      <c r="AR198" s="124"/>
      <c r="AS198" s="312"/>
      <c r="AT198" s="170">
        <v>8</v>
      </c>
      <c r="AU198" s="124"/>
      <c r="AV198" s="124"/>
      <c r="AW198" s="124"/>
      <c r="AX198" s="124">
        <v>8</v>
      </c>
      <c r="AY198" s="124"/>
      <c r="AZ198" s="124"/>
      <c r="BA198" s="124"/>
      <c r="BB198" s="124"/>
      <c r="BC198" s="124"/>
      <c r="BD198" s="124"/>
      <c r="BE198" s="124"/>
      <c r="BF198" s="124"/>
      <c r="BG198" s="124">
        <v>8</v>
      </c>
      <c r="BH198" s="124">
        <v>8</v>
      </c>
      <c r="BI198" s="124">
        <v>8</v>
      </c>
      <c r="BJ198" s="124"/>
      <c r="BK198" s="124"/>
      <c r="BL198" s="124">
        <v>8</v>
      </c>
      <c r="BM198" s="124">
        <v>8</v>
      </c>
      <c r="BN198" s="124">
        <v>8</v>
      </c>
      <c r="BO198" s="124">
        <v>8</v>
      </c>
      <c r="BP198" s="124">
        <v>8</v>
      </c>
      <c r="BQ198" s="124"/>
      <c r="BR198" s="124">
        <v>8</v>
      </c>
      <c r="BS198" s="124"/>
      <c r="BT198" s="124"/>
      <c r="BU198" s="124"/>
      <c r="BV198" s="124"/>
      <c r="BW198" s="124"/>
      <c r="BX198" s="124"/>
      <c r="BY198" s="313"/>
      <c r="BZ198" s="159"/>
      <c r="CA198" s="160"/>
      <c r="CB19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88</v>
      </c>
      <c r="CC19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98" s="131">
        <f>' الشركه 2018'!$H198*67%*1.5*' الشركه 2018'!$CB198/208</f>
        <v>1713.5250000000003</v>
      </c>
      <c r="CE198" s="132">
        <f>' الشركه 2018'!$H198*67%*2*' الشركه 2018'!$CC198/208</f>
        <v>0</v>
      </c>
      <c r="CF198" s="133">
        <f>' الشركه 2018'!$CD198+' الشركه 2018'!$CE198</f>
        <v>1713.5250000000003</v>
      </c>
      <c r="CG198" s="310"/>
      <c r="CH198" s="177">
        <f>SUMIF(C198:C492,' الشركه 2018'!#REF!,L198:L492)</f>
        <v>0</v>
      </c>
      <c r="CI198" s="310"/>
      <c r="CJ198" s="177" t="e">
        <f>' الشركه 2018'!#REF!*' الشركه 2018'!#REF!</f>
        <v>#REF!</v>
      </c>
      <c r="CK198" s="177" t="e">
        <f>' الشركه 2018'!#REF!*8%</f>
        <v>#REF!</v>
      </c>
      <c r="CL198" s="177" t="e">
        <f>' الشركه 2018'!#REF!*17%</f>
        <v>#REF!</v>
      </c>
      <c r="CM198" s="177" t="e">
        <f>' الشركه 2018'!#REF!*25%</f>
        <v>#REF!</v>
      </c>
      <c r="CN198" s="162"/>
      <c r="CO198" s="162"/>
      <c r="CP198" s="163">
        <v>700</v>
      </c>
      <c r="CQ198" s="164" t="e">
        <f>VLOOKUP(Table6[[#This Row],[الرقم الوظيفى]],[4]!Table3[#Data],26,FALSE)</f>
        <v>#REF!</v>
      </c>
      <c r="CR198" s="165">
        <v>1300</v>
      </c>
      <c r="CS198" s="124"/>
    </row>
    <row r="199" spans="1:97" ht="28" customHeight="1" thickTop="1" thickBot="1">
      <c r="A199" s="314">
        <v>941</v>
      </c>
      <c r="B199" s="315" t="s">
        <v>247</v>
      </c>
      <c r="C199" s="264" t="s">
        <v>90</v>
      </c>
      <c r="D199" s="265" t="s">
        <v>74</v>
      </c>
      <c r="E199" s="316"/>
      <c r="F199" s="265" t="s">
        <v>691</v>
      </c>
      <c r="G199" s="267">
        <v>42786</v>
      </c>
      <c r="H199" s="268">
        <v>4040</v>
      </c>
      <c r="I199" s="269">
        <f>Table6[[#This Row],[مرتب]]/30</f>
        <v>134.66666666666666</v>
      </c>
      <c r="J199" s="107">
        <v>30</v>
      </c>
      <c r="K199" s="107">
        <f t="shared" si="3"/>
        <v>4039.9999999999995</v>
      </c>
      <c r="L199" s="108">
        <v>4040</v>
      </c>
      <c r="M199" s="107">
        <f>Table6[[#This Row],[مرتب الضمان]]*17%</f>
        <v>686.80000000000007</v>
      </c>
      <c r="N199" s="107">
        <f>' الشركه 2018'!$H199*35%</f>
        <v>1414</v>
      </c>
      <c r="O199" s="107">
        <f>' الشركه 2018'!$H199*32%</f>
        <v>1292.8</v>
      </c>
      <c r="P199" s="107">
        <f>' الشركه 2018'!$H199*12%</f>
        <v>484.79999999999995</v>
      </c>
      <c r="Q199" s="107">
        <f>' الشركه 2018'!$H199*13%</f>
        <v>525.20000000000005</v>
      </c>
      <c r="R199" s="107">
        <f>' الشركه 2018'!$H199*6%</f>
        <v>242.39999999999998</v>
      </c>
      <c r="S199" s="107">
        <f>' الشركه 2018'!$H199*2%</f>
        <v>80.8</v>
      </c>
      <c r="T199" s="107">
        <f>' الشركه 2018'!$O199+' الشركه 2018'!$P199+' الشركه 2018'!$Q199+' الشركه 2018'!$R199+' الشركه 2018'!$S199</f>
        <v>2626.0000000000005</v>
      </c>
      <c r="U199" s="109">
        <f>VLOOKUP(Table6[[#This Row],[الرقم الوظيفى]],[2]بالخصم!$B$1:$AK$1200,35,)</f>
        <v>0</v>
      </c>
      <c r="V199" s="317"/>
      <c r="W199" s="111">
        <f>Table6[[#This Row],[عدد ايام الاجازه]]*Table6[[#This Row],[ح راتب اليوم]]</f>
        <v>0</v>
      </c>
      <c r="X199" s="271"/>
      <c r="Y199" s="318"/>
      <c r="Z199" s="111">
        <f>Table6[[#This Row],[عدد ايام الجزاء]]*Table6[[#This Row],[ح راتب اليوم]]</f>
        <v>0</v>
      </c>
      <c r="AA199" s="112">
        <f>Table6[[#This Row],[مرتب]]*50%</f>
        <v>2020</v>
      </c>
      <c r="AB199" s="113" t="e">
        <f>VLOOKUP(Table6[[#This Row],[الرقم الوظيفى]],[3]!Table25289[#Data],23,)</f>
        <v>#REF!</v>
      </c>
      <c r="AC199" s="319"/>
      <c r="AD199" s="320"/>
      <c r="AE199" s="113" t="e">
        <f>VLOOKUP(Table6[[#This Row],[الرقم الوظيفى]],[3]!Table252894[#Data],22,)</f>
        <v>#REF!</v>
      </c>
      <c r="AF199" s="319"/>
      <c r="AG199" s="111">
        <f>' الشركه 2018'!$W199+' الشركه 2018'!$Z199+' الشركه 2018'!$AA199+' الشركه 2018'!$AC199+' الشركه 2018'!$AD199+' الشركه 2018'!$AF199</f>
        <v>2020</v>
      </c>
      <c r="AH199" s="111">
        <f>Table6[[#This Row],[راتب الضمان]]*8%</f>
        <v>323.2</v>
      </c>
      <c r="AI199" s="111">
        <f>' الشركه 2018'!$H199-' الشركه 2018'!$AG199-' الشركه 2018'!$AH199</f>
        <v>1696.8</v>
      </c>
      <c r="AJ199" s="111">
        <f>' الشركه 2018'!$CF199</f>
        <v>0</v>
      </c>
      <c r="AK199" s="117">
        <f>' الشركه 2018'!$AI199+' الشركه 2018'!$AJ199</f>
        <v>1696.8</v>
      </c>
      <c r="AL199" s="276"/>
      <c r="AM199" s="277"/>
      <c r="AN199" s="278">
        <f>Table6[[#This Row],[اجمالى الاستحقاق]]-Table6[[#This Row],[Column2]]+Table6[[#This Row],[حوافز غير مستقره]]</f>
        <v>1696.8</v>
      </c>
      <c r="AO199" s="321"/>
      <c r="AP199" s="279"/>
      <c r="AQ199" s="322"/>
      <c r="AR199" s="124"/>
      <c r="AS199" s="323"/>
      <c r="AT199" s="324"/>
      <c r="AU199" s="325"/>
      <c r="AV199" s="325"/>
      <c r="AW199" s="281"/>
      <c r="AX199" s="325"/>
      <c r="AY199" s="325"/>
      <c r="AZ199" s="325"/>
      <c r="BA199" s="325"/>
      <c r="BB199" s="325"/>
      <c r="BC199" s="281"/>
      <c r="BD199" s="281"/>
      <c r="BE199" s="325"/>
      <c r="BF199" s="281"/>
      <c r="BG199" s="325"/>
      <c r="BH199" s="325"/>
      <c r="BI199" s="325"/>
      <c r="BJ199" s="281"/>
      <c r="BK199" s="281"/>
      <c r="BL199" s="325"/>
      <c r="BM199" s="326"/>
      <c r="BN199" s="326"/>
      <c r="BO199" s="326"/>
      <c r="BP199" s="281"/>
      <c r="BQ199" s="326"/>
      <c r="BR199" s="281"/>
      <c r="BS199" s="326"/>
      <c r="BT199" s="281"/>
      <c r="BU199" s="325"/>
      <c r="BV199" s="326"/>
      <c r="BW199" s="326"/>
      <c r="BX199" s="326"/>
      <c r="BY199" s="326"/>
      <c r="BZ199" s="282"/>
      <c r="CA199" s="283"/>
      <c r="CB199" s="28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19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199" s="131">
        <f>' الشركه 2018'!$H199*67%*1.5*' الشركه 2018'!$CB199/208</f>
        <v>0</v>
      </c>
      <c r="CE199" s="132">
        <f>' الشركه 2018'!$H199*67%*2*' الشركه 2018'!$CC199/208</f>
        <v>0</v>
      </c>
      <c r="CF199" s="133">
        <f>' الشركه 2018'!$CD199+' الشركه 2018'!$CE199</f>
        <v>0</v>
      </c>
      <c r="CG199" s="325"/>
      <c r="CH199" s="285">
        <f>SUMIF(C199:C494,' الشركه 2018'!#REF!,L199:L494)</f>
        <v>0</v>
      </c>
      <c r="CI199" s="325"/>
      <c r="CJ199" s="285">
        <f>' الشركه 2018'!$CH193*' الشركه 2018'!$CI193</f>
        <v>0</v>
      </c>
      <c r="CK199" s="285">
        <f>' الشركه 2018'!$CJ193*8%</f>
        <v>0</v>
      </c>
      <c r="CL199" s="285">
        <f>' الشركه 2018'!$CJ193*17%</f>
        <v>0</v>
      </c>
      <c r="CM199" s="285">
        <f>' الشركه 2018'!$CJ193*25%</f>
        <v>0</v>
      </c>
      <c r="CN199" s="286"/>
      <c r="CO199" s="286"/>
      <c r="CP199" s="327">
        <v>500</v>
      </c>
      <c r="CQ199" s="288" t="e">
        <f>VLOOKUP(Table6[[#This Row],[الرقم الوظيفى]],[4]!Table3[#Data],26,FALSE)</f>
        <v>#REF!</v>
      </c>
      <c r="CR199" s="165"/>
      <c r="CS199" s="124"/>
    </row>
    <row r="200" spans="1:97" ht="28" customHeight="1" thickBot="1">
      <c r="A200" s="328">
        <v>942</v>
      </c>
      <c r="B200" s="329" t="s">
        <v>404</v>
      </c>
      <c r="C200" s="291" t="s">
        <v>90</v>
      </c>
      <c r="D200" s="101" t="s">
        <v>81</v>
      </c>
      <c r="E200" s="330"/>
      <c r="F200" s="101" t="s">
        <v>692</v>
      </c>
      <c r="G200" s="104">
        <v>42786</v>
      </c>
      <c r="H200" s="331">
        <v>3530</v>
      </c>
      <c r="I200" s="332">
        <f>Table6[[#This Row],[مرتب]]/30</f>
        <v>117.66666666666667</v>
      </c>
      <c r="J200" s="107">
        <v>30</v>
      </c>
      <c r="K200" s="107">
        <f t="shared" si="3"/>
        <v>3530</v>
      </c>
      <c r="L200" s="108">
        <v>3530</v>
      </c>
      <c r="M200" s="107">
        <f>Table6[[#This Row],[مرتب الضمان]]*17%</f>
        <v>600.1</v>
      </c>
      <c r="N200" s="107">
        <f>' الشركه 2018'!$H200*35%</f>
        <v>1235.5</v>
      </c>
      <c r="O200" s="107">
        <f>' الشركه 2018'!$H200*32%</f>
        <v>1129.6000000000001</v>
      </c>
      <c r="P200" s="107">
        <f>' الشركه 2018'!$H200*12%</f>
        <v>423.59999999999997</v>
      </c>
      <c r="Q200" s="107">
        <f>' الشركه 2018'!$H200*13%</f>
        <v>458.90000000000003</v>
      </c>
      <c r="R200" s="107">
        <f>' الشركه 2018'!$H200*6%</f>
        <v>211.79999999999998</v>
      </c>
      <c r="S200" s="107">
        <f>' الشركه 2018'!$H200*2%</f>
        <v>70.600000000000009</v>
      </c>
      <c r="T200" s="107">
        <f>' الشركه 2018'!$O200+' الشركه 2018'!$P200+' الشركه 2018'!$Q200+' الشركه 2018'!$R200+' الشركه 2018'!$S200</f>
        <v>2294.5</v>
      </c>
      <c r="U200" s="109">
        <f>VLOOKUP(Table6[[#This Row],[الرقم الوظيفى]],[2]بالخصم!$B$1:$AK$1200,35,)</f>
        <v>0</v>
      </c>
      <c r="V200" s="333"/>
      <c r="W200" s="111">
        <f>Table6[[#This Row],[عدد ايام الاجازه]]*Table6[[#This Row],[ح راتب اليوم]]</f>
        <v>0</v>
      </c>
      <c r="X200" s="295"/>
      <c r="Y200" s="334"/>
      <c r="Z200" s="111">
        <f>Table6[[#This Row],[عدد ايام الجزاء]]*Table6[[#This Row],[ح راتب اليوم]]</f>
        <v>0</v>
      </c>
      <c r="AA200" s="112">
        <f>Table6[[#This Row],[مرتب]]*50%</f>
        <v>1765</v>
      </c>
      <c r="AB200" s="113" t="e">
        <f>VLOOKUP(Table6[[#This Row],[الرقم الوظيفى]],[3]!Table25289[#Data],23,)</f>
        <v>#REF!</v>
      </c>
      <c r="AC200" s="335"/>
      <c r="AD200" s="336"/>
      <c r="AE200" s="113" t="e">
        <f>VLOOKUP(Table6[[#This Row],[الرقم الوظيفى]],[3]!Table252894[#Data],22,)</f>
        <v>#REF!</v>
      </c>
      <c r="AF200" s="335"/>
      <c r="AG200" s="111">
        <f>' الشركه 2018'!$W200+' الشركه 2018'!$Z200+' الشركه 2018'!$AA200+' الشركه 2018'!$AC200+' الشركه 2018'!$AD200+' الشركه 2018'!$AF200</f>
        <v>1765</v>
      </c>
      <c r="AH200" s="111">
        <f>Table6[[#This Row],[راتب الضمان]]*8%</f>
        <v>282.40000000000003</v>
      </c>
      <c r="AI200" s="111">
        <f>' الشركه 2018'!$H200-' الشركه 2018'!$AG200-' الشركه 2018'!$AH200</f>
        <v>1482.6</v>
      </c>
      <c r="AJ200" s="111">
        <f>' الشركه 2018'!$CF200</f>
        <v>341.12019230769238</v>
      </c>
      <c r="AK200" s="117">
        <f>' الشركه 2018'!$AI200+' الشركه 2018'!$AJ200</f>
        <v>1823.7201923076923</v>
      </c>
      <c r="AL200" s="152"/>
      <c r="AM200" s="300"/>
      <c r="AN200" s="301">
        <f>Table6[[#This Row],[اجمالى الاستحقاق]]-Table6[[#This Row],[Column2]]+Table6[[#This Row],[حوافز غير مستقره]]</f>
        <v>1823.7201923076923</v>
      </c>
      <c r="AO200" s="337"/>
      <c r="AP200" s="302"/>
      <c r="AQ200" s="322"/>
      <c r="AR200" s="124"/>
      <c r="AS200" s="323"/>
      <c r="AT200" s="338"/>
      <c r="AU200" s="339"/>
      <c r="AV200" s="339"/>
      <c r="AW200" s="134"/>
      <c r="AX200" s="134"/>
      <c r="AY200" s="281"/>
      <c r="AZ200" s="339"/>
      <c r="BA200" s="134"/>
      <c r="BB200" s="339"/>
      <c r="BC200" s="134"/>
      <c r="BD200" s="134"/>
      <c r="BE200" s="339"/>
      <c r="BF200" s="134"/>
      <c r="BG200" s="134"/>
      <c r="BH200" s="134">
        <v>8</v>
      </c>
      <c r="BI200" s="134"/>
      <c r="BJ200" s="134">
        <v>9</v>
      </c>
      <c r="BK200" s="134"/>
      <c r="BL200" s="339"/>
      <c r="BM200" s="134"/>
      <c r="BN200" s="340"/>
      <c r="BO200" s="341"/>
      <c r="BP200" s="134"/>
      <c r="BQ200" s="341"/>
      <c r="BR200" s="134"/>
      <c r="BS200" s="340"/>
      <c r="BT200" s="134"/>
      <c r="BU200" s="339"/>
      <c r="BV200" s="341"/>
      <c r="BW200" s="340"/>
      <c r="BX200" s="341"/>
      <c r="BY200" s="341"/>
      <c r="BZ200" s="304"/>
      <c r="CA200" s="305"/>
      <c r="CB200" s="129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200" s="130">
        <f>Table6[[#This Row],[Friday, November 23, 2018]]+Table6[[#This Row],[Friday, November 30, 2018]]+Table6[[#This Row],[Friday, December 07, 2018]]+Table6[[#This Row],[Friday, December 14, 2018]]+Table6[[#This Row],[فروقات عطله]]</f>
        <v>9</v>
      </c>
      <c r="CD200" s="131">
        <f>' الشركه 2018'!$H200*67%*1.5*' الشركه 2018'!$CB200/208</f>
        <v>136.44807692307694</v>
      </c>
      <c r="CE200" s="132">
        <f>' الشركه 2018'!$H200*67%*2*' الشركه 2018'!$CC200/208</f>
        <v>204.67211538461541</v>
      </c>
      <c r="CF200" s="133">
        <f>' الشركه 2018'!$CD200+' الشركه 2018'!$CE200</f>
        <v>341.12019230769238</v>
      </c>
      <c r="CG200" s="339"/>
      <c r="CH200" s="306">
        <f>SUMIF(C200:C495,' الشركه 2018'!$CG193,L200:L495)</f>
        <v>0</v>
      </c>
      <c r="CI200" s="339"/>
      <c r="CJ200" s="306">
        <f>' الشركه 2018'!$CH194*' الشركه 2018'!$CI194</f>
        <v>0</v>
      </c>
      <c r="CK200" s="306" t="e">
        <f>' الشركه 2018'!$CJ194*8%</f>
        <v>#REF!</v>
      </c>
      <c r="CL200" s="306" t="e">
        <f>' الشركه 2018'!$CJ194*17%</f>
        <v>#REF!</v>
      </c>
      <c r="CM200" s="306" t="e">
        <f>' الشركه 2018'!$CJ194*25%</f>
        <v>#REF!</v>
      </c>
      <c r="CN200" s="135"/>
      <c r="CO200" s="135"/>
      <c r="CP200" s="136"/>
      <c r="CQ200" s="137" t="e">
        <f>VLOOKUP(Table6[[#This Row],[الرقم الوظيفى]],[4]!Table3[#Data],26,FALSE)</f>
        <v>#REF!</v>
      </c>
      <c r="CR200" s="165">
        <v>500</v>
      </c>
      <c r="CS200" s="124"/>
    </row>
    <row r="201" spans="1:97" ht="28" customHeight="1" thickTop="1" thickBot="1">
      <c r="A201" s="222">
        <v>943</v>
      </c>
      <c r="B201" s="142" t="s">
        <v>238</v>
      </c>
      <c r="C201" s="201" t="s">
        <v>90</v>
      </c>
      <c r="D201" s="11" t="s">
        <v>74</v>
      </c>
      <c r="E201" s="202"/>
      <c r="F201" s="143" t="s">
        <v>207</v>
      </c>
      <c r="G201" s="145">
        <v>42802</v>
      </c>
      <c r="H201" s="146">
        <v>4040</v>
      </c>
      <c r="I201" s="106">
        <f>Table6[[#This Row],[مرتب]]/30</f>
        <v>134.66666666666666</v>
      </c>
      <c r="J201" s="107">
        <v>30</v>
      </c>
      <c r="K201" s="107">
        <f t="shared" si="3"/>
        <v>4039.9999999999995</v>
      </c>
      <c r="L201" s="108">
        <v>4040</v>
      </c>
      <c r="M201" s="107">
        <f>Table6[[#This Row],[مرتب الضمان]]*17%</f>
        <v>686.80000000000007</v>
      </c>
      <c r="N201" s="107">
        <f>' الشركه 2018'!$H201*35%</f>
        <v>1414</v>
      </c>
      <c r="O201" s="107">
        <f>' الشركه 2018'!$H201*32%</f>
        <v>1292.8</v>
      </c>
      <c r="P201" s="107">
        <f>' الشركه 2018'!$H201*12%</f>
        <v>484.79999999999995</v>
      </c>
      <c r="Q201" s="107">
        <f>' الشركه 2018'!$H201*13%</f>
        <v>525.20000000000005</v>
      </c>
      <c r="R201" s="107">
        <f>' الشركه 2018'!$H201*6%</f>
        <v>242.39999999999998</v>
      </c>
      <c r="S201" s="107">
        <f>' الشركه 2018'!$H201*2%</f>
        <v>80.8</v>
      </c>
      <c r="T201" s="107">
        <f>' الشركه 2018'!$O201+' الشركه 2018'!$P201+' الشركه 2018'!$Q201+' الشركه 2018'!$R201+' الشركه 2018'!$S201</f>
        <v>2626.0000000000005</v>
      </c>
      <c r="U201" s="109">
        <f>VLOOKUP(Table6[[#This Row],[الرقم الوظيفى]],[2]بالخصم!$B$1:$AK$1200,35,)</f>
        <v>0</v>
      </c>
      <c r="V201" s="213"/>
      <c r="W201" s="111">
        <f>Table6[[#This Row],[عدد ايام الاجازه]]*Table6[[#This Row],[ح راتب اليوم]]</f>
        <v>0</v>
      </c>
      <c r="X201" s="148"/>
      <c r="Y201" s="214"/>
      <c r="Z201" s="111">
        <f>Table6[[#This Row],[عدد ايام الجزاء]]*Table6[[#This Row],[ح راتب اليوم]]</f>
        <v>0</v>
      </c>
      <c r="AA201" s="112">
        <f>Table6[[#This Row],[مرتب]]*50%</f>
        <v>2020</v>
      </c>
      <c r="AB201" s="113" t="e">
        <f>VLOOKUP(Table6[[#This Row],[الرقم الوظيفى]],[3]!Table25289[#Data],23,)</f>
        <v>#REF!</v>
      </c>
      <c r="AC201" s="215"/>
      <c r="AD201" s="206"/>
      <c r="AE201" s="113" t="e">
        <f>VLOOKUP(Table6[[#This Row],[الرقم الوظيفى]],[3]!Table252894[#Data],22,)</f>
        <v>#REF!</v>
      </c>
      <c r="AF201" s="179"/>
      <c r="AG201" s="111">
        <f>' الشركه 2018'!$W201+' الشركه 2018'!$Z201+' الشركه 2018'!$AA201+' الشركه 2018'!$AC201+' الشركه 2018'!$AD201+' الشركه 2018'!$AF201</f>
        <v>2020</v>
      </c>
      <c r="AH201" s="111">
        <f>Table6[[#This Row],[راتب الضمان]]*8%</f>
        <v>323.2</v>
      </c>
      <c r="AI201" s="111">
        <f>' الشركه 2018'!$H201-' الشركه 2018'!$AG201-' الشركه 2018'!$AH201</f>
        <v>1696.8</v>
      </c>
      <c r="AJ201" s="111">
        <f>' الشركه 2018'!$CF201</f>
        <v>624.64615384615388</v>
      </c>
      <c r="AK201" s="117">
        <f>' الشركه 2018'!$AI201+' الشركه 2018'!$AJ201</f>
        <v>2321.4461538461537</v>
      </c>
      <c r="AL201" s="152"/>
      <c r="AM201" s="153"/>
      <c r="AN201" s="9">
        <f>Table6[[#This Row],[اجمالى الاستحقاق]]-Table6[[#This Row],[Column2]]+Table6[[#This Row],[حوافز غير مستقره]]</f>
        <v>2321.4461538461537</v>
      </c>
      <c r="AO201" s="201"/>
      <c r="AP201" s="169"/>
      <c r="AQ201" s="176"/>
      <c r="AR201" s="124"/>
      <c r="AS201" s="208"/>
      <c r="AT201" s="170"/>
      <c r="AU201" s="124"/>
      <c r="AV201" s="124">
        <v>12</v>
      </c>
      <c r="AW201" s="124"/>
      <c r="AX201" s="124"/>
      <c r="AY201" s="124"/>
      <c r="AZ201" s="124"/>
      <c r="BA201" s="124"/>
      <c r="BB201" s="124"/>
      <c r="BC201" s="124">
        <v>12</v>
      </c>
      <c r="BD201" s="124"/>
      <c r="BE201" s="124"/>
      <c r="BF201" s="124"/>
      <c r="BG201" s="124"/>
      <c r="BH201" s="124"/>
      <c r="BI201" s="124"/>
      <c r="BJ201" s="124"/>
      <c r="BK201" s="124"/>
      <c r="BL201" s="124"/>
      <c r="BM201" s="177"/>
      <c r="BN201" s="177"/>
      <c r="BO201" s="177"/>
      <c r="BP201" s="124"/>
      <c r="BQ201" s="177"/>
      <c r="BR201" s="124"/>
      <c r="BS201" s="177"/>
      <c r="BT201" s="124"/>
      <c r="BU201" s="124"/>
      <c r="BV201" s="177"/>
      <c r="BW201" s="177"/>
      <c r="BX201" s="177"/>
      <c r="BY201" s="177"/>
      <c r="BZ201" s="159"/>
      <c r="CA201" s="160"/>
      <c r="CB20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01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01" s="131">
        <f>' الشركه 2018'!$H201*67%*1.5*' الشركه 2018'!$CB201/208</f>
        <v>0</v>
      </c>
      <c r="CE201" s="132">
        <f>' الشركه 2018'!$H201*67%*2*' الشركه 2018'!$CC201/208</f>
        <v>624.64615384615388</v>
      </c>
      <c r="CF201" s="133">
        <f>' الشركه 2018'!$CD201+' الشركه 2018'!$CE201</f>
        <v>624.64615384615388</v>
      </c>
      <c r="CG201" s="124"/>
      <c r="CH201" s="177">
        <f>SUMIF(C201:C477,' الشركه 2018'!$CG215,L201:L477)</f>
        <v>0</v>
      </c>
      <c r="CI201" s="124"/>
      <c r="CJ201" s="177">
        <f>' الشركه 2018'!$CH195*' الشركه 2018'!$CI195</f>
        <v>0</v>
      </c>
      <c r="CK201" s="177" t="e">
        <f>' الشركه 2018'!$CJ195*8%</f>
        <v>#REF!</v>
      </c>
      <c r="CL201" s="177" t="e">
        <f>' الشركه 2018'!$CJ195*17%</f>
        <v>#REF!</v>
      </c>
      <c r="CM201" s="177" t="e">
        <f>' الشركه 2018'!$CJ195*25%</f>
        <v>#REF!</v>
      </c>
      <c r="CN201" s="162"/>
      <c r="CO201" s="162"/>
      <c r="CP201" s="163"/>
      <c r="CQ201" s="164" t="e">
        <f>VLOOKUP(Table6[[#This Row],[الرقم الوظيفى]],[4]!Table3[#Data],26,FALSE)</f>
        <v>#REF!</v>
      </c>
      <c r="CR201" s="165"/>
      <c r="CS201" s="124"/>
    </row>
    <row r="202" spans="1:97" ht="28" customHeight="1" thickTop="1" thickBot="1">
      <c r="A202" s="221">
        <v>946</v>
      </c>
      <c r="B202" s="142" t="s">
        <v>289</v>
      </c>
      <c r="C202" s="245" t="s">
        <v>90</v>
      </c>
      <c r="D202" s="11" t="s">
        <v>74</v>
      </c>
      <c r="E202" s="202"/>
      <c r="F202" s="11"/>
      <c r="G202" s="246">
        <v>42926</v>
      </c>
      <c r="H202" s="146">
        <v>3020</v>
      </c>
      <c r="I202" s="106">
        <f>Table6[[#This Row],[مرتب]]/30</f>
        <v>100.66666666666667</v>
      </c>
      <c r="J202" s="107">
        <v>30</v>
      </c>
      <c r="K202" s="107">
        <f t="shared" si="3"/>
        <v>3020</v>
      </c>
      <c r="L202" s="108">
        <v>3020</v>
      </c>
      <c r="M202" s="107">
        <f>Table6[[#This Row],[مرتب الضمان]]*17%</f>
        <v>513.40000000000009</v>
      </c>
      <c r="N202" s="107">
        <f>' الشركه 2018'!$H202*35%</f>
        <v>1057</v>
      </c>
      <c r="O202" s="107">
        <f>' الشركه 2018'!$H202*32%</f>
        <v>966.4</v>
      </c>
      <c r="P202" s="107">
        <f>' الشركه 2018'!$H202*12%</f>
        <v>362.4</v>
      </c>
      <c r="Q202" s="107">
        <f>' الشركه 2018'!$H202*13%</f>
        <v>392.6</v>
      </c>
      <c r="R202" s="107">
        <f>' الشركه 2018'!$H202*6%</f>
        <v>181.2</v>
      </c>
      <c r="S202" s="107">
        <f>' الشركه 2018'!$H202*2%</f>
        <v>60.4</v>
      </c>
      <c r="T202" s="107">
        <f>' الشركه 2018'!$O202+' الشركه 2018'!$P202+' الشركه 2018'!$Q202+' الشركه 2018'!$R202+' الشركه 2018'!$S202</f>
        <v>1963.0000000000002</v>
      </c>
      <c r="U202" s="109">
        <f>VLOOKUP(Table6[[#This Row],[الرقم الوظيفى]],[2]بالخصم!$B$1:$AK$1200,35,)</f>
        <v>0</v>
      </c>
      <c r="V202" s="213"/>
      <c r="W202" s="111">
        <f>Table6[[#This Row],[عدد ايام الاجازه]]*Table6[[#This Row],[ح راتب اليوم]]</f>
        <v>0</v>
      </c>
      <c r="X202" s="148"/>
      <c r="Y202" s="214"/>
      <c r="Z202" s="111">
        <f>Table6[[#This Row],[عدد ايام الجزاء]]*Table6[[#This Row],[ح راتب اليوم]]</f>
        <v>0</v>
      </c>
      <c r="AA202" s="112">
        <f>Table6[[#This Row],[مرتب]]*50%</f>
        <v>1510</v>
      </c>
      <c r="AB202" s="113" t="e">
        <f>VLOOKUP(Table6[[#This Row],[الرقم الوظيفى]],[3]!Table25289[#Data],23,)</f>
        <v>#REF!</v>
      </c>
      <c r="AC202" s="215"/>
      <c r="AD202" s="206"/>
      <c r="AE202" s="113" t="e">
        <f>VLOOKUP(Table6[[#This Row],[الرقم الوظيفى]],[3]!Table252894[#Data],22,)</f>
        <v>#REF!</v>
      </c>
      <c r="AF202" s="151"/>
      <c r="AG202" s="111">
        <f>' الشركه 2018'!$W202+' الشركه 2018'!$Z202+' الشركه 2018'!$AA202+' الشركه 2018'!$AC202+' الشركه 2018'!$AD202+' الشركه 2018'!$AF202</f>
        <v>1510</v>
      </c>
      <c r="AH202" s="111">
        <f>Table6[[#This Row],[راتب الضمان]]*8%</f>
        <v>241.6</v>
      </c>
      <c r="AI202" s="111">
        <f>' الشركه 2018'!$H202-' الشركه 2018'!$AG202-' الشركه 2018'!$AH202</f>
        <v>1268.4000000000001</v>
      </c>
      <c r="AJ202" s="111">
        <f>' الشركه 2018'!$CF202</f>
        <v>0</v>
      </c>
      <c r="AK202" s="117">
        <f>' الشركه 2018'!$AI202+' الشركه 2018'!$AJ202</f>
        <v>1268.4000000000001</v>
      </c>
      <c r="AL202" s="152"/>
      <c r="AM202" s="153"/>
      <c r="AN202" s="9">
        <f>Table6[[#This Row],[اجمالى الاستحقاق]]-Table6[[#This Row],[Column2]]+Table6[[#This Row],[حوافز غير مستقره]]</f>
        <v>1268.4000000000001</v>
      </c>
      <c r="AO202" s="59"/>
      <c r="AP202" s="169"/>
      <c r="AQ202" s="176"/>
      <c r="AR202" s="124"/>
      <c r="AS202" s="208"/>
      <c r="AT202" s="170"/>
      <c r="AU202" s="124"/>
      <c r="AV202" s="124"/>
      <c r="AW202" s="124"/>
      <c r="AX202" s="124"/>
      <c r="AY202" s="124"/>
      <c r="AZ202" s="124"/>
      <c r="BA202" s="124"/>
      <c r="BB202" s="124"/>
      <c r="BC202" s="124"/>
      <c r="BD202" s="124"/>
      <c r="BE202" s="124"/>
      <c r="BF202" s="124"/>
      <c r="BG202" s="124"/>
      <c r="BH202" s="124"/>
      <c r="BI202" s="124"/>
      <c r="BJ202" s="124"/>
      <c r="BK202" s="124"/>
      <c r="BL202" s="124"/>
      <c r="BM202" s="177"/>
      <c r="BN202" s="177"/>
      <c r="BO202" s="177"/>
      <c r="BP202" s="177"/>
      <c r="BQ202" s="177"/>
      <c r="BR202" s="177"/>
      <c r="BS202" s="177"/>
      <c r="BT202" s="124"/>
      <c r="BU202" s="124"/>
      <c r="BV202" s="177"/>
      <c r="BW202" s="177"/>
      <c r="BX202" s="177"/>
      <c r="BY202" s="177"/>
      <c r="BZ202" s="171"/>
      <c r="CA202" s="172"/>
      <c r="CB20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0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2" s="131">
        <f>' الشركه 2018'!$H202*67%*1.5*' الشركه 2018'!$CB202/208</f>
        <v>0</v>
      </c>
      <c r="CE202" s="132">
        <f>' الشركه 2018'!$H202*67%*2*' الشركه 2018'!$CC202/208</f>
        <v>0</v>
      </c>
      <c r="CF202" s="133">
        <f>' الشركه 2018'!$CD202+' الشركه 2018'!$CE202</f>
        <v>0</v>
      </c>
      <c r="CG202" s="124"/>
      <c r="CH202" s="177"/>
      <c r="CI202" s="124"/>
      <c r="CJ202" s="177" t="e">
        <f>' الشركه 2018'!#REF!*' الشركه 2018'!#REF!</f>
        <v>#REF!</v>
      </c>
      <c r="CK202" s="177" t="e">
        <f>' الشركه 2018'!#REF!*8%</f>
        <v>#REF!</v>
      </c>
      <c r="CL202" s="177" t="e">
        <f>' الشركه 2018'!#REF!*17%</f>
        <v>#REF!</v>
      </c>
      <c r="CM202" s="177" t="e">
        <f>' الشركه 2018'!#REF!*25%</f>
        <v>#REF!</v>
      </c>
      <c r="CN202" s="162"/>
      <c r="CO202" s="162"/>
      <c r="CP202" s="163"/>
      <c r="CQ202" s="164" t="e">
        <f>VLOOKUP(Table6[[#This Row],[الرقم الوظيفى]],[4]!Table3[#Data],26,FALSE)</f>
        <v>#REF!</v>
      </c>
      <c r="CR202" s="165"/>
      <c r="CS202" s="124"/>
    </row>
    <row r="203" spans="1:97" ht="28" customHeight="1" thickTop="1" thickBot="1">
      <c r="A203" s="222">
        <v>947</v>
      </c>
      <c r="B203" s="142" t="s">
        <v>172</v>
      </c>
      <c r="C203" s="201" t="s">
        <v>90</v>
      </c>
      <c r="D203" s="11" t="s">
        <v>72</v>
      </c>
      <c r="E203" s="202"/>
      <c r="F203" s="143" t="s">
        <v>693</v>
      </c>
      <c r="G203" s="145">
        <v>42812</v>
      </c>
      <c r="H203" s="146">
        <v>4530</v>
      </c>
      <c r="I203" s="106">
        <f>Table6[[#This Row],[مرتب]]/30</f>
        <v>151</v>
      </c>
      <c r="J203" s="107">
        <v>30</v>
      </c>
      <c r="K203" s="107">
        <f t="shared" si="3"/>
        <v>4530</v>
      </c>
      <c r="L203" s="108">
        <v>4530</v>
      </c>
      <c r="M203" s="107">
        <f>Table6[[#This Row],[مرتب الضمان]]*17%</f>
        <v>770.1</v>
      </c>
      <c r="N203" s="107">
        <f>' الشركه 2018'!$H203*35%</f>
        <v>1585.5</v>
      </c>
      <c r="O203" s="107">
        <f>' الشركه 2018'!$H203*32%</f>
        <v>1449.6000000000001</v>
      </c>
      <c r="P203" s="107">
        <f>' الشركه 2018'!$H203*12%</f>
        <v>543.6</v>
      </c>
      <c r="Q203" s="107">
        <f>' الشركه 2018'!$H203*13%</f>
        <v>588.9</v>
      </c>
      <c r="R203" s="107">
        <f>' الشركه 2018'!$H203*6%</f>
        <v>271.8</v>
      </c>
      <c r="S203" s="107">
        <f>' الشركه 2018'!$H203*2%</f>
        <v>90.600000000000009</v>
      </c>
      <c r="T203" s="107">
        <f>' الشركه 2018'!$O203+' الشركه 2018'!$P203+' الشركه 2018'!$Q203+' الشركه 2018'!$R203+' الشركه 2018'!$S203</f>
        <v>2944.5000000000005</v>
      </c>
      <c r="U203" s="109">
        <f>VLOOKUP(Table6[[#This Row],[الرقم الوظيفى]],[2]بالخصم!$B$1:$AK$1200,35,)</f>
        <v>0</v>
      </c>
      <c r="V203" s="213"/>
      <c r="W203" s="111">
        <f>Table6[[#This Row],[عدد ايام الاجازه]]*Table6[[#This Row],[ح راتب اليوم]]</f>
        <v>0</v>
      </c>
      <c r="X203" s="148"/>
      <c r="Y203" s="214"/>
      <c r="Z203" s="111">
        <f>Table6[[#This Row],[عدد ايام الجزاء]]*Table6[[#This Row],[ح راتب اليوم]]</f>
        <v>0</v>
      </c>
      <c r="AA203" s="112">
        <f>Table6[[#This Row],[مرتب]]*50%</f>
        <v>2265</v>
      </c>
      <c r="AB203" s="113" t="e">
        <f>VLOOKUP(Table6[[#This Row],[الرقم الوظيفى]],[3]!Table25289[#Data],23,)</f>
        <v>#REF!</v>
      </c>
      <c r="AC203" s="215"/>
      <c r="AD203" s="206"/>
      <c r="AE203" s="113" t="e">
        <f>VLOOKUP(Table6[[#This Row],[الرقم الوظيفى]],[3]!Table252894[#Data],22,)</f>
        <v>#REF!</v>
      </c>
      <c r="AF203" s="151"/>
      <c r="AG203" s="111">
        <f>' الشركه 2018'!$W203+' الشركه 2018'!$Z203+' الشركه 2018'!$AA203+' الشركه 2018'!$AC203+' الشركه 2018'!$AD203+' الشركه 2018'!$AF203</f>
        <v>2265</v>
      </c>
      <c r="AH203" s="111">
        <f>Table6[[#This Row],[راتب الضمان]]*8%</f>
        <v>362.40000000000003</v>
      </c>
      <c r="AI203" s="111">
        <f>' الشركه 2018'!$H203-' الشركه 2018'!$AG203-' الشركه 2018'!$AH203</f>
        <v>1902.6</v>
      </c>
      <c r="AJ203" s="111">
        <f>' الشركه 2018'!$CF203</f>
        <v>109.43870192307693</v>
      </c>
      <c r="AK203" s="117">
        <f>' الشركه 2018'!$AI203+' الشركه 2018'!$AJ203</f>
        <v>2012.0387019230768</v>
      </c>
      <c r="AL203" s="152"/>
      <c r="AM203" s="153"/>
      <c r="AN203" s="9">
        <f>Table6[[#This Row],[اجمالى الاستحقاق]]-Table6[[#This Row],[Column2]]+Table6[[#This Row],[حوافز غير مستقره]]</f>
        <v>2012.0387019230768</v>
      </c>
      <c r="AO203" s="59"/>
      <c r="AP203" s="169"/>
      <c r="AQ203" s="176"/>
      <c r="AR203" s="124"/>
      <c r="AS203" s="208"/>
      <c r="AT203" s="170"/>
      <c r="AU203" s="124"/>
      <c r="AV203" s="124"/>
      <c r="AW203" s="124"/>
      <c r="AX203" s="124"/>
      <c r="AY203" s="124"/>
      <c r="AZ203" s="124">
        <v>5</v>
      </c>
      <c r="BA203" s="124"/>
      <c r="BB203" s="124"/>
      <c r="BC203" s="124"/>
      <c r="BD203" s="124"/>
      <c r="BE203" s="124"/>
      <c r="BF203" s="124"/>
      <c r="BG203" s="124"/>
      <c r="BH203" s="124"/>
      <c r="BI203" s="124"/>
      <c r="BJ203" s="124"/>
      <c r="BK203" s="124"/>
      <c r="BL203" s="124"/>
      <c r="BM203" s="177"/>
      <c r="BN203" s="177"/>
      <c r="BO203" s="177"/>
      <c r="BP203" s="177"/>
      <c r="BQ203" s="177"/>
      <c r="BR203" s="124"/>
      <c r="BS203" s="177"/>
      <c r="BT203" s="124"/>
      <c r="BU203" s="124"/>
      <c r="BV203" s="177"/>
      <c r="BW203" s="177"/>
      <c r="BX203" s="177"/>
      <c r="BY203" s="177"/>
      <c r="BZ203" s="171"/>
      <c r="CA203" s="172"/>
      <c r="CB20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</v>
      </c>
      <c r="CC20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3" s="131">
        <f>' الشركه 2018'!$H203*67%*1.5*' الشركه 2018'!$CB203/208</f>
        <v>109.43870192307693</v>
      </c>
      <c r="CE203" s="132">
        <f>' الشركه 2018'!$H203*67%*2*' الشركه 2018'!$CC203/208</f>
        <v>0</v>
      </c>
      <c r="CF203" s="133">
        <f>' الشركه 2018'!$CD203+' الشركه 2018'!$CE203</f>
        <v>109.43870192307693</v>
      </c>
      <c r="CG203" s="124"/>
      <c r="CH203" s="177">
        <f>SUMIF(C203:C477,' الشركه 2018'!$CG219,L203:L477)</f>
        <v>0</v>
      </c>
      <c r="CI203" s="124"/>
      <c r="CJ203" s="177">
        <f>' الشركه 2018'!$CH197*' الشركه 2018'!$CI197</f>
        <v>0</v>
      </c>
      <c r="CK203" s="162">
        <f>' الشركه 2018'!$CJ219*8%</f>
        <v>0</v>
      </c>
      <c r="CL203" s="177">
        <f>' الشركه 2018'!$CJ197*17%</f>
        <v>0</v>
      </c>
      <c r="CM203" s="177">
        <f>' الشركه 2018'!$CJ197*25%</f>
        <v>0</v>
      </c>
      <c r="CN203" s="162"/>
      <c r="CO203" s="162"/>
      <c r="CP203" s="163"/>
      <c r="CQ203" s="164" t="e">
        <f>VLOOKUP(Table6[[#This Row],[الرقم الوظيفى]],[4]!Table3[#Data],26,FALSE)</f>
        <v>#REF!</v>
      </c>
      <c r="CR203" s="165">
        <v>1000</v>
      </c>
      <c r="CS203" s="124"/>
    </row>
    <row r="204" spans="1:97" ht="28" customHeight="1" thickTop="1" thickBot="1">
      <c r="A204" s="222">
        <v>948</v>
      </c>
      <c r="B204" s="200" t="s">
        <v>393</v>
      </c>
      <c r="C204" s="201" t="s">
        <v>90</v>
      </c>
      <c r="D204" s="11" t="s">
        <v>81</v>
      </c>
      <c r="E204" s="202"/>
      <c r="F204" s="143" t="s">
        <v>63</v>
      </c>
      <c r="G204" s="145">
        <v>42812</v>
      </c>
      <c r="H204" s="146">
        <v>4030</v>
      </c>
      <c r="I204" s="106">
        <f>Table6[[#This Row],[مرتب]]/30</f>
        <v>134.33333333333334</v>
      </c>
      <c r="J204" s="107">
        <v>30</v>
      </c>
      <c r="K204" s="107">
        <f t="shared" si="3"/>
        <v>0</v>
      </c>
      <c r="L204" s="108">
        <v>0</v>
      </c>
      <c r="M204" s="107">
        <f>Table6[[#This Row],[مرتب الضمان]]*17%</f>
        <v>0</v>
      </c>
      <c r="N204" s="107">
        <f>' الشركه 2018'!$H204*35%</f>
        <v>1410.5</v>
      </c>
      <c r="O204" s="107">
        <f>' الشركه 2018'!$H204*32%</f>
        <v>1289.6000000000001</v>
      </c>
      <c r="P204" s="107">
        <f>' الشركه 2018'!$H204*12%</f>
        <v>483.59999999999997</v>
      </c>
      <c r="Q204" s="107">
        <f>' الشركه 2018'!$H204*13%</f>
        <v>523.9</v>
      </c>
      <c r="R204" s="107">
        <f>' الشركه 2018'!$H204*6%</f>
        <v>241.79999999999998</v>
      </c>
      <c r="S204" s="107">
        <f>' الشركه 2018'!$H204*2%</f>
        <v>80.600000000000009</v>
      </c>
      <c r="T204" s="107">
        <f>' الشركه 2018'!$O204+' الشركه 2018'!$P204+' الشركه 2018'!$Q204+' الشركه 2018'!$R204+' الشركه 2018'!$S204</f>
        <v>2619.5</v>
      </c>
      <c r="U204" s="109">
        <f>VLOOKUP(Table6[[#This Row],[الرقم الوظيفى]],[2]بالخصم!$B$1:$AK$1200,35,)</f>
        <v>0</v>
      </c>
      <c r="V204" s="213"/>
      <c r="W204" s="111">
        <f>Table6[[#This Row],[عدد ايام الاجازه]]*Table6[[#This Row],[ح راتب اليوم]]</f>
        <v>0</v>
      </c>
      <c r="X204" s="148"/>
      <c r="Y204" s="214"/>
      <c r="Z204" s="111">
        <f>Table6[[#This Row],[عدد ايام الجزاء]]*Table6[[#This Row],[ح راتب اليوم]]</f>
        <v>0</v>
      </c>
      <c r="AA204" s="112">
        <f>Table6[[#This Row],[مرتب]]*50%</f>
        <v>2015</v>
      </c>
      <c r="AB204" s="113" t="e">
        <f>VLOOKUP(Table6[[#This Row],[الرقم الوظيفى]],[3]!Table25289[#Data],23,)</f>
        <v>#REF!</v>
      </c>
      <c r="AC204" s="215"/>
      <c r="AD204" s="206"/>
      <c r="AE204" s="113" t="e">
        <f>VLOOKUP(Table6[[#This Row],[الرقم الوظيفى]],[3]!Table252894[#Data],22,)</f>
        <v>#REF!</v>
      </c>
      <c r="AF204" s="151"/>
      <c r="AG204" s="111">
        <f>' الشركه 2018'!$W204+' الشركه 2018'!$Z204+' الشركه 2018'!$AA204+' الشركه 2018'!$AC204+' الشركه 2018'!$AD204+' الشركه 2018'!$AF204</f>
        <v>2015</v>
      </c>
      <c r="AH204" s="111">
        <f>Table6[[#This Row],[راتب الضمان]]*8%</f>
        <v>0</v>
      </c>
      <c r="AI204" s="111">
        <f>' الشركه 2018'!$H204-' الشركه 2018'!$AG204-' الشركه 2018'!$AH204</f>
        <v>2015</v>
      </c>
      <c r="AJ204" s="111">
        <f>' الشركه 2018'!$CF204</f>
        <v>97.359375000000014</v>
      </c>
      <c r="AK204" s="117">
        <f>' الشركه 2018'!$AI204+' الشركه 2018'!$AJ204</f>
        <v>2112.359375</v>
      </c>
      <c r="AL204" s="152"/>
      <c r="AM204" s="153"/>
      <c r="AN204" s="9">
        <f>Table6[[#This Row],[اجمالى الاستحقاق]]-Table6[[#This Row],[Column2]]+Table6[[#This Row],[حوافز غير مستقره]]</f>
        <v>2112.359375</v>
      </c>
      <c r="AO204" s="59"/>
      <c r="AP204" s="169"/>
      <c r="AQ204" s="176"/>
      <c r="AR204" s="124"/>
      <c r="AS204" s="208"/>
      <c r="AT204" s="170"/>
      <c r="AU204" s="124"/>
      <c r="AV204" s="124"/>
      <c r="AW204" s="124"/>
      <c r="AX204" s="124"/>
      <c r="AY204" s="124"/>
      <c r="AZ204" s="124"/>
      <c r="BA204" s="124"/>
      <c r="BB204" s="124"/>
      <c r="BC204" s="124"/>
      <c r="BD204" s="124"/>
      <c r="BE204" s="124"/>
      <c r="BF204" s="124"/>
      <c r="BG204" s="124"/>
      <c r="BH204" s="124"/>
      <c r="BI204" s="124"/>
      <c r="BJ204" s="124"/>
      <c r="BK204" s="124"/>
      <c r="BL204" s="124"/>
      <c r="BM204" s="177"/>
      <c r="BN204" s="177">
        <v>5</v>
      </c>
      <c r="BO204" s="177"/>
      <c r="BP204" s="177"/>
      <c r="BQ204" s="177"/>
      <c r="BR204" s="124"/>
      <c r="BS204" s="177"/>
      <c r="BT204" s="124"/>
      <c r="BU204" s="124"/>
      <c r="BV204" s="177"/>
      <c r="BW204" s="177"/>
      <c r="BX204" s="177"/>
      <c r="BY204" s="177"/>
      <c r="BZ204" s="171"/>
      <c r="CA204" s="172"/>
      <c r="CB20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</v>
      </c>
      <c r="CC20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4" s="131">
        <f>' الشركه 2018'!$H204*67%*1.5*' الشركه 2018'!$CB204/208</f>
        <v>97.359375000000014</v>
      </c>
      <c r="CE204" s="132">
        <f>' الشركه 2018'!$H204*67%*2*' الشركه 2018'!$CC204/208</f>
        <v>0</v>
      </c>
      <c r="CF204" s="133">
        <f>' الشركه 2018'!$CD204+' الشركه 2018'!$CE204</f>
        <v>97.359375000000014</v>
      </c>
      <c r="CG204" s="124"/>
      <c r="CH204" s="177">
        <f>SUMIF(C204:C478,' الشركه 2018'!#REF!,L204:L478)</f>
        <v>0</v>
      </c>
      <c r="CI204" s="124"/>
      <c r="CJ204" s="177" t="e">
        <f>' الشركه 2018'!#REF!*' الشركه 2018'!#REF!</f>
        <v>#REF!</v>
      </c>
      <c r="CK204" s="162" t="e">
        <f>' الشركه 2018'!#REF!*8%</f>
        <v>#REF!</v>
      </c>
      <c r="CL204" s="162" t="e">
        <f>' الشركه 2018'!#REF!*17%</f>
        <v>#REF!</v>
      </c>
      <c r="CM204" s="162" t="e">
        <f>' الشركه 2018'!#REF!*25%</f>
        <v>#REF!</v>
      </c>
      <c r="CN204" s="162"/>
      <c r="CO204" s="162"/>
      <c r="CP204" s="163">
        <v>600</v>
      </c>
      <c r="CQ204" s="164" t="e">
        <f>VLOOKUP(Table6[[#This Row],[الرقم الوظيفى]],[4]!Table3[#Data],26,FALSE)</f>
        <v>#REF!</v>
      </c>
      <c r="CR204" s="165">
        <v>600</v>
      </c>
      <c r="CS204" s="124"/>
    </row>
    <row r="205" spans="1:97" ht="28" customHeight="1" thickTop="1" thickBot="1">
      <c r="A205" s="222">
        <v>949</v>
      </c>
      <c r="B205" s="142" t="s">
        <v>350</v>
      </c>
      <c r="C205" s="201" t="s">
        <v>90</v>
      </c>
      <c r="D205" s="11" t="s">
        <v>79</v>
      </c>
      <c r="E205" s="202"/>
      <c r="F205" s="143" t="s">
        <v>349</v>
      </c>
      <c r="G205" s="145">
        <v>42812</v>
      </c>
      <c r="H205" s="146">
        <v>4540</v>
      </c>
      <c r="I205" s="106">
        <f>Table6[[#This Row],[مرتب]]/30</f>
        <v>151.33333333333334</v>
      </c>
      <c r="J205" s="107">
        <v>30</v>
      </c>
      <c r="K205" s="107">
        <f t="shared" si="3"/>
        <v>4540</v>
      </c>
      <c r="L205" s="108">
        <v>4540</v>
      </c>
      <c r="M205" s="107">
        <f>Table6[[#This Row],[مرتب الضمان]]*17%</f>
        <v>771.80000000000007</v>
      </c>
      <c r="N205" s="107">
        <f>' الشركه 2018'!$H205*35%</f>
        <v>1589</v>
      </c>
      <c r="O205" s="107">
        <f>' الشركه 2018'!$H205*32%</f>
        <v>1452.8</v>
      </c>
      <c r="P205" s="107">
        <f>' الشركه 2018'!$H205*12%</f>
        <v>544.79999999999995</v>
      </c>
      <c r="Q205" s="107">
        <f>' الشركه 2018'!$H205*13%</f>
        <v>590.20000000000005</v>
      </c>
      <c r="R205" s="107">
        <f>' الشركه 2018'!$H205*6%</f>
        <v>272.39999999999998</v>
      </c>
      <c r="S205" s="107">
        <f>' الشركه 2018'!$H205*2%</f>
        <v>90.8</v>
      </c>
      <c r="T205" s="107">
        <f>' الشركه 2018'!$O205+' الشركه 2018'!$P205+' الشركه 2018'!$Q205+' الشركه 2018'!$R205+' الشركه 2018'!$S205</f>
        <v>2951.0000000000005</v>
      </c>
      <c r="U205" s="109">
        <f>VLOOKUP(Table6[[#This Row],[الرقم الوظيفى]],[2]بالخصم!$B$1:$AK$1200,35,)</f>
        <v>0</v>
      </c>
      <c r="V205" s="213"/>
      <c r="W205" s="111">
        <f>Table6[[#This Row],[عدد ايام الاجازه]]*Table6[[#This Row],[ح راتب اليوم]]</f>
        <v>0</v>
      </c>
      <c r="X205" s="148"/>
      <c r="Y205" s="214"/>
      <c r="Z205" s="111">
        <f>Table6[[#This Row],[عدد ايام الجزاء]]*Table6[[#This Row],[ح راتب اليوم]]</f>
        <v>0</v>
      </c>
      <c r="AA205" s="112">
        <f>Table6[[#This Row],[مرتب]]*50%</f>
        <v>2270</v>
      </c>
      <c r="AB205" s="113" t="e">
        <f>VLOOKUP(Table6[[#This Row],[الرقم الوظيفى]],[3]!Table25289[#Data],23,)</f>
        <v>#REF!</v>
      </c>
      <c r="AC205" s="215"/>
      <c r="AD205" s="206"/>
      <c r="AE205" s="113" t="e">
        <f>VLOOKUP(Table6[[#This Row],[الرقم الوظيفى]],[3]!Table252894[#Data],22,)</f>
        <v>#REF!</v>
      </c>
      <c r="AF205" s="151"/>
      <c r="AG205" s="111">
        <f>' الشركه 2018'!$W205+' الشركه 2018'!$Z205+' الشركه 2018'!$AA205+' الشركه 2018'!$AC205+' الشركه 2018'!$AD205+' الشركه 2018'!$AF205</f>
        <v>2270</v>
      </c>
      <c r="AH205" s="111">
        <f>Table6[[#This Row],[راتب الضمان]]*8%</f>
        <v>363.2</v>
      </c>
      <c r="AI205" s="111">
        <f>' الشركه 2018'!$H205-' الشركه 2018'!$AG205-' الشركه 2018'!$AH205</f>
        <v>1906.8</v>
      </c>
      <c r="AJ205" s="111">
        <f>' الشركه 2018'!$CF205</f>
        <v>65.808173076923083</v>
      </c>
      <c r="AK205" s="117">
        <f>' الشركه 2018'!$AI205+' الشركه 2018'!$AJ205</f>
        <v>1972.6081730769231</v>
      </c>
      <c r="AL205" s="152"/>
      <c r="AM205" s="153"/>
      <c r="AN205" s="9">
        <f>Table6[[#This Row],[اجمالى الاستحقاق]]-Table6[[#This Row],[Column2]]+Table6[[#This Row],[حوافز غير مستقره]]</f>
        <v>1972.6081730769231</v>
      </c>
      <c r="AO205" s="59"/>
      <c r="AP205" s="169"/>
      <c r="AQ205" s="176"/>
      <c r="AR205" s="124"/>
      <c r="AS205" s="208"/>
      <c r="AT205" s="170"/>
      <c r="AU205" s="124"/>
      <c r="AV205" s="124"/>
      <c r="AW205" s="124"/>
      <c r="AX205" s="124"/>
      <c r="AY205" s="124"/>
      <c r="AZ205" s="124"/>
      <c r="BA205" s="124"/>
      <c r="BB205" s="124"/>
      <c r="BC205" s="124"/>
      <c r="BD205" s="124"/>
      <c r="BE205" s="124"/>
      <c r="BF205" s="124"/>
      <c r="BG205" s="124">
        <v>3</v>
      </c>
      <c r="BH205" s="124"/>
      <c r="BI205" s="124"/>
      <c r="BJ205" s="124"/>
      <c r="BK205" s="124"/>
      <c r="BL205" s="124"/>
      <c r="BM205" s="177"/>
      <c r="BN205" s="177"/>
      <c r="BO205" s="177"/>
      <c r="BP205" s="177"/>
      <c r="BQ205" s="177"/>
      <c r="BR205" s="124"/>
      <c r="BS205" s="177"/>
      <c r="BT205" s="124"/>
      <c r="BU205" s="124"/>
      <c r="BV205" s="177"/>
      <c r="BW205" s="177"/>
      <c r="BX205" s="177"/>
      <c r="BY205" s="177"/>
      <c r="BZ205" s="171"/>
      <c r="CA205" s="172"/>
      <c r="CB20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20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5" s="131">
        <f>' الشركه 2018'!$H205*67%*1.5*' الشركه 2018'!$CB205/208</f>
        <v>65.808173076923083</v>
      </c>
      <c r="CE205" s="132">
        <f>' الشركه 2018'!$H205*67%*2*' الشركه 2018'!$CC205/208</f>
        <v>0</v>
      </c>
      <c r="CF205" s="133">
        <f>' الشركه 2018'!$CD205+' الشركه 2018'!$CE205</f>
        <v>65.808173076923083</v>
      </c>
      <c r="CG205" s="124"/>
      <c r="CH205" s="177">
        <f>SUMIF(C205:C479,' الشركه 2018'!$CG220,L205:L479)</f>
        <v>0</v>
      </c>
      <c r="CI205" s="124"/>
      <c r="CJ205" s="177">
        <f>' الشركه 2018'!$CH198*' الشركه 2018'!$CI198</f>
        <v>0</v>
      </c>
      <c r="CK205" s="162">
        <f>' الشركه 2018'!$CJ220*8%</f>
        <v>0</v>
      </c>
      <c r="CL205" s="162">
        <f>' الشركه 2018'!$CJ220*17%</f>
        <v>0</v>
      </c>
      <c r="CM205" s="162">
        <f>' الشركه 2018'!$CJ220*25%</f>
        <v>0</v>
      </c>
      <c r="CN205" s="162"/>
      <c r="CO205" s="162"/>
      <c r="CP205" s="163">
        <v>500</v>
      </c>
      <c r="CQ205" s="164" t="e">
        <f>VLOOKUP(Table6[[#This Row],[الرقم الوظيفى]],[4]!Table3[#Data],26,FALSE)</f>
        <v>#REF!</v>
      </c>
      <c r="CR205" s="165">
        <v>1500</v>
      </c>
      <c r="CS205" s="124"/>
    </row>
    <row r="206" spans="1:97" ht="28" customHeight="1" thickTop="1" thickBot="1">
      <c r="A206" s="222">
        <v>950</v>
      </c>
      <c r="B206" s="142" t="s">
        <v>442</v>
      </c>
      <c r="C206" s="201" t="s">
        <v>90</v>
      </c>
      <c r="D206" s="11" t="s">
        <v>76</v>
      </c>
      <c r="E206" s="202"/>
      <c r="F206" s="143" t="s">
        <v>441</v>
      </c>
      <c r="G206" s="145">
        <v>42815</v>
      </c>
      <c r="H206" s="146">
        <v>4540</v>
      </c>
      <c r="I206" s="106">
        <f>Table6[[#This Row],[مرتب]]/30</f>
        <v>151.33333333333334</v>
      </c>
      <c r="J206" s="107">
        <v>30</v>
      </c>
      <c r="K206" s="107">
        <f t="shared" si="3"/>
        <v>4540</v>
      </c>
      <c r="L206" s="108">
        <v>4540</v>
      </c>
      <c r="M206" s="107">
        <f>Table6[[#This Row],[مرتب الضمان]]*17%</f>
        <v>771.80000000000007</v>
      </c>
      <c r="N206" s="107">
        <f>' الشركه 2018'!$H206*35%</f>
        <v>1589</v>
      </c>
      <c r="O206" s="107">
        <f>' الشركه 2018'!$H206*32%</f>
        <v>1452.8</v>
      </c>
      <c r="P206" s="107">
        <f>' الشركه 2018'!$H206*12%</f>
        <v>544.79999999999995</v>
      </c>
      <c r="Q206" s="107">
        <f>' الشركه 2018'!$H206*13%</f>
        <v>590.20000000000005</v>
      </c>
      <c r="R206" s="107">
        <f>' الشركه 2018'!$H206*6%</f>
        <v>272.39999999999998</v>
      </c>
      <c r="S206" s="107">
        <f>' الشركه 2018'!$H206*2%</f>
        <v>90.8</v>
      </c>
      <c r="T206" s="107">
        <f>' الشركه 2018'!$O206+' الشركه 2018'!$P206+' الشركه 2018'!$Q206+' الشركه 2018'!$R206+' الشركه 2018'!$S206</f>
        <v>2951.0000000000005</v>
      </c>
      <c r="U206" s="109">
        <f>VLOOKUP(Table6[[#This Row],[الرقم الوظيفى]],[2]بالخصم!$B$1:$AK$1200,35,)</f>
        <v>0</v>
      </c>
      <c r="V206" s="213"/>
      <c r="W206" s="111">
        <f>Table6[[#This Row],[عدد ايام الاجازه]]*Table6[[#This Row],[ح راتب اليوم]]</f>
        <v>0</v>
      </c>
      <c r="X206" s="148"/>
      <c r="Y206" s="214"/>
      <c r="Z206" s="111">
        <f>Table6[[#This Row],[عدد ايام الجزاء]]*Table6[[#This Row],[ح راتب اليوم]]</f>
        <v>0</v>
      </c>
      <c r="AA206" s="112">
        <f>Table6[[#This Row],[مرتب]]*50%</f>
        <v>2270</v>
      </c>
      <c r="AB206" s="113" t="e">
        <f>VLOOKUP(Table6[[#This Row],[الرقم الوظيفى]],[3]!Table25289[#Data],23,)</f>
        <v>#REF!</v>
      </c>
      <c r="AC206" s="215">
        <v>300</v>
      </c>
      <c r="AD206" s="206"/>
      <c r="AE206" s="113" t="e">
        <f>VLOOKUP(Table6[[#This Row],[الرقم الوظيفى]],[3]!Table252894[#Data],22,)</f>
        <v>#REF!</v>
      </c>
      <c r="AF206" s="151"/>
      <c r="AG206" s="111">
        <f>' الشركه 2018'!$W206+' الشركه 2018'!$Z206+' الشركه 2018'!$AA206+' الشركه 2018'!$AC206+' الشركه 2018'!$AD206+' الشركه 2018'!$AF206</f>
        <v>2570</v>
      </c>
      <c r="AH206" s="111">
        <f>Table6[[#This Row],[راتب الضمان]]*8%</f>
        <v>363.2</v>
      </c>
      <c r="AI206" s="111">
        <f>' الشركه 2018'!$H206-' الشركه 2018'!$AG206-' الشركه 2018'!$AH206</f>
        <v>1606.8</v>
      </c>
      <c r="AJ206" s="111">
        <f>' الشركه 2018'!$CF206</f>
        <v>0</v>
      </c>
      <c r="AK206" s="117">
        <f>' الشركه 2018'!$AI206+' الشركه 2018'!$AJ206</f>
        <v>1606.8</v>
      </c>
      <c r="AL206" s="152"/>
      <c r="AM206" s="153"/>
      <c r="AN206" s="9">
        <f>Table6[[#This Row],[اجمالى الاستحقاق]]-Table6[[#This Row],[Column2]]+Table6[[#This Row],[حوافز غير مستقره]]</f>
        <v>1606.8</v>
      </c>
      <c r="AO206" s="59"/>
      <c r="AP206" s="169"/>
      <c r="AQ206" s="176"/>
      <c r="AR206" s="124"/>
      <c r="AS206" s="208"/>
      <c r="AT206" s="170"/>
      <c r="AU206" s="124"/>
      <c r="AV206" s="124"/>
      <c r="AW206" s="124"/>
      <c r="AX206" s="124"/>
      <c r="AY206" s="124"/>
      <c r="AZ206" s="124"/>
      <c r="BA206" s="124"/>
      <c r="BB206" s="124"/>
      <c r="BC206" s="124"/>
      <c r="BD206" s="124"/>
      <c r="BE206" s="124"/>
      <c r="BF206" s="124"/>
      <c r="BG206" s="124"/>
      <c r="BH206" s="124"/>
      <c r="BI206" s="124"/>
      <c r="BJ206" s="124"/>
      <c r="BK206" s="124"/>
      <c r="BL206" s="124"/>
      <c r="BM206" s="177"/>
      <c r="BN206" s="177"/>
      <c r="BO206" s="177"/>
      <c r="BP206" s="177"/>
      <c r="BQ206" s="177"/>
      <c r="BR206" s="124"/>
      <c r="BS206" s="177"/>
      <c r="BT206" s="124"/>
      <c r="BU206" s="124"/>
      <c r="BV206" s="177"/>
      <c r="BW206" s="177"/>
      <c r="BX206" s="177"/>
      <c r="BY206" s="177"/>
      <c r="BZ206" s="171"/>
      <c r="CA206" s="172"/>
      <c r="CB20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0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6" s="131">
        <f>' الشركه 2018'!$H206*67%*1.5*' الشركه 2018'!$CB206/208</f>
        <v>0</v>
      </c>
      <c r="CE206" s="132">
        <f>' الشركه 2018'!$H206*67%*2*' الشركه 2018'!$CC206/208</f>
        <v>0</v>
      </c>
      <c r="CF206" s="133">
        <f>' الشركه 2018'!$CD206+' الشركه 2018'!$CE206</f>
        <v>0</v>
      </c>
      <c r="CG206" s="124"/>
      <c r="CH206" s="177">
        <f>SUMIF(C206:C480,' الشركه 2018'!$CG221,L206:L480)</f>
        <v>0</v>
      </c>
      <c r="CI206" s="124"/>
      <c r="CJ206" s="162">
        <f>' الشركه 2018'!$CH221*' الشركه 2018'!$CI221</f>
        <v>0</v>
      </c>
      <c r="CK206" s="162">
        <f>' الشركه 2018'!$CJ221*8%</f>
        <v>0</v>
      </c>
      <c r="CL206" s="162">
        <f>' الشركه 2018'!$CJ221*17%</f>
        <v>0</v>
      </c>
      <c r="CM206" s="162">
        <f>' الشركه 2018'!$CJ221*25%</f>
        <v>0</v>
      </c>
      <c r="CN206" s="162"/>
      <c r="CO206" s="162"/>
      <c r="CP206" s="163"/>
      <c r="CQ206" s="164" t="e">
        <f>VLOOKUP(Table6[[#This Row],[الرقم الوظيفى]],[4]!Table3[#Data],26,FALSE)</f>
        <v>#REF!</v>
      </c>
      <c r="CR206" s="165"/>
      <c r="CS206" s="124"/>
    </row>
    <row r="207" spans="1:97" ht="28" customHeight="1" thickTop="1" thickBot="1">
      <c r="A207" s="222">
        <v>951</v>
      </c>
      <c r="B207" s="142" t="s">
        <v>313</v>
      </c>
      <c r="C207" s="201" t="s">
        <v>90</v>
      </c>
      <c r="D207" s="11" t="s">
        <v>83</v>
      </c>
      <c r="E207" s="202"/>
      <c r="F207" s="143" t="s">
        <v>312</v>
      </c>
      <c r="G207" s="145">
        <v>42815</v>
      </c>
      <c r="H207" s="146">
        <v>4530</v>
      </c>
      <c r="I207" s="106">
        <f>Table6[[#This Row],[مرتب]]/30</f>
        <v>151</v>
      </c>
      <c r="J207" s="107">
        <v>30</v>
      </c>
      <c r="K207" s="107">
        <f t="shared" si="3"/>
        <v>4530</v>
      </c>
      <c r="L207" s="108">
        <v>4530</v>
      </c>
      <c r="M207" s="107">
        <f>Table6[[#This Row],[مرتب الضمان]]*17%</f>
        <v>770.1</v>
      </c>
      <c r="N207" s="107">
        <f>' الشركه 2018'!$H207*35%</f>
        <v>1585.5</v>
      </c>
      <c r="O207" s="107">
        <f>' الشركه 2018'!$H207*32%</f>
        <v>1449.6000000000001</v>
      </c>
      <c r="P207" s="107">
        <f>' الشركه 2018'!$H207*12%</f>
        <v>543.6</v>
      </c>
      <c r="Q207" s="107">
        <f>' الشركه 2018'!$H207*13%</f>
        <v>588.9</v>
      </c>
      <c r="R207" s="107">
        <f>' الشركه 2018'!$H207*6%</f>
        <v>271.8</v>
      </c>
      <c r="S207" s="107">
        <f>' الشركه 2018'!$H207*2%</f>
        <v>90.600000000000009</v>
      </c>
      <c r="T207" s="107">
        <f>' الشركه 2018'!$O207+' الشركه 2018'!$P207+' الشركه 2018'!$Q207+' الشركه 2018'!$R207+' الشركه 2018'!$S207</f>
        <v>2944.5000000000005</v>
      </c>
      <c r="U207" s="109">
        <f>VLOOKUP(Table6[[#This Row],[الرقم الوظيفى]],[2]بالخصم!$B$1:$AK$1200,35,)</f>
        <v>0</v>
      </c>
      <c r="V207" s="213"/>
      <c r="W207" s="111">
        <f>Table6[[#This Row],[عدد ايام الاجازه]]*Table6[[#This Row],[ح راتب اليوم]]</f>
        <v>0</v>
      </c>
      <c r="X207" s="148"/>
      <c r="Y207" s="214"/>
      <c r="Z207" s="111">
        <f>Table6[[#This Row],[عدد ايام الجزاء]]*Table6[[#This Row],[ح راتب اليوم]]</f>
        <v>0</v>
      </c>
      <c r="AA207" s="112">
        <f>Table6[[#This Row],[مرتب]]*50%</f>
        <v>2265</v>
      </c>
      <c r="AB207" s="113" t="e">
        <f>VLOOKUP(Table6[[#This Row],[الرقم الوظيفى]],[3]!Table25289[#Data],23,)</f>
        <v>#REF!</v>
      </c>
      <c r="AC207" s="215"/>
      <c r="AD207" s="206"/>
      <c r="AE207" s="113" t="e">
        <f>VLOOKUP(Table6[[#This Row],[الرقم الوظيفى]],[3]!Table252894[#Data],22,)</f>
        <v>#REF!</v>
      </c>
      <c r="AF207" s="151"/>
      <c r="AG207" s="111">
        <f>' الشركه 2018'!$W207+' الشركه 2018'!$Z207+' الشركه 2018'!$AA207+' الشركه 2018'!$AC207+' الشركه 2018'!$AD207+' الشركه 2018'!$AF207</f>
        <v>2265</v>
      </c>
      <c r="AH207" s="111">
        <f>Table6[[#This Row],[راتب الضمان]]*8%</f>
        <v>362.40000000000003</v>
      </c>
      <c r="AI207" s="111">
        <f>' الشركه 2018'!$H207-' الشركه 2018'!$AG207-' الشركه 2018'!$AH207</f>
        <v>1902.6</v>
      </c>
      <c r="AJ207" s="111">
        <f>' الشركه 2018'!$CF207</f>
        <v>430.45889423076926</v>
      </c>
      <c r="AK207" s="117">
        <f>' الشركه 2018'!$AI207+' الشركه 2018'!$AJ207</f>
        <v>2333.0588942307691</v>
      </c>
      <c r="AL207" s="152"/>
      <c r="AM207" s="153"/>
      <c r="AN207" s="9">
        <f>Table6[[#This Row],[اجمالى الاستحقاق]]-Table6[[#This Row],[Column2]]+Table6[[#This Row],[حوافز غير مستقره]]</f>
        <v>2333.0588942307691</v>
      </c>
      <c r="AO207" s="59"/>
      <c r="AP207" s="169"/>
      <c r="AQ207" s="176"/>
      <c r="AR207" s="124"/>
      <c r="AS207" s="208"/>
      <c r="AT207" s="170"/>
      <c r="AU207" s="124"/>
      <c r="AV207" s="124">
        <v>11</v>
      </c>
      <c r="AW207" s="124"/>
      <c r="AX207" s="124">
        <v>5</v>
      </c>
      <c r="AY207" s="124"/>
      <c r="AZ207" s="124"/>
      <c r="BA207" s="124"/>
      <c r="BB207" s="124"/>
      <c r="BC207" s="124"/>
      <c r="BD207" s="124"/>
      <c r="BE207" s="124"/>
      <c r="BF207" s="124"/>
      <c r="BG207" s="124"/>
      <c r="BH207" s="124"/>
      <c r="BI207" s="124"/>
      <c r="BJ207" s="124"/>
      <c r="BK207" s="124"/>
      <c r="BL207" s="124"/>
      <c r="BM207" s="177"/>
      <c r="BN207" s="177"/>
      <c r="BO207" s="177"/>
      <c r="BP207" s="177"/>
      <c r="BQ207" s="177"/>
      <c r="BR207" s="124"/>
      <c r="BS207" s="177"/>
      <c r="BT207" s="124"/>
      <c r="BU207" s="124"/>
      <c r="BV207" s="177"/>
      <c r="BW207" s="177"/>
      <c r="BX207" s="177"/>
      <c r="BY207" s="177"/>
      <c r="BZ207" s="171"/>
      <c r="CA207" s="172"/>
      <c r="CB20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</v>
      </c>
      <c r="CC207" s="130">
        <f>Table6[[#This Row],[Friday, November 23, 2018]]+Table6[[#This Row],[Friday, November 30, 2018]]+Table6[[#This Row],[Friday, December 07, 2018]]+Table6[[#This Row],[Friday, December 14, 2018]]+Table6[[#This Row],[فروقات عطله]]</f>
        <v>11</v>
      </c>
      <c r="CD207" s="131">
        <f>' الشركه 2018'!$H207*67%*1.5*' الشركه 2018'!$CB207/208</f>
        <v>109.43870192307693</v>
      </c>
      <c r="CE207" s="132">
        <f>' الشركه 2018'!$H207*67%*2*' الشركه 2018'!$CC207/208</f>
        <v>321.02019230769235</v>
      </c>
      <c r="CF207" s="133">
        <f>' الشركه 2018'!$CD207+' الشركه 2018'!$CE207</f>
        <v>430.45889423076926</v>
      </c>
      <c r="CG207" s="124"/>
      <c r="CH207" s="177">
        <f>SUMIF(C207:C481,' الشركه 2018'!$CG222,L207:L481)</f>
        <v>0</v>
      </c>
      <c r="CI207" s="124"/>
      <c r="CJ207" s="162">
        <f>' الشركه 2018'!$CH222*' الشركه 2018'!$CI222</f>
        <v>0</v>
      </c>
      <c r="CK207" s="162">
        <f>' الشركه 2018'!$CJ222*8%</f>
        <v>0</v>
      </c>
      <c r="CL207" s="162">
        <f>' الشركه 2018'!$CJ222*17%</f>
        <v>0</v>
      </c>
      <c r="CM207" s="162">
        <f>' الشركه 2018'!$CJ222*25%</f>
        <v>0</v>
      </c>
      <c r="CN207" s="162"/>
      <c r="CO207" s="162"/>
      <c r="CP207" s="163"/>
      <c r="CQ207" s="164" t="e">
        <f>VLOOKUP(Table6[[#This Row],[الرقم الوظيفى]],[4]!Table3[#Data],26,FALSE)</f>
        <v>#REF!</v>
      </c>
      <c r="CR207" s="165"/>
      <c r="CS207" s="124"/>
    </row>
    <row r="208" spans="1:97" ht="28" customHeight="1" thickTop="1" thickBot="1">
      <c r="A208" s="222">
        <v>952</v>
      </c>
      <c r="B208" s="142" t="s">
        <v>275</v>
      </c>
      <c r="C208" s="201" t="s">
        <v>90</v>
      </c>
      <c r="D208" s="11" t="s">
        <v>74</v>
      </c>
      <c r="E208" s="202"/>
      <c r="F208" s="11"/>
      <c r="G208" s="145">
        <v>42826</v>
      </c>
      <c r="H208" s="146">
        <v>3020</v>
      </c>
      <c r="I208" s="106">
        <f>Table6[[#This Row],[مرتب]]/30</f>
        <v>100.66666666666667</v>
      </c>
      <c r="J208" s="107">
        <v>30</v>
      </c>
      <c r="K208" s="107">
        <f t="shared" si="3"/>
        <v>3020</v>
      </c>
      <c r="L208" s="108">
        <v>3020</v>
      </c>
      <c r="M208" s="107">
        <f>Table6[[#This Row],[مرتب الضمان]]*17%</f>
        <v>513.40000000000009</v>
      </c>
      <c r="N208" s="107">
        <f>' الشركه 2018'!$H208*35%</f>
        <v>1057</v>
      </c>
      <c r="O208" s="107">
        <f>' الشركه 2018'!$H208*32%</f>
        <v>966.4</v>
      </c>
      <c r="P208" s="107">
        <f>' الشركه 2018'!$H208*12%</f>
        <v>362.4</v>
      </c>
      <c r="Q208" s="107">
        <f>' الشركه 2018'!$H208*13%</f>
        <v>392.6</v>
      </c>
      <c r="R208" s="107">
        <f>' الشركه 2018'!$H208*6%</f>
        <v>181.2</v>
      </c>
      <c r="S208" s="107">
        <f>' الشركه 2018'!$H208*2%</f>
        <v>60.4</v>
      </c>
      <c r="T208" s="107">
        <f>' الشركه 2018'!$O208+' الشركه 2018'!$P208+' الشركه 2018'!$Q208+' الشركه 2018'!$R208+' الشركه 2018'!$S208</f>
        <v>1963.0000000000002</v>
      </c>
      <c r="U208" s="109">
        <f>VLOOKUP(Table6[[#This Row],[الرقم الوظيفى]],[2]بالخصم!$B$1:$AK$1200,35,)</f>
        <v>0</v>
      </c>
      <c r="V208" s="213"/>
      <c r="W208" s="111">
        <f>Table6[[#This Row],[عدد ايام الاجازه]]*Table6[[#This Row],[ح راتب اليوم]]</f>
        <v>0</v>
      </c>
      <c r="X208" s="148"/>
      <c r="Y208" s="214"/>
      <c r="Z208" s="111">
        <f>Table6[[#This Row],[عدد ايام الجزاء]]*Table6[[#This Row],[ح راتب اليوم]]</f>
        <v>0</v>
      </c>
      <c r="AA208" s="112">
        <f>Table6[[#This Row],[مرتب]]*50%</f>
        <v>1510</v>
      </c>
      <c r="AB208" s="113" t="e">
        <f>VLOOKUP(Table6[[#This Row],[الرقم الوظيفى]],[3]!Table25289[#Data],23,)</f>
        <v>#REF!</v>
      </c>
      <c r="AC208" s="215">
        <v>200</v>
      </c>
      <c r="AD208" s="206"/>
      <c r="AE208" s="113" t="e">
        <f>VLOOKUP(Table6[[#This Row],[الرقم الوظيفى]],[3]!Table252894[#Data],22,)</f>
        <v>#REF!</v>
      </c>
      <c r="AF208" s="151"/>
      <c r="AG208" s="111">
        <f>' الشركه 2018'!$W208+' الشركه 2018'!$Z208+' الشركه 2018'!$AA208+' الشركه 2018'!$AC208+' الشركه 2018'!$AD208+' الشركه 2018'!$AF208</f>
        <v>1710</v>
      </c>
      <c r="AH208" s="111">
        <f>Table6[[#This Row],[راتب الضمان]]*8%</f>
        <v>241.6</v>
      </c>
      <c r="AI208" s="111">
        <f>' الشركه 2018'!$H208-' الشركه 2018'!$AG208-' الشركه 2018'!$AH208</f>
        <v>1068.4000000000001</v>
      </c>
      <c r="AJ208" s="111">
        <f>' الشركه 2018'!$CF208</f>
        <v>1634.2846153846156</v>
      </c>
      <c r="AK208" s="117">
        <f>' الشركه 2018'!$AI208+' الشركه 2018'!$AJ208</f>
        <v>2702.6846153846154</v>
      </c>
      <c r="AL208" s="152"/>
      <c r="AM208" s="153"/>
      <c r="AN208" s="9">
        <f>Table6[[#This Row],[اجمالى الاستحقاق]]-Table6[[#This Row],[Column2]]+Table6[[#This Row],[حوافز غير مستقره]]</f>
        <v>2702.6846153846154</v>
      </c>
      <c r="AO208" s="59"/>
      <c r="AP208" s="169"/>
      <c r="AQ208" s="176"/>
      <c r="AR208" s="124"/>
      <c r="AS208" s="208"/>
      <c r="AT208" s="170"/>
      <c r="AU208" s="124"/>
      <c r="AV208" s="124"/>
      <c r="AW208" s="124"/>
      <c r="AX208" s="124"/>
      <c r="AY208" s="124">
        <v>8</v>
      </c>
      <c r="AZ208" s="124"/>
      <c r="BA208" s="124"/>
      <c r="BB208" s="124"/>
      <c r="BC208" s="124">
        <v>24</v>
      </c>
      <c r="BD208" s="124"/>
      <c r="BE208" s="124"/>
      <c r="BF208" s="124"/>
      <c r="BG208" s="124">
        <v>8</v>
      </c>
      <c r="BH208" s="124">
        <v>8</v>
      </c>
      <c r="BI208" s="124">
        <v>8</v>
      </c>
      <c r="BJ208" s="124"/>
      <c r="BK208" s="124">
        <v>8</v>
      </c>
      <c r="BL208" s="124"/>
      <c r="BM208" s="177"/>
      <c r="BN208" s="177">
        <v>8</v>
      </c>
      <c r="BO208" s="177">
        <v>8</v>
      </c>
      <c r="BP208" s="177">
        <v>8</v>
      </c>
      <c r="BQ208" s="177"/>
      <c r="BR208" s="124">
        <v>8</v>
      </c>
      <c r="BS208" s="177">
        <v>8</v>
      </c>
      <c r="BT208" s="124"/>
      <c r="BU208" s="124"/>
      <c r="BV208" s="177"/>
      <c r="BW208" s="177"/>
      <c r="BX208" s="177"/>
      <c r="BY208" s="177"/>
      <c r="BZ208" s="171"/>
      <c r="CA208" s="172"/>
      <c r="CB20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80</v>
      </c>
      <c r="CC208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08" s="131">
        <f>' الشركه 2018'!$H208*67%*1.5*' الشركه 2018'!$CB208/208</f>
        <v>1167.346153846154</v>
      </c>
      <c r="CE208" s="132">
        <f>' الشركه 2018'!$H208*67%*2*' الشركه 2018'!$CC208/208</f>
        <v>466.93846153846158</v>
      </c>
      <c r="CF208" s="133">
        <f>' الشركه 2018'!$CD208+' الشركه 2018'!$CE208</f>
        <v>1634.2846153846156</v>
      </c>
      <c r="CG208" s="124"/>
      <c r="CH208" s="177">
        <f>SUMIF(C208:C482,' الشركه 2018'!#REF!,L208:L482)</f>
        <v>0</v>
      </c>
      <c r="CI208" s="124"/>
      <c r="CJ208" s="162" t="e">
        <f>' الشركه 2018'!#REF!*' الشركه 2018'!#REF!</f>
        <v>#REF!</v>
      </c>
      <c r="CK208" s="162" t="e">
        <f>' الشركه 2018'!#REF!*8%</f>
        <v>#REF!</v>
      </c>
      <c r="CL208" s="162" t="e">
        <f>' الشركه 2018'!#REF!*17%</f>
        <v>#REF!</v>
      </c>
      <c r="CM208" s="162" t="e">
        <f>' الشركه 2018'!#REF!*25%</f>
        <v>#REF!</v>
      </c>
      <c r="CN208" s="162"/>
      <c r="CO208" s="162"/>
      <c r="CP208" s="163">
        <v>500</v>
      </c>
      <c r="CQ208" s="164" t="e">
        <f>VLOOKUP(Table6[[#This Row],[الرقم الوظيفى]],[4]!Table3[#Data],26,FALSE)</f>
        <v>#REF!</v>
      </c>
      <c r="CR208" s="165"/>
      <c r="CS208" s="124"/>
    </row>
    <row r="209" spans="1:97" ht="28" customHeight="1" thickTop="1" thickBot="1">
      <c r="A209" s="222">
        <v>956</v>
      </c>
      <c r="B209" s="142" t="s">
        <v>334</v>
      </c>
      <c r="C209" s="201" t="s">
        <v>90</v>
      </c>
      <c r="D209" s="11" t="s">
        <v>70</v>
      </c>
      <c r="E209" s="202"/>
      <c r="F209" s="11"/>
      <c r="G209" s="145">
        <v>42826</v>
      </c>
      <c r="H209" s="146">
        <v>3020</v>
      </c>
      <c r="I209" s="106">
        <f>Table6[[#This Row],[مرتب]]/30</f>
        <v>100.66666666666667</v>
      </c>
      <c r="J209" s="107">
        <v>30</v>
      </c>
      <c r="K209" s="107">
        <f t="shared" si="3"/>
        <v>3020</v>
      </c>
      <c r="L209" s="108">
        <v>3020</v>
      </c>
      <c r="M209" s="107">
        <f>Table6[[#This Row],[مرتب الضمان]]*17%</f>
        <v>513.40000000000009</v>
      </c>
      <c r="N209" s="107">
        <f>' الشركه 2018'!$H209*35%</f>
        <v>1057</v>
      </c>
      <c r="O209" s="107">
        <f>' الشركه 2018'!$H209*32%</f>
        <v>966.4</v>
      </c>
      <c r="P209" s="107">
        <f>' الشركه 2018'!$H209*12%</f>
        <v>362.4</v>
      </c>
      <c r="Q209" s="107">
        <f>' الشركه 2018'!$H209*13%</f>
        <v>392.6</v>
      </c>
      <c r="R209" s="107">
        <f>' الشركه 2018'!$H209*6%</f>
        <v>181.2</v>
      </c>
      <c r="S209" s="107">
        <f>' الشركه 2018'!$H209*2%</f>
        <v>60.4</v>
      </c>
      <c r="T209" s="107">
        <f>' الشركه 2018'!$O209+' الشركه 2018'!$P209+' الشركه 2018'!$Q209+' الشركه 2018'!$R209+' الشركه 2018'!$S209</f>
        <v>1963.0000000000002</v>
      </c>
      <c r="U209" s="109">
        <f>VLOOKUP(Table6[[#This Row],[الرقم الوظيفى]],[2]بالخصم!$B$1:$AK$1200,35,)</f>
        <v>0</v>
      </c>
      <c r="V209" s="213"/>
      <c r="W209" s="111">
        <f>Table6[[#This Row],[عدد ايام الاجازه]]*Table6[[#This Row],[ح راتب اليوم]]</f>
        <v>0</v>
      </c>
      <c r="X209" s="148"/>
      <c r="Y209" s="214"/>
      <c r="Z209" s="111">
        <f>Table6[[#This Row],[عدد ايام الجزاء]]*Table6[[#This Row],[ح راتب اليوم]]</f>
        <v>0</v>
      </c>
      <c r="AA209" s="112">
        <f>Table6[[#This Row],[مرتب]]*50%</f>
        <v>1510</v>
      </c>
      <c r="AB209" s="113" t="e">
        <f>VLOOKUP(Table6[[#This Row],[الرقم الوظيفى]],[3]!Table25289[#Data],23,)</f>
        <v>#REF!</v>
      </c>
      <c r="AC209" s="215"/>
      <c r="AD209" s="206"/>
      <c r="AE209" s="113" t="e">
        <f>VLOOKUP(Table6[[#This Row],[الرقم الوظيفى]],[3]!Table252894[#Data],22,)</f>
        <v>#REF!</v>
      </c>
      <c r="AF209" s="151"/>
      <c r="AG209" s="111">
        <f>' الشركه 2018'!$W209+' الشركه 2018'!$Z209+' الشركه 2018'!$AA209+' الشركه 2018'!$AC209+' الشركه 2018'!$AD209+' الشركه 2018'!$AF209</f>
        <v>1510</v>
      </c>
      <c r="AH209" s="111">
        <f>Table6[[#This Row],[راتب الضمان]]*8%</f>
        <v>241.6</v>
      </c>
      <c r="AI209" s="111">
        <f>' الشركه 2018'!$H209-' الشركه 2018'!$AG209-' الشركه 2018'!$AH209</f>
        <v>1268.4000000000001</v>
      </c>
      <c r="AJ209" s="111">
        <f>' الشركه 2018'!$CF209</f>
        <v>0</v>
      </c>
      <c r="AK209" s="117">
        <f>' الشركه 2018'!$AI209+' الشركه 2018'!$AJ209</f>
        <v>1268.4000000000001</v>
      </c>
      <c r="AL209" s="152"/>
      <c r="AM209" s="153"/>
      <c r="AN209" s="9">
        <f>Table6[[#This Row],[اجمالى الاستحقاق]]-Table6[[#This Row],[Column2]]+Table6[[#This Row],[حوافز غير مستقره]]</f>
        <v>1268.4000000000001</v>
      </c>
      <c r="AO209" s="56"/>
      <c r="AP209" s="169"/>
      <c r="AQ209" s="176"/>
      <c r="AR209" s="124"/>
      <c r="AS209" s="208"/>
      <c r="AT209" s="170"/>
      <c r="AU209" s="124"/>
      <c r="AV209" s="124"/>
      <c r="AW209" s="124"/>
      <c r="AX209" s="124"/>
      <c r="AY209" s="124"/>
      <c r="AZ209" s="124"/>
      <c r="BA209" s="124"/>
      <c r="BB209" s="124"/>
      <c r="BC209" s="124"/>
      <c r="BD209" s="124"/>
      <c r="BE209" s="124"/>
      <c r="BF209" s="124"/>
      <c r="BG209" s="124"/>
      <c r="BH209" s="124"/>
      <c r="BI209" s="124"/>
      <c r="BJ209" s="124"/>
      <c r="BK209" s="124"/>
      <c r="BL209" s="124"/>
      <c r="BM209" s="177"/>
      <c r="BN209" s="177"/>
      <c r="BO209" s="177"/>
      <c r="BP209" s="177"/>
      <c r="BQ209" s="177"/>
      <c r="BR209" s="124"/>
      <c r="BS209" s="177"/>
      <c r="BT209" s="124"/>
      <c r="BU209" s="124"/>
      <c r="BV209" s="177"/>
      <c r="BW209" s="177"/>
      <c r="BX209" s="177"/>
      <c r="BY209" s="177"/>
      <c r="BZ209" s="171"/>
      <c r="CA209" s="172"/>
      <c r="CB20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0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09" s="131">
        <f>' الشركه 2018'!$H209*67%*1.5*' الشركه 2018'!$CB209/208</f>
        <v>0</v>
      </c>
      <c r="CE209" s="132">
        <f>' الشركه 2018'!$H209*67%*2*' الشركه 2018'!$CC209/208</f>
        <v>0</v>
      </c>
      <c r="CF209" s="133">
        <f>' الشركه 2018'!$CD209+' الشركه 2018'!$CE209</f>
        <v>0</v>
      </c>
      <c r="CG209" s="124"/>
      <c r="CH209" s="177">
        <f>SUMIF(C209:C486,' الشركه 2018'!$CG226,L209:L486)</f>
        <v>0</v>
      </c>
      <c r="CI209" s="124"/>
      <c r="CJ209" s="162">
        <f>' الشركه 2018'!$CH226*' الشركه 2018'!$CI226</f>
        <v>0</v>
      </c>
      <c r="CK209" s="162">
        <f>' الشركه 2018'!$CJ226*8%</f>
        <v>0</v>
      </c>
      <c r="CL209" s="162">
        <f>' الشركه 2018'!$CJ226*17%</f>
        <v>0</v>
      </c>
      <c r="CM209" s="162">
        <f>' الشركه 2018'!$CJ226*25%</f>
        <v>0</v>
      </c>
      <c r="CN209" s="162"/>
      <c r="CO209" s="162"/>
      <c r="CP209" s="163">
        <v>600</v>
      </c>
      <c r="CQ209" s="164" t="e">
        <f>VLOOKUP(Table6[[#This Row],[الرقم الوظيفى]],[4]!Table3[#Data],26,FALSE)</f>
        <v>#REF!</v>
      </c>
      <c r="CR209" s="165">
        <v>500</v>
      </c>
      <c r="CS209" s="124"/>
    </row>
    <row r="210" spans="1:97" ht="28" customHeight="1" thickTop="1" thickBot="1">
      <c r="A210" s="222">
        <v>959</v>
      </c>
      <c r="B210" s="142" t="s">
        <v>305</v>
      </c>
      <c r="C210" s="201" t="s">
        <v>90</v>
      </c>
      <c r="D210" s="11" t="s">
        <v>74</v>
      </c>
      <c r="E210" s="202"/>
      <c r="F210" s="11" t="s">
        <v>63</v>
      </c>
      <c r="G210" s="145">
        <v>42842</v>
      </c>
      <c r="H210" s="146">
        <v>3020</v>
      </c>
      <c r="I210" s="106">
        <f>Table6[[#This Row],[مرتب]]/30</f>
        <v>100.66666666666667</v>
      </c>
      <c r="J210" s="107">
        <v>30</v>
      </c>
      <c r="K210" s="107">
        <f t="shared" si="3"/>
        <v>3020</v>
      </c>
      <c r="L210" s="108">
        <v>3020</v>
      </c>
      <c r="M210" s="107">
        <f>Table6[[#This Row],[مرتب الضمان]]*17%</f>
        <v>513.40000000000009</v>
      </c>
      <c r="N210" s="107">
        <f>' الشركه 2018'!$H210*35%</f>
        <v>1057</v>
      </c>
      <c r="O210" s="107">
        <f>' الشركه 2018'!$H210*32%</f>
        <v>966.4</v>
      </c>
      <c r="P210" s="107">
        <f>' الشركه 2018'!$H210*12%</f>
        <v>362.4</v>
      </c>
      <c r="Q210" s="107">
        <f>' الشركه 2018'!$H210*13%</f>
        <v>392.6</v>
      </c>
      <c r="R210" s="107">
        <f>' الشركه 2018'!$H210*6%</f>
        <v>181.2</v>
      </c>
      <c r="S210" s="107">
        <f>' الشركه 2018'!$H210*2%</f>
        <v>60.4</v>
      </c>
      <c r="T210" s="107">
        <f>' الشركه 2018'!$O210+' الشركه 2018'!$P210+' الشركه 2018'!$Q210+' الشركه 2018'!$R210+' الشركه 2018'!$S210</f>
        <v>1963.0000000000002</v>
      </c>
      <c r="U210" s="109">
        <f>VLOOKUP(Table6[[#This Row],[الرقم الوظيفى]],[2]بالخصم!$B$1:$AK$1200,35,)</f>
        <v>0</v>
      </c>
      <c r="V210" s="213"/>
      <c r="W210" s="111">
        <f>Table6[[#This Row],[عدد ايام الاجازه]]*Table6[[#This Row],[ح راتب اليوم]]</f>
        <v>0</v>
      </c>
      <c r="X210" s="148"/>
      <c r="Y210" s="214"/>
      <c r="Z210" s="111">
        <f>Table6[[#This Row],[عدد ايام الجزاء]]*Table6[[#This Row],[ح راتب اليوم]]</f>
        <v>0</v>
      </c>
      <c r="AA210" s="112">
        <f>Table6[[#This Row],[مرتب]]*50%</f>
        <v>1510</v>
      </c>
      <c r="AB210" s="113" t="e">
        <f>VLOOKUP(Table6[[#This Row],[الرقم الوظيفى]],[3]!Table25289[#Data],23,)</f>
        <v>#REF!</v>
      </c>
      <c r="AC210" s="215"/>
      <c r="AD210" s="206"/>
      <c r="AE210" s="113" t="e">
        <f>VLOOKUP(Table6[[#This Row],[الرقم الوظيفى]],[3]!Table252894[#Data],22,)</f>
        <v>#REF!</v>
      </c>
      <c r="AF210" s="151"/>
      <c r="AG210" s="111">
        <f>' الشركه 2018'!$W210+' الشركه 2018'!$Z210+' الشركه 2018'!$AA210+' الشركه 2018'!$AC210+' الشركه 2018'!$AD210+' الشركه 2018'!$AF210</f>
        <v>1510</v>
      </c>
      <c r="AH210" s="111">
        <f>Table6[[#This Row],[راتب الضمان]]*8%</f>
        <v>241.6</v>
      </c>
      <c r="AI210" s="111">
        <f>' الشركه 2018'!$H210-' الشركه 2018'!$AG210-' الشركه 2018'!$AH210</f>
        <v>1268.4000000000001</v>
      </c>
      <c r="AJ210" s="111">
        <f>' الشركه 2018'!$CF210</f>
        <v>0</v>
      </c>
      <c r="AK210" s="117">
        <f>' الشركه 2018'!$AI210+' الشركه 2018'!$AJ210</f>
        <v>1268.4000000000001</v>
      </c>
      <c r="AL210" s="152"/>
      <c r="AM210" s="153"/>
      <c r="AN210" s="9">
        <f>Table6[[#This Row],[اجمالى الاستحقاق]]-Table6[[#This Row],[Column2]]+Table6[[#This Row],[حوافز غير مستقره]]</f>
        <v>1268.4000000000001</v>
      </c>
      <c r="AO210" s="59"/>
      <c r="AP210" s="169"/>
      <c r="AQ210" s="176"/>
      <c r="AR210" s="124"/>
      <c r="AS210" s="208"/>
      <c r="AT210" s="170"/>
      <c r="AU210" s="124"/>
      <c r="AV210" s="124"/>
      <c r="AW210" s="124"/>
      <c r="AX210" s="124"/>
      <c r="AY210" s="124"/>
      <c r="AZ210" s="124"/>
      <c r="BA210" s="124"/>
      <c r="BB210" s="124"/>
      <c r="BC210" s="124"/>
      <c r="BD210" s="124"/>
      <c r="BE210" s="124"/>
      <c r="BF210" s="124"/>
      <c r="BG210" s="124"/>
      <c r="BH210" s="124"/>
      <c r="BI210" s="124"/>
      <c r="BJ210" s="124"/>
      <c r="BK210" s="124"/>
      <c r="BL210" s="124"/>
      <c r="BM210" s="177"/>
      <c r="BN210" s="177"/>
      <c r="BO210" s="177"/>
      <c r="BP210" s="177"/>
      <c r="BQ210" s="177"/>
      <c r="BR210" s="124"/>
      <c r="BS210" s="177"/>
      <c r="BT210" s="124"/>
      <c r="BU210" s="124"/>
      <c r="BV210" s="177"/>
      <c r="BW210" s="177"/>
      <c r="BX210" s="177"/>
      <c r="BY210" s="177"/>
      <c r="BZ210" s="171"/>
      <c r="CA210" s="172"/>
      <c r="CB21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0" s="131">
        <f>' الشركه 2018'!$H210*67%*1.5*' الشركه 2018'!$CB210/208</f>
        <v>0</v>
      </c>
      <c r="CE210" s="132">
        <f>' الشركه 2018'!$H210*67%*2*' الشركه 2018'!$CC210/208</f>
        <v>0</v>
      </c>
      <c r="CF210" s="133">
        <f>' الشركه 2018'!$CD210+' الشركه 2018'!$CE210</f>
        <v>0</v>
      </c>
      <c r="CG210" s="124"/>
      <c r="CH210" s="177"/>
      <c r="CI210" s="124"/>
      <c r="CJ210" s="162"/>
      <c r="CK210" s="162"/>
      <c r="CL210" s="162"/>
      <c r="CM210" s="162"/>
      <c r="CN210" s="162"/>
      <c r="CO210" s="162"/>
      <c r="CP210" s="163"/>
      <c r="CQ210" s="164" t="e">
        <f>VLOOKUP(Table6[[#This Row],[الرقم الوظيفى]],[4]!Table3[#Data],26,FALSE)</f>
        <v>#REF!</v>
      </c>
      <c r="CR210" s="165"/>
      <c r="CS210" s="124"/>
    </row>
    <row r="211" spans="1:97" s="342" customFormat="1" ht="28" customHeight="1" thickTop="1" thickBot="1">
      <c r="A211" s="222">
        <v>961</v>
      </c>
      <c r="B211" s="244" t="s">
        <v>323</v>
      </c>
      <c r="C211" s="201" t="s">
        <v>90</v>
      </c>
      <c r="D211" s="11" t="s">
        <v>75</v>
      </c>
      <c r="E211" s="202"/>
      <c r="F211" s="11"/>
      <c r="G211" s="184">
        <v>42856</v>
      </c>
      <c r="H211" s="146">
        <v>3030</v>
      </c>
      <c r="I211" s="106">
        <f>Table6[[#This Row],[مرتب]]/30</f>
        <v>101</v>
      </c>
      <c r="J211" s="107">
        <v>30</v>
      </c>
      <c r="K211" s="107">
        <f t="shared" si="3"/>
        <v>3030</v>
      </c>
      <c r="L211" s="108">
        <v>3030</v>
      </c>
      <c r="M211" s="107">
        <f>Table6[[#This Row],[مرتب الضمان]]*17%</f>
        <v>515.1</v>
      </c>
      <c r="N211" s="107">
        <f>' الشركه 2018'!$H211*35%</f>
        <v>1060.5</v>
      </c>
      <c r="O211" s="107">
        <f>' الشركه 2018'!$H211*32%</f>
        <v>969.6</v>
      </c>
      <c r="P211" s="107">
        <f>' الشركه 2018'!$H211*12%</f>
        <v>363.59999999999997</v>
      </c>
      <c r="Q211" s="107">
        <f>' الشركه 2018'!$H211*13%</f>
        <v>393.90000000000003</v>
      </c>
      <c r="R211" s="107">
        <f>' الشركه 2018'!$H211*6%</f>
        <v>181.79999999999998</v>
      </c>
      <c r="S211" s="107">
        <f>' الشركه 2018'!$H211*2%</f>
        <v>60.6</v>
      </c>
      <c r="T211" s="107">
        <f>' الشركه 2018'!$O211+' الشركه 2018'!$P211+' الشركه 2018'!$Q211+' الشركه 2018'!$R211+' الشركه 2018'!$S211</f>
        <v>1969.5</v>
      </c>
      <c r="U211" s="109">
        <f>VLOOKUP(Table6[[#This Row],[الرقم الوظيفى]],[2]بالخصم!$B$1:$AK$1200,35,)</f>
        <v>0</v>
      </c>
      <c r="V211" s="213"/>
      <c r="W211" s="111">
        <f>Table6[[#This Row],[عدد ايام الاجازه]]*Table6[[#This Row],[ح راتب اليوم]]</f>
        <v>0</v>
      </c>
      <c r="X211" s="148"/>
      <c r="Y211" s="214"/>
      <c r="Z211" s="111">
        <f>Table6[[#This Row],[عدد ايام الجزاء]]*Table6[[#This Row],[ح راتب اليوم]]</f>
        <v>0</v>
      </c>
      <c r="AA211" s="112">
        <f>Table6[[#This Row],[مرتب]]*50%</f>
        <v>1515</v>
      </c>
      <c r="AB211" s="113" t="e">
        <f>VLOOKUP(Table6[[#This Row],[الرقم الوظيفى]],[3]!Table25289[#Data],23,)</f>
        <v>#REF!</v>
      </c>
      <c r="AC211" s="215"/>
      <c r="AD211" s="206"/>
      <c r="AE211" s="113" t="e">
        <f>VLOOKUP(Table6[[#This Row],[الرقم الوظيفى]],[3]!Table252894[#Data],22,)</f>
        <v>#REF!</v>
      </c>
      <c r="AF211" s="151"/>
      <c r="AG211" s="111">
        <f>' الشركه 2018'!$W211+' الشركه 2018'!$Z211+' الشركه 2018'!$AA211+' الشركه 2018'!$AC211+' الشركه 2018'!$AD211+' الشركه 2018'!$AF211</f>
        <v>1515</v>
      </c>
      <c r="AH211" s="111">
        <f>Table6[[#This Row],[راتب الضمان]]*8%</f>
        <v>242.4</v>
      </c>
      <c r="AI211" s="111">
        <f>' الشركه 2018'!$H211-' الشركه 2018'!$AG211-' الشركه 2018'!$AH211</f>
        <v>1272.5999999999999</v>
      </c>
      <c r="AJ211" s="111">
        <f>' الشركه 2018'!$CF211</f>
        <v>0</v>
      </c>
      <c r="AK211" s="117">
        <f>' الشركه 2018'!$AI211+' الشركه 2018'!$AJ211</f>
        <v>1272.5999999999999</v>
      </c>
      <c r="AL211" s="152"/>
      <c r="AM211" s="153"/>
      <c r="AN211" s="9">
        <f>Table6[[#This Row],[اجمالى الاستحقاق]]-Table6[[#This Row],[Column2]]+Table6[[#This Row],[حوافز غير مستقره]]</f>
        <v>1272.5999999999999</v>
      </c>
      <c r="AO211" s="59"/>
      <c r="AP211" s="169"/>
      <c r="AQ211" s="176"/>
      <c r="AR211" s="124"/>
      <c r="AS211" s="208"/>
      <c r="AT211" s="170"/>
      <c r="AU211" s="124"/>
      <c r="AV211" s="124"/>
      <c r="AW211" s="124"/>
      <c r="AX211" s="124"/>
      <c r="AY211" s="124"/>
      <c r="AZ211" s="124"/>
      <c r="BA211" s="124"/>
      <c r="BB211" s="124"/>
      <c r="BC211" s="124"/>
      <c r="BD211" s="124"/>
      <c r="BE211" s="124"/>
      <c r="BF211" s="124"/>
      <c r="BG211" s="124"/>
      <c r="BH211" s="124"/>
      <c r="BI211" s="124"/>
      <c r="BJ211" s="124"/>
      <c r="BK211" s="124"/>
      <c r="BL211" s="124"/>
      <c r="BM211" s="177"/>
      <c r="BN211" s="177"/>
      <c r="BO211" s="177"/>
      <c r="BP211" s="177"/>
      <c r="BQ211" s="177"/>
      <c r="BR211" s="124"/>
      <c r="BS211" s="177"/>
      <c r="BT211" s="124"/>
      <c r="BU211" s="124"/>
      <c r="BV211" s="177"/>
      <c r="BW211" s="177"/>
      <c r="BX211" s="177"/>
      <c r="BY211" s="177"/>
      <c r="BZ211" s="171"/>
      <c r="CA211" s="172"/>
      <c r="CB21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1" s="131">
        <f>' الشركه 2018'!$H211*67%*1.5*' الشركه 2018'!$CB211/208</f>
        <v>0</v>
      </c>
      <c r="CE211" s="132">
        <f>' الشركه 2018'!$H211*67%*2*' الشركه 2018'!$CC211/208</f>
        <v>0</v>
      </c>
      <c r="CF211" s="133">
        <f>' الشركه 2018'!$CD211+' الشركه 2018'!$CE211</f>
        <v>0</v>
      </c>
      <c r="CG211" s="124"/>
      <c r="CH211" s="177"/>
      <c r="CI211" s="124"/>
      <c r="CJ211" s="162"/>
      <c r="CK211" s="162"/>
      <c r="CL211" s="162"/>
      <c r="CM211" s="162"/>
      <c r="CN211" s="162"/>
      <c r="CO211" s="162"/>
      <c r="CP211" s="163"/>
      <c r="CQ211" s="164" t="e">
        <f>VLOOKUP(Table6[[#This Row],[الرقم الوظيفى]],[4]!Table3[#Data],26,FALSE)</f>
        <v>#REF!</v>
      </c>
      <c r="CR211" s="165">
        <v>500</v>
      </c>
      <c r="CS211" s="310"/>
    </row>
    <row r="212" spans="1:97" ht="28" customHeight="1" thickTop="1" thickBot="1">
      <c r="A212" s="222">
        <v>962</v>
      </c>
      <c r="B212" s="244" t="s">
        <v>276</v>
      </c>
      <c r="C212" s="201" t="s">
        <v>90</v>
      </c>
      <c r="D212" s="11" t="s">
        <v>74</v>
      </c>
      <c r="E212" s="202"/>
      <c r="F212" s="11"/>
      <c r="G212" s="184">
        <v>42856</v>
      </c>
      <c r="H212" s="146">
        <v>3020</v>
      </c>
      <c r="I212" s="106">
        <f>Table6[[#This Row],[مرتب]]/30</f>
        <v>100.66666666666667</v>
      </c>
      <c r="J212" s="107">
        <v>30</v>
      </c>
      <c r="K212" s="107">
        <f t="shared" si="3"/>
        <v>3020</v>
      </c>
      <c r="L212" s="108">
        <v>3020</v>
      </c>
      <c r="M212" s="107">
        <f>Table6[[#This Row],[مرتب الضمان]]*17%</f>
        <v>513.40000000000009</v>
      </c>
      <c r="N212" s="107">
        <f>' الشركه 2018'!$H212*35%</f>
        <v>1057</v>
      </c>
      <c r="O212" s="107">
        <f>' الشركه 2018'!$H212*32%</f>
        <v>966.4</v>
      </c>
      <c r="P212" s="107">
        <f>' الشركه 2018'!$H212*12%</f>
        <v>362.4</v>
      </c>
      <c r="Q212" s="107">
        <f>' الشركه 2018'!$H212*13%</f>
        <v>392.6</v>
      </c>
      <c r="R212" s="107">
        <f>' الشركه 2018'!$H212*6%</f>
        <v>181.2</v>
      </c>
      <c r="S212" s="107">
        <f>' الشركه 2018'!$H212*2%</f>
        <v>60.4</v>
      </c>
      <c r="T212" s="107">
        <f>' الشركه 2018'!$O212+' الشركه 2018'!$P212+' الشركه 2018'!$Q212+' الشركه 2018'!$R212+' الشركه 2018'!$S212</f>
        <v>1963.0000000000002</v>
      </c>
      <c r="U212" s="109">
        <f>VLOOKUP(Table6[[#This Row],[الرقم الوظيفى]],[2]بالخصم!$B$1:$AK$1200,35,)</f>
        <v>0</v>
      </c>
      <c r="V212" s="213"/>
      <c r="W212" s="111">
        <f>Table6[[#This Row],[عدد ايام الاجازه]]*Table6[[#This Row],[ح راتب اليوم]]</f>
        <v>0</v>
      </c>
      <c r="X212" s="148"/>
      <c r="Y212" s="214"/>
      <c r="Z212" s="111">
        <f>Table6[[#This Row],[عدد ايام الجزاء]]*Table6[[#This Row],[ح راتب اليوم]]</f>
        <v>0</v>
      </c>
      <c r="AA212" s="112">
        <f>Table6[[#This Row],[مرتب]]*50%</f>
        <v>1510</v>
      </c>
      <c r="AB212" s="113" t="e">
        <f>VLOOKUP(Table6[[#This Row],[الرقم الوظيفى]],[3]!Table25289[#Data],23,)</f>
        <v>#REF!</v>
      </c>
      <c r="AC212" s="215"/>
      <c r="AD212" s="206"/>
      <c r="AE212" s="113" t="e">
        <f>VLOOKUP(Table6[[#This Row],[الرقم الوظيفى]],[3]!Table252894[#Data],22,)</f>
        <v>#REF!</v>
      </c>
      <c r="AF212" s="151"/>
      <c r="AG212" s="111">
        <f>' الشركه 2018'!$W212+' الشركه 2018'!$Z212+' الشركه 2018'!$AA212+' الشركه 2018'!$AC212+' الشركه 2018'!$AD212+' الشركه 2018'!$AF212</f>
        <v>1510</v>
      </c>
      <c r="AH212" s="111">
        <f>Table6[[#This Row],[راتب الضمان]]*8%</f>
        <v>241.6</v>
      </c>
      <c r="AI212" s="111">
        <f>' الشركه 2018'!$H212-' الشركه 2018'!$AG212-' الشركه 2018'!$AH212</f>
        <v>1268.4000000000001</v>
      </c>
      <c r="AJ212" s="111">
        <f>' الشركه 2018'!$CF212</f>
        <v>2101.2230769230773</v>
      </c>
      <c r="AK212" s="117">
        <f>' الشركه 2018'!$AI212+' الشركه 2018'!$AJ212</f>
        <v>3369.6230769230774</v>
      </c>
      <c r="AL212" s="152"/>
      <c r="AM212" s="153"/>
      <c r="AN212" s="9">
        <f>Table6[[#This Row],[اجمالى الاستحقاق]]-Table6[[#This Row],[Column2]]+Table6[[#This Row],[حوافز غير مستقره]]</f>
        <v>3369.6230769230774</v>
      </c>
      <c r="AO212" s="59"/>
      <c r="AP212" s="169"/>
      <c r="AQ212" s="176"/>
      <c r="AR212" s="124"/>
      <c r="AS212" s="208"/>
      <c r="AT212" s="170">
        <v>8</v>
      </c>
      <c r="AU212" s="124">
        <v>8</v>
      </c>
      <c r="AV212" s="124">
        <v>12</v>
      </c>
      <c r="AW212" s="124">
        <v>8</v>
      </c>
      <c r="AX212" s="124"/>
      <c r="AY212" s="124">
        <v>8</v>
      </c>
      <c r="AZ212" s="124">
        <v>8</v>
      </c>
      <c r="BA212" s="124"/>
      <c r="BB212" s="124"/>
      <c r="BC212" s="124"/>
      <c r="BD212" s="124"/>
      <c r="BE212" s="124"/>
      <c r="BF212" s="124"/>
      <c r="BG212" s="124"/>
      <c r="BH212" s="124"/>
      <c r="BI212" s="124"/>
      <c r="BJ212" s="124"/>
      <c r="BK212" s="124">
        <v>8</v>
      </c>
      <c r="BL212" s="124">
        <v>8</v>
      </c>
      <c r="BM212" s="177">
        <v>8</v>
      </c>
      <c r="BN212" s="177">
        <v>8</v>
      </c>
      <c r="BO212" s="177">
        <v>8</v>
      </c>
      <c r="BP212" s="177">
        <v>8</v>
      </c>
      <c r="BQ212" s="177">
        <v>24</v>
      </c>
      <c r="BR212" s="124"/>
      <c r="BS212" s="177">
        <v>8</v>
      </c>
      <c r="BT212" s="124"/>
      <c r="BU212" s="124"/>
      <c r="BV212" s="177"/>
      <c r="BW212" s="177"/>
      <c r="BX212" s="177"/>
      <c r="BY212" s="177"/>
      <c r="BZ212" s="171"/>
      <c r="CA212" s="172"/>
      <c r="CB21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96</v>
      </c>
      <c r="CC212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212" s="131">
        <f>' الشركه 2018'!$H212*67%*1.5*' الشركه 2018'!$CB212/208</f>
        <v>1400.8153846153848</v>
      </c>
      <c r="CE212" s="132">
        <f>' الشركه 2018'!$H212*67%*2*' الشركه 2018'!$CC212/208</f>
        <v>700.4076923076924</v>
      </c>
      <c r="CF212" s="133">
        <f>' الشركه 2018'!$CD212+' الشركه 2018'!$CE212</f>
        <v>2101.2230769230773</v>
      </c>
      <c r="CG212" s="124"/>
      <c r="CH212" s="177"/>
      <c r="CI212" s="124"/>
      <c r="CJ212" s="162"/>
      <c r="CK212" s="162"/>
      <c r="CL212" s="162"/>
      <c r="CM212" s="162"/>
      <c r="CN212" s="162"/>
      <c r="CO212" s="162"/>
      <c r="CP212" s="163"/>
      <c r="CQ212" s="164" t="e">
        <f>VLOOKUP(Table6[[#This Row],[الرقم الوظيفى]],[4]!Table3[#Data],26,FALSE)</f>
        <v>#REF!</v>
      </c>
      <c r="CR212" s="165"/>
      <c r="CS212" s="124"/>
    </row>
    <row r="213" spans="1:97" ht="28" customHeight="1" thickTop="1" thickBot="1">
      <c r="A213" s="222">
        <v>963</v>
      </c>
      <c r="B213" s="244" t="s">
        <v>280</v>
      </c>
      <c r="C213" s="201" t="s">
        <v>90</v>
      </c>
      <c r="D213" s="11" t="s">
        <v>74</v>
      </c>
      <c r="E213" s="202"/>
      <c r="F213" s="11"/>
      <c r="G213" s="184">
        <v>42856</v>
      </c>
      <c r="H213" s="146">
        <v>3020</v>
      </c>
      <c r="I213" s="106">
        <f>Table6[[#This Row],[مرتب]]/30</f>
        <v>100.66666666666667</v>
      </c>
      <c r="J213" s="107">
        <v>30</v>
      </c>
      <c r="K213" s="107">
        <f t="shared" si="3"/>
        <v>3020</v>
      </c>
      <c r="L213" s="108">
        <v>3020</v>
      </c>
      <c r="M213" s="107">
        <f>Table6[[#This Row],[مرتب الضمان]]*17%</f>
        <v>513.40000000000009</v>
      </c>
      <c r="N213" s="107">
        <f>' الشركه 2018'!$H213*35%</f>
        <v>1057</v>
      </c>
      <c r="O213" s="107">
        <f>' الشركه 2018'!$H213*32%</f>
        <v>966.4</v>
      </c>
      <c r="P213" s="107">
        <f>' الشركه 2018'!$H213*12%</f>
        <v>362.4</v>
      </c>
      <c r="Q213" s="107">
        <f>' الشركه 2018'!$H213*13%</f>
        <v>392.6</v>
      </c>
      <c r="R213" s="107">
        <f>' الشركه 2018'!$H213*6%</f>
        <v>181.2</v>
      </c>
      <c r="S213" s="107">
        <f>' الشركه 2018'!$H213*2%</f>
        <v>60.4</v>
      </c>
      <c r="T213" s="107">
        <f>' الشركه 2018'!$O213+' الشركه 2018'!$P213+' الشركه 2018'!$Q213+' الشركه 2018'!$R213+' الشركه 2018'!$S213</f>
        <v>1963.0000000000002</v>
      </c>
      <c r="U213" s="109">
        <f>VLOOKUP(Table6[[#This Row],[الرقم الوظيفى]],[2]بالخصم!$B$1:$AK$1200,35,)</f>
        <v>0</v>
      </c>
      <c r="V213" s="213"/>
      <c r="W213" s="111">
        <f>Table6[[#This Row],[عدد ايام الاجازه]]*Table6[[#This Row],[ح راتب اليوم]]</f>
        <v>0</v>
      </c>
      <c r="X213" s="148"/>
      <c r="Y213" s="214"/>
      <c r="Z213" s="111">
        <f>Table6[[#This Row],[عدد ايام الجزاء]]*Table6[[#This Row],[ح راتب اليوم]]</f>
        <v>0</v>
      </c>
      <c r="AA213" s="112">
        <f>Table6[[#This Row],[مرتب]]*50%</f>
        <v>1510</v>
      </c>
      <c r="AB213" s="113" t="e">
        <f>VLOOKUP(Table6[[#This Row],[الرقم الوظيفى]],[3]!Table25289[#Data],23,)</f>
        <v>#REF!</v>
      </c>
      <c r="AC213" s="215"/>
      <c r="AD213" s="206"/>
      <c r="AE213" s="113" t="e">
        <f>VLOOKUP(Table6[[#This Row],[الرقم الوظيفى]],[3]!Table252894[#Data],22,)</f>
        <v>#REF!</v>
      </c>
      <c r="AF213" s="151"/>
      <c r="AG213" s="111">
        <f>' الشركه 2018'!$W213+' الشركه 2018'!$Z213+' الشركه 2018'!$AA213+' الشركه 2018'!$AC213+' الشركه 2018'!$AD213+' الشركه 2018'!$AF213</f>
        <v>1510</v>
      </c>
      <c r="AH213" s="111">
        <f>Table6[[#This Row],[راتب الضمان]]*8%</f>
        <v>241.6</v>
      </c>
      <c r="AI213" s="111">
        <f>' الشركه 2018'!$H213-' الشركه 2018'!$AG213-' الشركه 2018'!$AH213</f>
        <v>1268.4000000000001</v>
      </c>
      <c r="AJ213" s="111">
        <f>' الشركه 2018'!$CF213</f>
        <v>2101.2230769230773</v>
      </c>
      <c r="AK213" s="117">
        <f>' الشركه 2018'!$AI213+' الشركه 2018'!$AJ213</f>
        <v>3369.6230769230774</v>
      </c>
      <c r="AL213" s="152"/>
      <c r="AM213" s="153"/>
      <c r="AN213" s="9">
        <f>Table6[[#This Row],[اجمالى الاستحقاق]]-Table6[[#This Row],[Column2]]+Table6[[#This Row],[حوافز غير مستقره]]</f>
        <v>3369.6230769230774</v>
      </c>
      <c r="AO213" s="59"/>
      <c r="AP213" s="169"/>
      <c r="AQ213" s="176"/>
      <c r="AR213" s="124"/>
      <c r="AS213" s="208"/>
      <c r="AT213" s="170">
        <v>8</v>
      </c>
      <c r="AU213" s="124">
        <v>8</v>
      </c>
      <c r="AV213" s="124">
        <v>12</v>
      </c>
      <c r="AW213" s="124">
        <v>8</v>
      </c>
      <c r="AX213" s="124"/>
      <c r="AY213" s="124">
        <v>8</v>
      </c>
      <c r="AZ213" s="124">
        <v>8</v>
      </c>
      <c r="BA213" s="124"/>
      <c r="BB213" s="124"/>
      <c r="BC213" s="124">
        <v>12</v>
      </c>
      <c r="BD213" s="124"/>
      <c r="BE213" s="124"/>
      <c r="BF213" s="124"/>
      <c r="BG213" s="124"/>
      <c r="BH213" s="124"/>
      <c r="BI213" s="124"/>
      <c r="BJ213" s="124"/>
      <c r="BK213" s="124">
        <v>8</v>
      </c>
      <c r="BL213" s="124">
        <v>8</v>
      </c>
      <c r="BM213" s="177">
        <v>8</v>
      </c>
      <c r="BN213" s="177">
        <v>8</v>
      </c>
      <c r="BO213" s="177">
        <v>8</v>
      </c>
      <c r="BP213" s="177"/>
      <c r="BQ213" s="177">
        <v>24</v>
      </c>
      <c r="BR213" s="124"/>
      <c r="BS213" s="177"/>
      <c r="BT213" s="124"/>
      <c r="BU213" s="124"/>
      <c r="BV213" s="177"/>
      <c r="BW213" s="177"/>
      <c r="BX213" s="177"/>
      <c r="BY213" s="177"/>
      <c r="BZ213" s="159"/>
      <c r="CA213" s="160"/>
      <c r="CB21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80</v>
      </c>
      <c r="CC213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213" s="131">
        <f>' الشركه 2018'!$H213*67%*1.5*' الشركه 2018'!$CB213/208</f>
        <v>1167.346153846154</v>
      </c>
      <c r="CE213" s="132">
        <f>' الشركه 2018'!$H213*67%*2*' الشركه 2018'!$CC213/208</f>
        <v>933.87692307692316</v>
      </c>
      <c r="CF213" s="133">
        <f>' الشركه 2018'!$CD213+' الشركه 2018'!$CE213</f>
        <v>2101.2230769230773</v>
      </c>
      <c r="CG213" s="124"/>
      <c r="CH213" s="177"/>
      <c r="CI213" s="124"/>
      <c r="CJ213" s="162"/>
      <c r="CK213" s="162"/>
      <c r="CL213" s="162"/>
      <c r="CM213" s="162"/>
      <c r="CN213" s="162"/>
      <c r="CO213" s="162"/>
      <c r="CP213" s="163"/>
      <c r="CQ213" s="164" t="e">
        <f>VLOOKUP(Table6[[#This Row],[الرقم الوظيفى]],[4]!Table3[#Data],26,FALSE)</f>
        <v>#REF!</v>
      </c>
      <c r="CR213" s="165"/>
      <c r="CS213" s="124"/>
    </row>
    <row r="214" spans="1:97" ht="28" customHeight="1" thickTop="1" thickBot="1">
      <c r="A214" s="222">
        <v>965</v>
      </c>
      <c r="B214" s="244" t="s">
        <v>694</v>
      </c>
      <c r="C214" s="201" t="s">
        <v>90</v>
      </c>
      <c r="D214" s="143" t="s">
        <v>684</v>
      </c>
      <c r="E214" s="202"/>
      <c r="F214" s="11"/>
      <c r="G214" s="184">
        <v>42856</v>
      </c>
      <c r="H214" s="146">
        <v>5030</v>
      </c>
      <c r="I214" s="106">
        <f>Table6[[#This Row],[مرتب]]/30</f>
        <v>167.66666666666666</v>
      </c>
      <c r="J214" s="107">
        <v>30</v>
      </c>
      <c r="K214" s="107">
        <f t="shared" si="3"/>
        <v>5030</v>
      </c>
      <c r="L214" s="108">
        <v>5030</v>
      </c>
      <c r="M214" s="107">
        <f>Table6[[#This Row],[مرتب الضمان]]*17%</f>
        <v>855.1</v>
      </c>
      <c r="N214" s="107">
        <f>' الشركه 2018'!$H214*35%</f>
        <v>1760.5</v>
      </c>
      <c r="O214" s="107">
        <f>' الشركه 2018'!$H214*32%</f>
        <v>1609.6000000000001</v>
      </c>
      <c r="P214" s="107">
        <f>' الشركه 2018'!$H214*12%</f>
        <v>603.6</v>
      </c>
      <c r="Q214" s="107">
        <f>' الشركه 2018'!$H214*13%</f>
        <v>653.9</v>
      </c>
      <c r="R214" s="107">
        <f>' الشركه 2018'!$H214*6%</f>
        <v>301.8</v>
      </c>
      <c r="S214" s="107">
        <f>' الشركه 2018'!$H214*2%</f>
        <v>100.60000000000001</v>
      </c>
      <c r="T214" s="107">
        <f>' الشركه 2018'!$O214+' الشركه 2018'!$P214+' الشركه 2018'!$Q214+' الشركه 2018'!$R214+' الشركه 2018'!$S214</f>
        <v>3269.5000000000005</v>
      </c>
      <c r="U214" s="109">
        <f>VLOOKUP(Table6[[#This Row],[الرقم الوظيفى]],[2]بالخصم!$B$1:$AK$1200,35,)</f>
        <v>0</v>
      </c>
      <c r="V214" s="213"/>
      <c r="W214" s="111">
        <f>Table6[[#This Row],[عدد ايام الاجازه]]*Table6[[#This Row],[ح راتب اليوم]]</f>
        <v>0</v>
      </c>
      <c r="X214" s="148"/>
      <c r="Y214" s="214"/>
      <c r="Z214" s="111">
        <f>Table6[[#This Row],[عدد ايام الجزاء]]*Table6[[#This Row],[ح راتب اليوم]]</f>
        <v>0</v>
      </c>
      <c r="AA214" s="112">
        <f>Table6[[#This Row],[مرتب]]*50%</f>
        <v>2515</v>
      </c>
      <c r="AB214" s="113" t="e">
        <f>VLOOKUP(Table6[[#This Row],[الرقم الوظيفى]],[3]!Table25289[#Data],23,)</f>
        <v>#REF!</v>
      </c>
      <c r="AC214" s="215"/>
      <c r="AD214" s="206"/>
      <c r="AE214" s="113" t="e">
        <f>VLOOKUP(Table6[[#This Row],[الرقم الوظيفى]],[3]!Table252894[#Data],22,)</f>
        <v>#REF!</v>
      </c>
      <c r="AF214" s="151"/>
      <c r="AG214" s="111">
        <f>' الشركه 2018'!$W214+' الشركه 2018'!$Z214+' الشركه 2018'!$AA214+' الشركه 2018'!$AC214+' الشركه 2018'!$AD214+' الشركه 2018'!$AF214</f>
        <v>2515</v>
      </c>
      <c r="AH214" s="111">
        <f>Table6[[#This Row],[راتب الضمان]]*8%</f>
        <v>402.40000000000003</v>
      </c>
      <c r="AI214" s="111">
        <f>' الشركه 2018'!$H214-' الشركه 2018'!$AG214-' الشركه 2018'!$AH214</f>
        <v>2112.6</v>
      </c>
      <c r="AJ214" s="111">
        <f>' الشركه 2018'!$CF214</f>
        <v>0</v>
      </c>
      <c r="AK214" s="117">
        <f>' الشركه 2018'!$AI214+' الشركه 2018'!$AJ214</f>
        <v>2112.6</v>
      </c>
      <c r="AL214" s="152"/>
      <c r="AM214" s="153"/>
      <c r="AN214" s="9">
        <f>Table6[[#This Row],[اجمالى الاستحقاق]]-Table6[[#This Row],[Column2]]+Table6[[#This Row],[حوافز غير مستقره]]</f>
        <v>2112.6</v>
      </c>
      <c r="AO214" s="59"/>
      <c r="AP214" s="169"/>
      <c r="AQ214" s="176"/>
      <c r="AR214" s="124"/>
      <c r="AS214" s="208"/>
      <c r="AT214" s="170"/>
      <c r="AU214" s="124"/>
      <c r="AV214" s="124"/>
      <c r="AW214" s="124"/>
      <c r="AX214" s="124"/>
      <c r="AY214" s="124"/>
      <c r="AZ214" s="124"/>
      <c r="BA214" s="124"/>
      <c r="BB214" s="124"/>
      <c r="BC214" s="124"/>
      <c r="BD214" s="124"/>
      <c r="BE214" s="124"/>
      <c r="BF214" s="124"/>
      <c r="BG214" s="124"/>
      <c r="BH214" s="124"/>
      <c r="BI214" s="124"/>
      <c r="BJ214" s="124"/>
      <c r="BK214" s="124"/>
      <c r="BL214" s="124"/>
      <c r="BM214" s="177"/>
      <c r="BN214" s="177"/>
      <c r="BO214" s="177"/>
      <c r="BP214" s="177"/>
      <c r="BQ214" s="177"/>
      <c r="BR214" s="124"/>
      <c r="BS214" s="177"/>
      <c r="BT214" s="124"/>
      <c r="BU214" s="124"/>
      <c r="BV214" s="177"/>
      <c r="BW214" s="177"/>
      <c r="BX214" s="177"/>
      <c r="BY214" s="177"/>
      <c r="BZ214" s="159"/>
      <c r="CA214" s="160"/>
      <c r="CB21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4" s="131">
        <f>' الشركه 2018'!$H214*67%*1.5*' الشركه 2018'!$CB214/208</f>
        <v>0</v>
      </c>
      <c r="CE214" s="132">
        <f>' الشركه 2018'!$H214*67%*2*' الشركه 2018'!$CC214/208</f>
        <v>0</v>
      </c>
      <c r="CF214" s="133">
        <f>' الشركه 2018'!$CD214+' الشركه 2018'!$CE214</f>
        <v>0</v>
      </c>
      <c r="CG214" s="124"/>
      <c r="CH214" s="177"/>
      <c r="CI214" s="124"/>
      <c r="CJ214" s="162"/>
      <c r="CK214" s="162"/>
      <c r="CL214" s="162"/>
      <c r="CM214" s="162"/>
      <c r="CN214" s="162"/>
      <c r="CO214" s="162"/>
      <c r="CP214" s="163"/>
      <c r="CQ214" s="164" t="e">
        <f>VLOOKUP(Table6[[#This Row],[الرقم الوظيفى]],[4]!Table3[#Data],26,FALSE)</f>
        <v>#REF!</v>
      </c>
      <c r="CR214" s="165"/>
      <c r="CS214" s="124"/>
    </row>
    <row r="215" spans="1:97" ht="28" customHeight="1" thickTop="1" thickBot="1">
      <c r="A215" s="222">
        <v>966</v>
      </c>
      <c r="B215" s="244" t="s">
        <v>402</v>
      </c>
      <c r="C215" s="201" t="s">
        <v>90</v>
      </c>
      <c r="D215" s="11" t="s">
        <v>81</v>
      </c>
      <c r="E215" s="202"/>
      <c r="F215" s="11"/>
      <c r="G215" s="184">
        <v>42863</v>
      </c>
      <c r="H215" s="146">
        <v>3530</v>
      </c>
      <c r="I215" s="106">
        <f>Table6[[#This Row],[مرتب]]/30</f>
        <v>117.66666666666667</v>
      </c>
      <c r="J215" s="107">
        <v>30</v>
      </c>
      <c r="K215" s="107">
        <f t="shared" si="3"/>
        <v>3530</v>
      </c>
      <c r="L215" s="108">
        <v>3530</v>
      </c>
      <c r="M215" s="107">
        <f>Table6[[#This Row],[مرتب الضمان]]*17%</f>
        <v>600.1</v>
      </c>
      <c r="N215" s="107">
        <f>' الشركه 2018'!$H215*35%</f>
        <v>1235.5</v>
      </c>
      <c r="O215" s="107">
        <f>' الشركه 2018'!$H215*32%</f>
        <v>1129.6000000000001</v>
      </c>
      <c r="P215" s="107">
        <f>' الشركه 2018'!$H215*12%</f>
        <v>423.59999999999997</v>
      </c>
      <c r="Q215" s="107">
        <f>' الشركه 2018'!$H215*13%</f>
        <v>458.90000000000003</v>
      </c>
      <c r="R215" s="107">
        <f>' الشركه 2018'!$H215*6%</f>
        <v>211.79999999999998</v>
      </c>
      <c r="S215" s="107">
        <f>' الشركه 2018'!$H215*2%</f>
        <v>70.600000000000009</v>
      </c>
      <c r="T215" s="107">
        <f>' الشركه 2018'!$O215+' الشركه 2018'!$P215+' الشركه 2018'!$Q215+' الشركه 2018'!$R215+' الشركه 2018'!$S215</f>
        <v>2294.5</v>
      </c>
      <c r="U215" s="109">
        <f>VLOOKUP(Table6[[#This Row],[الرقم الوظيفى]],[2]بالخصم!$B$1:$AK$1200,35,)</f>
        <v>0</v>
      </c>
      <c r="V215" s="213"/>
      <c r="W215" s="111">
        <f>Table6[[#This Row],[عدد ايام الاجازه]]*Table6[[#This Row],[ح راتب اليوم]]</f>
        <v>0</v>
      </c>
      <c r="X215" s="148"/>
      <c r="Y215" s="214"/>
      <c r="Z215" s="111">
        <f>Table6[[#This Row],[عدد ايام الجزاء]]*Table6[[#This Row],[ح راتب اليوم]]</f>
        <v>0</v>
      </c>
      <c r="AA215" s="112">
        <f>Table6[[#This Row],[مرتب]]*50%</f>
        <v>1765</v>
      </c>
      <c r="AB215" s="113" t="e">
        <f>VLOOKUP(Table6[[#This Row],[الرقم الوظيفى]],[3]!Table25289[#Data],23,)</f>
        <v>#REF!</v>
      </c>
      <c r="AC215" s="215"/>
      <c r="AD215" s="206"/>
      <c r="AE215" s="113" t="e">
        <f>VLOOKUP(Table6[[#This Row],[الرقم الوظيفى]],[3]!Table252894[#Data],22,)</f>
        <v>#REF!</v>
      </c>
      <c r="AF215" s="151"/>
      <c r="AG215" s="111">
        <f>' الشركه 2018'!$W215+' الشركه 2018'!$Z215+' الشركه 2018'!$AA215+' الشركه 2018'!$AC215+' الشركه 2018'!$AD215+' الشركه 2018'!$AF215</f>
        <v>1765</v>
      </c>
      <c r="AH215" s="111">
        <f>Table6[[#This Row],[راتب الضمان]]*8%</f>
        <v>282.40000000000003</v>
      </c>
      <c r="AI215" s="111">
        <f>' الشركه 2018'!$H215-' الشركه 2018'!$AG215-' الشركه 2018'!$AH215</f>
        <v>1482.6</v>
      </c>
      <c r="AJ215" s="111">
        <f>' الشركه 2018'!$CF215</f>
        <v>0</v>
      </c>
      <c r="AK215" s="117">
        <f>' الشركه 2018'!$AI215+' الشركه 2018'!$AJ215</f>
        <v>1482.6</v>
      </c>
      <c r="AL215" s="152"/>
      <c r="AM215" s="153"/>
      <c r="AN215" s="9">
        <f>Table6[[#This Row],[اجمالى الاستحقاق]]-Table6[[#This Row],[Column2]]+Table6[[#This Row],[حوافز غير مستقره]]</f>
        <v>1482.6</v>
      </c>
      <c r="AO215" s="59"/>
      <c r="AP215" s="169"/>
      <c r="AQ215" s="176"/>
      <c r="AR215" s="124"/>
      <c r="AS215" s="208"/>
      <c r="AT215" s="170"/>
      <c r="AU215" s="124"/>
      <c r="AV215" s="124"/>
      <c r="AW215" s="124"/>
      <c r="AX215" s="124"/>
      <c r="AY215" s="124"/>
      <c r="AZ215" s="124"/>
      <c r="BA215" s="124"/>
      <c r="BB215" s="124"/>
      <c r="BC215" s="124"/>
      <c r="BD215" s="124"/>
      <c r="BE215" s="124"/>
      <c r="BF215" s="124"/>
      <c r="BG215" s="124"/>
      <c r="BH215" s="124"/>
      <c r="BI215" s="124"/>
      <c r="BJ215" s="124"/>
      <c r="BK215" s="124"/>
      <c r="BL215" s="124"/>
      <c r="BM215" s="177"/>
      <c r="BN215" s="177"/>
      <c r="BO215" s="177"/>
      <c r="BP215" s="177"/>
      <c r="BQ215" s="177"/>
      <c r="BR215" s="124"/>
      <c r="BS215" s="177"/>
      <c r="BT215" s="124"/>
      <c r="BU215" s="124"/>
      <c r="BV215" s="177"/>
      <c r="BW215" s="177"/>
      <c r="BX215" s="177"/>
      <c r="BY215" s="177"/>
      <c r="BZ215" s="171"/>
      <c r="CA215" s="172"/>
      <c r="CB21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5" s="131">
        <f>' الشركه 2018'!$H215*67%*1.5*' الشركه 2018'!$CB215/208</f>
        <v>0</v>
      </c>
      <c r="CE215" s="132">
        <f>' الشركه 2018'!$H215*67%*2*' الشركه 2018'!$CC215/208</f>
        <v>0</v>
      </c>
      <c r="CF215" s="133">
        <f>' الشركه 2018'!$CD215+' الشركه 2018'!$CE215</f>
        <v>0</v>
      </c>
      <c r="CG215" s="124"/>
      <c r="CH215" s="177"/>
      <c r="CI215" s="124"/>
      <c r="CJ215" s="162"/>
      <c r="CK215" s="162"/>
      <c r="CL215" s="162"/>
      <c r="CM215" s="162"/>
      <c r="CN215" s="162"/>
      <c r="CO215" s="162"/>
      <c r="CP215" s="163"/>
      <c r="CQ215" s="164" t="e">
        <f>VLOOKUP(Table6[[#This Row],[الرقم الوظيفى]],[4]!Table3[#Data],26,FALSE)</f>
        <v>#REF!</v>
      </c>
      <c r="CR215" s="165">
        <v>1500</v>
      </c>
      <c r="CS215" s="124"/>
    </row>
    <row r="216" spans="1:97" ht="28" customHeight="1" thickTop="1" thickBot="1">
      <c r="A216" s="227">
        <v>968</v>
      </c>
      <c r="B216" s="343" t="s">
        <v>695</v>
      </c>
      <c r="C216" s="59" t="s">
        <v>90</v>
      </c>
      <c r="D216" s="11" t="s">
        <v>74</v>
      </c>
      <c r="E216" s="202"/>
      <c r="F216" s="11"/>
      <c r="G216" s="344">
        <v>43143</v>
      </c>
      <c r="H216" s="154">
        <v>3000</v>
      </c>
      <c r="I216" s="203">
        <f>Table6[[#This Row],[مرتب]]/30</f>
        <v>100</v>
      </c>
      <c r="J216" s="107">
        <v>30</v>
      </c>
      <c r="K216" s="107">
        <f t="shared" si="3"/>
        <v>3000</v>
      </c>
      <c r="L216" s="107">
        <v>3000</v>
      </c>
      <c r="M216" s="107">
        <f>Table6[[#This Row],[مرتب الضمان]]*17%</f>
        <v>510.00000000000006</v>
      </c>
      <c r="N216" s="107">
        <f>' الشركه 2018'!$H216*35%</f>
        <v>1050</v>
      </c>
      <c r="O216" s="107">
        <f>' الشركه 2018'!$H216*32%</f>
        <v>960</v>
      </c>
      <c r="P216" s="107">
        <f>' الشركه 2018'!$H216*12%</f>
        <v>360</v>
      </c>
      <c r="Q216" s="107">
        <f>' الشركه 2018'!$H216*13%</f>
        <v>390</v>
      </c>
      <c r="R216" s="107">
        <f>' الشركه 2018'!$H216*6%</f>
        <v>180</v>
      </c>
      <c r="S216" s="107">
        <f>' الشركه 2018'!$H216*2%</f>
        <v>60</v>
      </c>
      <c r="T216" s="107">
        <f>' الشركه 2018'!$O216+' الشركه 2018'!$P216+' الشركه 2018'!$Q216+' الشركه 2018'!$R216+' الشركه 2018'!$S216</f>
        <v>1950</v>
      </c>
      <c r="U216" s="109">
        <f>VLOOKUP(Table6[[#This Row],[الرقم الوظيفى]],[2]بالخصم!$B$1:$AK$1200,35,)</f>
        <v>1</v>
      </c>
      <c r="V216" s="204">
        <v>1</v>
      </c>
      <c r="W216" s="111">
        <f>Table6[[#This Row],[عدد ايام الاجازه]]*Table6[[#This Row],[ح راتب اليوم]]</f>
        <v>100</v>
      </c>
      <c r="X216" s="148"/>
      <c r="Y216" s="201"/>
      <c r="Z216" s="111">
        <f>Table6[[#This Row],[عدد ايام الجزاء]]*Table6[[#This Row],[ح راتب اليوم]]</f>
        <v>0</v>
      </c>
      <c r="AA216" s="112">
        <f>Table6[[#This Row],[مرتب]]*50%</f>
        <v>1500</v>
      </c>
      <c r="AB216" s="113" t="e">
        <f>VLOOKUP(Table6[[#This Row],[الرقم الوظيفى]],[3]!Table25289[#Data],23,)</f>
        <v>#REF!</v>
      </c>
      <c r="AC216" s="205"/>
      <c r="AD216" s="206"/>
      <c r="AE216" s="113" t="e">
        <f>VLOOKUP(Table6[[#This Row],[الرقم الوظيفى]],[3]!Table252894[#Data],22,)</f>
        <v>#REF!</v>
      </c>
      <c r="AF216" s="207"/>
      <c r="AG216" s="111">
        <f>' الشركه 2018'!$W216+' الشركه 2018'!$Z216+' الشركه 2018'!$AA216+' الشركه 2018'!$AC216+' الشركه 2018'!$AD216+' الشركه 2018'!$AF216</f>
        <v>1600</v>
      </c>
      <c r="AH216" s="111">
        <f>Table6[[#This Row],[راتب الضمان]]*8%</f>
        <v>240</v>
      </c>
      <c r="AI216" s="111">
        <f>' الشركه 2018'!$H216-' الشركه 2018'!$AG216-' الشركه 2018'!$AH216</f>
        <v>1160</v>
      </c>
      <c r="AJ216" s="111">
        <f>' الشركه 2018'!$CF216</f>
        <v>231.92307692307696</v>
      </c>
      <c r="AK216" s="117">
        <f>' الشركه 2018'!$AI216+' الشركه 2018'!$AJ216</f>
        <v>1391.9230769230769</v>
      </c>
      <c r="AL216" s="152"/>
      <c r="AM216" s="153"/>
      <c r="AN216" s="9">
        <f>Table6[[#This Row],[اجمالى الاستحقاق]]-Table6[[#This Row],[Column2]]+Table6[[#This Row],[حوافز غير مستقره]]</f>
        <v>1391.9230769230769</v>
      </c>
      <c r="AO216" s="59"/>
      <c r="AP216" s="169"/>
      <c r="AQ216" s="176"/>
      <c r="AR216" s="124"/>
      <c r="AS216" s="208"/>
      <c r="AT216" s="170"/>
      <c r="AU216" s="124"/>
      <c r="AV216" s="124"/>
      <c r="AW216" s="124"/>
      <c r="AX216" s="124"/>
      <c r="AY216" s="124"/>
      <c r="AZ216" s="124"/>
      <c r="BA216" s="124"/>
      <c r="BB216" s="124"/>
      <c r="BC216" s="124">
        <v>12</v>
      </c>
      <c r="BD216" s="124"/>
      <c r="BE216" s="124"/>
      <c r="BF216" s="124"/>
      <c r="BG216" s="124"/>
      <c r="BH216" s="228"/>
      <c r="BI216" s="124"/>
      <c r="BJ216" s="228"/>
      <c r="BK216" s="124"/>
      <c r="BL216" s="124"/>
      <c r="BM216" s="177"/>
      <c r="BN216" s="177"/>
      <c r="BO216" s="124"/>
      <c r="BP216" s="177"/>
      <c r="BQ216" s="124"/>
      <c r="BR216" s="177"/>
      <c r="BS216" s="177"/>
      <c r="BT216" s="124"/>
      <c r="BU216" s="124"/>
      <c r="BV216" s="124"/>
      <c r="BW216" s="177"/>
      <c r="BX216" s="177"/>
      <c r="BY216" s="177"/>
      <c r="BZ216" s="177"/>
      <c r="CA216" s="177"/>
      <c r="CB21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6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16" s="131">
        <f>' الشركه 2018'!$H216*67%*1.5*' الشركه 2018'!$CB216/208</f>
        <v>0</v>
      </c>
      <c r="CE216" s="132">
        <f>' الشركه 2018'!$H216*67%*2*' الشركه 2018'!$CC216/208</f>
        <v>231.92307692307696</v>
      </c>
      <c r="CF216" s="133">
        <f>' الشركه 2018'!$CD216+' الشركه 2018'!$CE216</f>
        <v>231.92307692307696</v>
      </c>
      <c r="CG216" s="124"/>
      <c r="CH216" s="177"/>
      <c r="CI216" s="124"/>
      <c r="CJ216" s="162"/>
      <c r="CK216" s="162"/>
      <c r="CL216" s="177"/>
      <c r="CM216" s="162"/>
      <c r="CN216" s="162"/>
      <c r="CO216" s="162"/>
      <c r="CP216" s="163"/>
      <c r="CQ216" s="164" t="e">
        <f>VLOOKUP(Table6[[#This Row],[الرقم الوظيفى]],[4]!Table3[#Data],26,FALSE)</f>
        <v>#REF!</v>
      </c>
      <c r="CR216" s="165">
        <v>500</v>
      </c>
      <c r="CS216" s="124"/>
    </row>
    <row r="217" spans="1:97" ht="28" customHeight="1" thickTop="1" thickBot="1">
      <c r="A217" s="222">
        <v>970</v>
      </c>
      <c r="B217" s="244" t="s">
        <v>696</v>
      </c>
      <c r="C217" s="201" t="s">
        <v>90</v>
      </c>
      <c r="D217" s="11" t="s">
        <v>74</v>
      </c>
      <c r="E217" s="202"/>
      <c r="F217" s="11"/>
      <c r="G217" s="184">
        <v>42872</v>
      </c>
      <c r="H217" s="154">
        <v>3020</v>
      </c>
      <c r="I217" s="203">
        <f>Table6[[#This Row],[مرتب]]/30</f>
        <v>100.66666666666667</v>
      </c>
      <c r="J217" s="107">
        <v>30</v>
      </c>
      <c r="K217" s="107">
        <f t="shared" si="3"/>
        <v>3020</v>
      </c>
      <c r="L217" s="107">
        <v>3020</v>
      </c>
      <c r="M217" s="107">
        <f>Table6[[#This Row],[مرتب الضمان]]*17%</f>
        <v>513.40000000000009</v>
      </c>
      <c r="N217" s="107">
        <f>' الشركه 2018'!$H217*35%</f>
        <v>1057</v>
      </c>
      <c r="O217" s="107">
        <f>' الشركه 2018'!$H217*32%</f>
        <v>966.4</v>
      </c>
      <c r="P217" s="107">
        <f>' الشركه 2018'!$H217*12%</f>
        <v>362.4</v>
      </c>
      <c r="Q217" s="107">
        <f>' الشركه 2018'!$H217*13%</f>
        <v>392.6</v>
      </c>
      <c r="R217" s="107">
        <f>' الشركه 2018'!$H217*6%</f>
        <v>181.2</v>
      </c>
      <c r="S217" s="107">
        <f>' الشركه 2018'!$H217*2%</f>
        <v>60.4</v>
      </c>
      <c r="T217" s="107">
        <f>' الشركه 2018'!$O217+' الشركه 2018'!$P217+' الشركه 2018'!$Q217+' الشركه 2018'!$R217+' الشركه 2018'!$S217</f>
        <v>1963.0000000000002</v>
      </c>
      <c r="U217" s="109">
        <f>VLOOKUP(Table6[[#This Row],[الرقم الوظيفى]],[2]بالخصم!$B$1:$AK$1200,35,)</f>
        <v>0</v>
      </c>
      <c r="V217" s="213"/>
      <c r="W217" s="111">
        <f>Table6[[#This Row],[عدد ايام الاجازه]]*Table6[[#This Row],[ح راتب اليوم]]</f>
        <v>0</v>
      </c>
      <c r="X217" s="148"/>
      <c r="Y217" s="214"/>
      <c r="Z217" s="111">
        <f>Table6[[#This Row],[عدد ايام الجزاء]]*Table6[[#This Row],[ح راتب اليوم]]</f>
        <v>0</v>
      </c>
      <c r="AA217" s="112">
        <f>Table6[[#This Row],[مرتب]]*50%</f>
        <v>1510</v>
      </c>
      <c r="AB217" s="113" t="e">
        <f>VLOOKUP(Table6[[#This Row],[الرقم الوظيفى]],[3]!Table25289[#Data],23,)</f>
        <v>#REF!</v>
      </c>
      <c r="AC217" s="215"/>
      <c r="AD217" s="206"/>
      <c r="AE217" s="113" t="e">
        <f>VLOOKUP(Table6[[#This Row],[الرقم الوظيفى]],[3]!Table252894[#Data],22,)</f>
        <v>#REF!</v>
      </c>
      <c r="AF217" s="151"/>
      <c r="AG217" s="111">
        <f>' الشركه 2018'!$W217+' الشركه 2018'!$Z217+' الشركه 2018'!$AA217+' الشركه 2018'!$AC217+' الشركه 2018'!$AD217+' الشركه 2018'!$AF217</f>
        <v>1510</v>
      </c>
      <c r="AH217" s="111">
        <f>Table6[[#This Row],[راتب الضمان]]*8%</f>
        <v>241.6</v>
      </c>
      <c r="AI217" s="111">
        <f>' الشركه 2018'!$H217-' الشركه 2018'!$AG217-' الشركه 2018'!$AH217</f>
        <v>1268.4000000000001</v>
      </c>
      <c r="AJ217" s="111">
        <f>' الشركه 2018'!$CF217</f>
        <v>894.96538461538466</v>
      </c>
      <c r="AK217" s="117">
        <f>' الشركه 2018'!$AI217+' الشركه 2018'!$AJ217</f>
        <v>2163.3653846153848</v>
      </c>
      <c r="AL217" s="152"/>
      <c r="AM217" s="153"/>
      <c r="AN217" s="9">
        <f>Table6[[#This Row],[اجمالى الاستحقاق]]-Table6[[#This Row],[Column2]]+Table6[[#This Row],[حوافز غير مستقره]]</f>
        <v>2163.3653846153848</v>
      </c>
      <c r="AO217" s="59"/>
      <c r="AP217" s="169"/>
      <c r="AQ217" s="176"/>
      <c r="AR217" s="124"/>
      <c r="AS217" s="208"/>
      <c r="AT217" s="170"/>
      <c r="AU217" s="124"/>
      <c r="AV217" s="124">
        <v>11</v>
      </c>
      <c r="AW217" s="124"/>
      <c r="AX217" s="124"/>
      <c r="AY217" s="124"/>
      <c r="AZ217" s="124"/>
      <c r="BA217" s="124"/>
      <c r="BB217" s="124"/>
      <c r="BC217" s="124"/>
      <c r="BD217" s="124"/>
      <c r="BE217" s="124"/>
      <c r="BF217" s="124"/>
      <c r="BG217" s="124"/>
      <c r="BH217" s="124"/>
      <c r="BI217" s="124"/>
      <c r="BJ217" s="124">
        <v>24</v>
      </c>
      <c r="BK217" s="124"/>
      <c r="BL217" s="124"/>
      <c r="BM217" s="177"/>
      <c r="BN217" s="177"/>
      <c r="BO217" s="177"/>
      <c r="BP217" s="177"/>
      <c r="BQ217" s="177"/>
      <c r="BR217" s="124"/>
      <c r="BS217" s="177"/>
      <c r="BT217" s="124"/>
      <c r="BU217" s="124"/>
      <c r="BV217" s="177"/>
      <c r="BW217" s="177"/>
      <c r="BX217" s="177"/>
      <c r="BY217" s="177"/>
      <c r="BZ217" s="171"/>
      <c r="CA217" s="172">
        <v>11</v>
      </c>
      <c r="CB21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7" s="130">
        <f>Table6[[#This Row],[Friday, November 23, 2018]]+Table6[[#This Row],[Friday, November 30, 2018]]+Table6[[#This Row],[Friday, December 07, 2018]]+Table6[[#This Row],[Friday, December 14, 2018]]+Table6[[#This Row],[فروقات عطله]]</f>
        <v>46</v>
      </c>
      <c r="CD217" s="131">
        <f>' الشركه 2018'!$H217*67%*1.5*' الشركه 2018'!$CB217/208</f>
        <v>0</v>
      </c>
      <c r="CE217" s="132">
        <f>' الشركه 2018'!$H217*67%*2*' الشركه 2018'!$CC217/208</f>
        <v>894.96538461538466</v>
      </c>
      <c r="CF217" s="133">
        <f>' الشركه 2018'!$CD217+' الشركه 2018'!$CE217</f>
        <v>894.96538461538466</v>
      </c>
      <c r="CG217" s="124"/>
      <c r="CH217" s="177"/>
      <c r="CI217" s="124"/>
      <c r="CJ217" s="162"/>
      <c r="CK217" s="162"/>
      <c r="CL217" s="162"/>
      <c r="CM217" s="162"/>
      <c r="CN217" s="162"/>
      <c r="CO217" s="162"/>
      <c r="CP217" s="163"/>
      <c r="CQ217" s="164" t="e">
        <f>VLOOKUP(Table6[[#This Row],[الرقم الوظيفى]],[4]!Table3[#Data],26,FALSE)</f>
        <v>#REF!</v>
      </c>
      <c r="CR217" s="165"/>
      <c r="CS217" s="124"/>
    </row>
    <row r="218" spans="1:97" ht="28" customHeight="1" thickTop="1" thickBot="1">
      <c r="A218" s="222">
        <v>971</v>
      </c>
      <c r="B218" s="244" t="s">
        <v>697</v>
      </c>
      <c r="C218" s="201" t="s">
        <v>90</v>
      </c>
      <c r="D218" s="11" t="s">
        <v>74</v>
      </c>
      <c r="E218" s="202"/>
      <c r="F218" s="11"/>
      <c r="G218" s="184">
        <v>42875</v>
      </c>
      <c r="H218" s="154">
        <v>3020</v>
      </c>
      <c r="I218" s="203">
        <f>Table6[[#This Row],[مرتب]]/30</f>
        <v>100.66666666666667</v>
      </c>
      <c r="J218" s="107">
        <v>30</v>
      </c>
      <c r="K218" s="107">
        <f t="shared" si="3"/>
        <v>0</v>
      </c>
      <c r="L218" s="107">
        <v>0</v>
      </c>
      <c r="M218" s="107">
        <f>Table6[[#This Row],[مرتب الضمان]]*17%</f>
        <v>0</v>
      </c>
      <c r="N218" s="107">
        <f>' الشركه 2018'!$H218*35%</f>
        <v>1057</v>
      </c>
      <c r="O218" s="107">
        <f>' الشركه 2018'!$H218*32%</f>
        <v>966.4</v>
      </c>
      <c r="P218" s="107">
        <f>' الشركه 2018'!$H218*12%</f>
        <v>362.4</v>
      </c>
      <c r="Q218" s="107">
        <f>' الشركه 2018'!$H218*13%</f>
        <v>392.6</v>
      </c>
      <c r="R218" s="107">
        <f>' الشركه 2018'!$H218*6%</f>
        <v>181.2</v>
      </c>
      <c r="S218" s="107">
        <f>' الشركه 2018'!$H218*2%</f>
        <v>60.4</v>
      </c>
      <c r="T218" s="107">
        <f>' الشركه 2018'!$O218+' الشركه 2018'!$P218+' الشركه 2018'!$Q218+' الشركه 2018'!$R218+' الشركه 2018'!$S218</f>
        <v>1963.0000000000002</v>
      </c>
      <c r="U218" s="109">
        <f>VLOOKUP(Table6[[#This Row],[الرقم الوظيفى]],[2]بالخصم!$B$1:$AK$1200,35,)</f>
        <v>0</v>
      </c>
      <c r="V218" s="213"/>
      <c r="W218" s="111">
        <f>Table6[[#This Row],[عدد ايام الاجازه]]*Table6[[#This Row],[ح راتب اليوم]]</f>
        <v>0</v>
      </c>
      <c r="X218" s="148"/>
      <c r="Y218" s="214"/>
      <c r="Z218" s="111">
        <f>Table6[[#This Row],[عدد ايام الجزاء]]*Table6[[#This Row],[ح راتب اليوم]]</f>
        <v>0</v>
      </c>
      <c r="AA218" s="112">
        <f>Table6[[#This Row],[مرتب]]*50%</f>
        <v>1510</v>
      </c>
      <c r="AB218" s="113" t="e">
        <f>VLOOKUP(Table6[[#This Row],[الرقم الوظيفى]],[3]!Table25289[#Data],23,)</f>
        <v>#REF!</v>
      </c>
      <c r="AC218" s="215"/>
      <c r="AD218" s="206"/>
      <c r="AE218" s="113" t="e">
        <f>VLOOKUP(Table6[[#This Row],[الرقم الوظيفى]],[3]!Table252894[#Data],22,)</f>
        <v>#REF!</v>
      </c>
      <c r="AF218" s="151"/>
      <c r="AG218" s="111">
        <f>' الشركه 2018'!$W218+' الشركه 2018'!$Z218+' الشركه 2018'!$AA218+' الشركه 2018'!$AC218+' الشركه 2018'!$AD218+' الشركه 2018'!$AF218</f>
        <v>1510</v>
      </c>
      <c r="AH218" s="111">
        <f>Table6[[#This Row],[راتب الضمان]]*8%</f>
        <v>0</v>
      </c>
      <c r="AI218" s="111">
        <f>' الشركه 2018'!$H218-' الشركه 2018'!$AG218-' الشركه 2018'!$AH218</f>
        <v>1510</v>
      </c>
      <c r="AJ218" s="111">
        <f>' الشركه 2018'!$CF218</f>
        <v>0</v>
      </c>
      <c r="AK218" s="117">
        <f>' الشركه 2018'!$AI218+' الشركه 2018'!$AJ218</f>
        <v>1510</v>
      </c>
      <c r="AL218" s="152"/>
      <c r="AM218" s="153"/>
      <c r="AN218" s="9">
        <f>Table6[[#This Row],[اجمالى الاستحقاق]]-Table6[[#This Row],[Column2]]+Table6[[#This Row],[حوافز غير مستقره]]</f>
        <v>1510</v>
      </c>
      <c r="AO218" s="59"/>
      <c r="AP218" s="169"/>
      <c r="AQ218" s="176"/>
      <c r="AR218" s="124"/>
      <c r="AS218" s="208"/>
      <c r="AT218" s="170"/>
      <c r="AU218" s="124"/>
      <c r="AV218" s="124"/>
      <c r="AW218" s="124"/>
      <c r="AX218" s="124"/>
      <c r="AY218" s="124"/>
      <c r="AZ218" s="124"/>
      <c r="BA218" s="124"/>
      <c r="BB218" s="124"/>
      <c r="BC218" s="124"/>
      <c r="BD218" s="124"/>
      <c r="BE218" s="124"/>
      <c r="BF218" s="124"/>
      <c r="BG218" s="124"/>
      <c r="BH218" s="124"/>
      <c r="BI218" s="124"/>
      <c r="BJ218" s="124"/>
      <c r="BK218" s="124"/>
      <c r="BL218" s="124"/>
      <c r="BM218" s="177"/>
      <c r="BN218" s="177"/>
      <c r="BO218" s="177"/>
      <c r="BP218" s="177"/>
      <c r="BQ218" s="177"/>
      <c r="BR218" s="124"/>
      <c r="BS218" s="177"/>
      <c r="BT218" s="124"/>
      <c r="BU218" s="124"/>
      <c r="BV218" s="177"/>
      <c r="BW218" s="177"/>
      <c r="BX218" s="177"/>
      <c r="BY218" s="177"/>
      <c r="BZ218" s="171"/>
      <c r="CA218" s="172"/>
      <c r="CB21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8" s="131">
        <f>' الشركه 2018'!$H218*67%*1.5*' الشركه 2018'!$CB218/208</f>
        <v>0</v>
      </c>
      <c r="CE218" s="132">
        <f>' الشركه 2018'!$H218*67%*2*' الشركه 2018'!$CC218/208</f>
        <v>0</v>
      </c>
      <c r="CF218" s="133">
        <f>' الشركه 2018'!$CD218+' الشركه 2018'!$CE218</f>
        <v>0</v>
      </c>
      <c r="CG218" s="124"/>
      <c r="CH218" s="177"/>
      <c r="CI218" s="124"/>
      <c r="CJ218" s="162"/>
      <c r="CK218" s="162"/>
      <c r="CL218" s="162"/>
      <c r="CM218" s="162"/>
      <c r="CN218" s="162"/>
      <c r="CO218" s="162"/>
      <c r="CP218" s="163"/>
      <c r="CQ218" s="164" t="e">
        <f>VLOOKUP(Table6[[#This Row],[الرقم الوظيفى]],[4]!Table3[#Data],26,FALSE)</f>
        <v>#REF!</v>
      </c>
      <c r="CR218" s="165">
        <v>500</v>
      </c>
      <c r="CS218" s="124"/>
    </row>
    <row r="219" spans="1:97" ht="28" customHeight="1" thickTop="1" thickBot="1">
      <c r="A219" s="222">
        <v>972</v>
      </c>
      <c r="B219" s="345" t="s">
        <v>298</v>
      </c>
      <c r="C219" s="245" t="s">
        <v>90</v>
      </c>
      <c r="D219" s="11" t="s">
        <v>74</v>
      </c>
      <c r="E219" s="202"/>
      <c r="F219" s="11"/>
      <c r="G219" s="246">
        <v>42887</v>
      </c>
      <c r="H219" s="154">
        <v>3020</v>
      </c>
      <c r="I219" s="203">
        <f>Table6[[#This Row],[مرتب]]/30</f>
        <v>100.66666666666667</v>
      </c>
      <c r="J219" s="107">
        <v>30</v>
      </c>
      <c r="K219" s="107">
        <f t="shared" si="3"/>
        <v>3020</v>
      </c>
      <c r="L219" s="107">
        <v>3020</v>
      </c>
      <c r="M219" s="107">
        <f>Table6[[#This Row],[مرتب الضمان]]*17%</f>
        <v>513.40000000000009</v>
      </c>
      <c r="N219" s="107">
        <f>' الشركه 2018'!$H219*35%</f>
        <v>1057</v>
      </c>
      <c r="O219" s="107">
        <f>' الشركه 2018'!$H219*32%</f>
        <v>966.4</v>
      </c>
      <c r="P219" s="107">
        <f>' الشركه 2018'!$H219*12%</f>
        <v>362.4</v>
      </c>
      <c r="Q219" s="107">
        <f>' الشركه 2018'!$H219*13%</f>
        <v>392.6</v>
      </c>
      <c r="R219" s="107">
        <f>' الشركه 2018'!$H219*6%</f>
        <v>181.2</v>
      </c>
      <c r="S219" s="107">
        <f>' الشركه 2018'!$H219*2%</f>
        <v>60.4</v>
      </c>
      <c r="T219" s="107">
        <f>' الشركه 2018'!$O219+' الشركه 2018'!$P219+' الشركه 2018'!$Q219+' الشركه 2018'!$R219+' الشركه 2018'!$S219</f>
        <v>1963.0000000000002</v>
      </c>
      <c r="U219" s="109">
        <f>VLOOKUP(Table6[[#This Row],[الرقم الوظيفى]],[2]بالخصم!$B$1:$AK$1200,35,)</f>
        <v>0</v>
      </c>
      <c r="V219" s="213"/>
      <c r="W219" s="111">
        <f>Table6[[#This Row],[عدد ايام الاجازه]]*Table6[[#This Row],[ح راتب اليوم]]</f>
        <v>0</v>
      </c>
      <c r="X219" s="148"/>
      <c r="Y219" s="214"/>
      <c r="Z219" s="111">
        <f>Table6[[#This Row],[عدد ايام الجزاء]]*Table6[[#This Row],[ح راتب اليوم]]</f>
        <v>0</v>
      </c>
      <c r="AA219" s="112">
        <f>Table6[[#This Row],[مرتب]]*50%</f>
        <v>1510</v>
      </c>
      <c r="AB219" s="113" t="e">
        <f>VLOOKUP(Table6[[#This Row],[الرقم الوظيفى]],[3]!Table25289[#Data],23,)</f>
        <v>#REF!</v>
      </c>
      <c r="AC219" s="215"/>
      <c r="AD219" s="206"/>
      <c r="AE219" s="113" t="e">
        <f>VLOOKUP(Table6[[#This Row],[الرقم الوظيفى]],[3]!Table252894[#Data],22,)</f>
        <v>#REF!</v>
      </c>
      <c r="AF219" s="151"/>
      <c r="AG219" s="111">
        <f>' الشركه 2018'!$W219+' الشركه 2018'!$Z219+' الشركه 2018'!$AA219+' الشركه 2018'!$AC219+' الشركه 2018'!$AD219+' الشركه 2018'!$AF219</f>
        <v>1510</v>
      </c>
      <c r="AH219" s="111">
        <f>Table6[[#This Row],[راتب الضمان]]*8%</f>
        <v>241.6</v>
      </c>
      <c r="AI219" s="111">
        <f>' الشركه 2018'!$H219-' الشركه 2018'!$AG219-' الشركه 2018'!$AH219</f>
        <v>1268.4000000000001</v>
      </c>
      <c r="AJ219" s="111">
        <f>' الشركه 2018'!$CF219</f>
        <v>0</v>
      </c>
      <c r="AK219" s="117">
        <f>' الشركه 2018'!$AI219+' الشركه 2018'!$AJ219</f>
        <v>1268.4000000000001</v>
      </c>
      <c r="AL219" s="152"/>
      <c r="AM219" s="153"/>
      <c r="AN219" s="9">
        <f>Table6[[#This Row],[اجمالى الاستحقاق]]-Table6[[#This Row],[Column2]]+Table6[[#This Row],[حوافز غير مستقره]]</f>
        <v>1268.4000000000001</v>
      </c>
      <c r="AO219" s="59"/>
      <c r="AP219" s="169"/>
      <c r="AQ219" s="176"/>
      <c r="AR219" s="124"/>
      <c r="AS219" s="208"/>
      <c r="AT219" s="170"/>
      <c r="AU219" s="124"/>
      <c r="AV219" s="124"/>
      <c r="AW219" s="124"/>
      <c r="AX219" s="124"/>
      <c r="AY219" s="124"/>
      <c r="AZ219" s="124"/>
      <c r="BA219" s="124"/>
      <c r="BB219" s="124"/>
      <c r="BC219" s="124"/>
      <c r="BD219" s="124"/>
      <c r="BE219" s="124"/>
      <c r="BF219" s="124"/>
      <c r="BG219" s="124"/>
      <c r="BH219" s="124"/>
      <c r="BI219" s="124"/>
      <c r="BJ219" s="124"/>
      <c r="BK219" s="124"/>
      <c r="BL219" s="124"/>
      <c r="BM219" s="177"/>
      <c r="BN219" s="177"/>
      <c r="BO219" s="177"/>
      <c r="BP219" s="177"/>
      <c r="BQ219" s="177"/>
      <c r="BR219" s="177"/>
      <c r="BS219" s="177"/>
      <c r="BT219" s="124"/>
      <c r="BU219" s="124"/>
      <c r="BV219" s="177"/>
      <c r="BW219" s="177"/>
      <c r="BX219" s="177"/>
      <c r="BY219" s="177"/>
      <c r="BZ219" s="171"/>
      <c r="CA219" s="172"/>
      <c r="CB21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1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19" s="131">
        <f>' الشركه 2018'!$H219*67%*1.5*' الشركه 2018'!$CB219/208</f>
        <v>0</v>
      </c>
      <c r="CE219" s="132">
        <f>' الشركه 2018'!$H219*67%*2*' الشركه 2018'!$CC219/208</f>
        <v>0</v>
      </c>
      <c r="CF219" s="133">
        <f>' الشركه 2018'!$CD219+' الشركه 2018'!$CE219</f>
        <v>0</v>
      </c>
      <c r="CG219" s="124"/>
      <c r="CH219" s="177"/>
      <c r="CI219" s="124"/>
      <c r="CJ219" s="162"/>
      <c r="CK219" s="177">
        <f>' الشركه 2018'!$CJ215*8%</f>
        <v>0</v>
      </c>
      <c r="CL219" s="177">
        <f>' الشركه 2018'!$CJ215*17%</f>
        <v>0</v>
      </c>
      <c r="CM219" s="162"/>
      <c r="CN219" s="162"/>
      <c r="CO219" s="162"/>
      <c r="CP219" s="163"/>
      <c r="CQ219" s="164" t="e">
        <f>VLOOKUP(Table6[[#This Row],[الرقم الوظيفى]],[4]!Table3[#Data],26,FALSE)</f>
        <v>#REF!</v>
      </c>
      <c r="CR219" s="165"/>
      <c r="CS219" s="124"/>
    </row>
    <row r="220" spans="1:97" ht="28" customHeight="1" thickTop="1" thickBot="1">
      <c r="A220" s="222">
        <v>973</v>
      </c>
      <c r="B220" s="345" t="s">
        <v>437</v>
      </c>
      <c r="C220" s="245" t="s">
        <v>90</v>
      </c>
      <c r="D220" s="11" t="s">
        <v>83</v>
      </c>
      <c r="E220" s="202"/>
      <c r="F220" s="11"/>
      <c r="G220" s="246">
        <v>42887</v>
      </c>
      <c r="H220" s="154">
        <v>4020</v>
      </c>
      <c r="I220" s="203">
        <f>Table6[[#This Row],[مرتب]]/30</f>
        <v>134</v>
      </c>
      <c r="J220" s="107">
        <v>30</v>
      </c>
      <c r="K220" s="107">
        <f t="shared" si="3"/>
        <v>4020</v>
      </c>
      <c r="L220" s="107">
        <v>4020</v>
      </c>
      <c r="M220" s="107">
        <f>Table6[[#This Row],[مرتب الضمان]]*17%</f>
        <v>683.40000000000009</v>
      </c>
      <c r="N220" s="107">
        <f>' الشركه 2018'!$H220*35%</f>
        <v>1407</v>
      </c>
      <c r="O220" s="107">
        <f>' الشركه 2018'!$H220*32%</f>
        <v>1286.4000000000001</v>
      </c>
      <c r="P220" s="107">
        <f>' الشركه 2018'!$H220*12%</f>
        <v>482.4</v>
      </c>
      <c r="Q220" s="107">
        <f>' الشركه 2018'!$H220*13%</f>
        <v>522.6</v>
      </c>
      <c r="R220" s="107">
        <f>' الشركه 2018'!$H220*6%</f>
        <v>241.2</v>
      </c>
      <c r="S220" s="107">
        <f>' الشركه 2018'!$H220*2%</f>
        <v>80.400000000000006</v>
      </c>
      <c r="T220" s="107">
        <f>' الشركه 2018'!$O220+' الشركه 2018'!$P220+' الشركه 2018'!$Q220+' الشركه 2018'!$R220+' الشركه 2018'!$S220</f>
        <v>2613</v>
      </c>
      <c r="U220" s="109">
        <f>VLOOKUP(Table6[[#This Row],[الرقم الوظيفى]],[2]بالخصم!$B$1:$AK$1200,35,)</f>
        <v>0</v>
      </c>
      <c r="V220" s="213"/>
      <c r="W220" s="111">
        <f>Table6[[#This Row],[عدد ايام الاجازه]]*Table6[[#This Row],[ح راتب اليوم]]</f>
        <v>0</v>
      </c>
      <c r="X220" s="148"/>
      <c r="Y220" s="214"/>
      <c r="Z220" s="111">
        <f>Table6[[#This Row],[عدد ايام الجزاء]]*Table6[[#This Row],[ح راتب اليوم]]</f>
        <v>0</v>
      </c>
      <c r="AA220" s="112">
        <f>Table6[[#This Row],[مرتب]]*50%</f>
        <v>2010</v>
      </c>
      <c r="AB220" s="113" t="e">
        <f>VLOOKUP(Table6[[#This Row],[الرقم الوظيفى]],[3]!Table25289[#Data],23,)</f>
        <v>#REF!</v>
      </c>
      <c r="AC220" s="215"/>
      <c r="AD220" s="206"/>
      <c r="AE220" s="113" t="e">
        <f>VLOOKUP(Table6[[#This Row],[الرقم الوظيفى]],[3]!Table252894[#Data],22,)</f>
        <v>#REF!</v>
      </c>
      <c r="AF220" s="151"/>
      <c r="AG220" s="111">
        <f>' الشركه 2018'!$W220+' الشركه 2018'!$Z220+' الشركه 2018'!$AA220+' الشركه 2018'!$AC220+' الشركه 2018'!$AD220+' الشركه 2018'!$AF220</f>
        <v>2010</v>
      </c>
      <c r="AH220" s="111">
        <f>Table6[[#This Row],[راتب الضمان]]*8%</f>
        <v>321.60000000000002</v>
      </c>
      <c r="AI220" s="111">
        <f>' الشركه 2018'!$H220-' الشركه 2018'!$AG220-' الشركه 2018'!$AH220</f>
        <v>1688.4</v>
      </c>
      <c r="AJ220" s="111">
        <f>' الشركه 2018'!$CF220</f>
        <v>517.96153846153845</v>
      </c>
      <c r="AK220" s="117">
        <f>' الشركه 2018'!$AI220+' الشركه 2018'!$AJ220</f>
        <v>2206.3615384615387</v>
      </c>
      <c r="AL220" s="152"/>
      <c r="AM220" s="153"/>
      <c r="AN220" s="9">
        <f>Table6[[#This Row],[اجمالى الاستحقاق]]-Table6[[#This Row],[Column2]]+Table6[[#This Row],[حوافز غير مستقره]]</f>
        <v>2206.3615384615387</v>
      </c>
      <c r="AO220" s="59"/>
      <c r="AP220" s="169"/>
      <c r="AQ220" s="176"/>
      <c r="AR220" s="124"/>
      <c r="AS220" s="208"/>
      <c r="AT220" s="170"/>
      <c r="AU220" s="124"/>
      <c r="AV220" s="124"/>
      <c r="AW220" s="124"/>
      <c r="AX220" s="124"/>
      <c r="AY220" s="124"/>
      <c r="AZ220" s="124"/>
      <c r="BA220" s="124"/>
      <c r="BB220" s="124"/>
      <c r="BC220" s="124">
        <v>12</v>
      </c>
      <c r="BD220" s="124"/>
      <c r="BE220" s="124"/>
      <c r="BF220" s="124"/>
      <c r="BG220" s="124"/>
      <c r="BH220" s="124"/>
      <c r="BI220" s="124"/>
      <c r="BJ220" s="124">
        <v>8</v>
      </c>
      <c r="BK220" s="124"/>
      <c r="BL220" s="124"/>
      <c r="BM220" s="177"/>
      <c r="BN220" s="177"/>
      <c r="BO220" s="177"/>
      <c r="BP220" s="177"/>
      <c r="BQ220" s="177"/>
      <c r="BR220" s="177"/>
      <c r="BS220" s="177"/>
      <c r="BT220" s="124"/>
      <c r="BU220" s="124"/>
      <c r="BV220" s="177"/>
      <c r="BW220" s="177"/>
      <c r="BX220" s="177"/>
      <c r="BY220" s="177"/>
      <c r="BZ220" s="171"/>
      <c r="CA220" s="172"/>
      <c r="CB22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0" s="130">
        <f>Table6[[#This Row],[Friday, November 23, 2018]]+Table6[[#This Row],[Friday, November 30, 2018]]+Table6[[#This Row],[Friday, December 07, 2018]]+Table6[[#This Row],[Friday, December 14, 2018]]+Table6[[#This Row],[فروقات عطله]]</f>
        <v>20</v>
      </c>
      <c r="CD220" s="131">
        <f>' الشركه 2018'!$H220*67%*1.5*' الشركه 2018'!$CB220/208</f>
        <v>0</v>
      </c>
      <c r="CE220" s="132">
        <f>' الشركه 2018'!$H220*67%*2*' الشركه 2018'!$CC220/208</f>
        <v>517.96153846153845</v>
      </c>
      <c r="CF220" s="133">
        <f>' الشركه 2018'!$CD220+' الشركه 2018'!$CE220</f>
        <v>517.96153846153845</v>
      </c>
      <c r="CG220" s="124"/>
      <c r="CH220" s="177"/>
      <c r="CI220" s="124"/>
      <c r="CJ220" s="162"/>
      <c r="CK220" s="177">
        <f>' الشركه 2018'!$CJ216*8%</f>
        <v>0</v>
      </c>
      <c r="CL220" s="177">
        <f>' الشركه 2018'!$CJ216*17%</f>
        <v>0</v>
      </c>
      <c r="CM220" s="162"/>
      <c r="CN220" s="162"/>
      <c r="CO220" s="162"/>
      <c r="CP220" s="163"/>
      <c r="CQ220" s="164" t="e">
        <f>VLOOKUP(Table6[[#This Row],[الرقم الوظيفى]],[4]!Table3[#Data],26,FALSE)</f>
        <v>#REF!</v>
      </c>
      <c r="CR220" s="165"/>
      <c r="CS220" s="124"/>
    </row>
    <row r="221" spans="1:97" ht="28" customHeight="1" thickTop="1" thickBot="1">
      <c r="A221" s="222">
        <v>976</v>
      </c>
      <c r="B221" s="345" t="s">
        <v>309</v>
      </c>
      <c r="C221" s="245" t="s">
        <v>90</v>
      </c>
      <c r="D221" s="11" t="s">
        <v>74</v>
      </c>
      <c r="E221" s="202"/>
      <c r="F221" s="11"/>
      <c r="G221" s="246">
        <v>42920</v>
      </c>
      <c r="H221" s="154">
        <v>3020</v>
      </c>
      <c r="I221" s="203">
        <f>Table6[[#This Row],[مرتب]]/30</f>
        <v>100.66666666666667</v>
      </c>
      <c r="J221" s="107">
        <v>30</v>
      </c>
      <c r="K221" s="107">
        <f t="shared" si="3"/>
        <v>3020</v>
      </c>
      <c r="L221" s="107">
        <v>3020</v>
      </c>
      <c r="M221" s="107">
        <f>Table6[[#This Row],[مرتب الضمان]]*17%</f>
        <v>513.40000000000009</v>
      </c>
      <c r="N221" s="107">
        <f>' الشركه 2018'!$H221*35%</f>
        <v>1057</v>
      </c>
      <c r="O221" s="107">
        <f>' الشركه 2018'!$H221*32%</f>
        <v>966.4</v>
      </c>
      <c r="P221" s="107">
        <f>' الشركه 2018'!$H221*12%</f>
        <v>362.4</v>
      </c>
      <c r="Q221" s="107">
        <f>' الشركه 2018'!$H221*13%</f>
        <v>392.6</v>
      </c>
      <c r="R221" s="107">
        <f>' الشركه 2018'!$H221*6%</f>
        <v>181.2</v>
      </c>
      <c r="S221" s="107">
        <f>' الشركه 2018'!$H221*2%</f>
        <v>60.4</v>
      </c>
      <c r="T221" s="107">
        <f>' الشركه 2018'!$O221+' الشركه 2018'!$P221+' الشركه 2018'!$Q221+' الشركه 2018'!$R221+' الشركه 2018'!$S221</f>
        <v>1963.0000000000002</v>
      </c>
      <c r="U221" s="109">
        <f>VLOOKUP(Table6[[#This Row],[الرقم الوظيفى]],[2]بالخصم!$B$1:$AK$1200,35,)</f>
        <v>0</v>
      </c>
      <c r="V221" s="213"/>
      <c r="W221" s="111">
        <f>Table6[[#This Row],[عدد ايام الاجازه]]*Table6[[#This Row],[ح راتب اليوم]]</f>
        <v>0</v>
      </c>
      <c r="X221" s="148"/>
      <c r="Y221" s="214"/>
      <c r="Z221" s="111">
        <f>Table6[[#This Row],[عدد ايام الجزاء]]*Table6[[#This Row],[ح راتب اليوم]]</f>
        <v>0</v>
      </c>
      <c r="AA221" s="112">
        <f>Table6[[#This Row],[مرتب]]*50%</f>
        <v>1510</v>
      </c>
      <c r="AB221" s="113" t="e">
        <f>VLOOKUP(Table6[[#This Row],[الرقم الوظيفى]],[3]!Table25289[#Data],23,)</f>
        <v>#REF!</v>
      </c>
      <c r="AC221" s="215"/>
      <c r="AD221" s="206"/>
      <c r="AE221" s="113" t="e">
        <f>VLOOKUP(Table6[[#This Row],[الرقم الوظيفى]],[3]!Table252894[#Data],22,)</f>
        <v>#REF!</v>
      </c>
      <c r="AF221" s="151"/>
      <c r="AG221" s="111">
        <f>' الشركه 2018'!$W221+' الشركه 2018'!$Z221+' الشركه 2018'!$AA221+' الشركه 2018'!$AC221+' الشركه 2018'!$AD221+' الشركه 2018'!$AF221</f>
        <v>1510</v>
      </c>
      <c r="AH221" s="111">
        <f>Table6[[#This Row],[راتب الضمان]]*8%</f>
        <v>241.6</v>
      </c>
      <c r="AI221" s="111">
        <f>' الشركه 2018'!$H221-' الشركه 2018'!$AG221-' الشركه 2018'!$AH221</f>
        <v>1268.4000000000001</v>
      </c>
      <c r="AJ221" s="111">
        <f>' الشركه 2018'!$CF221</f>
        <v>0</v>
      </c>
      <c r="AK221" s="117">
        <f>' الشركه 2018'!$AI221+' الشركه 2018'!$AJ221</f>
        <v>1268.4000000000001</v>
      </c>
      <c r="AL221" s="152"/>
      <c r="AM221" s="153"/>
      <c r="AN221" s="9">
        <f>Table6[[#This Row],[اجمالى الاستحقاق]]-Table6[[#This Row],[Column2]]+Table6[[#This Row],[حوافز غير مستقره]]</f>
        <v>1268.4000000000001</v>
      </c>
      <c r="AO221" s="59"/>
      <c r="AP221" s="169"/>
      <c r="AQ221" s="176"/>
      <c r="AR221" s="124"/>
      <c r="AS221" s="208"/>
      <c r="AT221" s="170"/>
      <c r="AU221" s="124"/>
      <c r="AV221" s="124"/>
      <c r="AW221" s="124"/>
      <c r="AX221" s="124"/>
      <c r="AY221" s="124"/>
      <c r="AZ221" s="124"/>
      <c r="BA221" s="124"/>
      <c r="BB221" s="124"/>
      <c r="BC221" s="124"/>
      <c r="BD221" s="124"/>
      <c r="BE221" s="124"/>
      <c r="BF221" s="124"/>
      <c r="BG221" s="124"/>
      <c r="BH221" s="124"/>
      <c r="BI221" s="124"/>
      <c r="BJ221" s="124"/>
      <c r="BK221" s="124"/>
      <c r="BL221" s="124"/>
      <c r="BM221" s="177"/>
      <c r="BN221" s="177"/>
      <c r="BO221" s="177"/>
      <c r="BP221" s="177"/>
      <c r="BQ221" s="177"/>
      <c r="BR221" s="177"/>
      <c r="BS221" s="177"/>
      <c r="BT221" s="124"/>
      <c r="BU221" s="124"/>
      <c r="BV221" s="177"/>
      <c r="BW221" s="177"/>
      <c r="BX221" s="177"/>
      <c r="BY221" s="177"/>
      <c r="BZ221" s="159"/>
      <c r="CA221" s="160"/>
      <c r="CB22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1" s="131">
        <f>' الشركه 2018'!$H221*67%*1.5*' الشركه 2018'!$CB221/208</f>
        <v>0</v>
      </c>
      <c r="CE221" s="132">
        <f>' الشركه 2018'!$H221*67%*2*' الشركه 2018'!$CC221/208</f>
        <v>0</v>
      </c>
      <c r="CF221" s="133">
        <f>' الشركه 2018'!$CD221+' الشركه 2018'!$CE221</f>
        <v>0</v>
      </c>
      <c r="CG221" s="124"/>
      <c r="CH221" s="177"/>
      <c r="CI221" s="124"/>
      <c r="CJ221" s="162"/>
      <c r="CK221" s="162"/>
      <c r="CL221" s="177"/>
      <c r="CM221" s="162"/>
      <c r="CN221" s="162"/>
      <c r="CO221" s="162"/>
      <c r="CP221" s="163"/>
      <c r="CQ221" s="164" t="e">
        <f>VLOOKUP(Table6[[#This Row],[الرقم الوظيفى]],[4]!Table3[#Data],26,FALSE)</f>
        <v>#REF!</v>
      </c>
      <c r="CR221" s="165">
        <v>500</v>
      </c>
      <c r="CS221" s="124"/>
    </row>
    <row r="222" spans="1:97" ht="28" customHeight="1" thickTop="1" thickBot="1">
      <c r="A222" s="222">
        <v>978</v>
      </c>
      <c r="B222" s="345" t="s">
        <v>322</v>
      </c>
      <c r="C222" s="245" t="s">
        <v>90</v>
      </c>
      <c r="D222" s="11" t="s">
        <v>75</v>
      </c>
      <c r="E222" s="202"/>
      <c r="F222" s="11"/>
      <c r="G222" s="246">
        <v>42928</v>
      </c>
      <c r="H222" s="154">
        <v>3020</v>
      </c>
      <c r="I222" s="203">
        <f>Table6[[#This Row],[مرتب]]/30</f>
        <v>100.66666666666667</v>
      </c>
      <c r="J222" s="107">
        <v>30</v>
      </c>
      <c r="K222" s="107">
        <f t="shared" si="3"/>
        <v>3020</v>
      </c>
      <c r="L222" s="107">
        <v>3020</v>
      </c>
      <c r="M222" s="107">
        <f>Table6[[#This Row],[مرتب الضمان]]*17%</f>
        <v>513.40000000000009</v>
      </c>
      <c r="N222" s="107">
        <f>' الشركه 2018'!$H222*35%</f>
        <v>1057</v>
      </c>
      <c r="O222" s="107">
        <f>' الشركه 2018'!$H222*32%</f>
        <v>966.4</v>
      </c>
      <c r="P222" s="107">
        <f>' الشركه 2018'!$H222*12%</f>
        <v>362.4</v>
      </c>
      <c r="Q222" s="107">
        <f>' الشركه 2018'!$H222*13%</f>
        <v>392.6</v>
      </c>
      <c r="R222" s="107">
        <f>' الشركه 2018'!$H222*6%</f>
        <v>181.2</v>
      </c>
      <c r="S222" s="107">
        <f>' الشركه 2018'!$H222*2%</f>
        <v>60.4</v>
      </c>
      <c r="T222" s="107">
        <f>' الشركه 2018'!$O222+' الشركه 2018'!$P222+' الشركه 2018'!$Q222+' الشركه 2018'!$R222+' الشركه 2018'!$S222</f>
        <v>1963.0000000000002</v>
      </c>
      <c r="U222" s="109">
        <f>VLOOKUP(Table6[[#This Row],[الرقم الوظيفى]],[2]بالخصم!$B$1:$AK$1200,35,)</f>
        <v>0</v>
      </c>
      <c r="V222" s="213"/>
      <c r="W222" s="111">
        <f>Table6[[#This Row],[عدد ايام الاجازه]]*Table6[[#This Row],[ح راتب اليوم]]</f>
        <v>0</v>
      </c>
      <c r="X222" s="148"/>
      <c r="Y222" s="214"/>
      <c r="Z222" s="111">
        <f>Table6[[#This Row],[عدد ايام الجزاء]]*Table6[[#This Row],[ح راتب اليوم]]</f>
        <v>0</v>
      </c>
      <c r="AA222" s="112">
        <f>Table6[[#This Row],[مرتب]]*50%</f>
        <v>1510</v>
      </c>
      <c r="AB222" s="113" t="e">
        <f>VLOOKUP(Table6[[#This Row],[الرقم الوظيفى]],[3]!Table25289[#Data],23,)</f>
        <v>#REF!</v>
      </c>
      <c r="AC222" s="215"/>
      <c r="AD222" s="206"/>
      <c r="AE222" s="113" t="e">
        <f>VLOOKUP(Table6[[#This Row],[الرقم الوظيفى]],[3]!Table252894[#Data],22,)</f>
        <v>#REF!</v>
      </c>
      <c r="AF222" s="151"/>
      <c r="AG222" s="111">
        <f>' الشركه 2018'!$W222+' الشركه 2018'!$Z222+' الشركه 2018'!$AA222+' الشركه 2018'!$AC222+' الشركه 2018'!$AD222+' الشركه 2018'!$AF222</f>
        <v>1510</v>
      </c>
      <c r="AH222" s="111">
        <f>Table6[[#This Row],[راتب الضمان]]*8%</f>
        <v>241.6</v>
      </c>
      <c r="AI222" s="111">
        <f>' الشركه 2018'!$H222-' الشركه 2018'!$AG222-' الشركه 2018'!$AH222</f>
        <v>1268.4000000000001</v>
      </c>
      <c r="AJ222" s="111">
        <f>' الشركه 2018'!$CF222</f>
        <v>583.67307692307702</v>
      </c>
      <c r="AK222" s="117">
        <f>' الشركه 2018'!$AI222+' الشركه 2018'!$AJ222</f>
        <v>1852.0730769230772</v>
      </c>
      <c r="AL222" s="152"/>
      <c r="AM222" s="153"/>
      <c r="AN222" s="9">
        <f>Table6[[#This Row],[اجمالى الاستحقاق]]-Table6[[#This Row],[Column2]]+Table6[[#This Row],[حوافز غير مستقره]]</f>
        <v>1852.0730769230772</v>
      </c>
      <c r="AO222" s="59"/>
      <c r="AP222" s="169"/>
      <c r="AQ222" s="176"/>
      <c r="AR222" s="124"/>
      <c r="AS222" s="208"/>
      <c r="AT222" s="170"/>
      <c r="AU222" s="124"/>
      <c r="AV222" s="124">
        <v>12</v>
      </c>
      <c r="AW222" s="124"/>
      <c r="AX222" s="124"/>
      <c r="AY222" s="124"/>
      <c r="AZ222" s="124"/>
      <c r="BA222" s="124"/>
      <c r="BB222" s="124"/>
      <c r="BC222" s="124">
        <v>12</v>
      </c>
      <c r="BD222" s="124"/>
      <c r="BE222" s="124"/>
      <c r="BF222" s="124"/>
      <c r="BG222" s="124"/>
      <c r="BH222" s="124"/>
      <c r="BI222" s="124"/>
      <c r="BJ222" s="124"/>
      <c r="BK222" s="124"/>
      <c r="BL222" s="124"/>
      <c r="BM222" s="177">
        <v>8</v>
      </c>
      <c r="BN222" s="177"/>
      <c r="BO222" s="177"/>
      <c r="BP222" s="177"/>
      <c r="BQ222" s="177"/>
      <c r="BR222" s="177"/>
      <c r="BS222" s="177"/>
      <c r="BT222" s="124"/>
      <c r="BU222" s="124"/>
      <c r="BV222" s="177"/>
      <c r="BW222" s="177"/>
      <c r="BX222" s="177"/>
      <c r="BY222" s="177"/>
      <c r="BZ222" s="159"/>
      <c r="CA222" s="160"/>
      <c r="CB22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222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22" s="131">
        <f>' الشركه 2018'!$H222*67%*1.5*' الشركه 2018'!$CB222/208</f>
        <v>116.7346153846154</v>
      </c>
      <c r="CE222" s="132">
        <f>' الشركه 2018'!$H222*67%*2*' الشركه 2018'!$CC222/208</f>
        <v>466.93846153846158</v>
      </c>
      <c r="CF222" s="133">
        <f>' الشركه 2018'!$CD222+' الشركه 2018'!$CE222</f>
        <v>583.67307692307702</v>
      </c>
      <c r="CG222" s="124"/>
      <c r="CH222" s="177"/>
      <c r="CI222" s="124"/>
      <c r="CJ222" s="162"/>
      <c r="CK222" s="162"/>
      <c r="CL222" s="177"/>
      <c r="CM222" s="162"/>
      <c r="CN222" s="162"/>
      <c r="CO222" s="162"/>
      <c r="CP222" s="163"/>
      <c r="CQ222" s="164" t="e">
        <f>VLOOKUP(Table6[[#This Row],[الرقم الوظيفى]],[4]!Table3[#Data],26,FALSE)</f>
        <v>#REF!</v>
      </c>
      <c r="CR222" s="165">
        <v>800</v>
      </c>
      <c r="CS222" s="124"/>
    </row>
    <row r="223" spans="1:97" ht="28" customHeight="1" thickTop="1" thickBot="1">
      <c r="A223" s="222">
        <v>979</v>
      </c>
      <c r="B223" s="345" t="s">
        <v>403</v>
      </c>
      <c r="C223" s="245" t="s">
        <v>90</v>
      </c>
      <c r="D223" s="11" t="s">
        <v>81</v>
      </c>
      <c r="E223" s="202"/>
      <c r="F223" s="11"/>
      <c r="G223" s="246">
        <v>42929</v>
      </c>
      <c r="H223" s="154">
        <v>3520</v>
      </c>
      <c r="I223" s="203">
        <f>Table6[[#This Row],[مرتب]]/30</f>
        <v>117.33333333333333</v>
      </c>
      <c r="J223" s="107">
        <v>30</v>
      </c>
      <c r="K223" s="107">
        <f t="shared" si="3"/>
        <v>3520</v>
      </c>
      <c r="L223" s="107">
        <v>3520</v>
      </c>
      <c r="M223" s="107">
        <f>Table6[[#This Row],[مرتب الضمان]]*17%</f>
        <v>598.40000000000009</v>
      </c>
      <c r="N223" s="107">
        <f>' الشركه 2018'!$H223*35%</f>
        <v>1232</v>
      </c>
      <c r="O223" s="107">
        <f>' الشركه 2018'!$H223*32%</f>
        <v>1126.4000000000001</v>
      </c>
      <c r="P223" s="107">
        <f>' الشركه 2018'!$H223*12%</f>
        <v>422.4</v>
      </c>
      <c r="Q223" s="107">
        <f>' الشركه 2018'!$H223*13%</f>
        <v>457.6</v>
      </c>
      <c r="R223" s="107">
        <f>' الشركه 2018'!$H223*6%</f>
        <v>211.2</v>
      </c>
      <c r="S223" s="107">
        <f>' الشركه 2018'!$H223*2%</f>
        <v>70.400000000000006</v>
      </c>
      <c r="T223" s="107">
        <f>' الشركه 2018'!$O223+' الشركه 2018'!$P223+' الشركه 2018'!$Q223+' الشركه 2018'!$R223+' الشركه 2018'!$S223</f>
        <v>2288</v>
      </c>
      <c r="U223" s="109">
        <f>VLOOKUP(Table6[[#This Row],[الرقم الوظيفى]],[2]بالخصم!$B$1:$AK$1200,35,)</f>
        <v>0</v>
      </c>
      <c r="V223" s="213"/>
      <c r="W223" s="111">
        <f>Table6[[#This Row],[عدد ايام الاجازه]]*Table6[[#This Row],[ح راتب اليوم]]</f>
        <v>0</v>
      </c>
      <c r="X223" s="148"/>
      <c r="Y223" s="214"/>
      <c r="Z223" s="111">
        <f>Table6[[#This Row],[عدد ايام الجزاء]]*Table6[[#This Row],[ح راتب اليوم]]</f>
        <v>0</v>
      </c>
      <c r="AA223" s="112">
        <f>Table6[[#This Row],[مرتب]]*50%</f>
        <v>1760</v>
      </c>
      <c r="AB223" s="113" t="e">
        <f>VLOOKUP(Table6[[#This Row],[الرقم الوظيفى]],[3]!Table25289[#Data],23,)</f>
        <v>#REF!</v>
      </c>
      <c r="AC223" s="215"/>
      <c r="AD223" s="206"/>
      <c r="AE223" s="113" t="e">
        <f>VLOOKUP(Table6[[#This Row],[الرقم الوظيفى]],[3]!Table252894[#Data],22,)</f>
        <v>#REF!</v>
      </c>
      <c r="AF223" s="151"/>
      <c r="AG223" s="111">
        <f>' الشركه 2018'!$W223+' الشركه 2018'!$Z223+' الشركه 2018'!$AA223+' الشركه 2018'!$AC223+' الشركه 2018'!$AD223+' الشركه 2018'!$AF223</f>
        <v>1760</v>
      </c>
      <c r="AH223" s="111">
        <f>Table6[[#This Row],[راتب الضمان]]*8%</f>
        <v>281.60000000000002</v>
      </c>
      <c r="AI223" s="111">
        <f>' الشركه 2018'!$H223-' الشركه 2018'!$AG223-' الشركه 2018'!$AH223</f>
        <v>1478.4</v>
      </c>
      <c r="AJ223" s="111">
        <f>' الشركه 2018'!$CF223</f>
        <v>0</v>
      </c>
      <c r="AK223" s="117">
        <f>' الشركه 2018'!$AI223+' الشركه 2018'!$AJ223</f>
        <v>1478.4</v>
      </c>
      <c r="AL223" s="152"/>
      <c r="AM223" s="153"/>
      <c r="AN223" s="9">
        <f>Table6[[#This Row],[اجمالى الاستحقاق]]-Table6[[#This Row],[Column2]]+Table6[[#This Row],[حوافز غير مستقره]]</f>
        <v>1478.4</v>
      </c>
      <c r="AO223" s="59"/>
      <c r="AP223" s="169"/>
      <c r="AQ223" s="176"/>
      <c r="AR223" s="124"/>
      <c r="AS223" s="208"/>
      <c r="AT223" s="170"/>
      <c r="AU223" s="124"/>
      <c r="AV223" s="124"/>
      <c r="AW223" s="124"/>
      <c r="AX223" s="124"/>
      <c r="AY223" s="124"/>
      <c r="AZ223" s="124"/>
      <c r="BA223" s="124"/>
      <c r="BB223" s="124"/>
      <c r="BC223" s="124"/>
      <c r="BD223" s="124"/>
      <c r="BE223" s="124"/>
      <c r="BF223" s="124"/>
      <c r="BG223" s="124"/>
      <c r="BH223" s="124"/>
      <c r="BI223" s="124"/>
      <c r="BJ223" s="124"/>
      <c r="BK223" s="124"/>
      <c r="BL223" s="124"/>
      <c r="BM223" s="177"/>
      <c r="BN223" s="177"/>
      <c r="BO223" s="177"/>
      <c r="BP223" s="177"/>
      <c r="BQ223" s="177"/>
      <c r="BR223" s="177"/>
      <c r="BS223" s="177"/>
      <c r="BT223" s="124"/>
      <c r="BU223" s="124"/>
      <c r="BV223" s="177"/>
      <c r="BW223" s="177"/>
      <c r="BX223" s="177"/>
      <c r="BY223" s="177"/>
      <c r="BZ223" s="171"/>
      <c r="CA223" s="172"/>
      <c r="CB22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3" s="131">
        <f>' الشركه 2018'!$H223*67%*1.5*' الشركه 2018'!$CB223/208</f>
        <v>0</v>
      </c>
      <c r="CE223" s="132">
        <f>' الشركه 2018'!$H223*67%*2*' الشركه 2018'!$CC223/208</f>
        <v>0</v>
      </c>
      <c r="CF223" s="133">
        <f>' الشركه 2018'!$CD223+' الشركه 2018'!$CE223</f>
        <v>0</v>
      </c>
      <c r="CG223" s="124"/>
      <c r="CH223" s="177"/>
      <c r="CI223" s="124"/>
      <c r="CJ223" s="162"/>
      <c r="CK223" s="162"/>
      <c r="CL223" s="177"/>
      <c r="CM223" s="162"/>
      <c r="CN223" s="162"/>
      <c r="CO223" s="162"/>
      <c r="CP223" s="163"/>
      <c r="CQ223" s="164" t="e">
        <f>VLOOKUP(Table6[[#This Row],[الرقم الوظيفى]],[4]!Table3[#Data],26,FALSE)</f>
        <v>#REF!</v>
      </c>
      <c r="CR223" s="165">
        <v>500</v>
      </c>
      <c r="CS223" s="124"/>
    </row>
    <row r="224" spans="1:97" ht="28" customHeight="1" thickTop="1" thickBot="1">
      <c r="A224" s="222">
        <v>980</v>
      </c>
      <c r="B224" s="345" t="s">
        <v>281</v>
      </c>
      <c r="C224" s="245" t="s">
        <v>90</v>
      </c>
      <c r="D224" s="11" t="s">
        <v>74</v>
      </c>
      <c r="E224" s="202"/>
      <c r="F224" s="11"/>
      <c r="G224" s="246">
        <v>42932</v>
      </c>
      <c r="H224" s="154">
        <v>3020</v>
      </c>
      <c r="I224" s="203">
        <f>Table6[[#This Row],[مرتب]]/30</f>
        <v>100.66666666666667</v>
      </c>
      <c r="J224" s="107">
        <v>30</v>
      </c>
      <c r="K224" s="107">
        <f t="shared" si="3"/>
        <v>3020</v>
      </c>
      <c r="L224" s="107">
        <v>3020</v>
      </c>
      <c r="M224" s="107">
        <f>Table6[[#This Row],[مرتب الضمان]]*17%</f>
        <v>513.40000000000009</v>
      </c>
      <c r="N224" s="107">
        <f>' الشركه 2018'!$H224*35%</f>
        <v>1057</v>
      </c>
      <c r="O224" s="107">
        <f>' الشركه 2018'!$H224*32%</f>
        <v>966.4</v>
      </c>
      <c r="P224" s="107">
        <f>' الشركه 2018'!$H224*12%</f>
        <v>362.4</v>
      </c>
      <c r="Q224" s="107">
        <f>' الشركه 2018'!$H224*13%</f>
        <v>392.6</v>
      </c>
      <c r="R224" s="107">
        <f>' الشركه 2018'!$H224*6%</f>
        <v>181.2</v>
      </c>
      <c r="S224" s="107">
        <f>' الشركه 2018'!$H224*2%</f>
        <v>60.4</v>
      </c>
      <c r="T224" s="107">
        <f>' الشركه 2018'!$O224+' الشركه 2018'!$P224+' الشركه 2018'!$Q224+' الشركه 2018'!$R224+' الشركه 2018'!$S224</f>
        <v>1963.0000000000002</v>
      </c>
      <c r="U224" s="109">
        <f>VLOOKUP(Table6[[#This Row],[الرقم الوظيفى]],[2]بالخصم!$B$1:$AK$1200,35,)</f>
        <v>0</v>
      </c>
      <c r="V224" s="213"/>
      <c r="W224" s="111">
        <f>Table6[[#This Row],[عدد ايام الاجازه]]*Table6[[#This Row],[ح راتب اليوم]]</f>
        <v>0</v>
      </c>
      <c r="X224" s="148"/>
      <c r="Y224" s="214"/>
      <c r="Z224" s="111">
        <f>Table6[[#This Row],[عدد ايام الجزاء]]*Table6[[#This Row],[ح راتب اليوم]]</f>
        <v>0</v>
      </c>
      <c r="AA224" s="112">
        <f>Table6[[#This Row],[مرتب]]*50%</f>
        <v>1510</v>
      </c>
      <c r="AB224" s="113" t="e">
        <f>VLOOKUP(Table6[[#This Row],[الرقم الوظيفى]],[3]!Table25289[#Data],23,)</f>
        <v>#REF!</v>
      </c>
      <c r="AC224" s="215"/>
      <c r="AD224" s="206"/>
      <c r="AE224" s="113" t="e">
        <f>VLOOKUP(Table6[[#This Row],[الرقم الوظيفى]],[3]!Table252894[#Data],22,)</f>
        <v>#REF!</v>
      </c>
      <c r="AF224" s="179"/>
      <c r="AG224" s="111">
        <f>' الشركه 2018'!$W224+' الشركه 2018'!$Z224+' الشركه 2018'!$AA224+' الشركه 2018'!$AC224+' الشركه 2018'!$AD224+' الشركه 2018'!$AF224</f>
        <v>1510</v>
      </c>
      <c r="AH224" s="111">
        <f>Table6[[#This Row],[راتب الضمان]]*8%</f>
        <v>241.6</v>
      </c>
      <c r="AI224" s="111">
        <f>' الشركه 2018'!$H224-' الشركه 2018'!$AG224-' الشركه 2018'!$AH224</f>
        <v>1268.4000000000001</v>
      </c>
      <c r="AJ224" s="111">
        <f>' الشركه 2018'!$CF224</f>
        <v>0</v>
      </c>
      <c r="AK224" s="117">
        <f>' الشركه 2018'!$AI224+' الشركه 2018'!$AJ224</f>
        <v>1268.4000000000001</v>
      </c>
      <c r="AL224" s="152"/>
      <c r="AM224" s="153"/>
      <c r="AN224" s="9">
        <f>Table6[[#This Row],[اجمالى الاستحقاق]]-Table6[[#This Row],[Column2]]+Table6[[#This Row],[حوافز غير مستقره]]</f>
        <v>1268.4000000000001</v>
      </c>
      <c r="AO224" s="201"/>
      <c r="AP224" s="169"/>
      <c r="AQ224" s="176"/>
      <c r="AR224" s="124"/>
      <c r="AS224" s="208"/>
      <c r="AT224" s="170"/>
      <c r="AU224" s="124"/>
      <c r="AV224" s="124"/>
      <c r="AW224" s="124"/>
      <c r="AX224" s="124"/>
      <c r="AY224" s="124"/>
      <c r="AZ224" s="124"/>
      <c r="BA224" s="124"/>
      <c r="BB224" s="124"/>
      <c r="BC224" s="124"/>
      <c r="BD224" s="124"/>
      <c r="BE224" s="124"/>
      <c r="BF224" s="124"/>
      <c r="BG224" s="124"/>
      <c r="BH224" s="124"/>
      <c r="BI224" s="124"/>
      <c r="BJ224" s="124"/>
      <c r="BK224" s="124"/>
      <c r="BL224" s="124"/>
      <c r="BM224" s="177"/>
      <c r="BN224" s="177"/>
      <c r="BO224" s="177"/>
      <c r="BP224" s="177"/>
      <c r="BQ224" s="177"/>
      <c r="BR224" s="177"/>
      <c r="BS224" s="177"/>
      <c r="BT224" s="124"/>
      <c r="BU224" s="124"/>
      <c r="BV224" s="177"/>
      <c r="BW224" s="177"/>
      <c r="BX224" s="177"/>
      <c r="BY224" s="177"/>
      <c r="BZ224" s="124"/>
      <c r="CA224" s="124"/>
      <c r="CB22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4" s="131">
        <f>' الشركه 2018'!$H224*67%*1.5*' الشركه 2018'!$CB224/208</f>
        <v>0</v>
      </c>
      <c r="CE224" s="132">
        <f>' الشركه 2018'!$H224*67%*2*' الشركه 2018'!$CC224/208</f>
        <v>0</v>
      </c>
      <c r="CF224" s="133">
        <f>' الشركه 2018'!$CD224+' الشركه 2018'!$CE224</f>
        <v>0</v>
      </c>
      <c r="CG224" s="124"/>
      <c r="CH224" s="177"/>
      <c r="CI224" s="124"/>
      <c r="CJ224" s="162"/>
      <c r="CK224" s="162"/>
      <c r="CL224" s="177"/>
      <c r="CM224" s="162"/>
      <c r="CN224" s="162"/>
      <c r="CO224" s="162"/>
      <c r="CP224" s="163"/>
      <c r="CQ224" s="164" t="e">
        <f>VLOOKUP(Table6[[#This Row],[الرقم الوظيفى]],[4]!Table3[#Data],26,FALSE)</f>
        <v>#REF!</v>
      </c>
      <c r="CR224" s="199"/>
      <c r="CS224" s="124"/>
    </row>
    <row r="225" spans="1:97" ht="28" customHeight="1" thickTop="1" thickBot="1">
      <c r="A225" s="222">
        <v>981</v>
      </c>
      <c r="B225" s="345" t="s">
        <v>167</v>
      </c>
      <c r="C225" s="245" t="s">
        <v>90</v>
      </c>
      <c r="D225" s="11" t="s">
        <v>698</v>
      </c>
      <c r="E225" s="202"/>
      <c r="F225" s="11"/>
      <c r="G225" s="246">
        <v>42921</v>
      </c>
      <c r="H225" s="154">
        <v>4520</v>
      </c>
      <c r="I225" s="203">
        <f>Table6[[#This Row],[مرتب]]/30</f>
        <v>150.66666666666666</v>
      </c>
      <c r="J225" s="107">
        <v>30</v>
      </c>
      <c r="K225" s="107">
        <f t="shared" si="3"/>
        <v>4520</v>
      </c>
      <c r="L225" s="107">
        <v>4520</v>
      </c>
      <c r="M225" s="107">
        <f>Table6[[#This Row],[مرتب الضمان]]*17%</f>
        <v>768.40000000000009</v>
      </c>
      <c r="N225" s="107">
        <f>' الشركه 2018'!$H225*35%</f>
        <v>1582</v>
      </c>
      <c r="O225" s="107">
        <f>' الشركه 2018'!$H225*32%</f>
        <v>1446.4</v>
      </c>
      <c r="P225" s="107">
        <f>' الشركه 2018'!$H225*12%</f>
        <v>542.4</v>
      </c>
      <c r="Q225" s="107">
        <f>' الشركه 2018'!$H225*13%</f>
        <v>587.6</v>
      </c>
      <c r="R225" s="107">
        <f>' الشركه 2018'!$H225*6%</f>
        <v>271.2</v>
      </c>
      <c r="S225" s="107">
        <f>' الشركه 2018'!$H225*2%</f>
        <v>90.4</v>
      </c>
      <c r="T225" s="107">
        <f>' الشركه 2018'!$O225+' الشركه 2018'!$P225+' الشركه 2018'!$Q225+' الشركه 2018'!$R225+' الشركه 2018'!$S225</f>
        <v>2938</v>
      </c>
      <c r="U225" s="109">
        <f>VLOOKUP(Table6[[#This Row],[الرقم الوظيفى]],[2]بالخصم!$B$1:$AK$1200,35,)</f>
        <v>0</v>
      </c>
      <c r="V225" s="213"/>
      <c r="W225" s="111">
        <f>Table6[[#This Row],[عدد ايام الاجازه]]*Table6[[#This Row],[ح راتب اليوم]]</f>
        <v>0</v>
      </c>
      <c r="X225" s="148"/>
      <c r="Y225" s="214"/>
      <c r="Z225" s="111">
        <f>Table6[[#This Row],[عدد ايام الجزاء]]*Table6[[#This Row],[ح راتب اليوم]]</f>
        <v>0</v>
      </c>
      <c r="AA225" s="112">
        <f>Table6[[#This Row],[مرتب]]*50%</f>
        <v>2260</v>
      </c>
      <c r="AB225" s="113" t="e">
        <f>VLOOKUP(Table6[[#This Row],[الرقم الوظيفى]],[3]!Table25289[#Data],23,)</f>
        <v>#REF!</v>
      </c>
      <c r="AC225" s="215"/>
      <c r="AD225" s="206"/>
      <c r="AE225" s="113" t="e">
        <f>VLOOKUP(Table6[[#This Row],[الرقم الوظيفى]],[3]!Table252894[#Data],22,)</f>
        <v>#REF!</v>
      </c>
      <c r="AF225" s="151"/>
      <c r="AG225" s="111">
        <f>' الشركه 2018'!$W225+' الشركه 2018'!$Z225+' الشركه 2018'!$AA225+' الشركه 2018'!$AC225+' الشركه 2018'!$AD225+' الشركه 2018'!$AF225</f>
        <v>2260</v>
      </c>
      <c r="AH225" s="111">
        <f>Table6[[#This Row],[راتب الضمان]]*8%</f>
        <v>361.6</v>
      </c>
      <c r="AI225" s="111">
        <f>' الشركه 2018'!$H225-' الشركه 2018'!$AG225-' الشركه 2018'!$AH225</f>
        <v>1898.4</v>
      </c>
      <c r="AJ225" s="111">
        <f>' الشركه 2018'!$CF225</f>
        <v>451.34807692307697</v>
      </c>
      <c r="AK225" s="117">
        <f>' الشركه 2018'!$AI225+' الشركه 2018'!$AJ225</f>
        <v>2349.748076923077</v>
      </c>
      <c r="AL225" s="152"/>
      <c r="AM225" s="153"/>
      <c r="AN225" s="9">
        <f>Table6[[#This Row],[اجمالى الاستحقاق]]-Table6[[#This Row],[Column2]]+Table6[[#This Row],[حوافز غير مستقره]]</f>
        <v>2349.748076923077</v>
      </c>
      <c r="AO225" s="59"/>
      <c r="AP225" s="169"/>
      <c r="AQ225" s="176"/>
      <c r="AR225" s="124"/>
      <c r="AS225" s="208"/>
      <c r="AT225" s="170"/>
      <c r="AU225" s="124"/>
      <c r="AV225" s="124">
        <v>9.5</v>
      </c>
      <c r="AW225" s="124"/>
      <c r="AX225" s="124"/>
      <c r="AY225" s="124"/>
      <c r="AZ225" s="124"/>
      <c r="BA225" s="124"/>
      <c r="BB225" s="124"/>
      <c r="BC225" s="124"/>
      <c r="BD225" s="124"/>
      <c r="BE225" s="124"/>
      <c r="BF225" s="124"/>
      <c r="BG225" s="124"/>
      <c r="BH225" s="124"/>
      <c r="BI225" s="124"/>
      <c r="BJ225" s="124"/>
      <c r="BK225" s="124"/>
      <c r="BL225" s="124">
        <v>8</v>
      </c>
      <c r="BM225" s="177"/>
      <c r="BN225" s="177"/>
      <c r="BO225" s="177"/>
      <c r="BP225" s="177"/>
      <c r="BQ225" s="177"/>
      <c r="BR225" s="177"/>
      <c r="BS225" s="177"/>
      <c r="BT225" s="124"/>
      <c r="BU225" s="124"/>
      <c r="BV225" s="177"/>
      <c r="BW225" s="177"/>
      <c r="BX225" s="177"/>
      <c r="BY225" s="177"/>
      <c r="BZ225" s="159"/>
      <c r="CA225" s="160"/>
      <c r="CB22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225" s="130">
        <f>Table6[[#This Row],[Friday, November 23, 2018]]+Table6[[#This Row],[Friday, November 30, 2018]]+Table6[[#This Row],[Friday, December 07, 2018]]+Table6[[#This Row],[Friday, December 14, 2018]]+Table6[[#This Row],[فروقات عطله]]</f>
        <v>9.5</v>
      </c>
      <c r="CD225" s="131">
        <f>' الشركه 2018'!$H225*67%*1.5*' الشركه 2018'!$CB225/208</f>
        <v>174.71538461538464</v>
      </c>
      <c r="CE225" s="132">
        <f>' الشركه 2018'!$H225*67%*2*' الشركه 2018'!$CC225/208</f>
        <v>276.63269230769231</v>
      </c>
      <c r="CF225" s="133">
        <f>' الشركه 2018'!$CD225+' الشركه 2018'!$CE225</f>
        <v>451.34807692307697</v>
      </c>
      <c r="CG225" s="124"/>
      <c r="CH225" s="177"/>
      <c r="CI225" s="124"/>
      <c r="CJ225" s="162"/>
      <c r="CK225" s="162"/>
      <c r="CL225" s="177"/>
      <c r="CM225" s="162"/>
      <c r="CN225" s="162"/>
      <c r="CO225" s="162"/>
      <c r="CP225" s="163"/>
      <c r="CQ225" s="164" t="e">
        <f>VLOOKUP(Table6[[#This Row],[الرقم الوظيفى]],[4]!Table3[#Data],26,FALSE)</f>
        <v>#REF!</v>
      </c>
      <c r="CR225" s="199"/>
      <c r="CS225" s="124"/>
    </row>
    <row r="226" spans="1:97" ht="28" customHeight="1" thickTop="1" thickBot="1">
      <c r="A226" s="222">
        <v>984</v>
      </c>
      <c r="B226" s="345" t="s">
        <v>223</v>
      </c>
      <c r="C226" s="59" t="s">
        <v>90</v>
      </c>
      <c r="D226" s="143" t="s">
        <v>74</v>
      </c>
      <c r="E226" s="174"/>
      <c r="F226" s="143"/>
      <c r="G226" s="246">
        <v>42954</v>
      </c>
      <c r="H226" s="154">
        <v>4020</v>
      </c>
      <c r="I226" s="203">
        <f>Table6[[#This Row],[مرتب]]/30</f>
        <v>134</v>
      </c>
      <c r="J226" s="107">
        <v>30</v>
      </c>
      <c r="K226" s="107">
        <f t="shared" si="3"/>
        <v>4020</v>
      </c>
      <c r="L226" s="107">
        <v>4020</v>
      </c>
      <c r="M226" s="107">
        <f>Table6[[#This Row],[مرتب الضمان]]*17%</f>
        <v>683.40000000000009</v>
      </c>
      <c r="N226" s="107">
        <f>' الشركه 2018'!$H226*35%</f>
        <v>1407</v>
      </c>
      <c r="O226" s="107">
        <f>' الشركه 2018'!$H226*32%</f>
        <v>1286.4000000000001</v>
      </c>
      <c r="P226" s="107">
        <f>' الشركه 2018'!$H226*12%</f>
        <v>482.4</v>
      </c>
      <c r="Q226" s="107">
        <f>' الشركه 2018'!$H226*13%</f>
        <v>522.6</v>
      </c>
      <c r="R226" s="107">
        <f>' الشركه 2018'!$H226*6%</f>
        <v>241.2</v>
      </c>
      <c r="S226" s="107">
        <f>' الشركه 2018'!$H226*2%</f>
        <v>80.400000000000006</v>
      </c>
      <c r="T226" s="107">
        <f>' الشركه 2018'!$O226+' الشركه 2018'!$P226+' الشركه 2018'!$Q226+' الشركه 2018'!$R226+' الشركه 2018'!$S226</f>
        <v>2613</v>
      </c>
      <c r="U226" s="109">
        <f>VLOOKUP(Table6[[#This Row],[الرقم الوظيفى]],[2]بالخصم!$B$1:$AK$1200,35,)</f>
        <v>0</v>
      </c>
      <c r="V226" s="213"/>
      <c r="W226" s="111">
        <f>Table6[[#This Row],[عدد ايام الاجازه]]*Table6[[#This Row],[ح راتب اليوم]]</f>
        <v>0</v>
      </c>
      <c r="X226" s="148"/>
      <c r="Y226" s="60"/>
      <c r="Z226" s="111">
        <f>Table6[[#This Row],[عدد ايام الجزاء]]*Table6[[#This Row],[ح راتب اليوم]]</f>
        <v>0</v>
      </c>
      <c r="AA226" s="112">
        <f>Table6[[#This Row],[مرتب]]*50%</f>
        <v>2010</v>
      </c>
      <c r="AB226" s="113" t="e">
        <f>VLOOKUP(Table6[[#This Row],[الرقم الوظيفى]],[3]!Table25289[#Data],23,)</f>
        <v>#REF!</v>
      </c>
      <c r="AC226" s="149"/>
      <c r="AD226" s="150"/>
      <c r="AE226" s="113" t="e">
        <f>VLOOKUP(Table6[[#This Row],[الرقم الوظيفى]],[3]!Table252894[#Data],22,)</f>
        <v>#REF!</v>
      </c>
      <c r="AF226" s="151"/>
      <c r="AG226" s="111">
        <f>' الشركه 2018'!$W226+' الشركه 2018'!$Z226+' الشركه 2018'!$AA226+' الشركه 2018'!$AC226+' الشركه 2018'!$AD226+' الشركه 2018'!$AF226</f>
        <v>2010</v>
      </c>
      <c r="AH226" s="111">
        <f>Table6[[#This Row],[راتب الضمان]]*8%</f>
        <v>321.60000000000002</v>
      </c>
      <c r="AI226" s="111">
        <f>' الشركه 2018'!$H226-' الشركه 2018'!$AG226-' الشركه 2018'!$AH226</f>
        <v>1688.4</v>
      </c>
      <c r="AJ226" s="111">
        <f>' الشركه 2018'!$CF226</f>
        <v>1709.273076923077</v>
      </c>
      <c r="AK226" s="117">
        <f>' الشركه 2018'!$AI226+' الشركه 2018'!$AJ226</f>
        <v>3397.6730769230771</v>
      </c>
      <c r="AL226" s="152"/>
      <c r="AM226" s="153"/>
      <c r="AN226" s="9">
        <f>Table6[[#This Row],[اجمالى الاستحقاق]]-Table6[[#This Row],[Column2]]+Table6[[#This Row],[حوافز غير مستقره]]</f>
        <v>3397.6730769230771</v>
      </c>
      <c r="AO226" s="59"/>
      <c r="AP226" s="169"/>
      <c r="AQ226" s="176"/>
      <c r="AR226" s="124"/>
      <c r="AS226" s="155"/>
      <c r="AT226" s="170"/>
      <c r="AU226" s="124"/>
      <c r="AV226" s="124"/>
      <c r="AW226" s="124"/>
      <c r="AX226" s="124"/>
      <c r="AY226" s="124"/>
      <c r="AZ226" s="124"/>
      <c r="BA226" s="124"/>
      <c r="BB226" s="124"/>
      <c r="BC226" s="124"/>
      <c r="BD226" s="124"/>
      <c r="BE226" s="124"/>
      <c r="BF226" s="124"/>
      <c r="BG226" s="124"/>
      <c r="BH226" s="124">
        <v>8</v>
      </c>
      <c r="BI226" s="124"/>
      <c r="BJ226" s="124">
        <v>24</v>
      </c>
      <c r="BK226" s="124"/>
      <c r="BL226" s="124"/>
      <c r="BM226" s="124">
        <v>8</v>
      </c>
      <c r="BN226" s="124">
        <v>8</v>
      </c>
      <c r="BO226" s="124"/>
      <c r="BP226" s="124"/>
      <c r="BQ226" s="124">
        <v>24</v>
      </c>
      <c r="BR226" s="124"/>
      <c r="BS226" s="124"/>
      <c r="BT226" s="124"/>
      <c r="BU226" s="124"/>
      <c r="BV226" s="124"/>
      <c r="BW226" s="124"/>
      <c r="BX226" s="124"/>
      <c r="BY226" s="124"/>
      <c r="BZ226" s="171"/>
      <c r="CA226" s="172"/>
      <c r="CB22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24</v>
      </c>
      <c r="CC226" s="130">
        <f>Table6[[#This Row],[Friday, November 23, 2018]]+Table6[[#This Row],[Friday, November 30, 2018]]+Table6[[#This Row],[Friday, December 07, 2018]]+Table6[[#This Row],[Friday, December 14, 2018]]+Table6[[#This Row],[فروقات عطله]]</f>
        <v>48</v>
      </c>
      <c r="CD226" s="131">
        <f>' الشركه 2018'!$H226*67%*1.5*' الشركه 2018'!$CB226/208</f>
        <v>466.16538461538465</v>
      </c>
      <c r="CE226" s="132">
        <f>' الشركه 2018'!$H226*67%*2*' الشركه 2018'!$CC226/208</f>
        <v>1243.1076923076923</v>
      </c>
      <c r="CF226" s="133">
        <f>' الشركه 2018'!$CD226+' الشركه 2018'!$CE226</f>
        <v>1709.273076923077</v>
      </c>
      <c r="CG226" s="124"/>
      <c r="CH226" s="177"/>
      <c r="CI226" s="124"/>
      <c r="CJ226" s="162"/>
      <c r="CK226" s="162"/>
      <c r="CL226" s="177"/>
      <c r="CM226" s="177"/>
      <c r="CN226" s="162"/>
      <c r="CO226" s="162"/>
      <c r="CP226" s="163"/>
      <c r="CQ226" s="164" t="e">
        <f>VLOOKUP(Table6[[#This Row],[الرقم الوظيفى]],[4]!Table3[#Data],26,FALSE)</f>
        <v>#REF!</v>
      </c>
      <c r="CR226" s="199">
        <v>500</v>
      </c>
      <c r="CS226" s="124"/>
    </row>
    <row r="227" spans="1:97" ht="28" customHeight="1" thickTop="1" thickBot="1">
      <c r="A227" s="222">
        <v>985</v>
      </c>
      <c r="B227" s="345" t="s">
        <v>307</v>
      </c>
      <c r="C227" s="59" t="s">
        <v>90</v>
      </c>
      <c r="D227" s="143" t="s">
        <v>74</v>
      </c>
      <c r="E227" s="174"/>
      <c r="F227" s="143"/>
      <c r="G227" s="246">
        <v>42959</v>
      </c>
      <c r="H227" s="154">
        <v>3010</v>
      </c>
      <c r="I227" s="203">
        <f>Table6[[#This Row],[مرتب]]/30</f>
        <v>100.33333333333333</v>
      </c>
      <c r="J227" s="107">
        <v>30</v>
      </c>
      <c r="K227" s="107">
        <f t="shared" si="3"/>
        <v>3010</v>
      </c>
      <c r="L227" s="107">
        <v>3010</v>
      </c>
      <c r="M227" s="107">
        <f>Table6[[#This Row],[مرتب الضمان]]*17%</f>
        <v>511.70000000000005</v>
      </c>
      <c r="N227" s="107">
        <f>' الشركه 2018'!$H227*35%</f>
        <v>1053.5</v>
      </c>
      <c r="O227" s="107">
        <f>' الشركه 2018'!$H227*32%</f>
        <v>963.2</v>
      </c>
      <c r="P227" s="107">
        <f>' الشركه 2018'!$H227*12%</f>
        <v>361.2</v>
      </c>
      <c r="Q227" s="107">
        <f>' الشركه 2018'!$H227*13%</f>
        <v>391.3</v>
      </c>
      <c r="R227" s="107">
        <f>' الشركه 2018'!$H227*6%</f>
        <v>180.6</v>
      </c>
      <c r="S227" s="107">
        <f>' الشركه 2018'!$H227*2%</f>
        <v>60.2</v>
      </c>
      <c r="T227" s="107">
        <f>' الشركه 2018'!$O227+' الشركه 2018'!$P227+' الشركه 2018'!$Q227+' الشركه 2018'!$R227+' الشركه 2018'!$S227</f>
        <v>1956.5</v>
      </c>
      <c r="U227" s="109">
        <f>VLOOKUP(Table6[[#This Row],[الرقم الوظيفى]],[2]بالخصم!$B$1:$AK$1200,35,)</f>
        <v>0</v>
      </c>
      <c r="V227" s="213"/>
      <c r="W227" s="111">
        <f>Table6[[#This Row],[عدد ايام الاجازه]]*Table6[[#This Row],[ح راتب اليوم]]</f>
        <v>0</v>
      </c>
      <c r="X227" s="148"/>
      <c r="Y227" s="60"/>
      <c r="Z227" s="111">
        <f>Table6[[#This Row],[عدد ايام الجزاء]]*Table6[[#This Row],[ح راتب اليوم]]</f>
        <v>0</v>
      </c>
      <c r="AA227" s="112">
        <f>Table6[[#This Row],[مرتب]]*50%</f>
        <v>1505</v>
      </c>
      <c r="AB227" s="113" t="e">
        <f>VLOOKUP(Table6[[#This Row],[الرقم الوظيفى]],[3]!Table25289[#Data],23,)</f>
        <v>#REF!</v>
      </c>
      <c r="AC227" s="149"/>
      <c r="AD227" s="150"/>
      <c r="AE227" s="113" t="e">
        <f>VLOOKUP(Table6[[#This Row],[الرقم الوظيفى]],[3]!Table252894[#Data],22,)</f>
        <v>#REF!</v>
      </c>
      <c r="AF227" s="151"/>
      <c r="AG227" s="111">
        <f>' الشركه 2018'!$W227+' الشركه 2018'!$Z227+' الشركه 2018'!$AA227+' الشركه 2018'!$AC227+' الشركه 2018'!$AD227+' الشركه 2018'!$AF227</f>
        <v>1505</v>
      </c>
      <c r="AH227" s="111">
        <f>Table6[[#This Row],[راتب الضمان]]*8%</f>
        <v>240.8</v>
      </c>
      <c r="AI227" s="111">
        <f>' الشركه 2018'!$H227-' الشركه 2018'!$AG227-' الشركه 2018'!$AH227</f>
        <v>1264.2</v>
      </c>
      <c r="AJ227" s="111">
        <f>' الشركه 2018'!$CF227</f>
        <v>0</v>
      </c>
      <c r="AK227" s="117">
        <f>' الشركه 2018'!$AI227+' الشركه 2018'!$AJ227</f>
        <v>1264.2</v>
      </c>
      <c r="AL227" s="152"/>
      <c r="AM227" s="153"/>
      <c r="AN227" s="9">
        <f>Table6[[#This Row],[اجمالى الاستحقاق]]-Table6[[#This Row],[Column2]]+Table6[[#This Row],[حوافز غير مستقره]]</f>
        <v>1264.2</v>
      </c>
      <c r="AO227" s="59"/>
      <c r="AP227" s="169"/>
      <c r="AQ227" s="176"/>
      <c r="AR227" s="124"/>
      <c r="AS227" s="155"/>
      <c r="AT227" s="170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124"/>
      <c r="BF227" s="124"/>
      <c r="BG227" s="124"/>
      <c r="BH227" s="124"/>
      <c r="BI227" s="124"/>
      <c r="BJ227" s="124"/>
      <c r="BK227" s="124"/>
      <c r="BL227" s="124"/>
      <c r="BM227" s="124"/>
      <c r="BN227" s="124"/>
      <c r="BO227" s="124"/>
      <c r="BP227" s="124"/>
      <c r="BQ227" s="124"/>
      <c r="BR227" s="124"/>
      <c r="BS227" s="124"/>
      <c r="BT227" s="124"/>
      <c r="BU227" s="124"/>
      <c r="BV227" s="124"/>
      <c r="BW227" s="124"/>
      <c r="BX227" s="124"/>
      <c r="BY227" s="124"/>
      <c r="BZ227" s="171"/>
      <c r="CA227" s="172"/>
      <c r="CB22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7" s="131">
        <f>' الشركه 2018'!$H227*67%*1.5*' الشركه 2018'!$CB227/208</f>
        <v>0</v>
      </c>
      <c r="CE227" s="132">
        <f>' الشركه 2018'!$H227*67%*2*' الشركه 2018'!$CC227/208</f>
        <v>0</v>
      </c>
      <c r="CF227" s="133">
        <f>' الشركه 2018'!$CD227+' الشركه 2018'!$CE227</f>
        <v>0</v>
      </c>
      <c r="CG227" s="124"/>
      <c r="CH227" s="177"/>
      <c r="CI227" s="124"/>
      <c r="CJ227" s="162"/>
      <c r="CK227" s="162"/>
      <c r="CL227" s="177"/>
      <c r="CM227" s="177"/>
      <c r="CN227" s="162"/>
      <c r="CO227" s="162"/>
      <c r="CP227" s="163"/>
      <c r="CQ227" s="164" t="e">
        <f>VLOOKUP(Table6[[#This Row],[الرقم الوظيفى]],[4]!Table3[#Data],26,FALSE)</f>
        <v>#REF!</v>
      </c>
      <c r="CR227" s="199"/>
      <c r="CS227" s="124"/>
    </row>
    <row r="228" spans="1:97" ht="28" customHeight="1" thickTop="1" thickBot="1">
      <c r="A228" s="222">
        <v>986</v>
      </c>
      <c r="B228" s="345" t="s">
        <v>286</v>
      </c>
      <c r="C228" s="59" t="s">
        <v>90</v>
      </c>
      <c r="D228" s="143" t="s">
        <v>74</v>
      </c>
      <c r="E228" s="174"/>
      <c r="F228" s="143"/>
      <c r="G228" s="246">
        <v>42959</v>
      </c>
      <c r="H228" s="154">
        <v>3010</v>
      </c>
      <c r="I228" s="203">
        <f>Table6[[#This Row],[مرتب]]/30</f>
        <v>100.33333333333333</v>
      </c>
      <c r="J228" s="107">
        <v>30</v>
      </c>
      <c r="K228" s="107">
        <f t="shared" si="3"/>
        <v>3010</v>
      </c>
      <c r="L228" s="107">
        <v>3010</v>
      </c>
      <c r="M228" s="107">
        <f>Table6[[#This Row],[مرتب الضمان]]*17%</f>
        <v>511.70000000000005</v>
      </c>
      <c r="N228" s="107">
        <f>' الشركه 2018'!$H228*35%</f>
        <v>1053.5</v>
      </c>
      <c r="O228" s="107">
        <f>' الشركه 2018'!$H228*32%</f>
        <v>963.2</v>
      </c>
      <c r="P228" s="107">
        <f>' الشركه 2018'!$H228*12%</f>
        <v>361.2</v>
      </c>
      <c r="Q228" s="107">
        <f>' الشركه 2018'!$H228*13%</f>
        <v>391.3</v>
      </c>
      <c r="R228" s="107">
        <f>' الشركه 2018'!$H228*6%</f>
        <v>180.6</v>
      </c>
      <c r="S228" s="107">
        <f>' الشركه 2018'!$H228*2%</f>
        <v>60.2</v>
      </c>
      <c r="T228" s="107">
        <f>' الشركه 2018'!$O228+' الشركه 2018'!$P228+' الشركه 2018'!$Q228+' الشركه 2018'!$R228+' الشركه 2018'!$S228</f>
        <v>1956.5</v>
      </c>
      <c r="U228" s="109">
        <f>VLOOKUP(Table6[[#This Row],[الرقم الوظيفى]],[2]بالخصم!$B$1:$AK$1200,35,)</f>
        <v>0</v>
      </c>
      <c r="V228" s="213"/>
      <c r="W228" s="111">
        <f>Table6[[#This Row],[عدد ايام الاجازه]]*Table6[[#This Row],[ح راتب اليوم]]</f>
        <v>0</v>
      </c>
      <c r="X228" s="148"/>
      <c r="Y228" s="60"/>
      <c r="Z228" s="111">
        <f>Table6[[#This Row],[عدد ايام الجزاء]]*Table6[[#This Row],[ح راتب اليوم]]</f>
        <v>0</v>
      </c>
      <c r="AA228" s="112">
        <f>Table6[[#This Row],[مرتب]]*50%</f>
        <v>1505</v>
      </c>
      <c r="AB228" s="113" t="e">
        <f>VLOOKUP(Table6[[#This Row],[الرقم الوظيفى]],[3]!Table25289[#Data],23,)</f>
        <v>#REF!</v>
      </c>
      <c r="AC228" s="149"/>
      <c r="AD228" s="150"/>
      <c r="AE228" s="113" t="e">
        <f>VLOOKUP(Table6[[#This Row],[الرقم الوظيفى]],[3]!Table252894[#Data],22,)</f>
        <v>#REF!</v>
      </c>
      <c r="AF228" s="151"/>
      <c r="AG228" s="111">
        <f>' الشركه 2018'!$W228+' الشركه 2018'!$Z228+' الشركه 2018'!$AA228+' الشركه 2018'!$AC228+' الشركه 2018'!$AD228+' الشركه 2018'!$AF228</f>
        <v>1505</v>
      </c>
      <c r="AH228" s="111">
        <f>Table6[[#This Row],[راتب الضمان]]*8%</f>
        <v>240.8</v>
      </c>
      <c r="AI228" s="111">
        <f>' الشركه 2018'!$H228-' الشركه 2018'!$AG228-' الشركه 2018'!$AH228</f>
        <v>1264.2</v>
      </c>
      <c r="AJ228" s="111">
        <f>' الشركه 2018'!$CF228</f>
        <v>0</v>
      </c>
      <c r="AK228" s="117">
        <f>' الشركه 2018'!$AI228+' الشركه 2018'!$AJ228</f>
        <v>1264.2</v>
      </c>
      <c r="AL228" s="152"/>
      <c r="AM228" s="153"/>
      <c r="AN228" s="9">
        <f>Table6[[#This Row],[اجمالى الاستحقاق]]-Table6[[#This Row],[Column2]]+Table6[[#This Row],[حوافز غير مستقره]]</f>
        <v>1264.2</v>
      </c>
      <c r="AO228" s="59"/>
      <c r="AP228" s="169"/>
      <c r="AQ228" s="176"/>
      <c r="AR228" s="124"/>
      <c r="AS228" s="155"/>
      <c r="AT228" s="170"/>
      <c r="AU228" s="124"/>
      <c r="AV228" s="124"/>
      <c r="AW228" s="124"/>
      <c r="AX228" s="124"/>
      <c r="AY228" s="124"/>
      <c r="AZ228" s="124"/>
      <c r="BA228" s="124"/>
      <c r="BB228" s="124"/>
      <c r="BC228" s="124"/>
      <c r="BD228" s="124"/>
      <c r="BE228" s="124"/>
      <c r="BF228" s="124"/>
      <c r="BG228" s="124"/>
      <c r="BH228" s="124"/>
      <c r="BI228" s="124"/>
      <c r="BJ228" s="124"/>
      <c r="BK228" s="124"/>
      <c r="BL228" s="124"/>
      <c r="BM228" s="124"/>
      <c r="BN228" s="124"/>
      <c r="BO228" s="124"/>
      <c r="BP228" s="124"/>
      <c r="BQ228" s="124"/>
      <c r="BR228" s="124"/>
      <c r="BS228" s="124"/>
      <c r="BT228" s="124"/>
      <c r="BU228" s="124"/>
      <c r="BV228" s="124"/>
      <c r="BW228" s="124"/>
      <c r="BX228" s="124"/>
      <c r="BY228" s="124"/>
      <c r="BZ228" s="171"/>
      <c r="CA228" s="172"/>
      <c r="CB22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8" s="131">
        <f>' الشركه 2018'!$H228*67%*1.5*' الشركه 2018'!$CB228/208</f>
        <v>0</v>
      </c>
      <c r="CE228" s="132">
        <f>' الشركه 2018'!$H228*67%*2*' الشركه 2018'!$CC228/208</f>
        <v>0</v>
      </c>
      <c r="CF228" s="133">
        <f>' الشركه 2018'!$CD228+' الشركه 2018'!$CE228</f>
        <v>0</v>
      </c>
      <c r="CG228" s="124"/>
      <c r="CH228" s="177"/>
      <c r="CI228" s="124"/>
      <c r="CJ228" s="162"/>
      <c r="CK228" s="162"/>
      <c r="CL228" s="177"/>
      <c r="CM228" s="177"/>
      <c r="CN228" s="162"/>
      <c r="CO228" s="162"/>
      <c r="CP228" s="163"/>
      <c r="CQ228" s="164" t="e">
        <f>VLOOKUP(Table6[[#This Row],[الرقم الوظيفى]],[4]!Table3[#Data],26,FALSE)</f>
        <v>#REF!</v>
      </c>
      <c r="CR228" s="199"/>
      <c r="CS228" s="124"/>
    </row>
    <row r="229" spans="1:97" ht="28" customHeight="1" thickTop="1" thickBot="1">
      <c r="A229" s="222">
        <v>990</v>
      </c>
      <c r="B229" s="249" t="s">
        <v>296</v>
      </c>
      <c r="C229" s="201" t="s">
        <v>90</v>
      </c>
      <c r="D229" s="11" t="s">
        <v>74</v>
      </c>
      <c r="E229" s="202"/>
      <c r="F229" s="11"/>
      <c r="G229" s="145">
        <v>43058</v>
      </c>
      <c r="H229" s="154">
        <v>3000</v>
      </c>
      <c r="I229" s="203">
        <f>Table6[[#This Row],[مرتب]]/30</f>
        <v>100</v>
      </c>
      <c r="J229" s="107">
        <v>30</v>
      </c>
      <c r="K229" s="107">
        <f t="shared" si="3"/>
        <v>3000</v>
      </c>
      <c r="L229" s="107">
        <v>3000</v>
      </c>
      <c r="M229" s="107">
        <f>Table6[[#This Row],[مرتب الضمان]]*17%</f>
        <v>510.00000000000006</v>
      </c>
      <c r="N229" s="107">
        <f>' الشركه 2018'!$H229*35%</f>
        <v>1050</v>
      </c>
      <c r="O229" s="107">
        <f>' الشركه 2018'!$H229*32%</f>
        <v>960</v>
      </c>
      <c r="P229" s="107">
        <f>' الشركه 2018'!$H229*12%</f>
        <v>360</v>
      </c>
      <c r="Q229" s="107">
        <f>' الشركه 2018'!$H229*13%</f>
        <v>390</v>
      </c>
      <c r="R229" s="107">
        <f>' الشركه 2018'!$H229*6%</f>
        <v>180</v>
      </c>
      <c r="S229" s="107">
        <f>' الشركه 2018'!$H229*2%</f>
        <v>60</v>
      </c>
      <c r="T229" s="107">
        <f>' الشركه 2018'!$O229+' الشركه 2018'!$P229+' الشركه 2018'!$Q229+' الشركه 2018'!$R229+' الشركه 2018'!$S229</f>
        <v>1950</v>
      </c>
      <c r="U229" s="109">
        <f>VLOOKUP(Table6[[#This Row],[الرقم الوظيفى]],[2]بالخصم!$B$1:$AK$1200,35,)</f>
        <v>0</v>
      </c>
      <c r="V229" s="204"/>
      <c r="W229" s="111">
        <f>Table6[[#This Row],[عدد ايام الاجازه]]*Table6[[#This Row],[ح راتب اليوم]]</f>
        <v>0</v>
      </c>
      <c r="X229" s="148"/>
      <c r="Y229" s="201"/>
      <c r="Z229" s="111">
        <f>Table6[[#This Row],[عدد ايام الجزاء]]*Table6[[#This Row],[ح راتب اليوم]]</f>
        <v>0</v>
      </c>
      <c r="AA229" s="112">
        <f>Table6[[#This Row],[مرتب]]*50%</f>
        <v>1500</v>
      </c>
      <c r="AB229" s="113" t="e">
        <f>VLOOKUP(Table6[[#This Row],[الرقم الوظيفى]],[3]!Table25289[#Data],23,)</f>
        <v>#REF!</v>
      </c>
      <c r="AC229" s="205"/>
      <c r="AD229" s="206"/>
      <c r="AE229" s="113" t="e">
        <f>VLOOKUP(Table6[[#This Row],[الرقم الوظيفى]],[3]!Table252894[#Data],22,)</f>
        <v>#REF!</v>
      </c>
      <c r="AF229" s="207"/>
      <c r="AG229" s="111">
        <f>' الشركه 2018'!$W229+' الشركه 2018'!$Z229+' الشركه 2018'!$AA229+' الشركه 2018'!$AC229+' الشركه 2018'!$AD229+' الشركه 2018'!$AF229</f>
        <v>1500</v>
      </c>
      <c r="AH229" s="111">
        <f>Table6[[#This Row],[راتب الضمان]]*8%</f>
        <v>240</v>
      </c>
      <c r="AI229" s="111">
        <f>' الشركه 2018'!$H229-' الشركه 2018'!$AG229-' الشركه 2018'!$AH229</f>
        <v>1260</v>
      </c>
      <c r="AJ229" s="111">
        <f>' الشركه 2018'!$CF229</f>
        <v>0</v>
      </c>
      <c r="AK229" s="117">
        <f>' الشركه 2018'!$AI229+' الشركه 2018'!$AJ229</f>
        <v>1260</v>
      </c>
      <c r="AL229" s="152"/>
      <c r="AM229" s="153"/>
      <c r="AN229" s="9">
        <f>Table6[[#This Row],[اجمالى الاستحقاق]]-Table6[[#This Row],[Column2]]+Table6[[#This Row],[حوافز غير مستقره]]</f>
        <v>1260</v>
      </c>
      <c r="AO229" s="59"/>
      <c r="AP229" s="169"/>
      <c r="AQ229" s="176"/>
      <c r="AR229" s="124"/>
      <c r="AS229" s="208"/>
      <c r="AT229" s="170"/>
      <c r="AU229" s="124"/>
      <c r="AV229" s="124"/>
      <c r="AW229" s="124"/>
      <c r="AX229" s="124"/>
      <c r="AY229" s="124"/>
      <c r="AZ229" s="124"/>
      <c r="BA229" s="124"/>
      <c r="BB229" s="124"/>
      <c r="BC229" s="124"/>
      <c r="BD229" s="124"/>
      <c r="BE229" s="124"/>
      <c r="BF229" s="124"/>
      <c r="BG229" s="124"/>
      <c r="BH229" s="228"/>
      <c r="BI229" s="124"/>
      <c r="BJ229" s="228"/>
      <c r="BK229" s="124"/>
      <c r="BL229" s="124"/>
      <c r="BM229" s="177"/>
      <c r="BN229" s="177"/>
      <c r="BO229" s="124"/>
      <c r="BP229" s="177"/>
      <c r="BQ229" s="124"/>
      <c r="BR229" s="177"/>
      <c r="BS229" s="177"/>
      <c r="BT229" s="124"/>
      <c r="BU229" s="124"/>
      <c r="BV229" s="124"/>
      <c r="BW229" s="177"/>
      <c r="BX229" s="177"/>
      <c r="BY229" s="177"/>
      <c r="BZ229" s="177"/>
      <c r="CA229" s="177"/>
      <c r="CB22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2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29" s="131">
        <f>' الشركه 2018'!$H229*67%*1.5*' الشركه 2018'!$CB229/208</f>
        <v>0</v>
      </c>
      <c r="CE229" s="132">
        <f>' الشركه 2018'!$H229*67%*2*' الشركه 2018'!$CC229/208</f>
        <v>0</v>
      </c>
      <c r="CF229" s="133">
        <f>' الشركه 2018'!$CD229+' الشركه 2018'!$CE229</f>
        <v>0</v>
      </c>
      <c r="CG229" s="124"/>
      <c r="CH229" s="177"/>
      <c r="CI229" s="124"/>
      <c r="CJ229" s="162"/>
      <c r="CK229" s="162"/>
      <c r="CL229" s="177"/>
      <c r="CM229" s="162"/>
      <c r="CN229" s="162"/>
      <c r="CO229" s="162"/>
      <c r="CP229" s="163"/>
      <c r="CQ229" s="164" t="e">
        <f>VLOOKUP(Table6[[#This Row],[الرقم الوظيفى]],[4]!Table3[#Data],26,FALSE)</f>
        <v>#REF!</v>
      </c>
      <c r="CR229" s="199"/>
      <c r="CS229" s="124"/>
    </row>
    <row r="230" spans="1:97" ht="28" customHeight="1" thickTop="1" thickBot="1">
      <c r="A230" s="222">
        <v>991</v>
      </c>
      <c r="B230" s="249" t="s">
        <v>271</v>
      </c>
      <c r="C230" s="201" t="s">
        <v>90</v>
      </c>
      <c r="D230" s="11" t="s">
        <v>74</v>
      </c>
      <c r="E230" s="202"/>
      <c r="F230" s="11"/>
      <c r="G230" s="145">
        <v>43070</v>
      </c>
      <c r="H230" s="154">
        <v>3000</v>
      </c>
      <c r="I230" s="203">
        <f>Table6[[#This Row],[مرتب]]/30</f>
        <v>100</v>
      </c>
      <c r="J230" s="107">
        <v>30</v>
      </c>
      <c r="K230" s="107">
        <f t="shared" si="3"/>
        <v>3000</v>
      </c>
      <c r="L230" s="107">
        <v>3000</v>
      </c>
      <c r="M230" s="107">
        <f>Table6[[#This Row],[مرتب الضمان]]*17%</f>
        <v>510.00000000000006</v>
      </c>
      <c r="N230" s="107">
        <f>' الشركه 2018'!$H230*35%</f>
        <v>1050</v>
      </c>
      <c r="O230" s="107">
        <f>' الشركه 2018'!$H230*32%</f>
        <v>960</v>
      </c>
      <c r="P230" s="107">
        <f>' الشركه 2018'!$H230*12%</f>
        <v>360</v>
      </c>
      <c r="Q230" s="107">
        <f>' الشركه 2018'!$H230*13%</f>
        <v>390</v>
      </c>
      <c r="R230" s="107">
        <f>' الشركه 2018'!$H230*6%</f>
        <v>180</v>
      </c>
      <c r="S230" s="107">
        <f>' الشركه 2018'!$H230*2%</f>
        <v>60</v>
      </c>
      <c r="T230" s="107">
        <f>' الشركه 2018'!$O230+' الشركه 2018'!$P230+' الشركه 2018'!$Q230+' الشركه 2018'!$R230+' الشركه 2018'!$S230</f>
        <v>1950</v>
      </c>
      <c r="U230" s="109">
        <f>VLOOKUP(Table6[[#This Row],[الرقم الوظيفى]],[2]بالخصم!$B$1:$AK$1200,35,)</f>
        <v>0</v>
      </c>
      <c r="V230" s="204"/>
      <c r="W230" s="111">
        <f>Table6[[#This Row],[عدد ايام الاجازه]]*Table6[[#This Row],[ح راتب اليوم]]</f>
        <v>0</v>
      </c>
      <c r="X230" s="148"/>
      <c r="Y230" s="201"/>
      <c r="Z230" s="111">
        <f>Table6[[#This Row],[عدد ايام الجزاء]]*Table6[[#This Row],[ح راتب اليوم]]</f>
        <v>0</v>
      </c>
      <c r="AA230" s="112">
        <f>Table6[[#This Row],[مرتب]]*50%</f>
        <v>1500</v>
      </c>
      <c r="AB230" s="113" t="e">
        <f>VLOOKUP(Table6[[#This Row],[الرقم الوظيفى]],[3]!Table25289[#Data],23,)</f>
        <v>#REF!</v>
      </c>
      <c r="AC230" s="205"/>
      <c r="AD230" s="206"/>
      <c r="AE230" s="113" t="e">
        <f>VLOOKUP(Table6[[#This Row],[الرقم الوظيفى]],[3]!Table252894[#Data],22,)</f>
        <v>#REF!</v>
      </c>
      <c r="AF230" s="207"/>
      <c r="AG230" s="111">
        <f>' الشركه 2018'!$W230+' الشركه 2018'!$Z230+' الشركه 2018'!$AA230+' الشركه 2018'!$AC230+' الشركه 2018'!$AD230+' الشركه 2018'!$AF230</f>
        <v>1500</v>
      </c>
      <c r="AH230" s="111">
        <f>Table6[[#This Row],[راتب الضمان]]*8%</f>
        <v>240</v>
      </c>
      <c r="AI230" s="111">
        <f>' الشركه 2018'!$H230-' الشركه 2018'!$AG230-' الشركه 2018'!$AH230</f>
        <v>1260</v>
      </c>
      <c r="AJ230" s="111">
        <f>' الشركه 2018'!$CF230</f>
        <v>1043.6538461538462</v>
      </c>
      <c r="AK230" s="117">
        <f>' الشركه 2018'!$AI230+' الشركه 2018'!$AJ230</f>
        <v>2303.6538461538462</v>
      </c>
      <c r="AL230" s="152"/>
      <c r="AM230" s="153"/>
      <c r="AN230" s="9">
        <f>Table6[[#This Row],[اجمالى الاستحقاق]]-Table6[[#This Row],[Column2]]+Table6[[#This Row],[حوافز غير مستقره]]</f>
        <v>2303.6538461538462</v>
      </c>
      <c r="AO230" s="59"/>
      <c r="AP230" s="169"/>
      <c r="AQ230" s="176"/>
      <c r="AR230" s="124"/>
      <c r="AS230" s="208"/>
      <c r="AT230" s="170">
        <v>8</v>
      </c>
      <c r="AU230" s="124">
        <v>8</v>
      </c>
      <c r="AV230" s="124">
        <v>24</v>
      </c>
      <c r="AW230" s="124"/>
      <c r="AX230" s="124"/>
      <c r="AY230" s="124"/>
      <c r="AZ230" s="124"/>
      <c r="BA230" s="124"/>
      <c r="BB230" s="124"/>
      <c r="BC230" s="124"/>
      <c r="BD230" s="124"/>
      <c r="BE230" s="124"/>
      <c r="BF230" s="124"/>
      <c r="BG230" s="124">
        <v>8</v>
      </c>
      <c r="BH230" s="228">
        <v>8</v>
      </c>
      <c r="BI230" s="124">
        <v>8</v>
      </c>
      <c r="BJ230" s="228"/>
      <c r="BK230" s="124"/>
      <c r="BL230" s="124"/>
      <c r="BM230" s="177"/>
      <c r="BN230" s="177"/>
      <c r="BO230" s="124"/>
      <c r="BP230" s="177"/>
      <c r="BQ230" s="124"/>
      <c r="BR230" s="177"/>
      <c r="BS230" s="177"/>
      <c r="BT230" s="124"/>
      <c r="BU230" s="124"/>
      <c r="BV230" s="124"/>
      <c r="BW230" s="177"/>
      <c r="BX230" s="177"/>
      <c r="BY230" s="177"/>
      <c r="BZ230" s="177"/>
      <c r="CA230" s="177"/>
      <c r="CB23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40</v>
      </c>
      <c r="CC230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30" s="131">
        <f>' الشركه 2018'!$H230*67%*1.5*' الشركه 2018'!$CB230/208</f>
        <v>579.80769230769238</v>
      </c>
      <c r="CE230" s="132">
        <f>' الشركه 2018'!$H230*67%*2*' الشركه 2018'!$CC230/208</f>
        <v>463.84615384615392</v>
      </c>
      <c r="CF230" s="133">
        <f>' الشركه 2018'!$CD230+' الشركه 2018'!$CE230</f>
        <v>1043.6538461538462</v>
      </c>
      <c r="CG230" s="124"/>
      <c r="CH230" s="177"/>
      <c r="CI230" s="124"/>
      <c r="CJ230" s="162"/>
      <c r="CK230" s="162"/>
      <c r="CL230" s="177"/>
      <c r="CM230" s="162"/>
      <c r="CN230" s="162"/>
      <c r="CO230" s="162"/>
      <c r="CP230" s="163"/>
      <c r="CQ230" s="164" t="e">
        <f>VLOOKUP(Table6[[#This Row],[الرقم الوظيفى]],[4]!Table3[#Data],26,FALSE)</f>
        <v>#REF!</v>
      </c>
      <c r="CR230" s="199"/>
      <c r="CS230" s="124"/>
    </row>
    <row r="231" spans="1:97" ht="28" customHeight="1" thickTop="1" thickBot="1">
      <c r="A231" s="222">
        <v>992</v>
      </c>
      <c r="B231" s="249" t="s">
        <v>328</v>
      </c>
      <c r="C231" s="201" t="s">
        <v>90</v>
      </c>
      <c r="D231" s="11" t="s">
        <v>76</v>
      </c>
      <c r="E231" s="202"/>
      <c r="F231" s="11"/>
      <c r="G231" s="145">
        <v>43075</v>
      </c>
      <c r="H231" s="154">
        <v>4000</v>
      </c>
      <c r="I231" s="203">
        <f>Table6[[#This Row],[مرتب]]/30</f>
        <v>133.33333333333334</v>
      </c>
      <c r="J231" s="107">
        <v>30</v>
      </c>
      <c r="K231" s="107">
        <f t="shared" si="3"/>
        <v>0</v>
      </c>
      <c r="L231" s="107">
        <v>0</v>
      </c>
      <c r="M231" s="107">
        <f>Table6[[#This Row],[مرتب الضمان]]*17%</f>
        <v>0</v>
      </c>
      <c r="N231" s="107">
        <f>' الشركه 2018'!$H231*35%</f>
        <v>1400</v>
      </c>
      <c r="O231" s="107">
        <f>' الشركه 2018'!$H231*32%</f>
        <v>1280</v>
      </c>
      <c r="P231" s="107">
        <f>' الشركه 2018'!$H231*12%</f>
        <v>480</v>
      </c>
      <c r="Q231" s="107">
        <f>' الشركه 2018'!$H231*13%</f>
        <v>520</v>
      </c>
      <c r="R231" s="107">
        <f>' الشركه 2018'!$H231*6%</f>
        <v>240</v>
      </c>
      <c r="S231" s="107">
        <f>' الشركه 2018'!$H231*2%</f>
        <v>80</v>
      </c>
      <c r="T231" s="107">
        <f>' الشركه 2018'!$O231+' الشركه 2018'!$P231+' الشركه 2018'!$Q231+' الشركه 2018'!$R231+' الشركه 2018'!$S231</f>
        <v>2600</v>
      </c>
      <c r="U231" s="109">
        <f>VLOOKUP(Table6[[#This Row],[الرقم الوظيفى]],[2]بالخصم!$B$1:$AK$1200,35,)</f>
        <v>0</v>
      </c>
      <c r="V231" s="204"/>
      <c r="W231" s="111">
        <f>Table6[[#This Row],[عدد ايام الاجازه]]*Table6[[#This Row],[ح راتب اليوم]]</f>
        <v>0</v>
      </c>
      <c r="X231" s="148"/>
      <c r="Y231" s="201"/>
      <c r="Z231" s="111">
        <f>Table6[[#This Row],[عدد ايام الجزاء]]*Table6[[#This Row],[ح راتب اليوم]]</f>
        <v>0</v>
      </c>
      <c r="AA231" s="112">
        <f>Table6[[#This Row],[مرتب]]*50%</f>
        <v>2000</v>
      </c>
      <c r="AB231" s="113" t="e">
        <f>VLOOKUP(Table6[[#This Row],[الرقم الوظيفى]],[3]!Table25289[#Data],23,)</f>
        <v>#REF!</v>
      </c>
      <c r="AC231" s="205"/>
      <c r="AD231" s="206"/>
      <c r="AE231" s="113" t="e">
        <f>VLOOKUP(Table6[[#This Row],[الرقم الوظيفى]],[3]!Table252894[#Data],22,)</f>
        <v>#REF!</v>
      </c>
      <c r="AF231" s="207"/>
      <c r="AG231" s="111">
        <f>' الشركه 2018'!$W231+' الشركه 2018'!$Z231+' الشركه 2018'!$AA231+' الشركه 2018'!$AC231+' الشركه 2018'!$AD231+' الشركه 2018'!$AF231</f>
        <v>2000</v>
      </c>
      <c r="AH231" s="111">
        <f>Table6[[#This Row],[راتب الضمان]]*8%</f>
        <v>0</v>
      </c>
      <c r="AI231" s="111">
        <f>' الشركه 2018'!$H231-' الشركه 2018'!$AG231-' الشركه 2018'!$AH231</f>
        <v>2000</v>
      </c>
      <c r="AJ231" s="111">
        <f>' الشركه 2018'!$CF231</f>
        <v>0</v>
      </c>
      <c r="AK231" s="117">
        <f>' الشركه 2018'!$AI231+' الشركه 2018'!$AJ231</f>
        <v>2000</v>
      </c>
      <c r="AL231" s="152"/>
      <c r="AM231" s="153"/>
      <c r="AN231" s="9">
        <f>Table6[[#This Row],[اجمالى الاستحقاق]]-Table6[[#This Row],[Column2]]+Table6[[#This Row],[حوافز غير مستقره]]</f>
        <v>2000</v>
      </c>
      <c r="AO231" s="59"/>
      <c r="AP231" s="169"/>
      <c r="AQ231" s="176"/>
      <c r="AR231" s="124"/>
      <c r="AS231" s="208"/>
      <c r="AT231" s="170"/>
      <c r="AU231" s="124"/>
      <c r="AV231" s="124"/>
      <c r="AW231" s="124"/>
      <c r="AX231" s="124"/>
      <c r="AY231" s="124"/>
      <c r="AZ231" s="124"/>
      <c r="BA231" s="124"/>
      <c r="BB231" s="124"/>
      <c r="BC231" s="124"/>
      <c r="BD231" s="124"/>
      <c r="BE231" s="124"/>
      <c r="BF231" s="124"/>
      <c r="BG231" s="124"/>
      <c r="BH231" s="228"/>
      <c r="BI231" s="124"/>
      <c r="BJ231" s="228"/>
      <c r="BK231" s="124"/>
      <c r="BL231" s="124"/>
      <c r="BM231" s="177"/>
      <c r="BN231" s="177"/>
      <c r="BO231" s="124"/>
      <c r="BP231" s="177"/>
      <c r="BQ231" s="124"/>
      <c r="BR231" s="177"/>
      <c r="BS231" s="177"/>
      <c r="BT231" s="124"/>
      <c r="BU231" s="124"/>
      <c r="BV231" s="124"/>
      <c r="BW231" s="177"/>
      <c r="BX231" s="177"/>
      <c r="BY231" s="177"/>
      <c r="BZ231" s="177"/>
      <c r="CA231" s="177"/>
      <c r="CB23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1" s="131">
        <f>' الشركه 2018'!$H231*67%*1.5*' الشركه 2018'!$CB231/208</f>
        <v>0</v>
      </c>
      <c r="CE231" s="132">
        <f>' الشركه 2018'!$H231*67%*2*' الشركه 2018'!$CC231/208</f>
        <v>0</v>
      </c>
      <c r="CF231" s="133">
        <f>' الشركه 2018'!$CD231+' الشركه 2018'!$CE231</f>
        <v>0</v>
      </c>
      <c r="CG231" s="124"/>
      <c r="CH231" s="177"/>
      <c r="CI231" s="124"/>
      <c r="CJ231" s="162"/>
      <c r="CK231" s="162"/>
      <c r="CL231" s="177"/>
      <c r="CM231" s="162"/>
      <c r="CN231" s="162"/>
      <c r="CO231" s="162"/>
      <c r="CP231" s="163"/>
      <c r="CQ231" s="164" t="e">
        <f>VLOOKUP(Table6[[#This Row],[الرقم الوظيفى]],[4]!Table3[#Data],26,FALSE)</f>
        <v>#REF!</v>
      </c>
      <c r="CR231" s="199"/>
      <c r="CS231" s="124"/>
    </row>
    <row r="232" spans="1:97" ht="28" customHeight="1" thickTop="1" thickBot="1">
      <c r="A232" s="227">
        <v>993</v>
      </c>
      <c r="B232" s="214" t="s">
        <v>699</v>
      </c>
      <c r="C232" s="201" t="s">
        <v>90</v>
      </c>
      <c r="D232" s="11" t="s">
        <v>74</v>
      </c>
      <c r="E232" s="202"/>
      <c r="F232" s="11" t="s">
        <v>63</v>
      </c>
      <c r="G232" s="184">
        <v>43104</v>
      </c>
      <c r="H232" s="154">
        <v>3000</v>
      </c>
      <c r="I232" s="203">
        <f>Table6[[#This Row],[مرتب]]/30</f>
        <v>100</v>
      </c>
      <c r="J232" s="107">
        <v>30</v>
      </c>
      <c r="K232" s="107">
        <f t="shared" si="3"/>
        <v>3000</v>
      </c>
      <c r="L232" s="107">
        <v>3000</v>
      </c>
      <c r="M232" s="107">
        <f>Table6[[#This Row],[مرتب الضمان]]*17%</f>
        <v>510.00000000000006</v>
      </c>
      <c r="N232" s="107">
        <f>' الشركه 2018'!$H232*35%</f>
        <v>1050</v>
      </c>
      <c r="O232" s="107">
        <f>' الشركه 2018'!$H232*32%</f>
        <v>960</v>
      </c>
      <c r="P232" s="107">
        <f>' الشركه 2018'!$H232*12%</f>
        <v>360</v>
      </c>
      <c r="Q232" s="107">
        <f>' الشركه 2018'!$H232*13%</f>
        <v>390</v>
      </c>
      <c r="R232" s="107">
        <f>' الشركه 2018'!$H232*6%</f>
        <v>180</v>
      </c>
      <c r="S232" s="107">
        <f>' الشركه 2018'!$H232*2%</f>
        <v>60</v>
      </c>
      <c r="T232" s="107">
        <f>' الشركه 2018'!$O232+' الشركه 2018'!$P232+' الشركه 2018'!$Q232+' الشركه 2018'!$R232+' الشركه 2018'!$S232</f>
        <v>1950</v>
      </c>
      <c r="U232" s="109">
        <f>VLOOKUP(Table6[[#This Row],[الرقم الوظيفى]],[2]بالخصم!$B$1:$AK$1200,35,)</f>
        <v>0</v>
      </c>
      <c r="V232" s="204"/>
      <c r="W232" s="111">
        <f>Table6[[#This Row],[عدد ايام الاجازه]]*Table6[[#This Row],[ح راتب اليوم]]</f>
        <v>0</v>
      </c>
      <c r="X232" s="148"/>
      <c r="Y232" s="201"/>
      <c r="Z232" s="111">
        <f>Table6[[#This Row],[عدد ايام الجزاء]]*Table6[[#This Row],[ح راتب اليوم]]</f>
        <v>0</v>
      </c>
      <c r="AA232" s="112">
        <f>Table6[[#This Row],[مرتب]]*50%</f>
        <v>1500</v>
      </c>
      <c r="AB232" s="113" t="e">
        <f>VLOOKUP(Table6[[#This Row],[الرقم الوظيفى]],[3]!Table25289[#Data],23,)</f>
        <v>#REF!</v>
      </c>
      <c r="AC232" s="205"/>
      <c r="AD232" s="206"/>
      <c r="AE232" s="113" t="e">
        <f>VLOOKUP(Table6[[#This Row],[الرقم الوظيفى]],[3]!Table252894[#Data],22,)</f>
        <v>#REF!</v>
      </c>
      <c r="AF232" s="207"/>
      <c r="AG232" s="111">
        <f>' الشركه 2018'!$W232+' الشركه 2018'!$Z232+' الشركه 2018'!$AA232+' الشركه 2018'!$AC232+' الشركه 2018'!$AD232+' الشركه 2018'!$AF232</f>
        <v>1500</v>
      </c>
      <c r="AH232" s="111">
        <f>Table6[[#This Row],[راتب الضمان]]*8%</f>
        <v>240</v>
      </c>
      <c r="AI232" s="111">
        <f>' الشركه 2018'!$H232-' الشركه 2018'!$AG232-' الشركه 2018'!$AH232</f>
        <v>1260</v>
      </c>
      <c r="AJ232" s="111">
        <f>' الشركه 2018'!$CF232</f>
        <v>1391.5384615384619</v>
      </c>
      <c r="AK232" s="117">
        <f>' الشركه 2018'!$AI232+' الشركه 2018'!$AJ232</f>
        <v>2651.5384615384619</v>
      </c>
      <c r="AL232" s="152"/>
      <c r="AM232" s="153"/>
      <c r="AN232" s="9">
        <f>Table6[[#This Row],[اجمالى الاستحقاق]]-Table6[[#This Row],[Column2]]+Table6[[#This Row],[حوافز غير مستقره]]</f>
        <v>2651.5384615384619</v>
      </c>
      <c r="AO232" s="59"/>
      <c r="AP232" s="169"/>
      <c r="AQ232" s="176"/>
      <c r="AR232" s="124"/>
      <c r="AS232" s="208"/>
      <c r="AT232" s="170"/>
      <c r="AU232" s="124"/>
      <c r="AV232" s="124">
        <v>24</v>
      </c>
      <c r="AW232" s="124"/>
      <c r="AX232" s="124"/>
      <c r="AY232" s="124"/>
      <c r="AZ232" s="124"/>
      <c r="BA232" s="124"/>
      <c r="BB232" s="124"/>
      <c r="BC232" s="124">
        <v>24</v>
      </c>
      <c r="BD232" s="124"/>
      <c r="BE232" s="124"/>
      <c r="BF232" s="124"/>
      <c r="BG232" s="124"/>
      <c r="BH232" s="228"/>
      <c r="BI232" s="124"/>
      <c r="BJ232" s="228"/>
      <c r="BK232" s="124"/>
      <c r="BL232" s="124"/>
      <c r="BM232" s="177"/>
      <c r="BN232" s="177"/>
      <c r="BO232" s="124"/>
      <c r="BP232" s="177"/>
      <c r="BQ232" s="124">
        <v>24</v>
      </c>
      <c r="BR232" s="177"/>
      <c r="BS232" s="177"/>
      <c r="BT232" s="124"/>
      <c r="BU232" s="124"/>
      <c r="BV232" s="124"/>
      <c r="BW232" s="177"/>
      <c r="BX232" s="177"/>
      <c r="BY232" s="177"/>
      <c r="BZ232" s="177"/>
      <c r="CA232" s="177"/>
      <c r="CB23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2" s="130">
        <f>Table6[[#This Row],[Friday, November 23, 2018]]+Table6[[#This Row],[Friday, November 30, 2018]]+Table6[[#This Row],[Friday, December 07, 2018]]+Table6[[#This Row],[Friday, December 14, 2018]]+Table6[[#This Row],[فروقات عطله]]</f>
        <v>72</v>
      </c>
      <c r="CD232" s="131">
        <f>' الشركه 2018'!$H232*67%*1.5*' الشركه 2018'!$CB232/208</f>
        <v>0</v>
      </c>
      <c r="CE232" s="132">
        <f>' الشركه 2018'!$H232*67%*2*' الشركه 2018'!$CC232/208</f>
        <v>1391.5384615384619</v>
      </c>
      <c r="CF232" s="133">
        <f>' الشركه 2018'!$CD232+' الشركه 2018'!$CE232</f>
        <v>1391.5384615384619</v>
      </c>
      <c r="CG232" s="124"/>
      <c r="CH232" s="177"/>
      <c r="CI232" s="124"/>
      <c r="CJ232" s="162"/>
      <c r="CK232" s="162"/>
      <c r="CL232" s="177"/>
      <c r="CM232" s="162"/>
      <c r="CN232" s="162"/>
      <c r="CO232" s="162"/>
      <c r="CP232" s="163"/>
      <c r="CQ232" s="164" t="e">
        <f>VLOOKUP(Table6[[#This Row],[الرقم الوظيفى]],[4]!Table3[#Data],26,FALSE)</f>
        <v>#REF!</v>
      </c>
      <c r="CR232" s="199"/>
      <c r="CS232" s="124"/>
    </row>
    <row r="233" spans="1:97" ht="28" customHeight="1" thickTop="1" thickBot="1">
      <c r="A233" s="227">
        <v>994</v>
      </c>
      <c r="B233" s="214" t="s">
        <v>700</v>
      </c>
      <c r="C233" s="201" t="s">
        <v>90</v>
      </c>
      <c r="D233" s="11" t="s">
        <v>81</v>
      </c>
      <c r="E233" s="202"/>
      <c r="F233" s="11" t="s">
        <v>63</v>
      </c>
      <c r="G233" s="184">
        <v>43108</v>
      </c>
      <c r="H233" s="154">
        <v>3000</v>
      </c>
      <c r="I233" s="203">
        <f>Table6[[#This Row],[مرتب]]/30</f>
        <v>100</v>
      </c>
      <c r="J233" s="107">
        <v>30</v>
      </c>
      <c r="K233" s="107">
        <f t="shared" si="3"/>
        <v>3000</v>
      </c>
      <c r="L233" s="107">
        <v>3000</v>
      </c>
      <c r="M233" s="107">
        <f>Table6[[#This Row],[مرتب الضمان]]*17%</f>
        <v>510.00000000000006</v>
      </c>
      <c r="N233" s="107">
        <f>' الشركه 2018'!$H233*35%</f>
        <v>1050</v>
      </c>
      <c r="O233" s="107">
        <f>' الشركه 2018'!$H233*32%</f>
        <v>960</v>
      </c>
      <c r="P233" s="107">
        <f>' الشركه 2018'!$H233*12%</f>
        <v>360</v>
      </c>
      <c r="Q233" s="107">
        <f>' الشركه 2018'!$H233*13%</f>
        <v>390</v>
      </c>
      <c r="R233" s="107">
        <f>' الشركه 2018'!$H233*6%</f>
        <v>180</v>
      </c>
      <c r="S233" s="107">
        <f>' الشركه 2018'!$H233*2%</f>
        <v>60</v>
      </c>
      <c r="T233" s="107">
        <f>' الشركه 2018'!$O233+' الشركه 2018'!$P233+' الشركه 2018'!$Q233+' الشركه 2018'!$R233+' الشركه 2018'!$S233</f>
        <v>1950</v>
      </c>
      <c r="U233" s="109">
        <f>VLOOKUP(Table6[[#This Row],[الرقم الوظيفى]],[2]بالخصم!$B$1:$AK$1200,35,)</f>
        <v>0</v>
      </c>
      <c r="V233" s="204"/>
      <c r="W233" s="111">
        <f>Table6[[#This Row],[عدد ايام الاجازه]]*Table6[[#This Row],[ح راتب اليوم]]</f>
        <v>0</v>
      </c>
      <c r="X233" s="148"/>
      <c r="Y233" s="201"/>
      <c r="Z233" s="111">
        <f>Table6[[#This Row],[عدد ايام الجزاء]]*Table6[[#This Row],[ح راتب اليوم]]</f>
        <v>0</v>
      </c>
      <c r="AA233" s="112">
        <f>Table6[[#This Row],[مرتب]]*50%</f>
        <v>1500</v>
      </c>
      <c r="AB233" s="113" t="e">
        <f>VLOOKUP(Table6[[#This Row],[الرقم الوظيفى]],[3]!Table25289[#Data],23,)</f>
        <v>#REF!</v>
      </c>
      <c r="AC233" s="205"/>
      <c r="AD233" s="206"/>
      <c r="AE233" s="113" t="e">
        <f>VLOOKUP(Table6[[#This Row],[الرقم الوظيفى]],[3]!Table252894[#Data],22,)</f>
        <v>#REF!</v>
      </c>
      <c r="AF233" s="207"/>
      <c r="AG233" s="111">
        <f>' الشركه 2018'!$W233+' الشركه 2018'!$Z233+' الشركه 2018'!$AA233+' الشركه 2018'!$AC233+' الشركه 2018'!$AD233+' الشركه 2018'!$AF233</f>
        <v>1500</v>
      </c>
      <c r="AH233" s="111">
        <f>Table6[[#This Row],[راتب الضمان]]*8%</f>
        <v>240</v>
      </c>
      <c r="AI233" s="111">
        <f>' الشركه 2018'!$H233-' الشركه 2018'!$AG233-' الشركه 2018'!$AH233</f>
        <v>1260</v>
      </c>
      <c r="AJ233" s="111">
        <f>' الشركه 2018'!$CF233</f>
        <v>0</v>
      </c>
      <c r="AK233" s="117">
        <f>' الشركه 2018'!$AI233+' الشركه 2018'!$AJ233</f>
        <v>1260</v>
      </c>
      <c r="AL233" s="152"/>
      <c r="AM233" s="153"/>
      <c r="AN233" s="9">
        <f>Table6[[#This Row],[اجمالى الاستحقاق]]-Table6[[#This Row],[Column2]]+Table6[[#This Row],[حوافز غير مستقره]]</f>
        <v>1260</v>
      </c>
      <c r="AO233" s="59"/>
      <c r="AP233" s="169"/>
      <c r="AQ233" s="176"/>
      <c r="AR233" s="124"/>
      <c r="AS233" s="208"/>
      <c r="AT233" s="170"/>
      <c r="AU233" s="124"/>
      <c r="AV233" s="124"/>
      <c r="AW233" s="124"/>
      <c r="AX233" s="124"/>
      <c r="AY233" s="124"/>
      <c r="AZ233" s="124"/>
      <c r="BA233" s="124"/>
      <c r="BB233" s="124"/>
      <c r="BC233" s="124"/>
      <c r="BD233" s="124"/>
      <c r="BE233" s="124"/>
      <c r="BF233" s="124"/>
      <c r="BG233" s="124"/>
      <c r="BH233" s="228"/>
      <c r="BI233" s="124"/>
      <c r="BJ233" s="228"/>
      <c r="BK233" s="124"/>
      <c r="BL233" s="124"/>
      <c r="BM233" s="177"/>
      <c r="BN233" s="177"/>
      <c r="BO233" s="124"/>
      <c r="BP233" s="177"/>
      <c r="BQ233" s="124"/>
      <c r="BR233" s="177"/>
      <c r="BS233" s="177"/>
      <c r="BT233" s="124"/>
      <c r="BU233" s="124"/>
      <c r="BV233" s="124"/>
      <c r="BW233" s="177"/>
      <c r="BX233" s="177"/>
      <c r="BY233" s="177"/>
      <c r="BZ233" s="177"/>
      <c r="CA233" s="177"/>
      <c r="CB23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3" s="131">
        <f>' الشركه 2018'!$H233*67%*1.5*' الشركه 2018'!$CB233/208</f>
        <v>0</v>
      </c>
      <c r="CE233" s="132">
        <f>' الشركه 2018'!$H233*67%*2*' الشركه 2018'!$CC233/208</f>
        <v>0</v>
      </c>
      <c r="CF233" s="133">
        <f>' الشركه 2018'!$CD233+' الشركه 2018'!$CE233</f>
        <v>0</v>
      </c>
      <c r="CG233" s="124"/>
      <c r="CH233" s="177"/>
      <c r="CI233" s="124"/>
      <c r="CJ233" s="162"/>
      <c r="CK233" s="162"/>
      <c r="CL233" s="177"/>
      <c r="CM233" s="162"/>
      <c r="CN233" s="162"/>
      <c r="CO233" s="162"/>
      <c r="CP233" s="163"/>
      <c r="CQ233" s="164" t="e">
        <f>VLOOKUP(Table6[[#This Row],[الرقم الوظيفى]],[4]!Table3[#Data],26,FALSE)</f>
        <v>#REF!</v>
      </c>
      <c r="CR233" s="199"/>
      <c r="CS233" s="124"/>
    </row>
    <row r="234" spans="1:97" ht="28" customHeight="1" thickTop="1" thickBot="1">
      <c r="A234" s="227">
        <v>996</v>
      </c>
      <c r="B234" s="214" t="s">
        <v>701</v>
      </c>
      <c r="C234" s="201" t="s">
        <v>90</v>
      </c>
      <c r="D234" s="143" t="s">
        <v>74</v>
      </c>
      <c r="E234" s="202"/>
      <c r="F234" s="11" t="s">
        <v>177</v>
      </c>
      <c r="G234" s="184">
        <v>43116</v>
      </c>
      <c r="H234" s="154">
        <v>4000</v>
      </c>
      <c r="I234" s="203">
        <f>Table6[[#This Row],[مرتب]]/30</f>
        <v>133.33333333333334</v>
      </c>
      <c r="J234" s="107">
        <v>30</v>
      </c>
      <c r="K234" s="107">
        <f t="shared" si="3"/>
        <v>4000.0000000000005</v>
      </c>
      <c r="L234" s="107">
        <v>4000</v>
      </c>
      <c r="M234" s="107">
        <f>Table6[[#This Row],[مرتب الضمان]]*17%</f>
        <v>680</v>
      </c>
      <c r="N234" s="107">
        <f>' الشركه 2018'!$H234*35%</f>
        <v>1400</v>
      </c>
      <c r="O234" s="107">
        <f>' الشركه 2018'!$H234*32%</f>
        <v>1280</v>
      </c>
      <c r="P234" s="107">
        <f>' الشركه 2018'!$H234*12%</f>
        <v>480</v>
      </c>
      <c r="Q234" s="107">
        <f>' الشركه 2018'!$H234*13%</f>
        <v>520</v>
      </c>
      <c r="R234" s="107">
        <f>' الشركه 2018'!$H234*6%</f>
        <v>240</v>
      </c>
      <c r="S234" s="107">
        <f>' الشركه 2018'!$H234*2%</f>
        <v>80</v>
      </c>
      <c r="T234" s="107">
        <f>' الشركه 2018'!$O234+' الشركه 2018'!$P234+' الشركه 2018'!$Q234+' الشركه 2018'!$R234+' الشركه 2018'!$S234</f>
        <v>2600</v>
      </c>
      <c r="U234" s="109">
        <f>VLOOKUP(Table6[[#This Row],[الرقم الوظيفى]],[2]بالخصم!$B$1:$AK$1200,35,)</f>
        <v>0</v>
      </c>
      <c r="V234" s="204"/>
      <c r="W234" s="111">
        <f>Table6[[#This Row],[عدد ايام الاجازه]]*Table6[[#This Row],[ح راتب اليوم]]</f>
        <v>0</v>
      </c>
      <c r="X234" s="148"/>
      <c r="Y234" s="201"/>
      <c r="Z234" s="111">
        <f>Table6[[#This Row],[عدد ايام الجزاء]]*Table6[[#This Row],[ح راتب اليوم]]</f>
        <v>0</v>
      </c>
      <c r="AA234" s="112">
        <f>Table6[[#This Row],[مرتب]]*50%</f>
        <v>2000</v>
      </c>
      <c r="AB234" s="113" t="e">
        <f>VLOOKUP(Table6[[#This Row],[الرقم الوظيفى]],[3]!Table25289[#Data],23,)</f>
        <v>#REF!</v>
      </c>
      <c r="AC234" s="205"/>
      <c r="AD234" s="206"/>
      <c r="AE234" s="113" t="e">
        <f>VLOOKUP(Table6[[#This Row],[الرقم الوظيفى]],[3]!Table252894[#Data],22,)</f>
        <v>#REF!</v>
      </c>
      <c r="AF234" s="207"/>
      <c r="AG234" s="111">
        <f>' الشركه 2018'!$W234+' الشركه 2018'!$Z234+' الشركه 2018'!$AA234+' الشركه 2018'!$AC234+' الشركه 2018'!$AD234+' الشركه 2018'!$AF234</f>
        <v>2000</v>
      </c>
      <c r="AH234" s="111">
        <f>Table6[[#This Row],[راتب الضمان]]*8%</f>
        <v>320.00000000000006</v>
      </c>
      <c r="AI234" s="111">
        <f>' الشركه 2018'!$H234-' الشركه 2018'!$AG234-' الشركه 2018'!$AH234</f>
        <v>1680</v>
      </c>
      <c r="AJ234" s="111">
        <f>' الشركه 2018'!$CF234</f>
        <v>1236.9230769230769</v>
      </c>
      <c r="AK234" s="117">
        <f>' الشركه 2018'!$AI234+' الشركه 2018'!$AJ234</f>
        <v>2916.9230769230771</v>
      </c>
      <c r="AL234" s="152"/>
      <c r="AM234" s="153"/>
      <c r="AN234" s="9">
        <f>Table6[[#This Row],[اجمالى الاستحقاق]]-Table6[[#This Row],[Column2]]+Table6[[#This Row],[حوافز غير مستقره]]</f>
        <v>2916.9230769230771</v>
      </c>
      <c r="AO234" s="59"/>
      <c r="AP234" s="169"/>
      <c r="AQ234" s="176"/>
      <c r="AR234" s="124"/>
      <c r="AS234" s="208"/>
      <c r="AT234" s="170"/>
      <c r="AU234" s="124"/>
      <c r="AV234" s="124">
        <v>24</v>
      </c>
      <c r="AW234" s="124"/>
      <c r="AX234" s="124"/>
      <c r="AY234" s="124"/>
      <c r="AZ234" s="124"/>
      <c r="BA234" s="124"/>
      <c r="BB234" s="124"/>
      <c r="BC234" s="124">
        <v>12</v>
      </c>
      <c r="BD234" s="124"/>
      <c r="BE234" s="124"/>
      <c r="BF234" s="124"/>
      <c r="BG234" s="124"/>
      <c r="BH234" s="228"/>
      <c r="BI234" s="124"/>
      <c r="BJ234" s="228"/>
      <c r="BK234" s="124"/>
      <c r="BL234" s="124"/>
      <c r="BM234" s="177">
        <v>8</v>
      </c>
      <c r="BN234" s="177"/>
      <c r="BO234" s="124">
        <v>8</v>
      </c>
      <c r="BP234" s="177"/>
      <c r="BQ234" s="124"/>
      <c r="BR234" s="177"/>
      <c r="BS234" s="177"/>
      <c r="BT234" s="124"/>
      <c r="BU234" s="124"/>
      <c r="BV234" s="124"/>
      <c r="BW234" s="177"/>
      <c r="BX234" s="177"/>
      <c r="BY234" s="177"/>
      <c r="BZ234" s="177"/>
      <c r="CA234" s="177"/>
      <c r="CB23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234" s="130">
        <f>Table6[[#This Row],[Friday, November 23, 2018]]+Table6[[#This Row],[Friday, November 30, 2018]]+Table6[[#This Row],[Friday, December 07, 2018]]+Table6[[#This Row],[Friday, December 14, 2018]]+Table6[[#This Row],[فروقات عطله]]</f>
        <v>36</v>
      </c>
      <c r="CD234" s="131">
        <f>' الشركه 2018'!$H234*67%*1.5*' الشركه 2018'!$CB234/208</f>
        <v>309.23076923076923</v>
      </c>
      <c r="CE234" s="132">
        <f>' الشركه 2018'!$H234*67%*2*' الشركه 2018'!$CC234/208</f>
        <v>927.69230769230774</v>
      </c>
      <c r="CF234" s="133">
        <f>' الشركه 2018'!$CD234+' الشركه 2018'!$CE234</f>
        <v>1236.9230769230769</v>
      </c>
      <c r="CG234" s="124"/>
      <c r="CH234" s="177"/>
      <c r="CI234" s="124"/>
      <c r="CJ234" s="162"/>
      <c r="CK234" s="162"/>
      <c r="CL234" s="177"/>
      <c r="CM234" s="162"/>
      <c r="CN234" s="162"/>
      <c r="CO234" s="162"/>
      <c r="CP234" s="163"/>
      <c r="CQ234" s="164" t="e">
        <f>VLOOKUP(Table6[[#This Row],[الرقم الوظيفى]],[4]!Table3[#Data],26,FALSE)</f>
        <v>#REF!</v>
      </c>
      <c r="CR234" s="199"/>
      <c r="CS234" s="124"/>
    </row>
    <row r="235" spans="1:97" ht="28" customHeight="1" thickTop="1" thickBot="1">
      <c r="A235" s="227">
        <v>997</v>
      </c>
      <c r="B235" s="214" t="s">
        <v>702</v>
      </c>
      <c r="C235" s="201" t="s">
        <v>90</v>
      </c>
      <c r="D235" s="143" t="s">
        <v>74</v>
      </c>
      <c r="E235" s="202"/>
      <c r="F235" s="11" t="s">
        <v>177</v>
      </c>
      <c r="G235" s="184">
        <v>43116</v>
      </c>
      <c r="H235" s="154">
        <v>4000</v>
      </c>
      <c r="I235" s="203">
        <f>Table6[[#This Row],[مرتب]]/30</f>
        <v>133.33333333333334</v>
      </c>
      <c r="J235" s="107">
        <v>30</v>
      </c>
      <c r="K235" s="107">
        <f t="shared" si="3"/>
        <v>4000.0000000000005</v>
      </c>
      <c r="L235" s="107">
        <v>4000</v>
      </c>
      <c r="M235" s="107">
        <f>Table6[[#This Row],[مرتب الضمان]]*17%</f>
        <v>680</v>
      </c>
      <c r="N235" s="107">
        <f>' الشركه 2018'!$H235*35%</f>
        <v>1400</v>
      </c>
      <c r="O235" s="107">
        <f>' الشركه 2018'!$H235*32%</f>
        <v>1280</v>
      </c>
      <c r="P235" s="107">
        <f>' الشركه 2018'!$H235*12%</f>
        <v>480</v>
      </c>
      <c r="Q235" s="107">
        <f>' الشركه 2018'!$H235*13%</f>
        <v>520</v>
      </c>
      <c r="R235" s="107">
        <f>' الشركه 2018'!$H235*6%</f>
        <v>240</v>
      </c>
      <c r="S235" s="107">
        <f>' الشركه 2018'!$H235*2%</f>
        <v>80</v>
      </c>
      <c r="T235" s="107">
        <f>' الشركه 2018'!$O235+' الشركه 2018'!$P235+' الشركه 2018'!$Q235+' الشركه 2018'!$R235+' الشركه 2018'!$S235</f>
        <v>2600</v>
      </c>
      <c r="U235" s="109">
        <f>VLOOKUP(Table6[[#This Row],[الرقم الوظيفى]],[2]بالخصم!$B$1:$AK$1200,35,)</f>
        <v>0</v>
      </c>
      <c r="V235" s="204"/>
      <c r="W235" s="111">
        <f>Table6[[#This Row],[عدد ايام الاجازه]]*Table6[[#This Row],[ح راتب اليوم]]</f>
        <v>0</v>
      </c>
      <c r="X235" s="148"/>
      <c r="Y235" s="201"/>
      <c r="Z235" s="111">
        <f>Table6[[#This Row],[عدد ايام الجزاء]]*Table6[[#This Row],[ح راتب اليوم]]</f>
        <v>0</v>
      </c>
      <c r="AA235" s="112">
        <f>Table6[[#This Row],[مرتب]]*50%</f>
        <v>2000</v>
      </c>
      <c r="AB235" s="113" t="e">
        <f>VLOOKUP(Table6[[#This Row],[الرقم الوظيفى]],[3]!Table25289[#Data],23,)</f>
        <v>#REF!</v>
      </c>
      <c r="AC235" s="205"/>
      <c r="AD235" s="206"/>
      <c r="AE235" s="113" t="e">
        <f>VLOOKUP(Table6[[#This Row],[الرقم الوظيفى]],[3]!Table252894[#Data],22,)</f>
        <v>#REF!</v>
      </c>
      <c r="AF235" s="207"/>
      <c r="AG235" s="111">
        <f>' الشركه 2018'!$W235+' الشركه 2018'!$Z235+' الشركه 2018'!$AA235+' الشركه 2018'!$AC235+' الشركه 2018'!$AD235+' الشركه 2018'!$AF235</f>
        <v>2000</v>
      </c>
      <c r="AH235" s="111">
        <f>Table6[[#This Row],[راتب الضمان]]*8%</f>
        <v>320.00000000000006</v>
      </c>
      <c r="AI235" s="111">
        <f>' الشركه 2018'!$H235-' الشركه 2018'!$AG235-' الشركه 2018'!$AH235</f>
        <v>1680</v>
      </c>
      <c r="AJ235" s="111">
        <f>' الشركه 2018'!$CF235</f>
        <v>2937.6923076923076</v>
      </c>
      <c r="AK235" s="117">
        <f>' الشركه 2018'!$AI235+' الشركه 2018'!$AJ235</f>
        <v>4617.6923076923076</v>
      </c>
      <c r="AL235" s="152"/>
      <c r="AM235" s="153"/>
      <c r="AN235" s="9">
        <f>Table6[[#This Row],[اجمالى الاستحقاق]]-Table6[[#This Row],[Column2]]+Table6[[#This Row],[حوافز غير مستقره]]</f>
        <v>4617.6923076923076</v>
      </c>
      <c r="AO235" s="59"/>
      <c r="AP235" s="169"/>
      <c r="AQ235" s="176"/>
      <c r="AR235" s="124"/>
      <c r="AS235" s="208"/>
      <c r="AT235" s="170"/>
      <c r="AU235" s="124"/>
      <c r="AV235" s="124"/>
      <c r="AW235" s="124"/>
      <c r="AX235" s="124"/>
      <c r="AY235" s="124">
        <v>8</v>
      </c>
      <c r="AZ235" s="124"/>
      <c r="BA235" s="124"/>
      <c r="BB235" s="124"/>
      <c r="BC235" s="124">
        <v>24</v>
      </c>
      <c r="BD235" s="124"/>
      <c r="BE235" s="124"/>
      <c r="BF235" s="124"/>
      <c r="BG235" s="124">
        <v>8</v>
      </c>
      <c r="BH235" s="228">
        <v>8</v>
      </c>
      <c r="BI235" s="124"/>
      <c r="BJ235" s="228"/>
      <c r="BK235" s="124"/>
      <c r="BL235" s="124">
        <v>8</v>
      </c>
      <c r="BM235" s="177"/>
      <c r="BN235" s="177"/>
      <c r="BO235" s="124"/>
      <c r="BP235" s="177"/>
      <c r="BQ235" s="124">
        <v>24</v>
      </c>
      <c r="BR235" s="177"/>
      <c r="BS235" s="177">
        <v>8</v>
      </c>
      <c r="BT235" s="124"/>
      <c r="BU235" s="124"/>
      <c r="BV235" s="124"/>
      <c r="BW235" s="177"/>
      <c r="BX235" s="177"/>
      <c r="BY235" s="177"/>
      <c r="BZ235" s="177"/>
      <c r="CA235" s="177">
        <v>36</v>
      </c>
      <c r="CB23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40</v>
      </c>
      <c r="CC235" s="130">
        <f>Table6[[#This Row],[Friday, November 23, 2018]]+Table6[[#This Row],[Friday, November 30, 2018]]+Table6[[#This Row],[Friday, December 07, 2018]]+Table6[[#This Row],[Friday, December 14, 2018]]+Table6[[#This Row],[فروقات عطله]]</f>
        <v>84</v>
      </c>
      <c r="CD235" s="131">
        <f>' الشركه 2018'!$H235*67%*1.5*' الشركه 2018'!$CB235/208</f>
        <v>773.07692307692309</v>
      </c>
      <c r="CE235" s="132">
        <f>' الشركه 2018'!$H235*67%*2*' الشركه 2018'!$CC235/208</f>
        <v>2164.6153846153848</v>
      </c>
      <c r="CF235" s="133">
        <f>' الشركه 2018'!$CD235+' الشركه 2018'!$CE235</f>
        <v>2937.6923076923076</v>
      </c>
      <c r="CG235" s="124"/>
      <c r="CH235" s="177"/>
      <c r="CI235" s="124"/>
      <c r="CJ235" s="162"/>
      <c r="CK235" s="162"/>
      <c r="CL235" s="177"/>
      <c r="CM235" s="162"/>
      <c r="CN235" s="162"/>
      <c r="CO235" s="162"/>
      <c r="CP235" s="163"/>
      <c r="CQ235" s="164" t="e">
        <f>VLOOKUP(Table6[[#This Row],[الرقم الوظيفى]],[4]!Table3[#Data],26,FALSE)</f>
        <v>#REF!</v>
      </c>
      <c r="CR235" s="199"/>
      <c r="CS235" s="124"/>
    </row>
    <row r="236" spans="1:97" ht="28" customHeight="1" thickTop="1" thickBot="1">
      <c r="A236" s="227">
        <v>999</v>
      </c>
      <c r="B236" s="214" t="s">
        <v>703</v>
      </c>
      <c r="C236" s="59" t="s">
        <v>90</v>
      </c>
      <c r="D236" s="11" t="s">
        <v>74</v>
      </c>
      <c r="E236" s="202"/>
      <c r="F236" s="11"/>
      <c r="G236" s="184">
        <v>43134</v>
      </c>
      <c r="H236" s="154">
        <v>3000</v>
      </c>
      <c r="I236" s="203">
        <f>Table6[[#This Row],[مرتب]]/30</f>
        <v>100</v>
      </c>
      <c r="J236" s="107">
        <v>30</v>
      </c>
      <c r="K236" s="107">
        <f t="shared" si="3"/>
        <v>3000</v>
      </c>
      <c r="L236" s="107">
        <v>3000</v>
      </c>
      <c r="M236" s="107">
        <f>Table6[[#This Row],[مرتب الضمان]]*17%</f>
        <v>510.00000000000006</v>
      </c>
      <c r="N236" s="107">
        <f>' الشركه 2018'!$H236*35%</f>
        <v>1050</v>
      </c>
      <c r="O236" s="107">
        <f>' الشركه 2018'!$H236*32%</f>
        <v>960</v>
      </c>
      <c r="P236" s="107">
        <f>' الشركه 2018'!$H236*12%</f>
        <v>360</v>
      </c>
      <c r="Q236" s="107">
        <f>' الشركه 2018'!$H236*13%</f>
        <v>390</v>
      </c>
      <c r="R236" s="107">
        <f>' الشركه 2018'!$H236*6%</f>
        <v>180</v>
      </c>
      <c r="S236" s="107">
        <f>' الشركه 2018'!$H236*2%</f>
        <v>60</v>
      </c>
      <c r="T236" s="107">
        <f>' الشركه 2018'!$O236+' الشركه 2018'!$P236+' الشركه 2018'!$Q236+' الشركه 2018'!$R236+' الشركه 2018'!$S236</f>
        <v>1950</v>
      </c>
      <c r="U236" s="109">
        <f>VLOOKUP(Table6[[#This Row],[الرقم الوظيفى]],[2]بالخصم!$B$1:$AK$1200,35,)</f>
        <v>0</v>
      </c>
      <c r="V236" s="204"/>
      <c r="W236" s="111">
        <f>Table6[[#This Row],[عدد ايام الاجازه]]*Table6[[#This Row],[ح راتب اليوم]]</f>
        <v>0</v>
      </c>
      <c r="X236" s="148"/>
      <c r="Y236" s="201"/>
      <c r="Z236" s="111">
        <f>Table6[[#This Row],[عدد ايام الجزاء]]*Table6[[#This Row],[ح راتب اليوم]]</f>
        <v>0</v>
      </c>
      <c r="AA236" s="112">
        <f>Table6[[#This Row],[مرتب]]*50%</f>
        <v>1500</v>
      </c>
      <c r="AB236" s="113" t="e">
        <f>VLOOKUP(Table6[[#This Row],[الرقم الوظيفى]],[3]!Table25289[#Data],23,)</f>
        <v>#REF!</v>
      </c>
      <c r="AC236" s="205"/>
      <c r="AD236" s="206"/>
      <c r="AE236" s="113" t="e">
        <f>VLOOKUP(Table6[[#This Row],[الرقم الوظيفى]],[3]!Table252894[#Data],22,)</f>
        <v>#REF!</v>
      </c>
      <c r="AF236" s="207"/>
      <c r="AG236" s="111">
        <f>' الشركه 2018'!$W236+' الشركه 2018'!$Z236+' الشركه 2018'!$AA236+' الشركه 2018'!$AC236+' الشركه 2018'!$AD236+' الشركه 2018'!$AF236</f>
        <v>1500</v>
      </c>
      <c r="AH236" s="111">
        <f>Table6[[#This Row],[راتب الضمان]]*8%</f>
        <v>240</v>
      </c>
      <c r="AI236" s="111">
        <f>' الشركه 2018'!$H236-' الشركه 2018'!$AG236-' الشركه 2018'!$AH236</f>
        <v>1260</v>
      </c>
      <c r="AJ236" s="111">
        <f>' الشركه 2018'!$CF236</f>
        <v>0</v>
      </c>
      <c r="AK236" s="117">
        <f>' الشركه 2018'!$AI236+' الشركه 2018'!$AJ236</f>
        <v>1260</v>
      </c>
      <c r="AL236" s="152"/>
      <c r="AM236" s="153"/>
      <c r="AN236" s="9">
        <f>Table6[[#This Row],[اجمالى الاستحقاق]]-Table6[[#This Row],[Column2]]+Table6[[#This Row],[حوافز غير مستقره]]</f>
        <v>1260</v>
      </c>
      <c r="AO236" s="59"/>
      <c r="AP236" s="169"/>
      <c r="AQ236" s="176"/>
      <c r="AR236" s="124"/>
      <c r="AS236" s="208"/>
      <c r="AT236" s="170"/>
      <c r="AU236" s="124"/>
      <c r="AV236" s="124"/>
      <c r="AW236" s="124"/>
      <c r="AX236" s="124"/>
      <c r="AY236" s="124"/>
      <c r="AZ236" s="124"/>
      <c r="BA236" s="124"/>
      <c r="BB236" s="124"/>
      <c r="BC236" s="124"/>
      <c r="BD236" s="124"/>
      <c r="BE236" s="124"/>
      <c r="BF236" s="124"/>
      <c r="BG236" s="124"/>
      <c r="BH236" s="228"/>
      <c r="BI236" s="124"/>
      <c r="BJ236" s="228"/>
      <c r="BK236" s="124"/>
      <c r="BL236" s="124"/>
      <c r="BM236" s="177"/>
      <c r="BN236" s="177"/>
      <c r="BO236" s="124"/>
      <c r="BP236" s="177"/>
      <c r="BQ236" s="124"/>
      <c r="BR236" s="177"/>
      <c r="BS236" s="177"/>
      <c r="BT236" s="124"/>
      <c r="BU236" s="124"/>
      <c r="BV236" s="124"/>
      <c r="BW236" s="177"/>
      <c r="BX236" s="177"/>
      <c r="BY236" s="177"/>
      <c r="BZ236" s="177"/>
      <c r="CA236" s="177"/>
      <c r="CB23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6" s="131">
        <f>' الشركه 2018'!$H236*67%*1.5*' الشركه 2018'!$CB236/208</f>
        <v>0</v>
      </c>
      <c r="CE236" s="132">
        <f>' الشركه 2018'!$H236*67%*2*' الشركه 2018'!$CC236/208</f>
        <v>0</v>
      </c>
      <c r="CF236" s="133">
        <f>' الشركه 2018'!$CD236+' الشركه 2018'!$CE236</f>
        <v>0</v>
      </c>
      <c r="CG236" s="124"/>
      <c r="CH236" s="177"/>
      <c r="CI236" s="124"/>
      <c r="CJ236" s="162"/>
      <c r="CK236" s="162"/>
      <c r="CL236" s="177"/>
      <c r="CM236" s="162"/>
      <c r="CN236" s="162"/>
      <c r="CO236" s="162"/>
      <c r="CP236" s="163"/>
      <c r="CQ236" s="164" t="e">
        <f>VLOOKUP(Table6[[#This Row],[الرقم الوظيفى]],[4]!Table3[#Data],26,FALSE)</f>
        <v>#REF!</v>
      </c>
      <c r="CR236" s="199"/>
      <c r="CS236" s="124"/>
    </row>
    <row r="237" spans="1:97" s="346" customFormat="1" ht="28" customHeight="1" thickTop="1" thickBot="1">
      <c r="A237" s="181">
        <v>1001</v>
      </c>
      <c r="B237" s="182" t="s">
        <v>151</v>
      </c>
      <c r="C237" s="11" t="s">
        <v>137</v>
      </c>
      <c r="D237" s="183" t="s">
        <v>663</v>
      </c>
      <c r="E237" s="174"/>
      <c r="F237" s="143"/>
      <c r="G237" s="184">
        <v>39083</v>
      </c>
      <c r="H237" s="185">
        <v>35000</v>
      </c>
      <c r="I237" s="103">
        <f>Table6[[#This Row],[مرتب]]/30</f>
        <v>1166.6666666666667</v>
      </c>
      <c r="J237" s="143">
        <v>30</v>
      </c>
      <c r="K237" s="143">
        <f t="shared" si="3"/>
        <v>35000</v>
      </c>
      <c r="L237" s="12">
        <v>35000</v>
      </c>
      <c r="M237" s="143">
        <f>Table6[[#This Row],[مرتب الضمان]]*17%</f>
        <v>5950</v>
      </c>
      <c r="N237" s="143">
        <f>' الشركه 2018'!$H237*35%</f>
        <v>12250</v>
      </c>
      <c r="O237" s="143">
        <f>' الشركه 2018'!$H237*32%</f>
        <v>11200</v>
      </c>
      <c r="P237" s="143">
        <f>' الشركه 2018'!$H237*12%</f>
        <v>4200</v>
      </c>
      <c r="Q237" s="143">
        <f>' الشركه 2018'!$H237*13%</f>
        <v>4550</v>
      </c>
      <c r="R237" s="143">
        <f>' الشركه 2018'!$H237*6%</f>
        <v>2100</v>
      </c>
      <c r="S237" s="143">
        <f>' الشركه 2018'!$H237*2%</f>
        <v>700</v>
      </c>
      <c r="T237" s="143">
        <f>' الشركه 2018'!$O237+' الشركه 2018'!$P237+' الشركه 2018'!$Q237+' الشركه 2018'!$R237+' الشركه 2018'!$S237</f>
        <v>22750</v>
      </c>
      <c r="U237" s="109">
        <f>VLOOKUP(Table6[[#This Row],[الرقم الوظيفى]],[2]بالخصم!$B$1:$AK$1200,35,)</f>
        <v>0</v>
      </c>
      <c r="V237" s="186"/>
      <c r="W237" s="187">
        <f>Table6[[#This Row],[عدد ايام الاجازه]]*Table6[[#This Row],[ح راتب اليوم]]</f>
        <v>0</v>
      </c>
      <c r="X237" s="188"/>
      <c r="Y237" s="189"/>
      <c r="Z237" s="187">
        <f>Table6[[#This Row],[عدد ايام الجزاء]]*Table6[[#This Row],[ح راتب اليوم]]</f>
        <v>0</v>
      </c>
      <c r="AA237" s="190"/>
      <c r="AB237" s="191" t="e">
        <f>VLOOKUP(Table6[[#This Row],[الرقم الوظيفى]],[3]!Table25289[#Data],23,)</f>
        <v>#REF!</v>
      </c>
      <c r="AC237" s="224"/>
      <c r="AD237" s="193"/>
      <c r="AE237" s="113" t="e">
        <f>VLOOKUP(Table6[[#This Row],[الرقم الوظيفى]],[3]!Table252894[#Data],22,)</f>
        <v>#REF!</v>
      </c>
      <c r="AF237" s="226"/>
      <c r="AG237" s="111">
        <f>' الشركه 2018'!$W237+' الشركه 2018'!$Z237+' الشركه 2018'!$AA237+' الشركه 2018'!$AC237+' الشركه 2018'!$AD237+' الشركه 2018'!$AF237</f>
        <v>0</v>
      </c>
      <c r="AH237" s="111">
        <f>Table6[[#This Row],[راتب الضمان]]*8%</f>
        <v>2800</v>
      </c>
      <c r="AI237" s="111">
        <f>' الشركه 2018'!$H237-' الشركه 2018'!$AG237-' الشركه 2018'!$AH237</f>
        <v>32200</v>
      </c>
      <c r="AJ237" s="111">
        <f>' الشركه 2018'!$CF237</f>
        <v>727.17548076923072</v>
      </c>
      <c r="AK237" s="117">
        <f>' الشركه 2018'!$AI237+' الشركه 2018'!$AJ237</f>
        <v>32927.175480769234</v>
      </c>
      <c r="AL237" s="195"/>
      <c r="AM237" s="196"/>
      <c r="AN237" s="9">
        <f>Table6[[#This Row],[اجمالى الاستحقاق]]-Table6[[#This Row],[Column2]]+Table6[[#This Row],[حوافز غير مستقره]]</f>
        <v>32927.175480769234</v>
      </c>
      <c r="AO237" s="197"/>
      <c r="AP237" s="198"/>
      <c r="AQ237" s="176"/>
      <c r="AR237" s="124"/>
      <c r="AS237" s="155"/>
      <c r="AT237" s="170">
        <v>0.5</v>
      </c>
      <c r="AU237" s="124"/>
      <c r="AV237" s="124"/>
      <c r="AW237" s="124"/>
      <c r="AX237" s="124"/>
      <c r="AY237" s="124"/>
      <c r="AZ237" s="124">
        <v>1.3</v>
      </c>
      <c r="BA237" s="124"/>
      <c r="BB237" s="124"/>
      <c r="BC237" s="124"/>
      <c r="BD237" s="124"/>
      <c r="BE237" s="124">
        <v>0.5</v>
      </c>
      <c r="BF237" s="124"/>
      <c r="BG237" s="124"/>
      <c r="BH237" s="124"/>
      <c r="BI237" s="124"/>
      <c r="BJ237" s="124"/>
      <c r="BK237" s="124"/>
      <c r="BL237" s="124"/>
      <c r="BM237" s="124">
        <v>1.5</v>
      </c>
      <c r="BN237" s="124"/>
      <c r="BO237" s="124"/>
      <c r="BP237" s="124"/>
      <c r="BQ237" s="124"/>
      <c r="BR237" s="124"/>
      <c r="BS237" s="124"/>
      <c r="BT237" s="124">
        <v>0.5</v>
      </c>
      <c r="BU237" s="124"/>
      <c r="BV237" s="124"/>
      <c r="BW237" s="124"/>
      <c r="BX237" s="124"/>
      <c r="BY237" s="124"/>
      <c r="BZ237" s="171"/>
      <c r="CA237" s="172"/>
      <c r="CB23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4.3</v>
      </c>
      <c r="CC23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7" s="131">
        <f>' الشركه 2018'!$H237*67%*1.5*' الشركه 2018'!$CB237/208</f>
        <v>727.17548076923072</v>
      </c>
      <c r="CE237" s="132">
        <f>' الشركه 2018'!$H237*67%*2*' الشركه 2018'!$CC237/208</f>
        <v>0</v>
      </c>
      <c r="CF237" s="133">
        <f>' الشركه 2018'!$CD237+' الشركه 2018'!$CE237</f>
        <v>727.17548076923072</v>
      </c>
      <c r="CG237" s="124"/>
      <c r="CH237" s="177">
        <f>SUMIF(C237:C550,' الشركه 2018'!$CG200,L237:L550)</f>
        <v>0</v>
      </c>
      <c r="CI237" s="124"/>
      <c r="CJ237" s="177">
        <f>' الشركه 2018'!$CH200*' الشركه 2018'!$CI200</f>
        <v>0</v>
      </c>
      <c r="CK237" s="177">
        <f>' الشركه 2018'!$CJ200*8%</f>
        <v>0</v>
      </c>
      <c r="CL237" s="177">
        <f>' الشركه 2018'!$CJ200*17%</f>
        <v>0</v>
      </c>
      <c r="CM237" s="177">
        <f>' الشركه 2018'!$CJ200*25%</f>
        <v>0</v>
      </c>
      <c r="CN237" s="162"/>
      <c r="CO237" s="162"/>
      <c r="CP237" s="163"/>
      <c r="CQ237" s="164" t="e">
        <f>VLOOKUP(Table6[[#This Row],[الرقم الوظيفى]],[4]!Table3[#Data],26,FALSE)</f>
        <v>#REF!</v>
      </c>
      <c r="CR237" s="199"/>
      <c r="CS237" s="162"/>
    </row>
    <row r="238" spans="1:97" s="231" customFormat="1" ht="28" customHeight="1" thickTop="1" thickBot="1">
      <c r="A238" s="181">
        <v>1005</v>
      </c>
      <c r="B238" s="182" t="s">
        <v>161</v>
      </c>
      <c r="C238" s="11" t="s">
        <v>137</v>
      </c>
      <c r="D238" s="183" t="s">
        <v>82</v>
      </c>
      <c r="E238" s="174" t="s">
        <v>652</v>
      </c>
      <c r="F238" s="143" t="s">
        <v>112</v>
      </c>
      <c r="G238" s="184">
        <v>39083</v>
      </c>
      <c r="H238" s="185">
        <v>5030</v>
      </c>
      <c r="I238" s="103">
        <f>Table6[[#This Row],[مرتب]]/30</f>
        <v>167.66666666666666</v>
      </c>
      <c r="J238" s="143">
        <v>30</v>
      </c>
      <c r="K238" s="143">
        <f t="shared" si="3"/>
        <v>0</v>
      </c>
      <c r="L238" s="12">
        <v>0</v>
      </c>
      <c r="M238" s="143">
        <f>Table6[[#This Row],[مرتب الضمان]]*17%</f>
        <v>0</v>
      </c>
      <c r="N238" s="143">
        <f>' الشركه 2018'!$H238*35%</f>
        <v>1760.5</v>
      </c>
      <c r="O238" s="143">
        <f>' الشركه 2018'!$H238*32%</f>
        <v>1609.6000000000001</v>
      </c>
      <c r="P238" s="143">
        <f>' الشركه 2018'!$H238*12%</f>
        <v>603.6</v>
      </c>
      <c r="Q238" s="143">
        <f>' الشركه 2018'!$H238*13%</f>
        <v>653.9</v>
      </c>
      <c r="R238" s="143">
        <f>' الشركه 2018'!$H238*6%</f>
        <v>301.8</v>
      </c>
      <c r="S238" s="143">
        <f>' الشركه 2018'!$H238*2%</f>
        <v>100.60000000000001</v>
      </c>
      <c r="T238" s="143">
        <f>' الشركه 2018'!$O238+' الشركه 2018'!$P238+' الشركه 2018'!$Q238+' الشركه 2018'!$R238+' الشركه 2018'!$S238</f>
        <v>3269.5000000000005</v>
      </c>
      <c r="U238" s="109">
        <f>VLOOKUP(Table6[[#This Row],[الرقم الوظيفى]],[2]بالخصم!$B$1:$AK$1200,35,)</f>
        <v>0</v>
      </c>
      <c r="V238" s="186"/>
      <c r="W238" s="187">
        <f>Table6[[#This Row],[عدد ايام الاجازه]]*Table6[[#This Row],[ح راتب اليوم]]</f>
        <v>0</v>
      </c>
      <c r="X238" s="188"/>
      <c r="Y238" s="189"/>
      <c r="Z238" s="187">
        <f>Table6[[#This Row],[عدد ايام الجزاء]]*Table6[[#This Row],[ح راتب اليوم]]</f>
        <v>0</v>
      </c>
      <c r="AA238" s="190">
        <v>700</v>
      </c>
      <c r="AB238" s="191" t="e">
        <f>VLOOKUP(Table6[[#This Row],[الرقم الوظيفى]],[3]!Table25289[#Data],23,)</f>
        <v>#REF!</v>
      </c>
      <c r="AC238" s="224"/>
      <c r="AD238" s="193"/>
      <c r="AE238" s="113" t="e">
        <f>VLOOKUP(Table6[[#This Row],[الرقم الوظيفى]],[3]!Table252894[#Data],22,)</f>
        <v>#REF!</v>
      </c>
      <c r="AF238" s="226"/>
      <c r="AG238" s="111">
        <f>' الشركه 2018'!$W238+' الشركه 2018'!$Z238+' الشركه 2018'!$AA238+' الشركه 2018'!$AC238+' الشركه 2018'!$AD238+' الشركه 2018'!$AF238</f>
        <v>700</v>
      </c>
      <c r="AH238" s="111">
        <f>Table6[[#This Row],[راتب الضمان]]*8%</f>
        <v>0</v>
      </c>
      <c r="AI238" s="111">
        <f>' الشركه 2018'!$H238-' الشركه 2018'!$AG238-' الشركه 2018'!$AH238</f>
        <v>4330</v>
      </c>
      <c r="AJ238" s="111">
        <f>' الشركه 2018'!$CF238</f>
        <v>0</v>
      </c>
      <c r="AK238" s="117">
        <f>' الشركه 2018'!$AI238+' الشركه 2018'!$AJ238</f>
        <v>4330</v>
      </c>
      <c r="AL238" s="195"/>
      <c r="AM238" s="196"/>
      <c r="AN238" s="9">
        <f>Table6[[#This Row],[اجمالى الاستحقاق]]-Table6[[#This Row],[Column2]]+Table6[[#This Row],[حوافز غير مستقره]]</f>
        <v>4330</v>
      </c>
      <c r="AO238" s="197"/>
      <c r="AP238" s="198"/>
      <c r="AQ238" s="176"/>
      <c r="AR238" s="124"/>
      <c r="AS238" s="155"/>
      <c r="AT238" s="170"/>
      <c r="AU238" s="124"/>
      <c r="AV238" s="124"/>
      <c r="AW238" s="124"/>
      <c r="AX238" s="124"/>
      <c r="AY238" s="124"/>
      <c r="AZ238" s="124"/>
      <c r="BA238" s="124"/>
      <c r="BB238" s="124"/>
      <c r="BC238" s="124"/>
      <c r="BD238" s="124"/>
      <c r="BE238" s="124"/>
      <c r="BF238" s="124"/>
      <c r="BG238" s="124"/>
      <c r="BH238" s="124"/>
      <c r="BI238" s="124"/>
      <c r="BJ238" s="124"/>
      <c r="BK238" s="124"/>
      <c r="BL238" s="124"/>
      <c r="BM238" s="124"/>
      <c r="BN238" s="124"/>
      <c r="BO238" s="124"/>
      <c r="BP238" s="124"/>
      <c r="BQ238" s="124"/>
      <c r="BR238" s="124"/>
      <c r="BS238" s="124"/>
      <c r="BT238" s="124"/>
      <c r="BU238" s="124"/>
      <c r="BV238" s="124"/>
      <c r="BW238" s="124"/>
      <c r="BX238" s="124"/>
      <c r="BY238" s="124"/>
      <c r="BZ238" s="171"/>
      <c r="CA238" s="172"/>
      <c r="CB23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3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8" s="131">
        <f>' الشركه 2018'!$H238*67%*1.5*' الشركه 2018'!$CB238/208</f>
        <v>0</v>
      </c>
      <c r="CE238" s="132">
        <f>' الشركه 2018'!$H238*67%*2*' الشركه 2018'!$CC238/208</f>
        <v>0</v>
      </c>
      <c r="CF238" s="133">
        <f>' الشركه 2018'!$CD238+' الشركه 2018'!$CE238</f>
        <v>0</v>
      </c>
      <c r="CG238" s="124"/>
      <c r="CH238" s="177">
        <f>SUMIF(C238:C554,' الشركه 2018'!$CG212,L238:L554)</f>
        <v>0</v>
      </c>
      <c r="CI238" s="124"/>
      <c r="CJ238" s="177">
        <f>' الشركه 2018'!$CH213*' الشركه 2018'!$CI213</f>
        <v>0</v>
      </c>
      <c r="CK238" s="177">
        <f>' الشركه 2018'!$CJ213*8%</f>
        <v>0</v>
      </c>
      <c r="CL238" s="177">
        <f>' الشركه 2018'!$CJ213*17%</f>
        <v>0</v>
      </c>
      <c r="CM238" s="177">
        <f>' الشركه 2018'!$CJ212*25%</f>
        <v>0</v>
      </c>
      <c r="CN238" s="162"/>
      <c r="CO238" s="162"/>
      <c r="CP238" s="241">
        <v>700</v>
      </c>
      <c r="CQ238" s="164" t="e">
        <f>VLOOKUP(Table6[[#This Row],[الرقم الوظيفى]],[4]!Table3[#Data],26,FALSE)</f>
        <v>#REF!</v>
      </c>
      <c r="CR238" s="199"/>
      <c r="CS238" s="230"/>
    </row>
    <row r="239" spans="1:97" ht="28" customHeight="1" thickTop="1" thickBot="1">
      <c r="A239" s="181">
        <v>1016</v>
      </c>
      <c r="B239" s="182" t="s">
        <v>150</v>
      </c>
      <c r="C239" s="11" t="s">
        <v>137</v>
      </c>
      <c r="D239" s="183" t="s">
        <v>129</v>
      </c>
      <c r="E239" s="174"/>
      <c r="F239" s="143"/>
      <c r="G239" s="184">
        <v>41883</v>
      </c>
      <c r="H239" s="185">
        <v>3640</v>
      </c>
      <c r="I239" s="103">
        <f>Table6[[#This Row],[مرتب]]/30</f>
        <v>121.33333333333333</v>
      </c>
      <c r="J239" s="143">
        <v>30</v>
      </c>
      <c r="K239" s="143">
        <f t="shared" si="3"/>
        <v>3640</v>
      </c>
      <c r="L239" s="12">
        <v>3640</v>
      </c>
      <c r="M239" s="143">
        <f>Table6[[#This Row],[مرتب الضمان]]*17%</f>
        <v>618.80000000000007</v>
      </c>
      <c r="N239" s="143">
        <f>' الشركه 2018'!$H239*35%</f>
        <v>1274</v>
      </c>
      <c r="O239" s="143">
        <f>' الشركه 2018'!$H239*32%</f>
        <v>1164.8</v>
      </c>
      <c r="P239" s="143">
        <f>' الشركه 2018'!$H239*12%</f>
        <v>436.8</v>
      </c>
      <c r="Q239" s="143">
        <f>' الشركه 2018'!$H239*13%</f>
        <v>473.2</v>
      </c>
      <c r="R239" s="143">
        <f>' الشركه 2018'!$H239*6%</f>
        <v>218.4</v>
      </c>
      <c r="S239" s="143">
        <f>' الشركه 2018'!$H239*2%</f>
        <v>72.8</v>
      </c>
      <c r="T239" s="143">
        <f>' الشركه 2018'!$O239+' الشركه 2018'!$P239+' الشركه 2018'!$Q239+' الشركه 2018'!$R239+' الشركه 2018'!$S239</f>
        <v>2366</v>
      </c>
      <c r="U239" s="109">
        <f>VLOOKUP(Table6[[#This Row],[الرقم الوظيفى]],[2]بالخصم!$B$1:$AK$1200,35,)</f>
        <v>0</v>
      </c>
      <c r="V239" s="186"/>
      <c r="W239" s="187">
        <f>Table6[[#This Row],[عدد ايام الاجازه]]*Table6[[#This Row],[ح راتب اليوم]]</f>
        <v>0</v>
      </c>
      <c r="X239" s="188"/>
      <c r="Y239" s="189"/>
      <c r="Z239" s="187">
        <f>Table6[[#This Row],[عدد ايام الجزاء]]*Table6[[#This Row],[ح راتب اليوم]]</f>
        <v>0</v>
      </c>
      <c r="AA239" s="190">
        <v>500</v>
      </c>
      <c r="AB239" s="191" t="e">
        <f>VLOOKUP(Table6[[#This Row],[الرقم الوظيفى]],[3]!Table25289[#Data],23,)</f>
        <v>#REF!</v>
      </c>
      <c r="AC239" s="224"/>
      <c r="AD239" s="193"/>
      <c r="AE239" s="113" t="e">
        <f>VLOOKUP(Table6[[#This Row],[الرقم الوظيفى]],[3]!Table252894[#Data],22,)</f>
        <v>#REF!</v>
      </c>
      <c r="AF239" s="226"/>
      <c r="AG239" s="111">
        <f>' الشركه 2018'!$W239+' الشركه 2018'!$Z239+' الشركه 2018'!$AA239+' الشركه 2018'!$AC239+' الشركه 2018'!$AD239+' الشركه 2018'!$AF239</f>
        <v>500</v>
      </c>
      <c r="AH239" s="111">
        <f>Table6[[#This Row],[راتب الضمان]]*8%</f>
        <v>291.2</v>
      </c>
      <c r="AI239" s="111">
        <f>' الشركه 2018'!$H239-' الشركه 2018'!$AG239-' الشركه 2018'!$AH239</f>
        <v>2848.8</v>
      </c>
      <c r="AJ239" s="111">
        <f>' الشركه 2018'!$CF239</f>
        <v>131.90625000000003</v>
      </c>
      <c r="AK239" s="117">
        <f>' الشركه 2018'!$AI239+' الشركه 2018'!$AJ239</f>
        <v>2980.7062500000002</v>
      </c>
      <c r="AL239" s="195"/>
      <c r="AM239" s="196"/>
      <c r="AN239" s="9">
        <f>Table6[[#This Row],[اجمالى الاستحقاق]]-Table6[[#This Row],[Column2]]+Table6[[#This Row],[حوافز غير مستقره]]</f>
        <v>2980.7062500000002</v>
      </c>
      <c r="AO239" s="197"/>
      <c r="AP239" s="198"/>
      <c r="AQ239" s="176"/>
      <c r="AR239" s="124"/>
      <c r="AS239" s="155"/>
      <c r="AT239" s="170"/>
      <c r="AU239" s="124"/>
      <c r="AV239" s="124"/>
      <c r="AW239" s="124"/>
      <c r="AX239" s="124"/>
      <c r="AY239" s="124"/>
      <c r="AZ239" s="124"/>
      <c r="BA239" s="124"/>
      <c r="BB239" s="124"/>
      <c r="BC239" s="124"/>
      <c r="BD239" s="124"/>
      <c r="BE239" s="124"/>
      <c r="BF239" s="124"/>
      <c r="BG239" s="124"/>
      <c r="BH239" s="124">
        <v>4.5</v>
      </c>
      <c r="BI239" s="124">
        <v>0.9</v>
      </c>
      <c r="BJ239" s="124"/>
      <c r="BK239" s="124"/>
      <c r="BL239" s="124"/>
      <c r="BM239" s="124"/>
      <c r="BN239" s="124">
        <v>1.2</v>
      </c>
      <c r="BO239" s="124"/>
      <c r="BP239" s="124"/>
      <c r="BQ239" s="124"/>
      <c r="BR239" s="124"/>
      <c r="BS239" s="124"/>
      <c r="BT239" s="124"/>
      <c r="BU239" s="124">
        <v>0.9</v>
      </c>
      <c r="BV239" s="124"/>
      <c r="BW239" s="124"/>
      <c r="BX239" s="124"/>
      <c r="BY239" s="124"/>
      <c r="BZ239" s="171"/>
      <c r="CA239" s="172"/>
      <c r="CB23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7.5000000000000009</v>
      </c>
      <c r="CC23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39" s="131">
        <f>' الشركه 2018'!$H239*67%*1.5*' الشركه 2018'!$CB239/208</f>
        <v>131.90625000000003</v>
      </c>
      <c r="CE239" s="132">
        <f>' الشركه 2018'!$H239*67%*2*' الشركه 2018'!$CC239/208</f>
        <v>0</v>
      </c>
      <c r="CF239" s="133">
        <f>' الشركه 2018'!$CD239+' الشركه 2018'!$CE239</f>
        <v>131.90625000000003</v>
      </c>
      <c r="CG239" s="124"/>
      <c r="CH239" s="177">
        <f>SUMIF(C239:C552,' الشركه 2018'!$CG207,L239:L552)</f>
        <v>0</v>
      </c>
      <c r="CI239" s="124"/>
      <c r="CJ239" s="177">
        <f>' الشركه 2018'!$CH207*' الشركه 2018'!$CI207</f>
        <v>0</v>
      </c>
      <c r="CK239" s="177">
        <f>' الشركه 2018'!$CJ207*8%</f>
        <v>0</v>
      </c>
      <c r="CL239" s="177">
        <f>' الشركه 2018'!$CJ207*17%</f>
        <v>0</v>
      </c>
      <c r="CM239" s="177">
        <f>' الشركه 2018'!$CJ207*25%</f>
        <v>0</v>
      </c>
      <c r="CN239" s="162"/>
      <c r="CO239" s="162"/>
      <c r="CP239" s="241">
        <v>200</v>
      </c>
      <c r="CQ239" s="164" t="e">
        <f>VLOOKUP(Table6[[#This Row],[الرقم الوظيفى]],[4]!Table3[#Data],26,FALSE)</f>
        <v>#REF!</v>
      </c>
      <c r="CR239" s="199"/>
      <c r="CS239" s="124"/>
    </row>
    <row r="240" spans="1:97" ht="28" customHeight="1" thickTop="1" thickBot="1">
      <c r="A240" s="347">
        <v>1020</v>
      </c>
      <c r="B240" s="348" t="s">
        <v>138</v>
      </c>
      <c r="C240" s="349" t="s">
        <v>137</v>
      </c>
      <c r="D240" s="11" t="s">
        <v>70</v>
      </c>
      <c r="E240" s="202"/>
      <c r="F240" s="11"/>
      <c r="G240" s="145">
        <v>42801</v>
      </c>
      <c r="H240" s="185">
        <v>9050</v>
      </c>
      <c r="I240" s="103">
        <f>Table6[[#This Row],[مرتب]]/30</f>
        <v>301.66666666666669</v>
      </c>
      <c r="J240" s="143">
        <v>30</v>
      </c>
      <c r="K240" s="143">
        <f t="shared" si="3"/>
        <v>9050</v>
      </c>
      <c r="L240" s="12">
        <v>9050</v>
      </c>
      <c r="M240" s="143">
        <f>Table6[[#This Row],[مرتب الضمان]]*17%</f>
        <v>1538.5</v>
      </c>
      <c r="N240" s="143">
        <f>' الشركه 2018'!$H240*35%</f>
        <v>3167.5</v>
      </c>
      <c r="O240" s="143">
        <f>' الشركه 2018'!$H240*32%</f>
        <v>2896</v>
      </c>
      <c r="P240" s="143">
        <f>' الشركه 2018'!$H240*12%</f>
        <v>1086</v>
      </c>
      <c r="Q240" s="143">
        <f>' الشركه 2018'!$H240*13%</f>
        <v>1176.5</v>
      </c>
      <c r="R240" s="143">
        <f>' الشركه 2018'!$H240*6%</f>
        <v>543</v>
      </c>
      <c r="S240" s="143">
        <f>' الشركه 2018'!$H240*2%</f>
        <v>181</v>
      </c>
      <c r="T240" s="143">
        <f>' الشركه 2018'!$O240+' الشركه 2018'!$P240+' الشركه 2018'!$Q240+' الشركه 2018'!$R240+' الشركه 2018'!$S240</f>
        <v>5882.5</v>
      </c>
      <c r="U240" s="109">
        <f>VLOOKUP(Table6[[#This Row],[الرقم الوظيفى]],[2]بالخصم!$B$1:$AK$1200,35,)</f>
        <v>0</v>
      </c>
      <c r="V240" s="350"/>
      <c r="W240" s="187">
        <f>Table6[[#This Row],[عدد ايام الاجازه]]*Table6[[#This Row],[ح راتب اليوم]]</f>
        <v>0</v>
      </c>
      <c r="X240" s="188"/>
      <c r="Y240" s="351"/>
      <c r="Z240" s="187">
        <f>Table6[[#This Row],[عدد ايام الجزاء]]*Table6[[#This Row],[ح راتب اليوم]]</f>
        <v>0</v>
      </c>
      <c r="AA240" s="190"/>
      <c r="AB240" s="191" t="e">
        <f>VLOOKUP(Table6[[#This Row],[الرقم الوظيفى]],[3]!Table25289[#Data],23,)</f>
        <v>#REF!</v>
      </c>
      <c r="AC240" s="352"/>
      <c r="AD240" s="353"/>
      <c r="AE240" s="113" t="e">
        <f>VLOOKUP(Table6[[#This Row],[الرقم الوظيفى]],[3]!Table252894[#Data],22,)</f>
        <v>#REF!</v>
      </c>
      <c r="AF240" s="354"/>
      <c r="AG240" s="111">
        <f>' الشركه 2018'!$W240+' الشركه 2018'!$Z240+' الشركه 2018'!$AA240+' الشركه 2018'!$AC240+' الشركه 2018'!$AD240+' الشركه 2018'!$AF240</f>
        <v>0</v>
      </c>
      <c r="AH240" s="111">
        <f>Table6[[#This Row],[راتب الضمان]]*8%</f>
        <v>724</v>
      </c>
      <c r="AI240" s="111">
        <f>' الشركه 2018'!$H240-' الشركه 2018'!$AG240-' الشركه 2018'!$AH240</f>
        <v>8326</v>
      </c>
      <c r="AJ240" s="111">
        <f>' الشركه 2018'!$CF240</f>
        <v>1106.297235576923</v>
      </c>
      <c r="AK240" s="117">
        <f>' الشركه 2018'!$AI240+' الشركه 2018'!$AJ240</f>
        <v>9432.2972355769234</v>
      </c>
      <c r="AL240" s="195"/>
      <c r="AM240" s="196"/>
      <c r="AN240" s="9">
        <f>Table6[[#This Row],[اجمالى الاستحقاق]]-Table6[[#This Row],[Column2]]+Table6[[#This Row],[حوافز غير مستقره]]</f>
        <v>9432.2972355769234</v>
      </c>
      <c r="AO240" s="257"/>
      <c r="AP240" s="198"/>
      <c r="AQ240" s="176"/>
      <c r="AR240" s="124"/>
      <c r="AS240" s="208"/>
      <c r="AT240" s="170">
        <v>1.5</v>
      </c>
      <c r="AU240" s="124"/>
      <c r="AV240" s="124"/>
      <c r="AW240" s="124"/>
      <c r="AX240" s="124">
        <v>1.8</v>
      </c>
      <c r="AY240" s="124">
        <v>2</v>
      </c>
      <c r="AZ240" s="124"/>
      <c r="BA240" s="124">
        <v>2</v>
      </c>
      <c r="BB240" s="124"/>
      <c r="BC240" s="124"/>
      <c r="BD240" s="124"/>
      <c r="BE240" s="124">
        <v>1.1000000000000001</v>
      </c>
      <c r="BF240" s="124"/>
      <c r="BG240" s="124">
        <v>1.5</v>
      </c>
      <c r="BH240" s="124">
        <v>4</v>
      </c>
      <c r="BI240" s="124">
        <v>2.5</v>
      </c>
      <c r="BJ240" s="124"/>
      <c r="BK240" s="124"/>
      <c r="BL240" s="124">
        <v>0.5</v>
      </c>
      <c r="BM240" s="177">
        <v>2.2000000000000002</v>
      </c>
      <c r="BN240" s="177">
        <v>3.9</v>
      </c>
      <c r="BO240" s="177"/>
      <c r="BP240" s="177"/>
      <c r="BQ240" s="177"/>
      <c r="BR240" s="124"/>
      <c r="BS240" s="177">
        <v>1.1000000000000001</v>
      </c>
      <c r="BT240" s="124"/>
      <c r="BU240" s="124">
        <v>1.2</v>
      </c>
      <c r="BV240" s="177"/>
      <c r="BW240" s="177"/>
      <c r="BX240" s="177"/>
      <c r="BY240" s="177"/>
      <c r="BZ240" s="171"/>
      <c r="CA240" s="172"/>
      <c r="CB24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25.299999999999997</v>
      </c>
      <c r="CC24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0" s="131">
        <f>' الشركه 2018'!$H240*67%*1.5*' الشركه 2018'!$CB240/208</f>
        <v>1106.297235576923</v>
      </c>
      <c r="CE240" s="132">
        <f>' الشركه 2018'!$H240*67%*2*' الشركه 2018'!$CC240/208</f>
        <v>0</v>
      </c>
      <c r="CF240" s="133">
        <f>' الشركه 2018'!$CD240+' الشركه 2018'!$CE240</f>
        <v>1106.297235576923</v>
      </c>
      <c r="CG240" s="124"/>
      <c r="CH240" s="177"/>
      <c r="CI240" s="124"/>
      <c r="CJ240" s="177">
        <f>' الشركه 2018'!$CH210*' الشركه 2018'!$CI210</f>
        <v>0</v>
      </c>
      <c r="CK240" s="177">
        <f>' الشركه 2018'!$CJ210*8%</f>
        <v>0</v>
      </c>
      <c r="CL240" s="177">
        <f>' الشركه 2018'!$CJ210*17%</f>
        <v>0</v>
      </c>
      <c r="CM240" s="162"/>
      <c r="CN240" s="162"/>
      <c r="CO240" s="162"/>
      <c r="CP240" s="163"/>
      <c r="CQ240" s="164" t="e">
        <f>VLOOKUP(Table6[[#This Row],[الرقم الوظيفى]],[4]!Table3[#Data],26,FALSE)</f>
        <v>#REF!</v>
      </c>
      <c r="CR240" s="199"/>
      <c r="CS240" s="124"/>
    </row>
    <row r="241" spans="1:97" ht="28" customHeight="1" thickTop="1" thickBot="1">
      <c r="A241" s="227">
        <v>1023</v>
      </c>
      <c r="B241" s="214" t="s">
        <v>704</v>
      </c>
      <c r="C241" s="59" t="s">
        <v>90</v>
      </c>
      <c r="D241" s="183" t="s">
        <v>81</v>
      </c>
      <c r="E241" s="202"/>
      <c r="F241" s="11"/>
      <c r="G241" s="184">
        <v>43136</v>
      </c>
      <c r="H241" s="154">
        <v>3000</v>
      </c>
      <c r="I241" s="203">
        <f>Table6[[#This Row],[مرتب]]/30</f>
        <v>100</v>
      </c>
      <c r="J241" s="107">
        <v>30</v>
      </c>
      <c r="K241" s="107">
        <f t="shared" si="3"/>
        <v>3000</v>
      </c>
      <c r="L241" s="355">
        <v>3000</v>
      </c>
      <c r="M241" s="107">
        <f>Table6[[#This Row],[مرتب الضمان]]*17%</f>
        <v>510.00000000000006</v>
      </c>
      <c r="N241" s="107">
        <f>' الشركه 2018'!$H241*35%</f>
        <v>1050</v>
      </c>
      <c r="O241" s="107">
        <f>' الشركه 2018'!$H241*32%</f>
        <v>960</v>
      </c>
      <c r="P241" s="107">
        <f>' الشركه 2018'!$H241*12%</f>
        <v>360</v>
      </c>
      <c r="Q241" s="107">
        <f>' الشركه 2018'!$H241*13%</f>
        <v>390</v>
      </c>
      <c r="R241" s="107">
        <f>' الشركه 2018'!$H241*6%</f>
        <v>180</v>
      </c>
      <c r="S241" s="107">
        <f>' الشركه 2018'!$H241*2%</f>
        <v>60</v>
      </c>
      <c r="T241" s="107">
        <f>' الشركه 2018'!$O241+' الشركه 2018'!$P241+' الشركه 2018'!$Q241+' الشركه 2018'!$R241+' الشركه 2018'!$S241</f>
        <v>1950</v>
      </c>
      <c r="U241" s="109">
        <f>VLOOKUP(Table6[[#This Row],[الرقم الوظيفى]],[2]بالخصم!$B$1:$AK$1200,35,)</f>
        <v>0</v>
      </c>
      <c r="V241" s="204"/>
      <c r="W241" s="111">
        <f>Table6[[#This Row],[عدد ايام الاجازه]]*Table6[[#This Row],[ح راتب اليوم]]</f>
        <v>0</v>
      </c>
      <c r="X241" s="148"/>
      <c r="Y241" s="201"/>
      <c r="Z241" s="111">
        <f>Table6[[#This Row],[عدد ايام الجزاء]]*Table6[[#This Row],[ح راتب اليوم]]</f>
        <v>0</v>
      </c>
      <c r="AA241" s="112">
        <f>Table6[[#This Row],[مرتب]]*50%</f>
        <v>1500</v>
      </c>
      <c r="AB241" s="113" t="e">
        <f>VLOOKUP(Table6[[#This Row],[الرقم الوظيفى]],[3]!Table25289[#Data],23,)</f>
        <v>#REF!</v>
      </c>
      <c r="AC241" s="205"/>
      <c r="AD241" s="206"/>
      <c r="AE241" s="113" t="e">
        <f>VLOOKUP(Table6[[#This Row],[الرقم الوظيفى]],[3]!Table252894[#Data],22,)</f>
        <v>#REF!</v>
      </c>
      <c r="AF241" s="207"/>
      <c r="AG241" s="111">
        <f>' الشركه 2018'!$W241+' الشركه 2018'!$Z241+' الشركه 2018'!$AA241+' الشركه 2018'!$AC241+' الشركه 2018'!$AD241+' الشركه 2018'!$AF241</f>
        <v>1500</v>
      </c>
      <c r="AH241" s="111">
        <f>Table6[[#This Row],[راتب الضمان]]*8%</f>
        <v>240</v>
      </c>
      <c r="AI241" s="111">
        <f>' الشركه 2018'!$H241-' الشركه 2018'!$AG241-' الشركه 2018'!$AH241</f>
        <v>1260</v>
      </c>
      <c r="AJ241" s="111">
        <f>' الشركه 2018'!$CF241</f>
        <v>0</v>
      </c>
      <c r="AK241" s="117">
        <f>' الشركه 2018'!$AI241+' الشركه 2018'!$AJ241</f>
        <v>1260</v>
      </c>
      <c r="AL241" s="152"/>
      <c r="AM241" s="153"/>
      <c r="AN241" s="9">
        <f>Table6[[#This Row],[اجمالى الاستحقاق]]-Table6[[#This Row],[Column2]]+Table6[[#This Row],[حوافز غير مستقره]]</f>
        <v>1260</v>
      </c>
      <c r="AO241" s="59"/>
      <c r="AP241" s="169"/>
      <c r="AQ241" s="176"/>
      <c r="AR241" s="124"/>
      <c r="AS241" s="208"/>
      <c r="AT241" s="170"/>
      <c r="AU241" s="124"/>
      <c r="AV241" s="124"/>
      <c r="AW241" s="124"/>
      <c r="AX241" s="124"/>
      <c r="AY241" s="124"/>
      <c r="AZ241" s="124"/>
      <c r="BA241" s="124"/>
      <c r="BB241" s="124"/>
      <c r="BC241" s="124"/>
      <c r="BD241" s="124"/>
      <c r="BE241" s="124"/>
      <c r="BF241" s="124"/>
      <c r="BG241" s="124"/>
      <c r="BH241" s="228"/>
      <c r="BI241" s="124"/>
      <c r="BJ241" s="228"/>
      <c r="BK241" s="124"/>
      <c r="BL241" s="124"/>
      <c r="BM241" s="177"/>
      <c r="BN241" s="177"/>
      <c r="BO241" s="124"/>
      <c r="BP241" s="177"/>
      <c r="BQ241" s="124"/>
      <c r="BR241" s="177"/>
      <c r="BS241" s="177"/>
      <c r="BT241" s="124"/>
      <c r="BU241" s="124"/>
      <c r="BV241" s="124"/>
      <c r="BW241" s="177"/>
      <c r="BX241" s="177"/>
      <c r="BY241" s="177"/>
      <c r="BZ241" s="177"/>
      <c r="CA241" s="177"/>
      <c r="CB24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1" s="131">
        <f>' الشركه 2018'!$H241*67%*1.5*' الشركه 2018'!$CB241/208</f>
        <v>0</v>
      </c>
      <c r="CE241" s="132">
        <f>' الشركه 2018'!$H241*67%*2*' الشركه 2018'!$CC241/208</f>
        <v>0</v>
      </c>
      <c r="CF241" s="133">
        <f>' الشركه 2018'!$CD241+' الشركه 2018'!$CE241</f>
        <v>0</v>
      </c>
      <c r="CG241" s="124"/>
      <c r="CH241" s="177"/>
      <c r="CI241" s="124"/>
      <c r="CJ241" s="162"/>
      <c r="CK241" s="162"/>
      <c r="CL241" s="177"/>
      <c r="CM241" s="162"/>
      <c r="CN241" s="162"/>
      <c r="CO241" s="162"/>
      <c r="CP241" s="163"/>
      <c r="CQ241" s="164" t="e">
        <f>VLOOKUP(Table6[[#This Row],[الرقم الوظيفى]],[4]!Table3[#Data],26,FALSE)</f>
        <v>#REF!</v>
      </c>
      <c r="CR241" s="199"/>
      <c r="CS241" s="124"/>
    </row>
    <row r="242" spans="1:97" ht="28" customHeight="1" thickTop="1" thickBot="1">
      <c r="A242" s="227">
        <v>1024</v>
      </c>
      <c r="B242" s="214" t="s">
        <v>705</v>
      </c>
      <c r="C242" s="59" t="s">
        <v>90</v>
      </c>
      <c r="D242" s="183" t="s">
        <v>74</v>
      </c>
      <c r="E242" s="202"/>
      <c r="F242" s="11"/>
      <c r="G242" s="184">
        <v>43138</v>
      </c>
      <c r="H242" s="154">
        <v>3000</v>
      </c>
      <c r="I242" s="203">
        <f>Table6[[#This Row],[مرتب]]/30</f>
        <v>100</v>
      </c>
      <c r="J242" s="107">
        <v>30</v>
      </c>
      <c r="K242" s="107">
        <f t="shared" si="3"/>
        <v>3000</v>
      </c>
      <c r="L242" s="355">
        <v>3000</v>
      </c>
      <c r="M242" s="107">
        <f>Table6[[#This Row],[مرتب الضمان]]*17%</f>
        <v>510.00000000000006</v>
      </c>
      <c r="N242" s="107">
        <f>' الشركه 2018'!$H242*35%</f>
        <v>1050</v>
      </c>
      <c r="O242" s="107">
        <f>' الشركه 2018'!$H242*32%</f>
        <v>960</v>
      </c>
      <c r="P242" s="107">
        <f>' الشركه 2018'!$H242*12%</f>
        <v>360</v>
      </c>
      <c r="Q242" s="107">
        <f>' الشركه 2018'!$H242*13%</f>
        <v>390</v>
      </c>
      <c r="R242" s="107">
        <f>' الشركه 2018'!$H242*6%</f>
        <v>180</v>
      </c>
      <c r="S242" s="107">
        <f>' الشركه 2018'!$H242*2%</f>
        <v>60</v>
      </c>
      <c r="T242" s="107">
        <f>' الشركه 2018'!$O242+' الشركه 2018'!$P242+' الشركه 2018'!$Q242+' الشركه 2018'!$R242+' الشركه 2018'!$S242</f>
        <v>1950</v>
      </c>
      <c r="U242" s="109">
        <f>VLOOKUP(Table6[[#This Row],[الرقم الوظيفى]],[2]بالخصم!$B$1:$AK$1200,35,)</f>
        <v>1</v>
      </c>
      <c r="V242" s="204">
        <v>1</v>
      </c>
      <c r="W242" s="111">
        <f>Table6[[#This Row],[عدد ايام الاجازه]]*Table6[[#This Row],[ح راتب اليوم]]</f>
        <v>100</v>
      </c>
      <c r="X242" s="148"/>
      <c r="Y242" s="201"/>
      <c r="Z242" s="111">
        <f>Table6[[#This Row],[عدد ايام الجزاء]]*Table6[[#This Row],[ح راتب اليوم]]</f>
        <v>0</v>
      </c>
      <c r="AA242" s="112">
        <f>Table6[[#This Row],[مرتب]]*50%</f>
        <v>1500</v>
      </c>
      <c r="AB242" s="113" t="e">
        <f>VLOOKUP(Table6[[#This Row],[الرقم الوظيفى]],[3]!Table25289[#Data],23,)</f>
        <v>#REF!</v>
      </c>
      <c r="AC242" s="205"/>
      <c r="AD242" s="206"/>
      <c r="AE242" s="113" t="e">
        <f>VLOOKUP(Table6[[#This Row],[الرقم الوظيفى]],[3]!Table252894[#Data],22,)</f>
        <v>#REF!</v>
      </c>
      <c r="AF242" s="207"/>
      <c r="AG242" s="111">
        <f>' الشركه 2018'!$W242+' الشركه 2018'!$Z242+' الشركه 2018'!$AA242+' الشركه 2018'!$AC242+' الشركه 2018'!$AD242+' الشركه 2018'!$AF242</f>
        <v>1600</v>
      </c>
      <c r="AH242" s="111">
        <f>Table6[[#This Row],[راتب الضمان]]*8%</f>
        <v>240</v>
      </c>
      <c r="AI242" s="111">
        <f>' الشركه 2018'!$H242-' الشركه 2018'!$AG242-' الشركه 2018'!$AH242</f>
        <v>1160</v>
      </c>
      <c r="AJ242" s="111">
        <f>' الشركه 2018'!$CF242</f>
        <v>1507.5000000000002</v>
      </c>
      <c r="AK242" s="117">
        <f>' الشركه 2018'!$AI242+' الشركه 2018'!$AJ242</f>
        <v>2667.5</v>
      </c>
      <c r="AL242" s="152"/>
      <c r="AM242" s="153"/>
      <c r="AN242" s="9">
        <f>Table6[[#This Row],[اجمالى الاستحقاق]]-Table6[[#This Row],[Column2]]+Table6[[#This Row],[حوافز غير مستقره]]</f>
        <v>2667.5</v>
      </c>
      <c r="AO242" s="59"/>
      <c r="AP242" s="169"/>
      <c r="AQ242" s="176"/>
      <c r="AR242" s="124"/>
      <c r="AS242" s="208"/>
      <c r="AT242" s="170"/>
      <c r="AU242" s="124"/>
      <c r="AV242" s="124"/>
      <c r="AW242" s="124"/>
      <c r="AX242" s="124">
        <v>8</v>
      </c>
      <c r="AY242" s="124">
        <v>8</v>
      </c>
      <c r="AZ242" s="124"/>
      <c r="BA242" s="124"/>
      <c r="BB242" s="124"/>
      <c r="BC242" s="124">
        <v>12</v>
      </c>
      <c r="BD242" s="124"/>
      <c r="BE242" s="124"/>
      <c r="BF242" s="124"/>
      <c r="BG242" s="124">
        <v>8</v>
      </c>
      <c r="BH242" s="228">
        <v>8</v>
      </c>
      <c r="BI242" s="124">
        <v>8</v>
      </c>
      <c r="BJ242" s="228"/>
      <c r="BK242" s="124"/>
      <c r="BL242" s="124">
        <v>8</v>
      </c>
      <c r="BM242" s="177">
        <v>8</v>
      </c>
      <c r="BN242" s="177">
        <v>8</v>
      </c>
      <c r="BO242" s="124">
        <v>8</v>
      </c>
      <c r="BP242" s="177">
        <v>8</v>
      </c>
      <c r="BQ242" s="124"/>
      <c r="BR242" s="177"/>
      <c r="BS242" s="177">
        <v>8</v>
      </c>
      <c r="BT242" s="124"/>
      <c r="BU242" s="124"/>
      <c r="BV242" s="124"/>
      <c r="BW242" s="177"/>
      <c r="BX242" s="177"/>
      <c r="BY242" s="177"/>
      <c r="BZ242" s="177"/>
      <c r="CA242" s="177"/>
      <c r="CB24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88</v>
      </c>
      <c r="CC242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42" s="131">
        <f>' الشركه 2018'!$H242*67%*1.5*' الشركه 2018'!$CB242/208</f>
        <v>1275.5769230769233</v>
      </c>
      <c r="CE242" s="132">
        <f>' الشركه 2018'!$H242*67%*2*' الشركه 2018'!$CC242/208</f>
        <v>231.92307692307696</v>
      </c>
      <c r="CF242" s="133">
        <f>' الشركه 2018'!$CD242+' الشركه 2018'!$CE242</f>
        <v>1507.5000000000002</v>
      </c>
      <c r="CG242" s="124"/>
      <c r="CH242" s="177"/>
      <c r="CI242" s="124"/>
      <c r="CJ242" s="162"/>
      <c r="CK242" s="162"/>
      <c r="CL242" s="177"/>
      <c r="CM242" s="162"/>
      <c r="CN242" s="162"/>
      <c r="CO242" s="162"/>
      <c r="CP242" s="163"/>
      <c r="CQ242" s="164" t="e">
        <f>VLOOKUP(Table6[[#This Row],[الرقم الوظيفى]],[4]!Table3[#Data],26,FALSE)</f>
        <v>#REF!</v>
      </c>
      <c r="CR242" s="199"/>
      <c r="CS242" s="124"/>
    </row>
    <row r="243" spans="1:97" ht="28" customHeight="1" thickTop="1" thickBot="1">
      <c r="A243" s="227">
        <v>1025</v>
      </c>
      <c r="B243" s="214" t="s">
        <v>706</v>
      </c>
      <c r="C243" s="59" t="s">
        <v>90</v>
      </c>
      <c r="D243" s="11" t="s">
        <v>81</v>
      </c>
      <c r="E243" s="202"/>
      <c r="F243" s="11"/>
      <c r="G243" s="184">
        <v>43142</v>
      </c>
      <c r="H243" s="154">
        <v>4250</v>
      </c>
      <c r="I243" s="203">
        <f>Table6[[#This Row],[مرتب]]/30</f>
        <v>141.66666666666666</v>
      </c>
      <c r="J243" s="107">
        <v>30</v>
      </c>
      <c r="K243" s="107">
        <f t="shared" si="3"/>
        <v>4250</v>
      </c>
      <c r="L243" s="355">
        <v>4250</v>
      </c>
      <c r="M243" s="107">
        <f>Table6[[#This Row],[مرتب الضمان]]*17%</f>
        <v>722.5</v>
      </c>
      <c r="N243" s="107">
        <f>' الشركه 2018'!$H243*35%</f>
        <v>1487.5</v>
      </c>
      <c r="O243" s="107">
        <f>' الشركه 2018'!$H243*32%</f>
        <v>1360</v>
      </c>
      <c r="P243" s="107">
        <f>' الشركه 2018'!$H243*12%</f>
        <v>510</v>
      </c>
      <c r="Q243" s="107">
        <f>' الشركه 2018'!$H243*13%</f>
        <v>552.5</v>
      </c>
      <c r="R243" s="107">
        <f>' الشركه 2018'!$H243*6%</f>
        <v>255</v>
      </c>
      <c r="S243" s="107">
        <f>' الشركه 2018'!$H243*2%</f>
        <v>85</v>
      </c>
      <c r="T243" s="107">
        <f>' الشركه 2018'!$O243+' الشركه 2018'!$P243+' الشركه 2018'!$Q243+' الشركه 2018'!$R243+' الشركه 2018'!$S243</f>
        <v>2762.5</v>
      </c>
      <c r="U243" s="109">
        <f>VLOOKUP(Table6[[#This Row],[الرقم الوظيفى]],[2]بالخصم!$B$1:$AK$1200,35,)</f>
        <v>1</v>
      </c>
      <c r="V243" s="204">
        <v>1</v>
      </c>
      <c r="W243" s="111">
        <f>Table6[[#This Row],[عدد ايام الاجازه]]*Table6[[#This Row],[ح راتب اليوم]]</f>
        <v>141.66666666666666</v>
      </c>
      <c r="X243" s="148"/>
      <c r="Y243" s="201"/>
      <c r="Z243" s="111">
        <f>Table6[[#This Row],[عدد ايام الجزاء]]*Table6[[#This Row],[ح راتب اليوم]]</f>
        <v>0</v>
      </c>
      <c r="AA243" s="112">
        <f>Table6[[#This Row],[مرتب]]*50%</f>
        <v>2125</v>
      </c>
      <c r="AB243" s="113" t="e">
        <f>VLOOKUP(Table6[[#This Row],[الرقم الوظيفى]],[3]!Table25289[#Data],23,)</f>
        <v>#REF!</v>
      </c>
      <c r="AC243" s="205"/>
      <c r="AD243" s="206"/>
      <c r="AE243" s="113" t="e">
        <f>VLOOKUP(Table6[[#This Row],[الرقم الوظيفى]],[3]!Table252894[#Data],22,)</f>
        <v>#REF!</v>
      </c>
      <c r="AF243" s="207"/>
      <c r="AG243" s="111">
        <f>' الشركه 2018'!$W243+' الشركه 2018'!$Z243+' الشركه 2018'!$AA243+' الشركه 2018'!$AC243+' الشركه 2018'!$AD243+' الشركه 2018'!$AF243</f>
        <v>2266.6666666666665</v>
      </c>
      <c r="AH243" s="111">
        <f>Table6[[#This Row],[راتب الضمان]]*8%</f>
        <v>340</v>
      </c>
      <c r="AI243" s="111">
        <f>' الشركه 2018'!$H243-' الشركه 2018'!$AG243-' الشركه 2018'!$AH243</f>
        <v>1643.3333333333335</v>
      </c>
      <c r="AJ243" s="111">
        <f>' الشركه 2018'!$CF243</f>
        <v>273.79807692307691</v>
      </c>
      <c r="AK243" s="117">
        <f>' الشركه 2018'!$AI243+' الشركه 2018'!$AJ243</f>
        <v>1917.1314102564104</v>
      </c>
      <c r="AL243" s="152"/>
      <c r="AM243" s="153"/>
      <c r="AN243" s="9">
        <f>Table6[[#This Row],[اجمالى الاستحقاق]]-Table6[[#This Row],[Column2]]+Table6[[#This Row],[حوافز غير مستقره]]</f>
        <v>1917.1314102564104</v>
      </c>
      <c r="AO243" s="59"/>
      <c r="AP243" s="169"/>
      <c r="AQ243" s="176"/>
      <c r="AR243" s="124"/>
      <c r="AS243" s="208"/>
      <c r="AT243" s="170"/>
      <c r="AU243" s="124"/>
      <c r="AV243" s="124"/>
      <c r="AW243" s="124"/>
      <c r="AX243" s="124"/>
      <c r="AY243" s="124"/>
      <c r="AZ243" s="124"/>
      <c r="BA243" s="124"/>
      <c r="BB243" s="124"/>
      <c r="BC243" s="124"/>
      <c r="BD243" s="124"/>
      <c r="BE243" s="124"/>
      <c r="BF243" s="124"/>
      <c r="BG243" s="124"/>
      <c r="BH243" s="228"/>
      <c r="BI243" s="124"/>
      <c r="BJ243" s="228">
        <v>10</v>
      </c>
      <c r="BK243" s="124"/>
      <c r="BL243" s="124"/>
      <c r="BM243" s="177"/>
      <c r="BN243" s="177"/>
      <c r="BO243" s="124"/>
      <c r="BP243" s="177"/>
      <c r="BQ243" s="124"/>
      <c r="BR243" s="177"/>
      <c r="BS243" s="177"/>
      <c r="BT243" s="124"/>
      <c r="BU243" s="124"/>
      <c r="BV243" s="124"/>
      <c r="BW243" s="177"/>
      <c r="BX243" s="177"/>
      <c r="BY243" s="177"/>
      <c r="BZ243" s="177"/>
      <c r="CA243" s="177"/>
      <c r="CB24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3" s="130">
        <f>Table6[[#This Row],[Friday, November 23, 2018]]+Table6[[#This Row],[Friday, November 30, 2018]]+Table6[[#This Row],[Friday, December 07, 2018]]+Table6[[#This Row],[Friday, December 14, 2018]]+Table6[[#This Row],[فروقات عطله]]</f>
        <v>10</v>
      </c>
      <c r="CD243" s="131">
        <f>' الشركه 2018'!$H243*67%*1.5*' الشركه 2018'!$CB243/208</f>
        <v>0</v>
      </c>
      <c r="CE243" s="132">
        <f>' الشركه 2018'!$H243*67%*2*' الشركه 2018'!$CC243/208</f>
        <v>273.79807692307691</v>
      </c>
      <c r="CF243" s="133">
        <f>' الشركه 2018'!$CD243+' الشركه 2018'!$CE243</f>
        <v>273.79807692307691</v>
      </c>
      <c r="CG243" s="124"/>
      <c r="CH243" s="177"/>
      <c r="CI243" s="124"/>
      <c r="CJ243" s="162"/>
      <c r="CK243" s="162"/>
      <c r="CL243" s="177"/>
      <c r="CM243" s="162"/>
      <c r="CN243" s="162"/>
      <c r="CO243" s="162"/>
      <c r="CP243" s="163"/>
      <c r="CQ243" s="164" t="e">
        <f>VLOOKUP(Table6[[#This Row],[الرقم الوظيفى]],[4]!Table3[#Data],26,FALSE)</f>
        <v>#REF!</v>
      </c>
      <c r="CR243" s="199"/>
      <c r="CS243" s="124"/>
    </row>
    <row r="244" spans="1:97" ht="28" customHeight="1" thickTop="1" thickBot="1">
      <c r="A244" s="227">
        <v>1026</v>
      </c>
      <c r="B244" s="214" t="s">
        <v>707</v>
      </c>
      <c r="C244" s="59" t="s">
        <v>90</v>
      </c>
      <c r="D244" s="183" t="s">
        <v>81</v>
      </c>
      <c r="E244" s="202"/>
      <c r="F244" s="11"/>
      <c r="G244" s="184">
        <v>43142</v>
      </c>
      <c r="H244" s="154">
        <v>3750</v>
      </c>
      <c r="I244" s="203">
        <f>Table6[[#This Row],[مرتب]]/30</f>
        <v>125</v>
      </c>
      <c r="J244" s="107">
        <v>30</v>
      </c>
      <c r="K244" s="107">
        <f t="shared" si="3"/>
        <v>3750</v>
      </c>
      <c r="L244" s="355">
        <v>3750</v>
      </c>
      <c r="M244" s="107">
        <f>Table6[[#This Row],[مرتب الضمان]]*17%</f>
        <v>637.5</v>
      </c>
      <c r="N244" s="107">
        <f>' الشركه 2018'!$H244*35%</f>
        <v>1312.5</v>
      </c>
      <c r="O244" s="107">
        <f>' الشركه 2018'!$H244*32%</f>
        <v>1200</v>
      </c>
      <c r="P244" s="107">
        <f>' الشركه 2018'!$H244*12%</f>
        <v>450</v>
      </c>
      <c r="Q244" s="107">
        <f>' الشركه 2018'!$H244*13%</f>
        <v>487.5</v>
      </c>
      <c r="R244" s="107">
        <f>' الشركه 2018'!$H244*6%</f>
        <v>225</v>
      </c>
      <c r="S244" s="107">
        <f>' الشركه 2018'!$H244*2%</f>
        <v>75</v>
      </c>
      <c r="T244" s="107">
        <f>' الشركه 2018'!$O244+' الشركه 2018'!$P244+' الشركه 2018'!$Q244+' الشركه 2018'!$R244+' الشركه 2018'!$S244</f>
        <v>2437.5</v>
      </c>
      <c r="U244" s="109">
        <f>VLOOKUP(Table6[[#This Row],[الرقم الوظيفى]],[2]بالخصم!$B$1:$AK$1200,35,)</f>
        <v>1</v>
      </c>
      <c r="V244" s="204">
        <v>1</v>
      </c>
      <c r="W244" s="111">
        <f>Table6[[#This Row],[عدد ايام الاجازه]]*Table6[[#This Row],[ح راتب اليوم]]</f>
        <v>125</v>
      </c>
      <c r="X244" s="148"/>
      <c r="Y244" s="201"/>
      <c r="Z244" s="111">
        <f>Table6[[#This Row],[عدد ايام الجزاء]]*Table6[[#This Row],[ح راتب اليوم]]</f>
        <v>0</v>
      </c>
      <c r="AA244" s="112">
        <f>Table6[[#This Row],[مرتب]]*50%</f>
        <v>1875</v>
      </c>
      <c r="AB244" s="113" t="e">
        <f>VLOOKUP(Table6[[#This Row],[الرقم الوظيفى]],[3]!Table25289[#Data],23,)</f>
        <v>#REF!</v>
      </c>
      <c r="AC244" s="205"/>
      <c r="AD244" s="206"/>
      <c r="AE244" s="113" t="e">
        <f>VLOOKUP(Table6[[#This Row],[الرقم الوظيفى]],[3]!Table252894[#Data],22,)</f>
        <v>#REF!</v>
      </c>
      <c r="AF244" s="207"/>
      <c r="AG244" s="111">
        <f>' الشركه 2018'!$W244+' الشركه 2018'!$Z244+' الشركه 2018'!$AA244+' الشركه 2018'!$AC244+' الشركه 2018'!$AD244+' الشركه 2018'!$AF244</f>
        <v>2000</v>
      </c>
      <c r="AH244" s="111">
        <f>Table6[[#This Row],[راتب الضمان]]*8%</f>
        <v>300</v>
      </c>
      <c r="AI244" s="111">
        <f>' الشركه 2018'!$H244-' الشركه 2018'!$AG244-' الشركه 2018'!$AH244</f>
        <v>1450</v>
      </c>
      <c r="AJ244" s="111">
        <f>' الشركه 2018'!$CF244</f>
        <v>289.90384615384613</v>
      </c>
      <c r="AK244" s="117">
        <f>' الشركه 2018'!$AI244+' الشركه 2018'!$AJ244</f>
        <v>1739.9038461538462</v>
      </c>
      <c r="AL244" s="152"/>
      <c r="AM244" s="153"/>
      <c r="AN244" s="9">
        <f>Table6[[#This Row],[اجمالى الاستحقاق]]-Table6[[#This Row],[Column2]]+Table6[[#This Row],[حوافز غير مستقره]]</f>
        <v>1739.9038461538462</v>
      </c>
      <c r="AO244" s="59"/>
      <c r="AP244" s="169"/>
      <c r="AQ244" s="176"/>
      <c r="AR244" s="124"/>
      <c r="AS244" s="208"/>
      <c r="AT244" s="170"/>
      <c r="AU244" s="124"/>
      <c r="AV244" s="124"/>
      <c r="AW244" s="124"/>
      <c r="AX244" s="124"/>
      <c r="AY244" s="124"/>
      <c r="AZ244" s="124"/>
      <c r="BA244" s="124"/>
      <c r="BB244" s="124"/>
      <c r="BC244" s="124"/>
      <c r="BD244" s="124"/>
      <c r="BE244" s="124"/>
      <c r="BF244" s="124"/>
      <c r="BG244" s="124"/>
      <c r="BH244" s="228"/>
      <c r="BI244" s="124"/>
      <c r="BJ244" s="228"/>
      <c r="BK244" s="124"/>
      <c r="BL244" s="124"/>
      <c r="BM244" s="177">
        <v>8</v>
      </c>
      <c r="BN244" s="177"/>
      <c r="BO244" s="124">
        <v>8</v>
      </c>
      <c r="BP244" s="177"/>
      <c r="BQ244" s="124"/>
      <c r="BR244" s="177"/>
      <c r="BS244" s="177"/>
      <c r="BT244" s="124"/>
      <c r="BU244" s="124"/>
      <c r="BV244" s="124"/>
      <c r="BW244" s="177"/>
      <c r="BX244" s="177"/>
      <c r="BY244" s="177"/>
      <c r="BZ244" s="177"/>
      <c r="CA244" s="177"/>
      <c r="CB24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24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4" s="131">
        <f>' الشركه 2018'!$H244*67%*1.5*' الشركه 2018'!$CB244/208</f>
        <v>289.90384615384613</v>
      </c>
      <c r="CE244" s="132">
        <f>' الشركه 2018'!$H244*67%*2*' الشركه 2018'!$CC244/208</f>
        <v>0</v>
      </c>
      <c r="CF244" s="133">
        <f>' الشركه 2018'!$CD244+' الشركه 2018'!$CE244</f>
        <v>289.90384615384613</v>
      </c>
      <c r="CG244" s="124"/>
      <c r="CH244" s="177"/>
      <c r="CI244" s="124"/>
      <c r="CJ244" s="162"/>
      <c r="CK244" s="162"/>
      <c r="CL244" s="177"/>
      <c r="CM244" s="162"/>
      <c r="CN244" s="162"/>
      <c r="CO244" s="162"/>
      <c r="CP244" s="163"/>
      <c r="CQ244" s="164" t="e">
        <f>VLOOKUP(Table6[[#This Row],[الرقم الوظيفى]],[4]!Table3[#Data],26,FALSE)</f>
        <v>#REF!</v>
      </c>
      <c r="CR244" s="199">
        <v>1000</v>
      </c>
      <c r="CS244" s="124"/>
    </row>
    <row r="245" spans="1:97" ht="28" customHeight="1" thickTop="1" thickBot="1">
      <c r="A245" s="227">
        <v>1029</v>
      </c>
      <c r="B245" s="214" t="s">
        <v>708</v>
      </c>
      <c r="C245" s="59" t="s">
        <v>90</v>
      </c>
      <c r="D245" s="183" t="s">
        <v>74</v>
      </c>
      <c r="E245" s="202"/>
      <c r="F245" s="11"/>
      <c r="G245" s="184">
        <v>43143</v>
      </c>
      <c r="H245" s="154">
        <v>3000</v>
      </c>
      <c r="I245" s="203">
        <f>Table6[[#This Row],[مرتب]]/30</f>
        <v>100</v>
      </c>
      <c r="J245" s="107">
        <v>30</v>
      </c>
      <c r="K245" s="107">
        <f t="shared" si="3"/>
        <v>3000</v>
      </c>
      <c r="L245" s="154">
        <v>3000</v>
      </c>
      <c r="M245" s="107">
        <f>Table6[[#This Row],[مرتب الضمان]]*17%</f>
        <v>510.00000000000006</v>
      </c>
      <c r="N245" s="107">
        <f>' الشركه 2018'!$H245*35%</f>
        <v>1050</v>
      </c>
      <c r="O245" s="107">
        <f>' الشركه 2018'!$H245*32%</f>
        <v>960</v>
      </c>
      <c r="P245" s="107">
        <f>' الشركه 2018'!$H245*12%</f>
        <v>360</v>
      </c>
      <c r="Q245" s="107">
        <f>' الشركه 2018'!$H245*13%</f>
        <v>390</v>
      </c>
      <c r="R245" s="107">
        <f>' الشركه 2018'!$H245*6%</f>
        <v>180</v>
      </c>
      <c r="S245" s="107">
        <f>' الشركه 2018'!$H245*2%</f>
        <v>60</v>
      </c>
      <c r="T245" s="107">
        <f>' الشركه 2018'!$O245+' الشركه 2018'!$P245+' الشركه 2018'!$Q245+' الشركه 2018'!$R245+' الشركه 2018'!$S245</f>
        <v>1950</v>
      </c>
      <c r="U245" s="109">
        <f>VLOOKUP(Table6[[#This Row],[الرقم الوظيفى]],[2]بالخصم!$B$1:$AK$1200,35,)</f>
        <v>0</v>
      </c>
      <c r="V245" s="204"/>
      <c r="W245" s="111">
        <f>Table6[[#This Row],[عدد ايام الاجازه]]*Table6[[#This Row],[ح راتب اليوم]]</f>
        <v>0</v>
      </c>
      <c r="X245" s="148"/>
      <c r="Y245" s="201"/>
      <c r="Z245" s="111">
        <f>Table6[[#This Row],[عدد ايام الجزاء]]*Table6[[#This Row],[ح راتب اليوم]]</f>
        <v>0</v>
      </c>
      <c r="AA245" s="112">
        <f>Table6[[#This Row],[مرتب]]*50%</f>
        <v>1500</v>
      </c>
      <c r="AB245" s="113" t="e">
        <f>VLOOKUP(Table6[[#This Row],[الرقم الوظيفى]],[3]!Table25289[#Data],23,)</f>
        <v>#REF!</v>
      </c>
      <c r="AC245" s="205"/>
      <c r="AD245" s="206"/>
      <c r="AE245" s="113" t="e">
        <f>VLOOKUP(Table6[[#This Row],[الرقم الوظيفى]],[3]!Table252894[#Data],22,)</f>
        <v>#REF!</v>
      </c>
      <c r="AF245" s="207"/>
      <c r="AG245" s="111">
        <f>' الشركه 2018'!$W245+' الشركه 2018'!$Z245+' الشركه 2018'!$AA245+' الشركه 2018'!$AC245+' الشركه 2018'!$AD245+' الشركه 2018'!$AF245</f>
        <v>1500</v>
      </c>
      <c r="AH245" s="111">
        <f>Table6[[#This Row],[راتب الضمان]]*8%</f>
        <v>240</v>
      </c>
      <c r="AI245" s="111">
        <f>' الشركه 2018'!$H245-' الشركه 2018'!$AG245-' الشركه 2018'!$AH245</f>
        <v>1260</v>
      </c>
      <c r="AJ245" s="111">
        <f>' الشركه 2018'!$CF245</f>
        <v>0</v>
      </c>
      <c r="AK245" s="117">
        <f>' الشركه 2018'!$AI245+' الشركه 2018'!$AJ245</f>
        <v>1260</v>
      </c>
      <c r="AL245" s="152"/>
      <c r="AM245" s="153"/>
      <c r="AN245" s="9">
        <f>Table6[[#This Row],[اجمالى الاستحقاق]]-Table6[[#This Row],[Column2]]+Table6[[#This Row],[حوافز غير مستقره]]</f>
        <v>1260</v>
      </c>
      <c r="AO245" s="59"/>
      <c r="AP245" s="169"/>
      <c r="AQ245" s="176"/>
      <c r="AR245" s="124"/>
      <c r="AS245" s="208"/>
      <c r="AT245" s="170"/>
      <c r="AU245" s="124"/>
      <c r="AV245" s="124"/>
      <c r="AW245" s="124"/>
      <c r="AX245" s="124"/>
      <c r="AY245" s="124"/>
      <c r="AZ245" s="124"/>
      <c r="BA245" s="124"/>
      <c r="BB245" s="124"/>
      <c r="BC245" s="124"/>
      <c r="BD245" s="124"/>
      <c r="BE245" s="124"/>
      <c r="BF245" s="124"/>
      <c r="BG245" s="124"/>
      <c r="BH245" s="228"/>
      <c r="BI245" s="124"/>
      <c r="BJ245" s="228"/>
      <c r="BK245" s="124"/>
      <c r="BL245" s="124"/>
      <c r="BM245" s="177"/>
      <c r="BN245" s="177"/>
      <c r="BO245" s="124"/>
      <c r="BP245" s="177"/>
      <c r="BQ245" s="124"/>
      <c r="BR245" s="177"/>
      <c r="BS245" s="177"/>
      <c r="BT245" s="124"/>
      <c r="BU245" s="124"/>
      <c r="BV245" s="124"/>
      <c r="BW245" s="177"/>
      <c r="BX245" s="177"/>
      <c r="BY245" s="177"/>
      <c r="BZ245" s="177"/>
      <c r="CA245" s="177"/>
      <c r="CB24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5" s="131">
        <f>' الشركه 2018'!$H245*67%*1.5*' الشركه 2018'!$CB245/208</f>
        <v>0</v>
      </c>
      <c r="CE245" s="132">
        <f>' الشركه 2018'!$H245*67%*2*' الشركه 2018'!$CC245/208</f>
        <v>0</v>
      </c>
      <c r="CF245" s="133">
        <f>' الشركه 2018'!$CD245+' الشركه 2018'!$CE245</f>
        <v>0</v>
      </c>
      <c r="CG245" s="124"/>
      <c r="CH245" s="177"/>
      <c r="CI245" s="124"/>
      <c r="CJ245" s="162"/>
      <c r="CK245" s="162"/>
      <c r="CL245" s="177"/>
      <c r="CM245" s="162"/>
      <c r="CN245" s="162"/>
      <c r="CO245" s="162"/>
      <c r="CP245" s="163"/>
      <c r="CQ245" s="164" t="e">
        <f>VLOOKUP(Table6[[#This Row],[الرقم الوظيفى]],[4]!Table3[#Data],26,FALSE)</f>
        <v>#REF!</v>
      </c>
      <c r="CR245" s="356">
        <v>600</v>
      </c>
      <c r="CS245" s="124"/>
    </row>
    <row r="246" spans="1:97" ht="28" customHeight="1" thickTop="1" thickBot="1">
      <c r="A246" s="227">
        <v>1031</v>
      </c>
      <c r="B246" s="214" t="s">
        <v>709</v>
      </c>
      <c r="C246" s="59" t="s">
        <v>90</v>
      </c>
      <c r="D246" s="183" t="s">
        <v>81</v>
      </c>
      <c r="E246" s="202"/>
      <c r="F246" s="11"/>
      <c r="G246" s="184">
        <v>43144</v>
      </c>
      <c r="H246" s="154">
        <v>3000</v>
      </c>
      <c r="I246" s="203">
        <f>Table6[[#This Row],[مرتب]]/30</f>
        <v>100</v>
      </c>
      <c r="J246" s="107">
        <v>30</v>
      </c>
      <c r="K246" s="107">
        <f t="shared" si="3"/>
        <v>3000</v>
      </c>
      <c r="L246" s="154">
        <v>3000</v>
      </c>
      <c r="M246" s="107">
        <f>Table6[[#This Row],[مرتب الضمان]]*17%</f>
        <v>510.00000000000006</v>
      </c>
      <c r="N246" s="107">
        <f>' الشركه 2018'!$H246*35%</f>
        <v>1050</v>
      </c>
      <c r="O246" s="107">
        <f>' الشركه 2018'!$H246*32%</f>
        <v>960</v>
      </c>
      <c r="P246" s="107">
        <f>' الشركه 2018'!$H246*12%</f>
        <v>360</v>
      </c>
      <c r="Q246" s="107">
        <f>' الشركه 2018'!$H246*13%</f>
        <v>390</v>
      </c>
      <c r="R246" s="107">
        <f>' الشركه 2018'!$H246*6%</f>
        <v>180</v>
      </c>
      <c r="S246" s="107">
        <f>' الشركه 2018'!$H246*2%</f>
        <v>60</v>
      </c>
      <c r="T246" s="107">
        <f>' الشركه 2018'!$O246+' الشركه 2018'!$P246+' الشركه 2018'!$Q246+' الشركه 2018'!$R246+' الشركه 2018'!$S246</f>
        <v>1950</v>
      </c>
      <c r="U246" s="109">
        <f>VLOOKUP(Table6[[#This Row],[الرقم الوظيفى]],[2]بالخصم!$B$1:$AK$1200,35,)</f>
        <v>1</v>
      </c>
      <c r="V246" s="204">
        <v>1</v>
      </c>
      <c r="W246" s="111">
        <f>Table6[[#This Row],[عدد ايام الاجازه]]*Table6[[#This Row],[ح راتب اليوم]]</f>
        <v>100</v>
      </c>
      <c r="X246" s="148"/>
      <c r="Y246" s="201"/>
      <c r="Z246" s="111">
        <f>Table6[[#This Row],[عدد ايام الجزاء]]*Table6[[#This Row],[ح راتب اليوم]]</f>
        <v>0</v>
      </c>
      <c r="AA246" s="112">
        <f>Table6[[#This Row],[مرتب]]*50%</f>
        <v>1500</v>
      </c>
      <c r="AB246" s="113" t="e">
        <f>VLOOKUP(Table6[[#This Row],[الرقم الوظيفى]],[3]!Table25289[#Data],23,)</f>
        <v>#REF!</v>
      </c>
      <c r="AC246" s="205"/>
      <c r="AD246" s="206"/>
      <c r="AE246" s="113" t="e">
        <f>VLOOKUP(Table6[[#This Row],[الرقم الوظيفى]],[3]!Table252894[#Data],22,)</f>
        <v>#REF!</v>
      </c>
      <c r="AF246" s="207"/>
      <c r="AG246" s="111">
        <f>' الشركه 2018'!$W246+' الشركه 2018'!$Z246+' الشركه 2018'!$AA246+' الشركه 2018'!$AC246+' الشركه 2018'!$AD246+' الشركه 2018'!$AF246</f>
        <v>1600</v>
      </c>
      <c r="AH246" s="111">
        <f>Table6[[#This Row],[راتب الضمان]]*8%</f>
        <v>240</v>
      </c>
      <c r="AI246" s="111">
        <f>' الشركه 2018'!$H246-' الشركه 2018'!$AG246-' الشركه 2018'!$AH246</f>
        <v>1160</v>
      </c>
      <c r="AJ246" s="111">
        <f>' الشركه 2018'!$CF246</f>
        <v>0</v>
      </c>
      <c r="AK246" s="117">
        <f>' الشركه 2018'!$AI246+' الشركه 2018'!$AJ246</f>
        <v>1160</v>
      </c>
      <c r="AL246" s="152"/>
      <c r="AM246" s="153"/>
      <c r="AN246" s="9">
        <f>Table6[[#This Row],[اجمالى الاستحقاق]]-Table6[[#This Row],[Column2]]+Table6[[#This Row],[حوافز غير مستقره]]</f>
        <v>1160</v>
      </c>
      <c r="AO246" s="59"/>
      <c r="AP246" s="169"/>
      <c r="AQ246" s="358"/>
      <c r="AR246" s="359"/>
      <c r="AS246" s="360"/>
      <c r="AT246" s="170"/>
      <c r="AU246" s="124"/>
      <c r="AV246" s="124"/>
      <c r="AW246" s="124"/>
      <c r="AX246" s="124"/>
      <c r="AY246" s="124"/>
      <c r="AZ246" s="124"/>
      <c r="BA246" s="124"/>
      <c r="BB246" s="124"/>
      <c r="BC246" s="124"/>
      <c r="BD246" s="124"/>
      <c r="BE246" s="124"/>
      <c r="BF246" s="124"/>
      <c r="BG246" s="124"/>
      <c r="BH246" s="228"/>
      <c r="BI246" s="124"/>
      <c r="BJ246" s="228"/>
      <c r="BK246" s="124"/>
      <c r="BL246" s="124"/>
      <c r="BM246" s="177"/>
      <c r="BN246" s="177"/>
      <c r="BO246" s="124"/>
      <c r="BP246" s="177"/>
      <c r="BQ246" s="124"/>
      <c r="BR246" s="177"/>
      <c r="BS246" s="177"/>
      <c r="BT246" s="124"/>
      <c r="BU246" s="124"/>
      <c r="BV246" s="124"/>
      <c r="BW246" s="177"/>
      <c r="BX246" s="177"/>
      <c r="BY246" s="177"/>
      <c r="BZ246" s="177"/>
      <c r="CA246" s="177"/>
      <c r="CB24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6" s="131">
        <f>' الشركه 2018'!$H246*67%*1.5*' الشركه 2018'!$CB246/208</f>
        <v>0</v>
      </c>
      <c r="CE246" s="132">
        <f>' الشركه 2018'!$H246*67%*2*' الشركه 2018'!$CC246/208</f>
        <v>0</v>
      </c>
      <c r="CF246" s="133">
        <f>' الشركه 2018'!$CD246+' الشركه 2018'!$CE246</f>
        <v>0</v>
      </c>
      <c r="CG246" s="124"/>
      <c r="CH246" s="177"/>
      <c r="CI246" s="124"/>
      <c r="CJ246" s="162"/>
      <c r="CK246" s="162"/>
      <c r="CL246" s="177"/>
      <c r="CM246" s="162"/>
      <c r="CN246" s="162"/>
      <c r="CO246" s="162"/>
      <c r="CP246" s="163"/>
      <c r="CQ246" s="164" t="e">
        <f>VLOOKUP(Table6[[#This Row],[الرقم الوظيفى]],[4]!Table3[#Data],26,FALSE)</f>
        <v>#REF!</v>
      </c>
      <c r="CR246" s="361">
        <v>2000</v>
      </c>
      <c r="CS246" s="124"/>
    </row>
    <row r="247" spans="1:97" ht="28" customHeight="1" thickTop="1" thickBot="1">
      <c r="A247" s="227">
        <v>1032</v>
      </c>
      <c r="B247" s="214" t="s">
        <v>710</v>
      </c>
      <c r="C247" s="59" t="s">
        <v>90</v>
      </c>
      <c r="D247" s="183" t="s">
        <v>74</v>
      </c>
      <c r="E247" s="202"/>
      <c r="F247" s="11"/>
      <c r="G247" s="184">
        <v>43144</v>
      </c>
      <c r="H247" s="154">
        <v>3000</v>
      </c>
      <c r="I247" s="203">
        <f>Table6[[#This Row],[مرتب]]/30</f>
        <v>100</v>
      </c>
      <c r="J247" s="107">
        <v>30</v>
      </c>
      <c r="K247" s="107">
        <f t="shared" si="3"/>
        <v>3000</v>
      </c>
      <c r="L247" s="154">
        <v>3000</v>
      </c>
      <c r="M247" s="107">
        <f>Table6[[#This Row],[مرتب الضمان]]*17%</f>
        <v>510.00000000000006</v>
      </c>
      <c r="N247" s="107">
        <f>' الشركه 2018'!$H247*35%</f>
        <v>1050</v>
      </c>
      <c r="O247" s="107">
        <f>' الشركه 2018'!$H247*32%</f>
        <v>960</v>
      </c>
      <c r="P247" s="107">
        <f>' الشركه 2018'!$H247*12%</f>
        <v>360</v>
      </c>
      <c r="Q247" s="107">
        <f>' الشركه 2018'!$H247*13%</f>
        <v>390</v>
      </c>
      <c r="R247" s="107">
        <f>' الشركه 2018'!$H247*6%</f>
        <v>180</v>
      </c>
      <c r="S247" s="107">
        <f>' الشركه 2018'!$H247*2%</f>
        <v>60</v>
      </c>
      <c r="T247" s="107">
        <f>' الشركه 2018'!$O247+' الشركه 2018'!$P247+' الشركه 2018'!$Q247+' الشركه 2018'!$R247+' الشركه 2018'!$S247</f>
        <v>1950</v>
      </c>
      <c r="U247" s="109">
        <f>VLOOKUP(Table6[[#This Row],[الرقم الوظيفى]],[2]بالخصم!$B$1:$AK$1200,35,)</f>
        <v>4</v>
      </c>
      <c r="V247" s="204">
        <v>4</v>
      </c>
      <c r="W247" s="111">
        <f>Table6[[#This Row],[عدد ايام الاجازه]]*Table6[[#This Row],[ح راتب اليوم]]</f>
        <v>400</v>
      </c>
      <c r="X247" s="148"/>
      <c r="Y247" s="201"/>
      <c r="Z247" s="111">
        <f>Table6[[#This Row],[عدد ايام الجزاء]]*Table6[[#This Row],[ح راتب اليوم]]</f>
        <v>0</v>
      </c>
      <c r="AA247" s="112">
        <f>Table6[[#This Row],[مرتب]]*50%</f>
        <v>1500</v>
      </c>
      <c r="AB247" s="113" t="e">
        <f>VLOOKUP(Table6[[#This Row],[الرقم الوظيفى]],[3]!Table25289[#Data],23,)</f>
        <v>#REF!</v>
      </c>
      <c r="AC247" s="205"/>
      <c r="AD247" s="206"/>
      <c r="AE247" s="113" t="e">
        <f>VLOOKUP(Table6[[#This Row],[الرقم الوظيفى]],[3]!Table252894[#Data],22,)</f>
        <v>#REF!</v>
      </c>
      <c r="AF247" s="207"/>
      <c r="AG247" s="111">
        <f>' الشركه 2018'!$W247+' الشركه 2018'!$Z247+' الشركه 2018'!$AA247+' الشركه 2018'!$AC247+' الشركه 2018'!$AD247+' الشركه 2018'!$AF247</f>
        <v>1900</v>
      </c>
      <c r="AH247" s="111">
        <f>Table6[[#This Row],[راتب الضمان]]*8%</f>
        <v>240</v>
      </c>
      <c r="AI247" s="111">
        <f>' الشركه 2018'!$H247-' الشركه 2018'!$AG247-' الشركه 2018'!$AH247</f>
        <v>860</v>
      </c>
      <c r="AJ247" s="111">
        <f>' الشركه 2018'!$CF247</f>
        <v>0</v>
      </c>
      <c r="AK247" s="117">
        <f>' الشركه 2018'!$AI247+' الشركه 2018'!$AJ247</f>
        <v>860</v>
      </c>
      <c r="AL247" s="152"/>
      <c r="AM247" s="153"/>
      <c r="AN247" s="9">
        <f>Table6[[#This Row],[اجمالى الاستحقاق]]-Table6[[#This Row],[Column2]]+Table6[[#This Row],[حوافز غير مستقره]]</f>
        <v>860</v>
      </c>
      <c r="AO247" s="59"/>
      <c r="AP247" s="169"/>
      <c r="AQ247" s="358"/>
      <c r="AR247" s="359"/>
      <c r="AS247" s="360"/>
      <c r="AT247" s="170"/>
      <c r="AU247" s="124"/>
      <c r="AV247" s="124"/>
      <c r="AW247" s="124"/>
      <c r="AX247" s="124"/>
      <c r="AY247" s="124"/>
      <c r="AZ247" s="124"/>
      <c r="BA247" s="124"/>
      <c r="BB247" s="124"/>
      <c r="BC247" s="124"/>
      <c r="BD247" s="124"/>
      <c r="BE247" s="124"/>
      <c r="BF247" s="124"/>
      <c r="BG247" s="124"/>
      <c r="BH247" s="228"/>
      <c r="BI247" s="124"/>
      <c r="BJ247" s="228"/>
      <c r="BK247" s="124"/>
      <c r="BL247" s="124"/>
      <c r="BM247" s="177"/>
      <c r="BN247" s="177"/>
      <c r="BO247" s="124"/>
      <c r="BP247" s="177"/>
      <c r="BQ247" s="124"/>
      <c r="BR247" s="177"/>
      <c r="BS247" s="177"/>
      <c r="BT247" s="124"/>
      <c r="BU247" s="124"/>
      <c r="BV247" s="124"/>
      <c r="BW247" s="177"/>
      <c r="BX247" s="177"/>
      <c r="BY247" s="177"/>
      <c r="BZ247" s="177"/>
      <c r="CA247" s="177"/>
      <c r="CB24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4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47" s="131">
        <f>' الشركه 2018'!$H247*67%*1.5*' الشركه 2018'!$CB247/208</f>
        <v>0</v>
      </c>
      <c r="CE247" s="132">
        <f>' الشركه 2018'!$H247*67%*2*' الشركه 2018'!$CC247/208</f>
        <v>0</v>
      </c>
      <c r="CF247" s="133">
        <f>' الشركه 2018'!$CD247+' الشركه 2018'!$CE247</f>
        <v>0</v>
      </c>
      <c r="CG247" s="124"/>
      <c r="CH247" s="177"/>
      <c r="CI247" s="124"/>
      <c r="CJ247" s="162"/>
      <c r="CK247" s="162"/>
      <c r="CL247" s="177"/>
      <c r="CM247" s="162"/>
      <c r="CN247" s="162"/>
      <c r="CO247" s="162"/>
      <c r="CP247" s="163"/>
      <c r="CQ247" s="164" t="e">
        <f>VLOOKUP(Table6[[#This Row],[الرقم الوظيفى]],[4]!Table3[#Data],26,FALSE)</f>
        <v>#REF!</v>
      </c>
      <c r="CR247" s="361"/>
      <c r="CS247" s="124"/>
    </row>
    <row r="248" spans="1:97" ht="28" customHeight="1" thickTop="1" thickBot="1">
      <c r="A248" s="227">
        <v>1035</v>
      </c>
      <c r="B248" s="214" t="s">
        <v>711</v>
      </c>
      <c r="C248" s="59" t="s">
        <v>90</v>
      </c>
      <c r="D248" s="183" t="s">
        <v>74</v>
      </c>
      <c r="E248" s="202"/>
      <c r="F248" s="11"/>
      <c r="G248" s="184">
        <v>43144</v>
      </c>
      <c r="H248" s="154">
        <v>3000</v>
      </c>
      <c r="I248" s="203">
        <f>Table6[[#This Row],[مرتب]]/30</f>
        <v>100</v>
      </c>
      <c r="J248" s="107">
        <v>30</v>
      </c>
      <c r="K248" s="107">
        <f t="shared" si="3"/>
        <v>3000</v>
      </c>
      <c r="L248" s="154">
        <v>3000</v>
      </c>
      <c r="M248" s="107">
        <f>Table6[[#This Row],[مرتب الضمان]]*17%</f>
        <v>510.00000000000006</v>
      </c>
      <c r="N248" s="107">
        <f>' الشركه 2018'!$H248*35%</f>
        <v>1050</v>
      </c>
      <c r="O248" s="107">
        <f>' الشركه 2018'!$H248*32%</f>
        <v>960</v>
      </c>
      <c r="P248" s="107">
        <f>' الشركه 2018'!$H248*12%</f>
        <v>360</v>
      </c>
      <c r="Q248" s="107">
        <f>' الشركه 2018'!$H248*13%</f>
        <v>390</v>
      </c>
      <c r="R248" s="107">
        <f>' الشركه 2018'!$H248*6%</f>
        <v>180</v>
      </c>
      <c r="S248" s="107">
        <f>' الشركه 2018'!$H248*2%</f>
        <v>60</v>
      </c>
      <c r="T248" s="107">
        <f>' الشركه 2018'!$O248+' الشركه 2018'!$P248+' الشركه 2018'!$Q248+' الشركه 2018'!$R248+' الشركه 2018'!$S248</f>
        <v>1950</v>
      </c>
      <c r="U248" s="109">
        <f>VLOOKUP(Table6[[#This Row],[الرقم الوظيفى]],[2]بالخصم!$B$1:$AK$1200,35,)</f>
        <v>1</v>
      </c>
      <c r="V248" s="204">
        <v>1</v>
      </c>
      <c r="W248" s="111">
        <f>Table6[[#This Row],[عدد ايام الاجازه]]*Table6[[#This Row],[ح راتب اليوم]]</f>
        <v>100</v>
      </c>
      <c r="X248" s="148"/>
      <c r="Y248" s="201"/>
      <c r="Z248" s="111">
        <f>Table6[[#This Row],[عدد ايام الجزاء]]*Table6[[#This Row],[ح راتب اليوم]]</f>
        <v>0</v>
      </c>
      <c r="AA248" s="112">
        <f>Table6[[#This Row],[مرتب]]*50%</f>
        <v>1500</v>
      </c>
      <c r="AB248" s="113" t="e">
        <f>VLOOKUP(Table6[[#This Row],[الرقم الوظيفى]],[3]!Table25289[#Data],23,)</f>
        <v>#REF!</v>
      </c>
      <c r="AC248" s="205"/>
      <c r="AD248" s="206"/>
      <c r="AE248" s="113" t="e">
        <f>VLOOKUP(Table6[[#This Row],[الرقم الوظيفى]],[3]!Table252894[#Data],22,)</f>
        <v>#REF!</v>
      </c>
      <c r="AF248" s="207"/>
      <c r="AG248" s="111">
        <f>' الشركه 2018'!$W248+' الشركه 2018'!$Z248+' الشركه 2018'!$AA248+' الشركه 2018'!$AC248+' الشركه 2018'!$AD248+' الشركه 2018'!$AF248</f>
        <v>1600</v>
      </c>
      <c r="AH248" s="111">
        <f>Table6[[#This Row],[راتب الضمان]]*8%</f>
        <v>240</v>
      </c>
      <c r="AI248" s="111">
        <f>' الشركه 2018'!$H248-' الشركه 2018'!$AG248-' الشركه 2018'!$AH248</f>
        <v>1160</v>
      </c>
      <c r="AJ248" s="111">
        <f>' الشركه 2018'!$CF248</f>
        <v>347.88461538461547</v>
      </c>
      <c r="AK248" s="117">
        <f>' الشركه 2018'!$AI248+' الشركه 2018'!$AJ248</f>
        <v>1507.8846153846155</v>
      </c>
      <c r="AL248" s="152"/>
      <c r="AM248" s="153"/>
      <c r="AN248" s="9">
        <f>Table6[[#This Row],[اجمالى الاستحقاق]]-Table6[[#This Row],[Column2]]+Table6[[#This Row],[حوافز غير مستقره]]</f>
        <v>1507.8846153846155</v>
      </c>
      <c r="AO248" s="59"/>
      <c r="AP248" s="169"/>
      <c r="AQ248" s="358"/>
      <c r="AR248" s="359"/>
      <c r="AS248" s="360"/>
      <c r="AT248" s="170"/>
      <c r="AU248" s="124"/>
      <c r="AV248" s="124">
        <v>12</v>
      </c>
      <c r="AW248" s="124"/>
      <c r="AX248" s="124"/>
      <c r="AY248" s="124"/>
      <c r="AZ248" s="124"/>
      <c r="BA248" s="124"/>
      <c r="BB248" s="124"/>
      <c r="BC248" s="124"/>
      <c r="BD248" s="124"/>
      <c r="BE248" s="124"/>
      <c r="BF248" s="124"/>
      <c r="BG248" s="124"/>
      <c r="BH248" s="228"/>
      <c r="BI248" s="124"/>
      <c r="BJ248" s="228"/>
      <c r="BK248" s="124"/>
      <c r="BL248" s="124"/>
      <c r="BM248" s="177"/>
      <c r="BN248" s="177"/>
      <c r="BO248" s="124"/>
      <c r="BP248" s="177"/>
      <c r="BQ248" s="124"/>
      <c r="BR248" s="177">
        <v>8</v>
      </c>
      <c r="BS248" s="177"/>
      <c r="BT248" s="124"/>
      <c r="BU248" s="124"/>
      <c r="BV248" s="124"/>
      <c r="BW248" s="177"/>
      <c r="BX248" s="177"/>
      <c r="BY248" s="177"/>
      <c r="BZ248" s="177"/>
      <c r="CA248" s="177"/>
      <c r="CB24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248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48" s="131">
        <f>' الشركه 2018'!$H248*67%*1.5*' الشركه 2018'!$CB248/208</f>
        <v>115.96153846153848</v>
      </c>
      <c r="CE248" s="132">
        <f>' الشركه 2018'!$H248*67%*2*' الشركه 2018'!$CC248/208</f>
        <v>231.92307692307696</v>
      </c>
      <c r="CF248" s="133">
        <f>' الشركه 2018'!$CD248+' الشركه 2018'!$CE248</f>
        <v>347.88461538461547</v>
      </c>
      <c r="CG248" s="124"/>
      <c r="CH248" s="177"/>
      <c r="CI248" s="124"/>
      <c r="CJ248" s="162"/>
      <c r="CK248" s="162"/>
      <c r="CL248" s="177"/>
      <c r="CM248" s="162"/>
      <c r="CN248" s="162"/>
      <c r="CO248" s="162"/>
      <c r="CP248" s="163"/>
      <c r="CQ248" s="164" t="e">
        <f>VLOOKUP(Table6[[#This Row],[الرقم الوظيفى]],[4]!Table3[#Data],26,FALSE)</f>
        <v>#REF!</v>
      </c>
      <c r="CR248" s="362"/>
      <c r="CS248" s="124"/>
    </row>
    <row r="249" spans="1:97" ht="28" customHeight="1" thickTop="1" thickBot="1">
      <c r="A249" s="227">
        <v>1036</v>
      </c>
      <c r="B249" s="214" t="s">
        <v>712</v>
      </c>
      <c r="C249" s="59" t="s">
        <v>90</v>
      </c>
      <c r="D249" s="183" t="s">
        <v>74</v>
      </c>
      <c r="E249" s="202"/>
      <c r="F249" s="11"/>
      <c r="G249" s="184">
        <v>43144</v>
      </c>
      <c r="H249" s="154">
        <v>3000</v>
      </c>
      <c r="I249" s="203">
        <f>Table6[[#This Row],[مرتب]]/30</f>
        <v>100</v>
      </c>
      <c r="J249" s="107">
        <v>30</v>
      </c>
      <c r="K249" s="107">
        <f t="shared" si="3"/>
        <v>3000</v>
      </c>
      <c r="L249" s="154">
        <v>3000</v>
      </c>
      <c r="M249" s="107">
        <f>Table6[[#This Row],[مرتب الضمان]]*17%</f>
        <v>510.00000000000006</v>
      </c>
      <c r="N249" s="107">
        <f>' الشركه 2018'!$H249*35%</f>
        <v>1050</v>
      </c>
      <c r="O249" s="107">
        <f>' الشركه 2018'!$H249*32%</f>
        <v>960</v>
      </c>
      <c r="P249" s="107">
        <f>' الشركه 2018'!$H249*12%</f>
        <v>360</v>
      </c>
      <c r="Q249" s="107">
        <f>' الشركه 2018'!$H249*13%</f>
        <v>390</v>
      </c>
      <c r="R249" s="107">
        <f>' الشركه 2018'!$H249*6%</f>
        <v>180</v>
      </c>
      <c r="S249" s="107">
        <f>' الشركه 2018'!$H249*2%</f>
        <v>60</v>
      </c>
      <c r="T249" s="107">
        <f>' الشركه 2018'!$O249+' الشركه 2018'!$P249+' الشركه 2018'!$Q249+' الشركه 2018'!$R249+' الشركه 2018'!$S249</f>
        <v>1950</v>
      </c>
      <c r="U249" s="109">
        <f>VLOOKUP(Table6[[#This Row],[الرقم الوظيفى]],[2]بالخصم!$B$1:$AK$1200,35,)</f>
        <v>0</v>
      </c>
      <c r="V249" s="204"/>
      <c r="W249" s="111">
        <f>Table6[[#This Row],[عدد ايام الاجازه]]*Table6[[#This Row],[ح راتب اليوم]]</f>
        <v>0</v>
      </c>
      <c r="X249" s="148"/>
      <c r="Y249" s="201"/>
      <c r="Z249" s="111">
        <f>Table6[[#This Row],[عدد ايام الجزاء]]*Table6[[#This Row],[ح راتب اليوم]]</f>
        <v>0</v>
      </c>
      <c r="AA249" s="112">
        <f>Table6[[#This Row],[مرتب]]*50%</f>
        <v>1500</v>
      </c>
      <c r="AB249" s="113" t="e">
        <f>VLOOKUP(Table6[[#This Row],[الرقم الوظيفى]],[3]!Table25289[#Data],23,)</f>
        <v>#REF!</v>
      </c>
      <c r="AC249" s="205"/>
      <c r="AD249" s="206"/>
      <c r="AE249" s="113" t="e">
        <f>VLOOKUP(Table6[[#This Row],[الرقم الوظيفى]],[3]!Table252894[#Data],22,)</f>
        <v>#REF!</v>
      </c>
      <c r="AF249" s="207"/>
      <c r="AG249" s="111">
        <f>' الشركه 2018'!$W249+' الشركه 2018'!$Z249+' الشركه 2018'!$AA249+' الشركه 2018'!$AC249+' الشركه 2018'!$AD249+' الشركه 2018'!$AF249</f>
        <v>1500</v>
      </c>
      <c r="AH249" s="111">
        <f>Table6[[#This Row],[راتب الضمان]]*8%</f>
        <v>240</v>
      </c>
      <c r="AI249" s="111">
        <f>' الشركه 2018'!$H249-' الشركه 2018'!$AG249-' الشركه 2018'!$AH249</f>
        <v>1260</v>
      </c>
      <c r="AJ249" s="111">
        <f>' الشركه 2018'!$CF249</f>
        <v>1043.6538461538464</v>
      </c>
      <c r="AK249" s="117">
        <f>' الشركه 2018'!$AI249+' الشركه 2018'!$AJ249</f>
        <v>2303.6538461538466</v>
      </c>
      <c r="AL249" s="152"/>
      <c r="AM249" s="153"/>
      <c r="AN249" s="9">
        <f>Table6[[#This Row],[اجمالى الاستحقاق]]-Table6[[#This Row],[Column2]]+Table6[[#This Row],[حوافز غير مستقره]]</f>
        <v>2303.6538461538466</v>
      </c>
      <c r="AO249" s="59"/>
      <c r="AP249" s="169"/>
      <c r="AQ249" s="358"/>
      <c r="AR249" s="359"/>
      <c r="AS249" s="360"/>
      <c r="AT249" s="170"/>
      <c r="AU249" s="124"/>
      <c r="AV249" s="124">
        <v>12</v>
      </c>
      <c r="AW249" s="124"/>
      <c r="AX249" s="124"/>
      <c r="AY249" s="124">
        <v>8</v>
      </c>
      <c r="AZ249" s="124">
        <v>8</v>
      </c>
      <c r="BA249" s="124"/>
      <c r="BB249" s="124"/>
      <c r="BC249" s="124"/>
      <c r="BD249" s="124"/>
      <c r="BE249" s="124"/>
      <c r="BF249" s="124"/>
      <c r="BG249" s="124"/>
      <c r="BH249" s="228">
        <v>8</v>
      </c>
      <c r="BI249" s="124"/>
      <c r="BJ249" s="228"/>
      <c r="BK249" s="124"/>
      <c r="BL249" s="124">
        <v>8</v>
      </c>
      <c r="BM249" s="177">
        <v>8</v>
      </c>
      <c r="BN249" s="177">
        <v>8</v>
      </c>
      <c r="BO249" s="124">
        <v>8</v>
      </c>
      <c r="BP249" s="177"/>
      <c r="BQ249" s="124"/>
      <c r="BR249" s="177"/>
      <c r="BS249" s="177"/>
      <c r="BT249" s="124"/>
      <c r="BU249" s="124"/>
      <c r="BV249" s="124"/>
      <c r="BW249" s="177"/>
      <c r="BX249" s="177"/>
      <c r="BY249" s="177"/>
      <c r="BZ249" s="177"/>
      <c r="CA249" s="177"/>
      <c r="CB24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56</v>
      </c>
      <c r="CC249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49" s="131">
        <f>' الشركه 2018'!$H249*67%*1.5*' الشركه 2018'!$CB249/208</f>
        <v>811.7307692307694</v>
      </c>
      <c r="CE249" s="132">
        <f>' الشركه 2018'!$H249*67%*2*' الشركه 2018'!$CC249/208</f>
        <v>231.92307692307696</v>
      </c>
      <c r="CF249" s="133">
        <f>' الشركه 2018'!$CD249+' الشركه 2018'!$CE249</f>
        <v>1043.6538461538464</v>
      </c>
      <c r="CG249" s="124"/>
      <c r="CH249" s="177"/>
      <c r="CI249" s="124"/>
      <c r="CJ249" s="162"/>
      <c r="CK249" s="162"/>
      <c r="CL249" s="177"/>
      <c r="CM249" s="162"/>
      <c r="CN249" s="162"/>
      <c r="CO249" s="162"/>
      <c r="CP249" s="163"/>
      <c r="CQ249" s="164" t="e">
        <f>VLOOKUP(Table6[[#This Row],[الرقم الوظيفى]],[4]!Table3[#Data],26,FALSE)</f>
        <v>#REF!</v>
      </c>
      <c r="CR249" s="362"/>
      <c r="CS249" s="124"/>
    </row>
    <row r="250" spans="1:97" ht="28" customHeight="1" thickTop="1" thickBot="1">
      <c r="A250" s="227">
        <v>1037</v>
      </c>
      <c r="B250" s="214" t="s">
        <v>713</v>
      </c>
      <c r="C250" s="59" t="s">
        <v>90</v>
      </c>
      <c r="D250" s="183" t="s">
        <v>74</v>
      </c>
      <c r="E250" s="202"/>
      <c r="F250" s="11"/>
      <c r="G250" s="184">
        <v>43144</v>
      </c>
      <c r="H250" s="154">
        <v>3000</v>
      </c>
      <c r="I250" s="203">
        <f>Table6[[#This Row],[مرتب]]/30</f>
        <v>100</v>
      </c>
      <c r="J250" s="107">
        <v>30</v>
      </c>
      <c r="K250" s="107">
        <f t="shared" si="3"/>
        <v>3000</v>
      </c>
      <c r="L250" s="154">
        <v>3000</v>
      </c>
      <c r="M250" s="107">
        <f>Table6[[#This Row],[مرتب الضمان]]*17%</f>
        <v>510.00000000000006</v>
      </c>
      <c r="N250" s="107">
        <f>' الشركه 2018'!$H250*35%</f>
        <v>1050</v>
      </c>
      <c r="O250" s="107">
        <f>' الشركه 2018'!$H250*32%</f>
        <v>960</v>
      </c>
      <c r="P250" s="107">
        <f>' الشركه 2018'!$H250*12%</f>
        <v>360</v>
      </c>
      <c r="Q250" s="107">
        <f>' الشركه 2018'!$H250*13%</f>
        <v>390</v>
      </c>
      <c r="R250" s="107">
        <f>' الشركه 2018'!$H250*6%</f>
        <v>180</v>
      </c>
      <c r="S250" s="107">
        <f>' الشركه 2018'!$H250*2%</f>
        <v>60</v>
      </c>
      <c r="T250" s="107">
        <f>' الشركه 2018'!$O250+' الشركه 2018'!$P250+' الشركه 2018'!$Q250+' الشركه 2018'!$R250+' الشركه 2018'!$S250</f>
        <v>1950</v>
      </c>
      <c r="U250" s="109">
        <f>VLOOKUP(Table6[[#This Row],[الرقم الوظيفى]],[2]بالخصم!$B$1:$AK$1200,35,)</f>
        <v>0</v>
      </c>
      <c r="V250" s="204"/>
      <c r="W250" s="111">
        <f>Table6[[#This Row],[عدد ايام الاجازه]]*Table6[[#This Row],[ح راتب اليوم]]</f>
        <v>0</v>
      </c>
      <c r="X250" s="148"/>
      <c r="Y250" s="201"/>
      <c r="Z250" s="111">
        <f>Table6[[#This Row],[عدد ايام الجزاء]]*Table6[[#This Row],[ح راتب اليوم]]</f>
        <v>0</v>
      </c>
      <c r="AA250" s="112">
        <f>Table6[[#This Row],[مرتب]]*50%</f>
        <v>1500</v>
      </c>
      <c r="AB250" s="113" t="e">
        <f>VLOOKUP(Table6[[#This Row],[الرقم الوظيفى]],[3]!Table25289[#Data],23,)</f>
        <v>#REF!</v>
      </c>
      <c r="AC250" s="205"/>
      <c r="AD250" s="206"/>
      <c r="AE250" s="113" t="e">
        <f>VLOOKUP(Table6[[#This Row],[الرقم الوظيفى]],[3]!Table252894[#Data],22,)</f>
        <v>#REF!</v>
      </c>
      <c r="AF250" s="207"/>
      <c r="AG250" s="111">
        <f>' الشركه 2018'!$W250+' الشركه 2018'!$Z250+' الشركه 2018'!$AA250+' الشركه 2018'!$AC250+' الشركه 2018'!$AD250+' الشركه 2018'!$AF250</f>
        <v>1500</v>
      </c>
      <c r="AH250" s="111">
        <f>Table6[[#This Row],[راتب الضمان]]*8%</f>
        <v>240</v>
      </c>
      <c r="AI250" s="111">
        <f>' الشركه 2018'!$H250-' الشركه 2018'!$AG250-' الشركه 2018'!$AH250</f>
        <v>1260</v>
      </c>
      <c r="AJ250" s="111">
        <f>' الشركه 2018'!$CF250</f>
        <v>1855.3846153846157</v>
      </c>
      <c r="AK250" s="117">
        <f>' الشركه 2018'!$AI250+' الشركه 2018'!$AJ250</f>
        <v>3115.3846153846157</v>
      </c>
      <c r="AL250" s="152"/>
      <c r="AM250" s="153"/>
      <c r="AN250" s="9">
        <f>Table6[[#This Row],[اجمالى الاستحقاق]]-Table6[[#This Row],[Column2]]+Table6[[#This Row],[حوافز غير مستقره]]</f>
        <v>3115.3846153846157</v>
      </c>
      <c r="AO250" s="59"/>
      <c r="AP250" s="169"/>
      <c r="AQ250" s="358"/>
      <c r="AR250" s="359"/>
      <c r="AS250" s="360"/>
      <c r="AT250" s="170"/>
      <c r="AU250" s="124"/>
      <c r="AV250" s="124">
        <v>24</v>
      </c>
      <c r="AW250" s="124"/>
      <c r="AX250" s="124">
        <v>8</v>
      </c>
      <c r="AY250" s="124"/>
      <c r="AZ250" s="124"/>
      <c r="BA250" s="124"/>
      <c r="BB250" s="124"/>
      <c r="BC250" s="124">
        <v>24</v>
      </c>
      <c r="BD250" s="124"/>
      <c r="BE250" s="124"/>
      <c r="BF250" s="124"/>
      <c r="BG250" s="124"/>
      <c r="BH250" s="228"/>
      <c r="BI250" s="124"/>
      <c r="BJ250" s="228"/>
      <c r="BK250" s="124"/>
      <c r="BL250" s="124"/>
      <c r="BM250" s="177">
        <v>8</v>
      </c>
      <c r="BN250" s="177">
        <v>8</v>
      </c>
      <c r="BO250" s="124">
        <v>8</v>
      </c>
      <c r="BP250" s="177">
        <v>8</v>
      </c>
      <c r="BQ250" s="124"/>
      <c r="BR250" s="177"/>
      <c r="BS250" s="177"/>
      <c r="BT250" s="124"/>
      <c r="BU250" s="124"/>
      <c r="BV250" s="124"/>
      <c r="BW250" s="177"/>
      <c r="BX250" s="177"/>
      <c r="BY250" s="177"/>
      <c r="BZ250" s="177">
        <v>8</v>
      </c>
      <c r="CA250" s="177">
        <v>12</v>
      </c>
      <c r="CB25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48</v>
      </c>
      <c r="CC250" s="130">
        <f>Table6[[#This Row],[Friday, November 23, 2018]]+Table6[[#This Row],[Friday, November 30, 2018]]+Table6[[#This Row],[Friday, December 07, 2018]]+Table6[[#This Row],[Friday, December 14, 2018]]+Table6[[#This Row],[فروقات عطله]]</f>
        <v>60</v>
      </c>
      <c r="CD250" s="131">
        <f>' الشركه 2018'!$H250*67%*1.5*' الشركه 2018'!$CB250/208</f>
        <v>695.76923076923094</v>
      </c>
      <c r="CE250" s="132">
        <f>' الشركه 2018'!$H250*67%*2*' الشركه 2018'!$CC250/208</f>
        <v>1159.6153846153848</v>
      </c>
      <c r="CF250" s="133">
        <f>' الشركه 2018'!$CD250+' الشركه 2018'!$CE250</f>
        <v>1855.3846153846157</v>
      </c>
      <c r="CG250" s="124"/>
      <c r="CH250" s="177"/>
      <c r="CI250" s="124"/>
      <c r="CJ250" s="162"/>
      <c r="CK250" s="162"/>
      <c r="CL250" s="177"/>
      <c r="CM250" s="162"/>
      <c r="CN250" s="162"/>
      <c r="CO250" s="162"/>
      <c r="CP250" s="163"/>
      <c r="CQ250" s="164" t="e">
        <f>VLOOKUP(Table6[[#This Row],[الرقم الوظيفى]],[4]!Table3[#Data],26,FALSE)</f>
        <v>#REF!</v>
      </c>
      <c r="CR250" s="362"/>
      <c r="CS250" s="124"/>
    </row>
    <row r="251" spans="1:97" ht="28" customHeight="1" thickTop="1" thickBot="1">
      <c r="A251" s="227">
        <v>1038</v>
      </c>
      <c r="B251" s="214" t="s">
        <v>714</v>
      </c>
      <c r="C251" s="59" t="s">
        <v>90</v>
      </c>
      <c r="D251" s="183" t="s">
        <v>74</v>
      </c>
      <c r="E251" s="202"/>
      <c r="F251" s="11"/>
      <c r="G251" s="184">
        <v>43146</v>
      </c>
      <c r="H251" s="154">
        <v>3000</v>
      </c>
      <c r="I251" s="203">
        <f>Table6[[#This Row],[مرتب]]/30</f>
        <v>100</v>
      </c>
      <c r="J251" s="107">
        <v>30</v>
      </c>
      <c r="K251" s="107">
        <f t="shared" si="3"/>
        <v>3000</v>
      </c>
      <c r="L251" s="154">
        <v>3000</v>
      </c>
      <c r="M251" s="107">
        <f>Table6[[#This Row],[مرتب الضمان]]*17%</f>
        <v>510.00000000000006</v>
      </c>
      <c r="N251" s="107">
        <f>' الشركه 2018'!$H251*35%</f>
        <v>1050</v>
      </c>
      <c r="O251" s="107">
        <f>' الشركه 2018'!$H251*32%</f>
        <v>960</v>
      </c>
      <c r="P251" s="107">
        <f>' الشركه 2018'!$H251*12%</f>
        <v>360</v>
      </c>
      <c r="Q251" s="107">
        <f>' الشركه 2018'!$H251*13%</f>
        <v>390</v>
      </c>
      <c r="R251" s="107">
        <f>' الشركه 2018'!$H251*6%</f>
        <v>180</v>
      </c>
      <c r="S251" s="107">
        <f>' الشركه 2018'!$H251*2%</f>
        <v>60</v>
      </c>
      <c r="T251" s="107">
        <f>' الشركه 2018'!$O251+' الشركه 2018'!$P251+' الشركه 2018'!$Q251+' الشركه 2018'!$R251+' الشركه 2018'!$S251</f>
        <v>1950</v>
      </c>
      <c r="U251" s="109">
        <f>VLOOKUP(Table6[[#This Row],[الرقم الوظيفى]],[2]بالخصم!$B$1:$AK$1200,35,)</f>
        <v>0</v>
      </c>
      <c r="V251" s="204"/>
      <c r="W251" s="111">
        <f>Table6[[#This Row],[عدد ايام الاجازه]]*Table6[[#This Row],[ح راتب اليوم]]</f>
        <v>0</v>
      </c>
      <c r="X251" s="148"/>
      <c r="Y251" s="201"/>
      <c r="Z251" s="111">
        <f>Table6[[#This Row],[عدد ايام الجزاء]]*Table6[[#This Row],[ح راتب اليوم]]</f>
        <v>0</v>
      </c>
      <c r="AA251" s="112">
        <f>Table6[[#This Row],[مرتب]]*50%</f>
        <v>1500</v>
      </c>
      <c r="AB251" s="113" t="e">
        <f>VLOOKUP(Table6[[#This Row],[الرقم الوظيفى]],[3]!Table25289[#Data],23,)</f>
        <v>#REF!</v>
      </c>
      <c r="AC251" s="205"/>
      <c r="AD251" s="206"/>
      <c r="AE251" s="113" t="e">
        <f>VLOOKUP(Table6[[#This Row],[الرقم الوظيفى]],[3]!Table252894[#Data],22,)</f>
        <v>#REF!</v>
      </c>
      <c r="AF251" s="207"/>
      <c r="AG251" s="111">
        <f>' الشركه 2018'!$W251+' الشركه 2018'!$Z251+' الشركه 2018'!$AA251+' الشركه 2018'!$AC251+' الشركه 2018'!$AD251+' الشركه 2018'!$AF251</f>
        <v>1500</v>
      </c>
      <c r="AH251" s="111">
        <f>Table6[[#This Row],[راتب الضمان]]*8%</f>
        <v>240</v>
      </c>
      <c r="AI251" s="111">
        <f>' الشركه 2018'!$H251-' الشركه 2018'!$AG251-' الشركه 2018'!$AH251</f>
        <v>1260</v>
      </c>
      <c r="AJ251" s="111">
        <f>' الشركه 2018'!$CF251</f>
        <v>1739.4230769230771</v>
      </c>
      <c r="AK251" s="117">
        <f>' الشركه 2018'!$AI251+' الشركه 2018'!$AJ251</f>
        <v>2999.4230769230771</v>
      </c>
      <c r="AL251" s="152"/>
      <c r="AM251" s="153"/>
      <c r="AN251" s="9">
        <f>Table6[[#This Row],[اجمالى الاستحقاق]]-Table6[[#This Row],[Column2]]+Table6[[#This Row],[حوافز غير مستقره]]</f>
        <v>2999.4230769230771</v>
      </c>
      <c r="AO251" s="59"/>
      <c r="AP251" s="169"/>
      <c r="AQ251" s="358"/>
      <c r="AR251" s="359"/>
      <c r="AS251" s="360"/>
      <c r="AT251" s="170"/>
      <c r="AU251" s="124"/>
      <c r="AV251" s="124">
        <v>24</v>
      </c>
      <c r="AW251" s="124"/>
      <c r="AX251" s="124">
        <v>8</v>
      </c>
      <c r="AY251" s="124">
        <v>8</v>
      </c>
      <c r="AZ251" s="124"/>
      <c r="BA251" s="124"/>
      <c r="BB251" s="124"/>
      <c r="BC251" s="124"/>
      <c r="BD251" s="124"/>
      <c r="BE251" s="124"/>
      <c r="BF251" s="124"/>
      <c r="BG251" s="124">
        <v>8</v>
      </c>
      <c r="BH251" s="228">
        <v>8</v>
      </c>
      <c r="BI251" s="124">
        <v>8</v>
      </c>
      <c r="BJ251" s="228"/>
      <c r="BK251" s="124"/>
      <c r="BL251" s="124"/>
      <c r="BM251" s="177">
        <v>8</v>
      </c>
      <c r="BN251" s="177">
        <v>8</v>
      </c>
      <c r="BO251" s="124">
        <v>8</v>
      </c>
      <c r="BP251" s="177">
        <v>8</v>
      </c>
      <c r="BQ251" s="124"/>
      <c r="BR251" s="177">
        <v>8</v>
      </c>
      <c r="BS251" s="177">
        <v>8</v>
      </c>
      <c r="BT251" s="124"/>
      <c r="BU251" s="124"/>
      <c r="BV251" s="124"/>
      <c r="BW251" s="177"/>
      <c r="BX251" s="177"/>
      <c r="BY251" s="177"/>
      <c r="BZ251" s="177"/>
      <c r="CA251" s="177"/>
      <c r="CB25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88</v>
      </c>
      <c r="CC251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51" s="131">
        <f>' الشركه 2018'!$H251*67%*1.5*' الشركه 2018'!$CB251/208</f>
        <v>1275.5769230769233</v>
      </c>
      <c r="CE251" s="132">
        <f>' الشركه 2018'!$H251*67%*2*' الشركه 2018'!$CC251/208</f>
        <v>463.84615384615392</v>
      </c>
      <c r="CF251" s="133">
        <f>' الشركه 2018'!$CD251+' الشركه 2018'!$CE251</f>
        <v>1739.4230769230771</v>
      </c>
      <c r="CG251" s="124"/>
      <c r="CH251" s="177"/>
      <c r="CI251" s="124"/>
      <c r="CJ251" s="162"/>
      <c r="CK251" s="162"/>
      <c r="CL251" s="177"/>
      <c r="CM251" s="162"/>
      <c r="CN251" s="162"/>
      <c r="CO251" s="162"/>
      <c r="CP251" s="163"/>
      <c r="CQ251" s="164" t="e">
        <f>VLOOKUP(Table6[[#This Row],[الرقم الوظيفى]],[4]!Table3[#Data],26,FALSE)</f>
        <v>#REF!</v>
      </c>
      <c r="CR251" s="363"/>
      <c r="CS251" s="124"/>
    </row>
    <row r="252" spans="1:97" ht="28" customHeight="1" thickTop="1" thickBot="1">
      <c r="A252" s="227">
        <v>1039</v>
      </c>
      <c r="B252" s="214" t="s">
        <v>715</v>
      </c>
      <c r="C252" s="59" t="s">
        <v>90</v>
      </c>
      <c r="D252" s="143" t="s">
        <v>75</v>
      </c>
      <c r="E252" s="202"/>
      <c r="F252" s="11"/>
      <c r="G252" s="184">
        <v>43150</v>
      </c>
      <c r="H252" s="154">
        <v>4000</v>
      </c>
      <c r="I252" s="203">
        <f>Table6[[#This Row],[مرتب]]/30</f>
        <v>133.33333333333334</v>
      </c>
      <c r="J252" s="107">
        <v>30</v>
      </c>
      <c r="K252" s="107">
        <f t="shared" si="3"/>
        <v>4000.0000000000005</v>
      </c>
      <c r="L252" s="154">
        <v>4000</v>
      </c>
      <c r="M252" s="107">
        <f>Table6[[#This Row],[مرتب الضمان]]*17%</f>
        <v>680</v>
      </c>
      <c r="N252" s="107">
        <f>' الشركه 2018'!$H252*35%</f>
        <v>1400</v>
      </c>
      <c r="O252" s="107">
        <f>' الشركه 2018'!$H252*32%</f>
        <v>1280</v>
      </c>
      <c r="P252" s="107">
        <f>' الشركه 2018'!$H252*12%</f>
        <v>480</v>
      </c>
      <c r="Q252" s="107">
        <f>' الشركه 2018'!$H252*13%</f>
        <v>520</v>
      </c>
      <c r="R252" s="107">
        <f>' الشركه 2018'!$H252*6%</f>
        <v>240</v>
      </c>
      <c r="S252" s="107">
        <f>' الشركه 2018'!$H252*2%</f>
        <v>80</v>
      </c>
      <c r="T252" s="107">
        <f>' الشركه 2018'!$O252+' الشركه 2018'!$P252+' الشركه 2018'!$Q252+' الشركه 2018'!$R252+' الشركه 2018'!$S252</f>
        <v>2600</v>
      </c>
      <c r="U252" s="109">
        <f>VLOOKUP(Table6[[#This Row],[الرقم الوظيفى]],[2]بالخصم!$B$1:$AK$1200,35,)</f>
        <v>0</v>
      </c>
      <c r="V252" s="204"/>
      <c r="W252" s="111">
        <f>Table6[[#This Row],[عدد ايام الاجازه]]*Table6[[#This Row],[ح راتب اليوم]]</f>
        <v>0</v>
      </c>
      <c r="X252" s="148"/>
      <c r="Y252" s="201"/>
      <c r="Z252" s="111">
        <f>Table6[[#This Row],[عدد ايام الجزاء]]*Table6[[#This Row],[ح راتب اليوم]]</f>
        <v>0</v>
      </c>
      <c r="AA252" s="112">
        <f>Table6[[#This Row],[مرتب]]*50%</f>
        <v>2000</v>
      </c>
      <c r="AB252" s="113" t="e">
        <f>VLOOKUP(Table6[[#This Row],[الرقم الوظيفى]],[3]!Table25289[#Data],23,)</f>
        <v>#REF!</v>
      </c>
      <c r="AC252" s="205"/>
      <c r="AD252" s="206"/>
      <c r="AE252" s="113" t="e">
        <f>VLOOKUP(Table6[[#This Row],[الرقم الوظيفى]],[3]!Table252894[#Data],22,)</f>
        <v>#REF!</v>
      </c>
      <c r="AF252" s="207"/>
      <c r="AG252" s="111">
        <f>' الشركه 2018'!$W252+' الشركه 2018'!$Z252+' الشركه 2018'!$AA252+' الشركه 2018'!$AC252+' الشركه 2018'!$AD252+' الشركه 2018'!$AF252</f>
        <v>2000</v>
      </c>
      <c r="AH252" s="111">
        <f>Table6[[#This Row],[راتب الضمان]]*8%</f>
        <v>320.00000000000006</v>
      </c>
      <c r="AI252" s="111">
        <f>' الشركه 2018'!$H252-' الشركه 2018'!$AG252-' الشركه 2018'!$AH252</f>
        <v>1680</v>
      </c>
      <c r="AJ252" s="111">
        <f>' الشركه 2018'!$CF252</f>
        <v>0</v>
      </c>
      <c r="AK252" s="117">
        <f>' الشركه 2018'!$AI252+' الشركه 2018'!$AJ252</f>
        <v>1680</v>
      </c>
      <c r="AL252" s="152"/>
      <c r="AM252" s="153"/>
      <c r="AN252" s="9">
        <f>Table6[[#This Row],[اجمالى الاستحقاق]]-Table6[[#This Row],[Column2]]+Table6[[#This Row],[حوافز غير مستقره]]</f>
        <v>1680</v>
      </c>
      <c r="AO252" s="59"/>
      <c r="AP252" s="169"/>
      <c r="AQ252" s="358"/>
      <c r="AR252" s="359"/>
      <c r="AS252" s="360"/>
      <c r="AT252" s="170"/>
      <c r="AU252" s="124"/>
      <c r="AV252" s="124"/>
      <c r="AW252" s="124"/>
      <c r="AX252" s="124"/>
      <c r="AY252" s="124"/>
      <c r="AZ252" s="124"/>
      <c r="BA252" s="124"/>
      <c r="BB252" s="124"/>
      <c r="BC252" s="124"/>
      <c r="BD252" s="124"/>
      <c r="BE252" s="124"/>
      <c r="BF252" s="124"/>
      <c r="BG252" s="124"/>
      <c r="BH252" s="228"/>
      <c r="BI252" s="124"/>
      <c r="BJ252" s="228"/>
      <c r="BK252" s="124"/>
      <c r="BL252" s="124"/>
      <c r="BM252" s="177"/>
      <c r="BN252" s="177"/>
      <c r="BO252" s="124"/>
      <c r="BP252" s="177"/>
      <c r="BQ252" s="124"/>
      <c r="BR252" s="177"/>
      <c r="BS252" s="177"/>
      <c r="BT252" s="124"/>
      <c r="BU252" s="124"/>
      <c r="BV252" s="124"/>
      <c r="BW252" s="177"/>
      <c r="BX252" s="177"/>
      <c r="BY252" s="177"/>
      <c r="BZ252" s="177"/>
      <c r="CA252" s="177"/>
      <c r="CB25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2" s="131">
        <f>' الشركه 2018'!$H252*67%*1.5*' الشركه 2018'!$CB252/208</f>
        <v>0</v>
      </c>
      <c r="CE252" s="132">
        <f>' الشركه 2018'!$H252*67%*2*' الشركه 2018'!$CC252/208</f>
        <v>0</v>
      </c>
      <c r="CF252" s="133">
        <f>' الشركه 2018'!$CD252+' الشركه 2018'!$CE252</f>
        <v>0</v>
      </c>
      <c r="CG252" s="124"/>
      <c r="CH252" s="177"/>
      <c r="CI252" s="124"/>
      <c r="CJ252" s="162"/>
      <c r="CK252" s="162"/>
      <c r="CL252" s="177"/>
      <c r="CM252" s="162"/>
      <c r="CN252" s="162"/>
      <c r="CO252" s="162"/>
      <c r="CP252" s="163"/>
      <c r="CQ252" s="164" t="e">
        <f>VLOOKUP(Table6[[#This Row],[الرقم الوظيفى]],[4]!Table3[#Data],26,FALSE)</f>
        <v>#REF!</v>
      </c>
      <c r="CR252" s="364"/>
      <c r="CS252" s="124"/>
    </row>
    <row r="253" spans="1:97" ht="21.65" customHeight="1" thickTop="1" thickBot="1">
      <c r="A253" s="227">
        <v>1042</v>
      </c>
      <c r="B253" s="214" t="s">
        <v>716</v>
      </c>
      <c r="C253" s="59" t="s">
        <v>90</v>
      </c>
      <c r="D253" s="11" t="s">
        <v>74</v>
      </c>
      <c r="E253" s="202"/>
      <c r="F253" s="11"/>
      <c r="G253" s="184">
        <v>43150</v>
      </c>
      <c r="H253" s="154">
        <v>3000</v>
      </c>
      <c r="I253" s="203">
        <f>Table6[[#This Row],[مرتب]]/30</f>
        <v>100</v>
      </c>
      <c r="J253" s="107">
        <v>30</v>
      </c>
      <c r="K253" s="107">
        <f t="shared" si="3"/>
        <v>3000</v>
      </c>
      <c r="L253" s="59">
        <v>3000</v>
      </c>
      <c r="M253" s="107">
        <f>Table6[[#This Row],[مرتب الضمان]]*17%</f>
        <v>510.00000000000006</v>
      </c>
      <c r="N253" s="107">
        <f>' الشركه 2018'!$H253*35%</f>
        <v>1050</v>
      </c>
      <c r="O253" s="107">
        <f>' الشركه 2018'!$H253*32%</f>
        <v>960</v>
      </c>
      <c r="P253" s="107">
        <f>' الشركه 2018'!$H253*12%</f>
        <v>360</v>
      </c>
      <c r="Q253" s="107">
        <f>' الشركه 2018'!$H253*13%</f>
        <v>390</v>
      </c>
      <c r="R253" s="107">
        <f>' الشركه 2018'!$H253*6%</f>
        <v>180</v>
      </c>
      <c r="S253" s="107">
        <f>' الشركه 2018'!$H253*2%</f>
        <v>60</v>
      </c>
      <c r="T253" s="107">
        <f>' الشركه 2018'!$O253+' الشركه 2018'!$P253+' الشركه 2018'!$Q253+' الشركه 2018'!$R253+' الشركه 2018'!$S253</f>
        <v>1950</v>
      </c>
      <c r="U253" s="109">
        <f>VLOOKUP(Table6[[#This Row],[الرقم الوظيفى]],[2]بالخصم!$B$1:$AK$1200,35,)</f>
        <v>0</v>
      </c>
      <c r="V253" s="204"/>
      <c r="W253" s="111">
        <f>Table6[[#This Row],[عدد ايام الاجازه]]*Table6[[#This Row],[ح راتب اليوم]]</f>
        <v>0</v>
      </c>
      <c r="X253" s="148"/>
      <c r="Y253" s="201"/>
      <c r="Z253" s="111">
        <f>Table6[[#This Row],[عدد ايام الجزاء]]*Table6[[#This Row],[ح راتب اليوم]]</f>
        <v>0</v>
      </c>
      <c r="AA253" s="112">
        <f>Table6[[#This Row],[مرتب]]*50%</f>
        <v>1500</v>
      </c>
      <c r="AB253" s="113" t="e">
        <f>VLOOKUP(Table6[[#This Row],[الرقم الوظيفى]],[3]!Table25289[#Data],23,)</f>
        <v>#REF!</v>
      </c>
      <c r="AC253" s="205"/>
      <c r="AD253" s="206"/>
      <c r="AE253" s="113" t="e">
        <f>VLOOKUP(Table6[[#This Row],[الرقم الوظيفى]],[3]!Table252894[#Data],22,)</f>
        <v>#REF!</v>
      </c>
      <c r="AF253" s="207"/>
      <c r="AG253" s="111">
        <f>' الشركه 2018'!$W253+' الشركه 2018'!$Z253+' الشركه 2018'!$AA253+' الشركه 2018'!$AC253+' الشركه 2018'!$AD253+' الشركه 2018'!$AF253</f>
        <v>1500</v>
      </c>
      <c r="AH253" s="111">
        <f>Table6[[#This Row],[راتب الضمان]]*8%</f>
        <v>240</v>
      </c>
      <c r="AI253" s="111">
        <f>' الشركه 2018'!$H253-' الشركه 2018'!$AG253-' الشركه 2018'!$AH253</f>
        <v>1260</v>
      </c>
      <c r="AJ253" s="111">
        <f>' الشركه 2018'!$CF253</f>
        <v>0</v>
      </c>
      <c r="AK253" s="117">
        <f>' الشركه 2018'!$AI253+' الشركه 2018'!$AJ253</f>
        <v>1260</v>
      </c>
      <c r="AL253" s="152"/>
      <c r="AM253" s="153"/>
      <c r="AN253" s="9">
        <f>Table6[[#This Row],[اجمالى الاستحقاق]]-Table6[[#This Row],[Column2]]+Table6[[#This Row],[حوافز غير مستقره]]</f>
        <v>1260</v>
      </c>
      <c r="AO253" s="59"/>
      <c r="AP253" s="169"/>
      <c r="AQ253" s="358"/>
      <c r="AR253" s="359"/>
      <c r="AS253" s="360"/>
      <c r="AT253" s="170"/>
      <c r="AU253" s="124"/>
      <c r="AV253" s="124"/>
      <c r="AW253" s="124"/>
      <c r="AX253" s="124"/>
      <c r="AY253" s="124"/>
      <c r="AZ253" s="124"/>
      <c r="BA253" s="124"/>
      <c r="BB253" s="124"/>
      <c r="BC253" s="124"/>
      <c r="BD253" s="124"/>
      <c r="BE253" s="124"/>
      <c r="BF253" s="124"/>
      <c r="BG253" s="124"/>
      <c r="BH253" s="228"/>
      <c r="BI253" s="124"/>
      <c r="BJ253" s="228"/>
      <c r="BK253" s="124"/>
      <c r="BL253" s="124"/>
      <c r="BM253" s="177"/>
      <c r="BN253" s="177"/>
      <c r="BO253" s="124"/>
      <c r="BP253" s="177"/>
      <c r="BQ253" s="124"/>
      <c r="BR253" s="177"/>
      <c r="BS253" s="177"/>
      <c r="BT253" s="124"/>
      <c r="BU253" s="124"/>
      <c r="BV253" s="124"/>
      <c r="BW253" s="177"/>
      <c r="BX253" s="177"/>
      <c r="BY253" s="177"/>
      <c r="BZ253" s="177"/>
      <c r="CA253" s="177"/>
      <c r="CB25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3" s="131">
        <f>' الشركه 2018'!$H253*67%*1.5*' الشركه 2018'!$CB253/208</f>
        <v>0</v>
      </c>
      <c r="CE253" s="132">
        <f>' الشركه 2018'!$H253*67%*2*' الشركه 2018'!$CC253/208</f>
        <v>0</v>
      </c>
      <c r="CF253" s="133">
        <f>' الشركه 2018'!$CD253+' الشركه 2018'!$CE253</f>
        <v>0</v>
      </c>
      <c r="CG253" s="124"/>
      <c r="CH253" s="177"/>
      <c r="CI253" s="124"/>
      <c r="CJ253" s="162"/>
      <c r="CK253" s="162"/>
      <c r="CL253" s="177"/>
      <c r="CM253" s="162"/>
      <c r="CN253" s="162"/>
      <c r="CO253" s="162"/>
      <c r="CP253" s="163"/>
      <c r="CQ253" s="164" t="e">
        <f>VLOOKUP(Table6[[#This Row],[الرقم الوظيفى]],[4]!Table3[#Data],26,FALSE)</f>
        <v>#REF!</v>
      </c>
      <c r="CR253" s="361"/>
      <c r="CS253" s="124"/>
    </row>
    <row r="254" spans="1:97" s="231" customFormat="1" ht="21.65" customHeight="1" thickTop="1" thickBot="1">
      <c r="A254" s="227">
        <v>1043</v>
      </c>
      <c r="B254" s="214" t="s">
        <v>717</v>
      </c>
      <c r="C254" s="59" t="s">
        <v>90</v>
      </c>
      <c r="D254" s="11" t="s">
        <v>74</v>
      </c>
      <c r="E254" s="202"/>
      <c r="F254" s="11"/>
      <c r="G254" s="184">
        <v>43150</v>
      </c>
      <c r="H254" s="154">
        <v>3000</v>
      </c>
      <c r="I254" s="203">
        <f>Table6[[#This Row],[مرتب]]/30</f>
        <v>100</v>
      </c>
      <c r="J254" s="107">
        <v>30</v>
      </c>
      <c r="K254" s="107">
        <f t="shared" si="3"/>
        <v>3000</v>
      </c>
      <c r="L254" s="59">
        <v>3000</v>
      </c>
      <c r="M254" s="107">
        <f>Table6[[#This Row],[مرتب الضمان]]*17%</f>
        <v>510.00000000000006</v>
      </c>
      <c r="N254" s="107">
        <f>' الشركه 2018'!$H254*35%</f>
        <v>1050</v>
      </c>
      <c r="O254" s="107">
        <f>' الشركه 2018'!$H254*32%</f>
        <v>960</v>
      </c>
      <c r="P254" s="107">
        <f>' الشركه 2018'!$H254*12%</f>
        <v>360</v>
      </c>
      <c r="Q254" s="107">
        <f>' الشركه 2018'!$H254*13%</f>
        <v>390</v>
      </c>
      <c r="R254" s="107">
        <f>' الشركه 2018'!$H254*6%</f>
        <v>180</v>
      </c>
      <c r="S254" s="107">
        <f>' الشركه 2018'!$H254*2%</f>
        <v>60</v>
      </c>
      <c r="T254" s="107">
        <f>' الشركه 2018'!$O254+' الشركه 2018'!$P254+' الشركه 2018'!$Q254+' الشركه 2018'!$R254+' الشركه 2018'!$S254</f>
        <v>1950</v>
      </c>
      <c r="U254" s="109">
        <f>VLOOKUP(Table6[[#This Row],[الرقم الوظيفى]],[2]بالخصم!$B$1:$AK$1200,35,)</f>
        <v>1</v>
      </c>
      <c r="V254" s="204">
        <v>1</v>
      </c>
      <c r="W254" s="111">
        <f>Table6[[#This Row],[عدد ايام الاجازه]]*Table6[[#This Row],[ح راتب اليوم]]</f>
        <v>100</v>
      </c>
      <c r="X254" s="148"/>
      <c r="Y254" s="201"/>
      <c r="Z254" s="111">
        <f>Table6[[#This Row],[عدد ايام الجزاء]]*Table6[[#This Row],[ح راتب اليوم]]</f>
        <v>0</v>
      </c>
      <c r="AA254" s="112">
        <f>Table6[[#This Row],[مرتب]]*50%</f>
        <v>1500</v>
      </c>
      <c r="AB254" s="113" t="e">
        <f>VLOOKUP(Table6[[#This Row],[الرقم الوظيفى]],[3]!Table25289[#Data],23,)</f>
        <v>#REF!</v>
      </c>
      <c r="AC254" s="205"/>
      <c r="AD254" s="206"/>
      <c r="AE254" s="113" t="e">
        <f>VLOOKUP(Table6[[#This Row],[الرقم الوظيفى]],[3]!Table252894[#Data],22,)</f>
        <v>#REF!</v>
      </c>
      <c r="AF254" s="207"/>
      <c r="AG254" s="111">
        <f>' الشركه 2018'!$W254+' الشركه 2018'!$Z254+' الشركه 2018'!$AA254+' الشركه 2018'!$AC254+' الشركه 2018'!$AD254+' الشركه 2018'!$AF254</f>
        <v>1600</v>
      </c>
      <c r="AH254" s="111">
        <f>Table6[[#This Row],[راتب الضمان]]*8%</f>
        <v>240</v>
      </c>
      <c r="AI254" s="111">
        <f>' الشركه 2018'!$H254-' الشركه 2018'!$AG254-' الشركه 2018'!$AH254</f>
        <v>1160</v>
      </c>
      <c r="AJ254" s="111">
        <f>' الشركه 2018'!$CF254</f>
        <v>0</v>
      </c>
      <c r="AK254" s="117">
        <f>' الشركه 2018'!$AI254+' الشركه 2018'!$AJ254</f>
        <v>1160</v>
      </c>
      <c r="AL254" s="152"/>
      <c r="AM254" s="153"/>
      <c r="AN254" s="9">
        <f>Table6[[#This Row],[اجمالى الاستحقاق]]-Table6[[#This Row],[Column2]]+Table6[[#This Row],[حوافز غير مستقره]]</f>
        <v>1160</v>
      </c>
      <c r="AO254" s="59"/>
      <c r="AP254" s="169"/>
      <c r="AQ254" s="358"/>
      <c r="AR254" s="359"/>
      <c r="AS254" s="360"/>
      <c r="AT254" s="170"/>
      <c r="AU254" s="124"/>
      <c r="AV254" s="124"/>
      <c r="AW254" s="124"/>
      <c r="AX254" s="124"/>
      <c r="AY254" s="124"/>
      <c r="AZ254" s="124"/>
      <c r="BA254" s="124"/>
      <c r="BB254" s="124"/>
      <c r="BC254" s="124"/>
      <c r="BD254" s="124"/>
      <c r="BE254" s="124"/>
      <c r="BF254" s="124"/>
      <c r="BG254" s="124"/>
      <c r="BH254" s="228"/>
      <c r="BI254" s="124"/>
      <c r="BJ254" s="228"/>
      <c r="BK254" s="124"/>
      <c r="BL254" s="124"/>
      <c r="BM254" s="177"/>
      <c r="BN254" s="177"/>
      <c r="BO254" s="124"/>
      <c r="BP254" s="177"/>
      <c r="BQ254" s="124"/>
      <c r="BR254" s="177"/>
      <c r="BS254" s="177"/>
      <c r="BT254" s="124"/>
      <c r="BU254" s="124"/>
      <c r="BV254" s="124"/>
      <c r="BW254" s="177"/>
      <c r="BX254" s="177"/>
      <c r="BY254" s="177"/>
      <c r="BZ254" s="177"/>
      <c r="CA254" s="177"/>
      <c r="CB25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4" s="131">
        <f>' الشركه 2018'!$H254*67%*1.5*' الشركه 2018'!$CB254/208</f>
        <v>0</v>
      </c>
      <c r="CE254" s="132">
        <f>' الشركه 2018'!$H254*67%*2*' الشركه 2018'!$CC254/208</f>
        <v>0</v>
      </c>
      <c r="CF254" s="133">
        <f>' الشركه 2018'!$CD254+' الشركه 2018'!$CE254</f>
        <v>0</v>
      </c>
      <c r="CG254" s="124"/>
      <c r="CH254" s="177"/>
      <c r="CI254" s="124"/>
      <c r="CJ254" s="162"/>
      <c r="CK254" s="162"/>
      <c r="CL254" s="177"/>
      <c r="CM254" s="162"/>
      <c r="CN254" s="162"/>
      <c r="CO254" s="162"/>
      <c r="CP254" s="163"/>
      <c r="CQ254" s="164" t="e">
        <f>VLOOKUP(Table6[[#This Row],[الرقم الوظيفى]],[4]!Table3[#Data],26,FALSE)</f>
        <v>#REF!</v>
      </c>
      <c r="CR254" s="361"/>
      <c r="CS254" s="230"/>
    </row>
    <row r="255" spans="1:97" ht="21.65" customHeight="1" thickTop="1" thickBot="1">
      <c r="A255" s="227">
        <v>1044</v>
      </c>
      <c r="B255" s="214" t="s">
        <v>718</v>
      </c>
      <c r="C255" s="59" t="s">
        <v>90</v>
      </c>
      <c r="D255" s="11" t="s">
        <v>74</v>
      </c>
      <c r="E255" s="202"/>
      <c r="F255" s="11"/>
      <c r="G255" s="184">
        <v>43150</v>
      </c>
      <c r="H255" s="154">
        <v>3000</v>
      </c>
      <c r="I255" s="203">
        <f>Table6[[#This Row],[مرتب]]/30</f>
        <v>100</v>
      </c>
      <c r="J255" s="107">
        <v>30</v>
      </c>
      <c r="K255" s="107">
        <f t="shared" si="3"/>
        <v>3000</v>
      </c>
      <c r="L255" s="59">
        <v>3000</v>
      </c>
      <c r="M255" s="107">
        <f>Table6[[#This Row],[مرتب الضمان]]*17%</f>
        <v>510.00000000000006</v>
      </c>
      <c r="N255" s="107">
        <f>' الشركه 2018'!$H255*35%</f>
        <v>1050</v>
      </c>
      <c r="O255" s="107">
        <f>' الشركه 2018'!$H255*32%</f>
        <v>960</v>
      </c>
      <c r="P255" s="107">
        <f>' الشركه 2018'!$H255*12%</f>
        <v>360</v>
      </c>
      <c r="Q255" s="107">
        <f>' الشركه 2018'!$H255*13%</f>
        <v>390</v>
      </c>
      <c r="R255" s="107">
        <f>' الشركه 2018'!$H255*6%</f>
        <v>180</v>
      </c>
      <c r="S255" s="107">
        <f>' الشركه 2018'!$H255*2%</f>
        <v>60</v>
      </c>
      <c r="T255" s="107">
        <f>' الشركه 2018'!$O255+' الشركه 2018'!$P255+' الشركه 2018'!$Q255+' الشركه 2018'!$R255+' الشركه 2018'!$S255</f>
        <v>1950</v>
      </c>
      <c r="U255" s="109">
        <f>VLOOKUP(Table6[[#This Row],[الرقم الوظيفى]],[2]بالخصم!$B$1:$AK$1200,35,)</f>
        <v>0</v>
      </c>
      <c r="V255" s="204"/>
      <c r="W255" s="111">
        <f>Table6[[#This Row],[عدد ايام الاجازه]]*Table6[[#This Row],[ح راتب اليوم]]</f>
        <v>0</v>
      </c>
      <c r="X255" s="148"/>
      <c r="Y255" s="201"/>
      <c r="Z255" s="111">
        <f>Table6[[#This Row],[عدد ايام الجزاء]]*Table6[[#This Row],[ح راتب اليوم]]</f>
        <v>0</v>
      </c>
      <c r="AA255" s="112">
        <f>Table6[[#This Row],[مرتب]]*50%</f>
        <v>1500</v>
      </c>
      <c r="AB255" s="113" t="e">
        <f>VLOOKUP(Table6[[#This Row],[الرقم الوظيفى]],[3]!Table25289[#Data],23,)</f>
        <v>#REF!</v>
      </c>
      <c r="AC255" s="205"/>
      <c r="AD255" s="206"/>
      <c r="AE255" s="113" t="e">
        <f>VLOOKUP(Table6[[#This Row],[الرقم الوظيفى]],[3]!Table252894[#Data],22,)</f>
        <v>#REF!</v>
      </c>
      <c r="AF255" s="207"/>
      <c r="AG255" s="111">
        <f>' الشركه 2018'!$W255+' الشركه 2018'!$Z255+' الشركه 2018'!$AA255+' الشركه 2018'!$AC255+' الشركه 2018'!$AD255+' الشركه 2018'!$AF255</f>
        <v>1500</v>
      </c>
      <c r="AH255" s="111">
        <f>Table6[[#This Row],[راتب الضمان]]*8%</f>
        <v>240</v>
      </c>
      <c r="AI255" s="111">
        <f>' الشركه 2018'!$H255-' الشركه 2018'!$AG255-' الشركه 2018'!$AH255</f>
        <v>1260</v>
      </c>
      <c r="AJ255" s="111">
        <f>' الشركه 2018'!$CF255</f>
        <v>0</v>
      </c>
      <c r="AK255" s="117">
        <f>' الشركه 2018'!$AI255+' الشركه 2018'!$AJ255</f>
        <v>1260</v>
      </c>
      <c r="AL255" s="152"/>
      <c r="AM255" s="153"/>
      <c r="AN255" s="9">
        <f>Table6[[#This Row],[اجمالى الاستحقاق]]-Table6[[#This Row],[Column2]]+Table6[[#This Row],[حوافز غير مستقره]]</f>
        <v>1260</v>
      </c>
      <c r="AO255" s="59"/>
      <c r="AP255" s="169"/>
      <c r="AQ255" s="176"/>
      <c r="AR255" s="124"/>
      <c r="AS255" s="208"/>
      <c r="AT255" s="170"/>
      <c r="AU255" s="124"/>
      <c r="AV255" s="124"/>
      <c r="AW255" s="124"/>
      <c r="AX255" s="124"/>
      <c r="AY255" s="124"/>
      <c r="AZ255" s="124"/>
      <c r="BA255" s="124"/>
      <c r="BB255" s="124"/>
      <c r="BC255" s="124"/>
      <c r="BD255" s="124"/>
      <c r="BE255" s="124"/>
      <c r="BF255" s="124"/>
      <c r="BG255" s="124"/>
      <c r="BH255" s="228"/>
      <c r="BI255" s="124"/>
      <c r="BJ255" s="228"/>
      <c r="BK255" s="124"/>
      <c r="BL255" s="124"/>
      <c r="BM255" s="177"/>
      <c r="BN255" s="177"/>
      <c r="BO255" s="124"/>
      <c r="BP255" s="177"/>
      <c r="BQ255" s="124"/>
      <c r="BR255" s="177"/>
      <c r="BS255" s="177"/>
      <c r="BT255" s="124"/>
      <c r="BU255" s="124"/>
      <c r="BV255" s="124"/>
      <c r="BW255" s="177"/>
      <c r="BX255" s="177"/>
      <c r="BY255" s="177"/>
      <c r="BZ255" s="177"/>
      <c r="CA255" s="177"/>
      <c r="CB25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5" s="131">
        <f>' الشركه 2018'!$H255*67%*1.5*' الشركه 2018'!$CB255/208</f>
        <v>0</v>
      </c>
      <c r="CE255" s="132">
        <f>' الشركه 2018'!$H255*67%*2*' الشركه 2018'!$CC255/208</f>
        <v>0</v>
      </c>
      <c r="CF255" s="133">
        <f>' الشركه 2018'!$CD255+' الشركه 2018'!$CE255</f>
        <v>0</v>
      </c>
      <c r="CG255" s="124"/>
      <c r="CH255" s="177"/>
      <c r="CI255" s="124"/>
      <c r="CJ255" s="162"/>
      <c r="CK255" s="162"/>
      <c r="CL255" s="177"/>
      <c r="CM255" s="162"/>
      <c r="CN255" s="162"/>
      <c r="CO255" s="162"/>
      <c r="CP255" s="163"/>
      <c r="CQ255" s="164" t="e">
        <f>VLOOKUP(Table6[[#This Row],[الرقم الوظيفى]],[4]!Table3[#Data],26,FALSE)</f>
        <v>#REF!</v>
      </c>
      <c r="CR255" s="361"/>
      <c r="CS255" s="124"/>
    </row>
    <row r="256" spans="1:97" ht="21.65" customHeight="1" thickTop="1" thickBot="1">
      <c r="A256" s="227">
        <v>1045</v>
      </c>
      <c r="B256" s="214" t="s">
        <v>719</v>
      </c>
      <c r="C256" s="59" t="s">
        <v>90</v>
      </c>
      <c r="D256" s="11" t="s">
        <v>74</v>
      </c>
      <c r="E256" s="202"/>
      <c r="F256" s="11"/>
      <c r="G256" s="184">
        <v>43150</v>
      </c>
      <c r="H256" s="154">
        <v>3000</v>
      </c>
      <c r="I256" s="203">
        <f>Table6[[#This Row],[مرتب]]/30</f>
        <v>100</v>
      </c>
      <c r="J256" s="107">
        <v>30</v>
      </c>
      <c r="K256" s="107">
        <f t="shared" si="3"/>
        <v>3000</v>
      </c>
      <c r="L256" s="59">
        <v>3000</v>
      </c>
      <c r="M256" s="107">
        <f>Table6[[#This Row],[مرتب الضمان]]*17%</f>
        <v>510.00000000000006</v>
      </c>
      <c r="N256" s="107">
        <f>' الشركه 2018'!$H256*35%</f>
        <v>1050</v>
      </c>
      <c r="O256" s="107">
        <f>' الشركه 2018'!$H256*32%</f>
        <v>960</v>
      </c>
      <c r="P256" s="107">
        <f>' الشركه 2018'!$H256*12%</f>
        <v>360</v>
      </c>
      <c r="Q256" s="107">
        <f>' الشركه 2018'!$H256*13%</f>
        <v>390</v>
      </c>
      <c r="R256" s="107">
        <f>' الشركه 2018'!$H256*6%</f>
        <v>180</v>
      </c>
      <c r="S256" s="107">
        <f>' الشركه 2018'!$H256*2%</f>
        <v>60</v>
      </c>
      <c r="T256" s="107">
        <f>' الشركه 2018'!$O256+' الشركه 2018'!$P256+' الشركه 2018'!$Q256+' الشركه 2018'!$R256+' الشركه 2018'!$S256</f>
        <v>1950</v>
      </c>
      <c r="U256" s="109">
        <f>VLOOKUP(Table6[[#This Row],[الرقم الوظيفى]],[2]بالخصم!$B$1:$AK$1200,35,)</f>
        <v>0</v>
      </c>
      <c r="V256" s="204"/>
      <c r="W256" s="111">
        <f>Table6[[#This Row],[عدد ايام الاجازه]]*Table6[[#This Row],[ح راتب اليوم]]</f>
        <v>0</v>
      </c>
      <c r="X256" s="148"/>
      <c r="Y256" s="201"/>
      <c r="Z256" s="111">
        <f>Table6[[#This Row],[عدد ايام الجزاء]]*Table6[[#This Row],[ح راتب اليوم]]</f>
        <v>0</v>
      </c>
      <c r="AA256" s="112">
        <f>Table6[[#This Row],[مرتب]]*50%</f>
        <v>1500</v>
      </c>
      <c r="AB256" s="113" t="e">
        <f>VLOOKUP(Table6[[#This Row],[الرقم الوظيفى]],[3]!Table25289[#Data],23,)</f>
        <v>#REF!</v>
      </c>
      <c r="AC256" s="205"/>
      <c r="AD256" s="206"/>
      <c r="AE256" s="113" t="e">
        <f>VLOOKUP(Table6[[#This Row],[الرقم الوظيفى]],[3]!Table252894[#Data],22,)</f>
        <v>#REF!</v>
      </c>
      <c r="AF256" s="207"/>
      <c r="AG256" s="111">
        <f>' الشركه 2018'!$W256+' الشركه 2018'!$Z256+' الشركه 2018'!$AA256+' الشركه 2018'!$AC256+' الشركه 2018'!$AD256+' الشركه 2018'!$AF256</f>
        <v>1500</v>
      </c>
      <c r="AH256" s="111">
        <f>Table6[[#This Row],[راتب الضمان]]*8%</f>
        <v>240</v>
      </c>
      <c r="AI256" s="111">
        <f>' الشركه 2018'!$H256-' الشركه 2018'!$AG256-' الشركه 2018'!$AH256</f>
        <v>1260</v>
      </c>
      <c r="AJ256" s="111">
        <f>' الشركه 2018'!$CF256</f>
        <v>0</v>
      </c>
      <c r="AK256" s="117">
        <f>' الشركه 2018'!$AI256+' الشركه 2018'!$AJ256</f>
        <v>1260</v>
      </c>
      <c r="AL256" s="152"/>
      <c r="AM256" s="153"/>
      <c r="AN256" s="9">
        <f>Table6[[#This Row],[اجمالى الاستحقاق]]-Table6[[#This Row],[Column2]]+Table6[[#This Row],[حوافز غير مستقره]]</f>
        <v>1260</v>
      </c>
      <c r="AO256" s="59"/>
      <c r="AP256" s="169"/>
      <c r="AQ256" s="176"/>
      <c r="AR256" s="124"/>
      <c r="AS256" s="208"/>
      <c r="AT256" s="170"/>
      <c r="AU256" s="124"/>
      <c r="AV256" s="124"/>
      <c r="AW256" s="124"/>
      <c r="AX256" s="124"/>
      <c r="AY256" s="124"/>
      <c r="AZ256" s="124"/>
      <c r="BA256" s="124"/>
      <c r="BB256" s="124"/>
      <c r="BC256" s="124"/>
      <c r="BD256" s="124"/>
      <c r="BE256" s="124"/>
      <c r="BF256" s="124"/>
      <c r="BG256" s="124"/>
      <c r="BH256" s="228"/>
      <c r="BI256" s="124"/>
      <c r="BJ256" s="228"/>
      <c r="BK256" s="124"/>
      <c r="BL256" s="124"/>
      <c r="BM256" s="177"/>
      <c r="BN256" s="177"/>
      <c r="BO256" s="124"/>
      <c r="BP256" s="177"/>
      <c r="BQ256" s="124"/>
      <c r="BR256" s="177"/>
      <c r="BS256" s="177"/>
      <c r="BT256" s="124"/>
      <c r="BU256" s="124"/>
      <c r="BV256" s="124"/>
      <c r="BW256" s="177"/>
      <c r="BX256" s="177"/>
      <c r="BY256" s="177"/>
      <c r="BZ256" s="177"/>
      <c r="CA256" s="177"/>
      <c r="CB25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6" s="131">
        <f>' الشركه 2018'!$H256*67%*1.5*' الشركه 2018'!$CB256/208</f>
        <v>0</v>
      </c>
      <c r="CE256" s="132">
        <f>' الشركه 2018'!$H256*67%*2*' الشركه 2018'!$CC256/208</f>
        <v>0</v>
      </c>
      <c r="CF256" s="133">
        <f>' الشركه 2018'!$CD256+' الشركه 2018'!$CE256</f>
        <v>0</v>
      </c>
      <c r="CG256" s="124"/>
      <c r="CH256" s="177"/>
      <c r="CI256" s="124"/>
      <c r="CJ256" s="162"/>
      <c r="CK256" s="162"/>
      <c r="CL256" s="177"/>
      <c r="CM256" s="162"/>
      <c r="CN256" s="162"/>
      <c r="CO256" s="162"/>
      <c r="CP256" s="163"/>
      <c r="CQ256" s="164" t="e">
        <f>VLOOKUP(Table6[[#This Row],[الرقم الوظيفى]],[4]!Table3[#Data],26,FALSE)</f>
        <v>#REF!</v>
      </c>
      <c r="CR256" s="361">
        <v>700</v>
      </c>
      <c r="CS256" s="124"/>
    </row>
    <row r="257" spans="1:97" ht="21.65" customHeight="1" thickTop="1" thickBot="1">
      <c r="A257" s="227">
        <v>1047</v>
      </c>
      <c r="B257" s="214" t="s">
        <v>720</v>
      </c>
      <c r="C257" s="59" t="s">
        <v>90</v>
      </c>
      <c r="D257" s="11" t="s">
        <v>79</v>
      </c>
      <c r="E257" s="202"/>
      <c r="F257" s="11"/>
      <c r="G257" s="184">
        <v>43152</v>
      </c>
      <c r="H257" s="154">
        <v>4000</v>
      </c>
      <c r="I257" s="203">
        <f>Table6[[#This Row],[مرتب]]/30</f>
        <v>133.33333333333334</v>
      </c>
      <c r="J257" s="107">
        <v>30</v>
      </c>
      <c r="K257" s="107">
        <f t="shared" ref="K257:K315" si="4">L257/30*J257</f>
        <v>4000.0000000000005</v>
      </c>
      <c r="L257" s="107">
        <v>4000</v>
      </c>
      <c r="M257" s="107">
        <f>Table6[[#This Row],[مرتب الضمان]]*17%</f>
        <v>680</v>
      </c>
      <c r="N257" s="107">
        <f>' الشركه 2018'!$H257*35%</f>
        <v>1400</v>
      </c>
      <c r="O257" s="107">
        <f>' الشركه 2018'!$H257*32%</f>
        <v>1280</v>
      </c>
      <c r="P257" s="107">
        <f>' الشركه 2018'!$H257*12%</f>
        <v>480</v>
      </c>
      <c r="Q257" s="107">
        <f>' الشركه 2018'!$H257*13%</f>
        <v>520</v>
      </c>
      <c r="R257" s="107">
        <f>' الشركه 2018'!$H257*6%</f>
        <v>240</v>
      </c>
      <c r="S257" s="107">
        <f>' الشركه 2018'!$H257*2%</f>
        <v>80</v>
      </c>
      <c r="T257" s="107">
        <f>' الشركه 2018'!$O257+' الشركه 2018'!$P257+' الشركه 2018'!$Q257+' الشركه 2018'!$R257+' الشركه 2018'!$S257</f>
        <v>2600</v>
      </c>
      <c r="U257" s="109">
        <f>VLOOKUP(Table6[[#This Row],[الرقم الوظيفى]],[2]بالخصم!$B$1:$AK$1200,35,)</f>
        <v>2</v>
      </c>
      <c r="V257" s="204">
        <v>2</v>
      </c>
      <c r="W257" s="111">
        <f>Table6[[#This Row],[عدد ايام الاجازه]]*Table6[[#This Row],[ح راتب اليوم]]</f>
        <v>266.66666666666669</v>
      </c>
      <c r="X257" s="148"/>
      <c r="Y257" s="201"/>
      <c r="Z257" s="111">
        <f>Table6[[#This Row],[عدد ايام الجزاء]]*Table6[[#This Row],[ح راتب اليوم]]</f>
        <v>0</v>
      </c>
      <c r="AA257" s="112">
        <f>Table6[[#This Row],[مرتب]]*50%</f>
        <v>2000</v>
      </c>
      <c r="AB257" s="113" t="e">
        <f>VLOOKUP(Table6[[#This Row],[الرقم الوظيفى]],[3]!Table25289[#Data],23,)</f>
        <v>#REF!</v>
      </c>
      <c r="AC257" s="205"/>
      <c r="AD257" s="206"/>
      <c r="AE257" s="113" t="e">
        <f>VLOOKUP(Table6[[#This Row],[الرقم الوظيفى]],[3]!Table252894[#Data],22,)</f>
        <v>#REF!</v>
      </c>
      <c r="AF257" s="207"/>
      <c r="AG257" s="111">
        <f>' الشركه 2018'!$W257+' الشركه 2018'!$Z257+' الشركه 2018'!$AA257+' الشركه 2018'!$AC257+' الشركه 2018'!$AD257+' الشركه 2018'!$AF257</f>
        <v>2266.6666666666665</v>
      </c>
      <c r="AH257" s="111">
        <f>Table6[[#This Row],[راتب الضمان]]*8%</f>
        <v>320.00000000000006</v>
      </c>
      <c r="AI257" s="111">
        <f>' الشركه 2018'!$H257-' الشركه 2018'!$AG257-' الشركه 2018'!$AH257</f>
        <v>1413.3333333333335</v>
      </c>
      <c r="AJ257" s="111">
        <f>' الشركه 2018'!$CF257</f>
        <v>0</v>
      </c>
      <c r="AK257" s="117">
        <f>' الشركه 2018'!$AI257+' الشركه 2018'!$AJ257</f>
        <v>1413.3333333333335</v>
      </c>
      <c r="AL257" s="152"/>
      <c r="AM257" s="153"/>
      <c r="AN257" s="9">
        <f>Table6[[#This Row],[اجمالى الاستحقاق]]-Table6[[#This Row],[Column2]]+Table6[[#This Row],[حوافز غير مستقره]]</f>
        <v>1413.3333333333335</v>
      </c>
      <c r="AO257" s="59"/>
      <c r="AP257" s="169"/>
      <c r="AQ257" s="176"/>
      <c r="AR257" s="124"/>
      <c r="AS257" s="208"/>
      <c r="AT257" s="170"/>
      <c r="AU257" s="124"/>
      <c r="AV257" s="124"/>
      <c r="AW257" s="124"/>
      <c r="AX257" s="124"/>
      <c r="AY257" s="124"/>
      <c r="AZ257" s="124"/>
      <c r="BA257" s="124"/>
      <c r="BB257" s="124"/>
      <c r="BC257" s="124"/>
      <c r="BD257" s="124"/>
      <c r="BE257" s="124"/>
      <c r="BF257" s="124"/>
      <c r="BG257" s="124"/>
      <c r="BH257" s="228"/>
      <c r="BI257" s="124"/>
      <c r="BJ257" s="228"/>
      <c r="BK257" s="124"/>
      <c r="BL257" s="124"/>
      <c r="BM257" s="177"/>
      <c r="BN257" s="177"/>
      <c r="BO257" s="124"/>
      <c r="BP257" s="177"/>
      <c r="BQ257" s="124"/>
      <c r="BR257" s="177"/>
      <c r="BS257" s="177"/>
      <c r="BT257" s="124"/>
      <c r="BU257" s="124"/>
      <c r="BV257" s="124"/>
      <c r="BW257" s="177"/>
      <c r="BX257" s="177"/>
      <c r="BY257" s="177"/>
      <c r="BZ257" s="177"/>
      <c r="CA257" s="177"/>
      <c r="CB25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7" s="131">
        <f>' الشركه 2018'!$H257*67%*1.5*' الشركه 2018'!$CB257/208</f>
        <v>0</v>
      </c>
      <c r="CE257" s="132">
        <f>' الشركه 2018'!$H257*67%*2*' الشركه 2018'!$CC257/208</f>
        <v>0</v>
      </c>
      <c r="CF257" s="133">
        <f>' الشركه 2018'!$CD257+' الشركه 2018'!$CE257</f>
        <v>0</v>
      </c>
      <c r="CG257" s="124"/>
      <c r="CH257" s="177"/>
      <c r="CI257" s="124"/>
      <c r="CJ257" s="162"/>
      <c r="CK257" s="162"/>
      <c r="CL257" s="177"/>
      <c r="CM257" s="162"/>
      <c r="CN257" s="162"/>
      <c r="CO257" s="162"/>
      <c r="CP257" s="163"/>
      <c r="CQ257" s="164" t="e">
        <f>VLOOKUP(Table6[[#This Row],[الرقم الوظيفى]],[4]!Table3[#Data],26,FALSE)</f>
        <v>#REF!</v>
      </c>
      <c r="CR257" s="361"/>
      <c r="CS257" s="124"/>
    </row>
    <row r="258" spans="1:97" ht="21.65" customHeight="1" thickTop="1" thickBot="1">
      <c r="A258" s="365">
        <v>1048</v>
      </c>
      <c r="B258" s="366" t="s">
        <v>721</v>
      </c>
      <c r="C258" s="366" t="s">
        <v>137</v>
      </c>
      <c r="D258" s="11" t="s">
        <v>137</v>
      </c>
      <c r="E258" s="144"/>
      <c r="F258" s="11" t="s">
        <v>722</v>
      </c>
      <c r="G258" s="184">
        <v>43160</v>
      </c>
      <c r="H258" s="185">
        <v>5000</v>
      </c>
      <c r="I258" s="103">
        <f>Table6[[#This Row],[مرتب]]/30</f>
        <v>166.66666666666666</v>
      </c>
      <c r="J258" s="143">
        <v>30</v>
      </c>
      <c r="K258" s="143">
        <f t="shared" si="4"/>
        <v>5000</v>
      </c>
      <c r="L258" s="12">
        <v>5000</v>
      </c>
      <c r="M258" s="143">
        <f>Table6[[#This Row],[مرتب الضمان]]*17%</f>
        <v>850.00000000000011</v>
      </c>
      <c r="N258" s="143">
        <f>' الشركه 2018'!$H258*35%</f>
        <v>1750</v>
      </c>
      <c r="O258" s="143">
        <f>' الشركه 2018'!$H258*32%</f>
        <v>1600</v>
      </c>
      <c r="P258" s="143">
        <f>' الشركه 2018'!$H258*12%</f>
        <v>600</v>
      </c>
      <c r="Q258" s="143">
        <f>' الشركه 2018'!$H258*13%</f>
        <v>650</v>
      </c>
      <c r="R258" s="143">
        <f>' الشركه 2018'!$H258*6%</f>
        <v>300</v>
      </c>
      <c r="S258" s="143">
        <f>' الشركه 2018'!$H258*2%</f>
        <v>100</v>
      </c>
      <c r="T258" s="143">
        <f>' الشركه 2018'!$O258+' الشركه 2018'!$P258+' الشركه 2018'!$Q258+' الشركه 2018'!$R258+' الشركه 2018'!$S258</f>
        <v>3250</v>
      </c>
      <c r="U258" s="109">
        <f>VLOOKUP(Table6[[#This Row],[الرقم الوظيفى]],[2]بالخصم!$B$1:$AK$1200,35,)</f>
        <v>0</v>
      </c>
      <c r="V258" s="186"/>
      <c r="W258" s="187">
        <f>Table6[[#This Row],[عدد ايام الاجازه]]*Table6[[#This Row],[ح راتب اليوم]]</f>
        <v>0</v>
      </c>
      <c r="X258" s="188"/>
      <c r="Y258" s="189"/>
      <c r="Z258" s="187">
        <f>Table6[[#This Row],[عدد ايام الجزاء]]*Table6[[#This Row],[ح راتب اليوم]]</f>
        <v>0</v>
      </c>
      <c r="AA258" s="190"/>
      <c r="AB258" s="191" t="e">
        <f>VLOOKUP(Table6[[#This Row],[الرقم الوظيفى]],[3]!Table25289[#Data],23,)</f>
        <v>#REF!</v>
      </c>
      <c r="AC258" s="367"/>
      <c r="AD258" s="367"/>
      <c r="AE258" s="113" t="e">
        <f>VLOOKUP(Table6[[#This Row],[الرقم الوظيفى]],[3]!Table252894[#Data],22,)</f>
        <v>#REF!</v>
      </c>
      <c r="AF258" s="368"/>
      <c r="AG258" s="111">
        <f>' الشركه 2018'!$W258+' الشركه 2018'!$Z258+' الشركه 2018'!$AA258+' الشركه 2018'!$AC258+' الشركه 2018'!$AD258+' الشركه 2018'!$AF258</f>
        <v>0</v>
      </c>
      <c r="AH258" s="111">
        <f>Table6[[#This Row],[راتب الضمان]]*8%</f>
        <v>400</v>
      </c>
      <c r="AI258" s="111">
        <f>' الشركه 2018'!$H258-' الشركه 2018'!$AG258-' الشركه 2018'!$AH258</f>
        <v>4600</v>
      </c>
      <c r="AJ258" s="111">
        <f>' الشركه 2018'!$CF258</f>
        <v>531.49038461538464</v>
      </c>
      <c r="AK258" s="117">
        <f>' الشركه 2018'!$AI258+' الشركه 2018'!$AJ258</f>
        <v>5131.4903846153848</v>
      </c>
      <c r="AL258" s="195"/>
      <c r="AM258" s="196"/>
      <c r="AN258" s="9">
        <f>Table6[[#This Row],[اجمالى الاستحقاق]]-Table6[[#This Row],[Column2]]+Table6[[#This Row],[حوافز غير مستقره]]</f>
        <v>5131.4903846153848</v>
      </c>
      <c r="AO258" s="257"/>
      <c r="AP258" s="369"/>
      <c r="AQ258" s="176"/>
      <c r="AR258" s="124"/>
      <c r="AS258" s="208"/>
      <c r="AT258" s="170">
        <v>1.5</v>
      </c>
      <c r="AU258" s="124"/>
      <c r="AV258" s="124"/>
      <c r="AW258" s="124"/>
      <c r="AX258" s="124">
        <v>1.8</v>
      </c>
      <c r="AY258" s="124">
        <v>2</v>
      </c>
      <c r="AZ258" s="124"/>
      <c r="BA258" s="124"/>
      <c r="BB258" s="124"/>
      <c r="BC258" s="124"/>
      <c r="BD258" s="124"/>
      <c r="BE258" s="124">
        <v>1.2</v>
      </c>
      <c r="BF258" s="124"/>
      <c r="BG258" s="124">
        <v>1.5</v>
      </c>
      <c r="BH258" s="228">
        <v>4</v>
      </c>
      <c r="BI258" s="124">
        <v>2.5</v>
      </c>
      <c r="BJ258" s="228"/>
      <c r="BK258" s="124"/>
      <c r="BL258" s="124"/>
      <c r="BM258" s="177">
        <v>2.1</v>
      </c>
      <c r="BN258" s="177">
        <v>3.2</v>
      </c>
      <c r="BO258" s="124"/>
      <c r="BP258" s="177"/>
      <c r="BQ258" s="124"/>
      <c r="BR258" s="177"/>
      <c r="BS258" s="177">
        <v>1</v>
      </c>
      <c r="BT258" s="124"/>
      <c r="BU258" s="124">
        <v>1.2</v>
      </c>
      <c r="BV258" s="124"/>
      <c r="BW258" s="177"/>
      <c r="BX258" s="177"/>
      <c r="BY258" s="177"/>
      <c r="BZ258" s="177"/>
      <c r="CA258" s="177"/>
      <c r="CB25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22</v>
      </c>
      <c r="CC25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58" s="131">
        <f>' الشركه 2018'!$H258*67%*1.5*' الشركه 2018'!$CB258/208</f>
        <v>531.49038461538464</v>
      </c>
      <c r="CE258" s="132">
        <f>' الشركه 2018'!$H258*67%*2*' الشركه 2018'!$CC258/208</f>
        <v>0</v>
      </c>
      <c r="CF258" s="133">
        <f>' الشركه 2018'!$CD258+' الشركه 2018'!$CE258</f>
        <v>531.49038461538464</v>
      </c>
      <c r="CG258" s="124"/>
      <c r="CH258" s="177"/>
      <c r="CI258" s="124"/>
      <c r="CJ258" s="162"/>
      <c r="CK258" s="162"/>
      <c r="CL258" s="177"/>
      <c r="CM258" s="162"/>
      <c r="CN258" s="162"/>
      <c r="CO258" s="162"/>
      <c r="CP258" s="163"/>
      <c r="CQ258" s="164" t="e">
        <f>VLOOKUP(Table6[[#This Row],[الرقم الوظيفى]],[4]!Table3[#Data],26,FALSE)</f>
        <v>#REF!</v>
      </c>
      <c r="CR258" s="363"/>
      <c r="CS258" s="124"/>
    </row>
    <row r="259" spans="1:97" ht="21.65" customHeight="1" thickTop="1" thickBot="1">
      <c r="A259" s="227">
        <v>1049</v>
      </c>
      <c r="B259" s="200" t="s">
        <v>723</v>
      </c>
      <c r="C259" s="243" t="s">
        <v>90</v>
      </c>
      <c r="D259" s="11" t="s">
        <v>611</v>
      </c>
      <c r="E259" s="144" t="s">
        <v>679</v>
      </c>
      <c r="F259" s="11" t="s">
        <v>173</v>
      </c>
      <c r="G259" s="184">
        <v>43160</v>
      </c>
      <c r="H259" s="154">
        <v>4000</v>
      </c>
      <c r="I259" s="203">
        <f>Table6[[#This Row],[مرتب]]/30</f>
        <v>133.33333333333334</v>
      </c>
      <c r="J259" s="107">
        <v>30</v>
      </c>
      <c r="K259" s="107">
        <f t="shared" si="4"/>
        <v>0</v>
      </c>
      <c r="L259" s="107">
        <v>0</v>
      </c>
      <c r="M259" s="107">
        <f>Table6[[#This Row],[مرتب الضمان]]*17%</f>
        <v>0</v>
      </c>
      <c r="N259" s="107">
        <f>' الشركه 2018'!$H259*35%</f>
        <v>1400</v>
      </c>
      <c r="O259" s="107">
        <f>' الشركه 2018'!$H259*32%</f>
        <v>1280</v>
      </c>
      <c r="P259" s="107">
        <f>' الشركه 2018'!$H259*12%</f>
        <v>480</v>
      </c>
      <c r="Q259" s="107">
        <f>' الشركه 2018'!$H259*13%</f>
        <v>520</v>
      </c>
      <c r="R259" s="107">
        <f>' الشركه 2018'!$H259*6%</f>
        <v>240</v>
      </c>
      <c r="S259" s="107">
        <f>' الشركه 2018'!$H259*2%</f>
        <v>80</v>
      </c>
      <c r="T259" s="107">
        <f>' الشركه 2018'!$O259+' الشركه 2018'!$P259+' الشركه 2018'!$Q259+' الشركه 2018'!$R259+' الشركه 2018'!$S259</f>
        <v>2600</v>
      </c>
      <c r="U259" s="109">
        <f>VLOOKUP(Table6[[#This Row],[الرقم الوظيفى]],[2]بالخصم!$B$1:$AK$1200,35,)</f>
        <v>0</v>
      </c>
      <c r="V259" s="204"/>
      <c r="W259" s="111">
        <f>Table6[[#This Row],[عدد ايام الاجازه]]*Table6[[#This Row],[ح راتب اليوم]]</f>
        <v>0</v>
      </c>
      <c r="X259" s="148"/>
      <c r="Y259" s="201"/>
      <c r="Z259" s="111">
        <f>Table6[[#This Row],[عدد ايام الجزاء]]*Table6[[#This Row],[ح راتب اليوم]]</f>
        <v>0</v>
      </c>
      <c r="AA259" s="112">
        <f>Table6[[#This Row],[مرتب]]*50%</f>
        <v>2000</v>
      </c>
      <c r="AB259" s="113" t="e">
        <f>VLOOKUP(Table6[[#This Row],[الرقم الوظيفى]],[3]!Table25289[#Data],23,)</f>
        <v>#REF!</v>
      </c>
      <c r="AC259" s="205"/>
      <c r="AD259" s="206"/>
      <c r="AE259" s="113" t="e">
        <f>VLOOKUP(Table6[[#This Row],[الرقم الوظيفى]],[3]!Table252894[#Data],22,)</f>
        <v>#REF!</v>
      </c>
      <c r="AF259" s="207"/>
      <c r="AG259" s="111">
        <f>' الشركه 2018'!$W259+' الشركه 2018'!$Z259+' الشركه 2018'!$AA259+' الشركه 2018'!$AC259+' الشركه 2018'!$AD259+' الشركه 2018'!$AF259</f>
        <v>2000</v>
      </c>
      <c r="AH259" s="111">
        <f>Table6[[#This Row],[راتب الضمان]]*8%</f>
        <v>0</v>
      </c>
      <c r="AI259" s="111">
        <f>' الشركه 2018'!$H259-' الشركه 2018'!$AG259-' الشركه 2018'!$AH259</f>
        <v>2000</v>
      </c>
      <c r="AJ259" s="111">
        <f>' الشركه 2018'!$CF259</f>
        <v>657.11538461538464</v>
      </c>
      <c r="AK259" s="117">
        <f>' الشركه 2018'!$AI259+' الشركه 2018'!$AJ259</f>
        <v>2657.1153846153848</v>
      </c>
      <c r="AL259" s="152"/>
      <c r="AM259" s="153"/>
      <c r="AN259" s="9">
        <f>Table6[[#This Row],[اجمالى الاستحقاق]]-Table6[[#This Row],[Column2]]+Table6[[#This Row],[حوافز غير مستقره]]</f>
        <v>2657.1153846153848</v>
      </c>
      <c r="AO259" s="59"/>
      <c r="AP259" s="169"/>
      <c r="AQ259" s="176"/>
      <c r="AR259" s="124"/>
      <c r="AS259" s="208"/>
      <c r="AT259" s="170"/>
      <c r="AU259" s="124"/>
      <c r="AV259" s="124">
        <v>12</v>
      </c>
      <c r="AW259" s="124"/>
      <c r="AX259" s="124"/>
      <c r="AY259" s="124"/>
      <c r="AZ259" s="124"/>
      <c r="BA259" s="124"/>
      <c r="BB259" s="124"/>
      <c r="BC259" s="124"/>
      <c r="BD259" s="124"/>
      <c r="BE259" s="124"/>
      <c r="BF259" s="124"/>
      <c r="BG259" s="124"/>
      <c r="BH259" s="228"/>
      <c r="BI259" s="124"/>
      <c r="BJ259" s="228">
        <v>13.5</v>
      </c>
      <c r="BK259" s="124"/>
      <c r="BL259" s="124"/>
      <c r="BM259" s="177"/>
      <c r="BN259" s="177"/>
      <c r="BO259" s="124"/>
      <c r="BP259" s="177"/>
      <c r="BQ259" s="124"/>
      <c r="BR259" s="177"/>
      <c r="BS259" s="177"/>
      <c r="BT259" s="124"/>
      <c r="BU259" s="124"/>
      <c r="BV259" s="124"/>
      <c r="BW259" s="177"/>
      <c r="BX259" s="177"/>
      <c r="BY259" s="177"/>
      <c r="BZ259" s="177"/>
      <c r="CA259" s="177"/>
      <c r="CB25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59" s="130">
        <f>Table6[[#This Row],[Friday, November 23, 2018]]+Table6[[#This Row],[Friday, November 30, 2018]]+Table6[[#This Row],[Friday, December 07, 2018]]+Table6[[#This Row],[Friday, December 14, 2018]]+Table6[[#This Row],[فروقات عطله]]</f>
        <v>25.5</v>
      </c>
      <c r="CD259" s="131">
        <f>' الشركه 2018'!$H259*67%*1.5*' الشركه 2018'!$CB259/208</f>
        <v>0</v>
      </c>
      <c r="CE259" s="132">
        <f>' الشركه 2018'!$H259*67%*2*' الشركه 2018'!$CC259/208</f>
        <v>657.11538461538464</v>
      </c>
      <c r="CF259" s="133">
        <f>' الشركه 2018'!$CD259+' الشركه 2018'!$CE259</f>
        <v>657.11538461538464</v>
      </c>
      <c r="CG259" s="124"/>
      <c r="CH259" s="177"/>
      <c r="CI259" s="124"/>
      <c r="CJ259" s="162"/>
      <c r="CK259" s="162"/>
      <c r="CL259" s="177"/>
      <c r="CM259" s="162"/>
      <c r="CN259" s="162"/>
      <c r="CO259" s="162"/>
      <c r="CP259" s="163"/>
      <c r="CQ259" s="164" t="e">
        <f>VLOOKUP(Table6[[#This Row],[الرقم الوظيفى]],[4]!Table3[#Data],26,FALSE)</f>
        <v>#REF!</v>
      </c>
      <c r="CR259" s="370"/>
      <c r="CS259" s="124"/>
    </row>
    <row r="260" spans="1:97" ht="21.65" customHeight="1" thickTop="1" thickBot="1">
      <c r="A260" s="227">
        <v>1050</v>
      </c>
      <c r="B260" s="200" t="s">
        <v>724</v>
      </c>
      <c r="C260" s="243" t="s">
        <v>90</v>
      </c>
      <c r="D260" s="11" t="s">
        <v>74</v>
      </c>
      <c r="E260" s="144" t="s">
        <v>74</v>
      </c>
      <c r="F260" s="11" t="s">
        <v>63</v>
      </c>
      <c r="G260" s="184">
        <v>43160</v>
      </c>
      <c r="H260" s="154">
        <v>3000</v>
      </c>
      <c r="I260" s="203">
        <f>Table6[[#This Row],[مرتب]]/30</f>
        <v>100</v>
      </c>
      <c r="J260" s="107">
        <v>30</v>
      </c>
      <c r="K260" s="107">
        <f t="shared" si="4"/>
        <v>3000</v>
      </c>
      <c r="L260" s="107">
        <v>3000</v>
      </c>
      <c r="M260" s="107">
        <f>Table6[[#This Row],[مرتب الضمان]]*17%</f>
        <v>510.00000000000006</v>
      </c>
      <c r="N260" s="107">
        <f>' الشركه 2018'!$H260*35%</f>
        <v>1050</v>
      </c>
      <c r="O260" s="107">
        <f>' الشركه 2018'!$H260*32%</f>
        <v>960</v>
      </c>
      <c r="P260" s="107">
        <f>' الشركه 2018'!$H260*12%</f>
        <v>360</v>
      </c>
      <c r="Q260" s="107">
        <f>' الشركه 2018'!$H260*13%</f>
        <v>390</v>
      </c>
      <c r="R260" s="107">
        <f>' الشركه 2018'!$H260*6%</f>
        <v>180</v>
      </c>
      <c r="S260" s="107">
        <f>' الشركه 2018'!$H260*2%</f>
        <v>60</v>
      </c>
      <c r="T260" s="107">
        <f>' الشركه 2018'!$O260+' الشركه 2018'!$P260+' الشركه 2018'!$Q260+' الشركه 2018'!$R260+' الشركه 2018'!$S260</f>
        <v>1950</v>
      </c>
      <c r="U260" s="109">
        <f>VLOOKUP(Table6[[#This Row],[الرقم الوظيفى]],[2]بالخصم!$B$1:$AK$1200,35,)</f>
        <v>2</v>
      </c>
      <c r="V260" s="204">
        <v>2</v>
      </c>
      <c r="W260" s="111">
        <f>Table6[[#This Row],[عدد ايام الاجازه]]*Table6[[#This Row],[ح راتب اليوم]]</f>
        <v>200</v>
      </c>
      <c r="X260" s="148"/>
      <c r="Y260" s="201"/>
      <c r="Z260" s="111">
        <f>Table6[[#This Row],[عدد ايام الجزاء]]*Table6[[#This Row],[ح راتب اليوم]]</f>
        <v>0</v>
      </c>
      <c r="AA260" s="112">
        <f>Table6[[#This Row],[مرتب]]*50%</f>
        <v>1500</v>
      </c>
      <c r="AB260" s="113" t="e">
        <f>VLOOKUP(Table6[[#This Row],[الرقم الوظيفى]],[3]!Table25289[#Data],23,)</f>
        <v>#REF!</v>
      </c>
      <c r="AC260" s="205"/>
      <c r="AD260" s="206"/>
      <c r="AE260" s="113" t="e">
        <f>VLOOKUP(Table6[[#This Row],[الرقم الوظيفى]],[3]!Table252894[#Data],22,)</f>
        <v>#REF!</v>
      </c>
      <c r="AF260" s="207"/>
      <c r="AG260" s="111">
        <f>' الشركه 2018'!$W260+' الشركه 2018'!$Z260+' الشركه 2018'!$AA260+' الشركه 2018'!$AC260+' الشركه 2018'!$AD260+' الشركه 2018'!$AF260</f>
        <v>1700</v>
      </c>
      <c r="AH260" s="111">
        <f>Table6[[#This Row],[راتب الضمان]]*8%</f>
        <v>240</v>
      </c>
      <c r="AI260" s="111">
        <f>' الشركه 2018'!$H260-' الشركه 2018'!$AG260-' الشركه 2018'!$AH260</f>
        <v>1060</v>
      </c>
      <c r="AJ260" s="111">
        <f>' الشركه 2018'!$CF260</f>
        <v>0</v>
      </c>
      <c r="AK260" s="117">
        <f>' الشركه 2018'!$AI260+' الشركه 2018'!$AJ260</f>
        <v>1060</v>
      </c>
      <c r="AL260" s="152"/>
      <c r="AM260" s="153"/>
      <c r="AN260" s="9">
        <f>Table6[[#This Row],[اجمالى الاستحقاق]]-Table6[[#This Row],[Column2]]+Table6[[#This Row],[حوافز غير مستقره]]</f>
        <v>1060</v>
      </c>
      <c r="AO260" s="59"/>
      <c r="AP260" s="169"/>
      <c r="AQ260" s="176"/>
      <c r="AR260" s="124"/>
      <c r="AS260" s="208"/>
      <c r="AT260" s="170"/>
      <c r="AU260" s="124"/>
      <c r="AV260" s="124"/>
      <c r="AW260" s="124"/>
      <c r="AX260" s="124"/>
      <c r="AY260" s="124"/>
      <c r="AZ260" s="124"/>
      <c r="BA260" s="124"/>
      <c r="BB260" s="124"/>
      <c r="BC260" s="124"/>
      <c r="BD260" s="124"/>
      <c r="BE260" s="124"/>
      <c r="BF260" s="124"/>
      <c r="BG260" s="124"/>
      <c r="BH260" s="228"/>
      <c r="BI260" s="124"/>
      <c r="BJ260" s="228"/>
      <c r="BK260" s="124"/>
      <c r="BL260" s="124"/>
      <c r="BM260" s="177"/>
      <c r="BN260" s="177"/>
      <c r="BO260" s="124"/>
      <c r="BP260" s="177"/>
      <c r="BQ260" s="124"/>
      <c r="BR260" s="177"/>
      <c r="BS260" s="177"/>
      <c r="BT260" s="124"/>
      <c r="BU260" s="124"/>
      <c r="BV260" s="124"/>
      <c r="BW260" s="177"/>
      <c r="BX260" s="177"/>
      <c r="BY260" s="177"/>
      <c r="BZ260" s="177"/>
      <c r="CA260" s="177"/>
      <c r="CB26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0" s="131">
        <f>' الشركه 2018'!$H260*67%*1.5*' الشركه 2018'!$CB260/208</f>
        <v>0</v>
      </c>
      <c r="CE260" s="132">
        <f>' الشركه 2018'!$H260*67%*2*' الشركه 2018'!$CC260/208</f>
        <v>0</v>
      </c>
      <c r="CF260" s="133">
        <f>' الشركه 2018'!$CD260+' الشركه 2018'!$CE260</f>
        <v>0</v>
      </c>
      <c r="CG260" s="124"/>
      <c r="CH260" s="177"/>
      <c r="CI260" s="124"/>
      <c r="CJ260" s="162"/>
      <c r="CK260" s="162"/>
      <c r="CL260" s="177"/>
      <c r="CM260" s="162"/>
      <c r="CN260" s="162"/>
      <c r="CO260" s="162"/>
      <c r="CP260" s="163"/>
      <c r="CQ260" s="164" t="e">
        <f>VLOOKUP(Table6[[#This Row],[الرقم الوظيفى]],[4]!Table3[#Data],26,FALSE)</f>
        <v>#REF!</v>
      </c>
      <c r="CR260" s="370"/>
      <c r="CS260" s="124"/>
    </row>
    <row r="261" spans="1:97" ht="21.65" customHeight="1" thickTop="1" thickBot="1">
      <c r="A261" s="365">
        <v>1051</v>
      </c>
      <c r="B261" s="11" t="s">
        <v>725</v>
      </c>
      <c r="C261" s="11" t="s">
        <v>137</v>
      </c>
      <c r="D261" s="11" t="s">
        <v>137</v>
      </c>
      <c r="E261" s="144"/>
      <c r="F261" s="11" t="s">
        <v>111</v>
      </c>
      <c r="G261" s="184">
        <v>43169</v>
      </c>
      <c r="H261" s="185">
        <v>5000</v>
      </c>
      <c r="I261" s="103">
        <f>Table6[[#This Row],[مرتب]]/30</f>
        <v>166.66666666666666</v>
      </c>
      <c r="J261" s="143">
        <v>30</v>
      </c>
      <c r="K261" s="143">
        <f t="shared" si="4"/>
        <v>5000</v>
      </c>
      <c r="L261" s="12">
        <v>5000</v>
      </c>
      <c r="M261" s="143">
        <f>Table6[[#This Row],[مرتب الضمان]]*17%</f>
        <v>850.00000000000011</v>
      </c>
      <c r="N261" s="143">
        <f>' الشركه 2018'!$H261*35%</f>
        <v>1750</v>
      </c>
      <c r="O261" s="143">
        <f>' الشركه 2018'!$H261*32%</f>
        <v>1600</v>
      </c>
      <c r="P261" s="143">
        <f>' الشركه 2018'!$H261*12%</f>
        <v>600</v>
      </c>
      <c r="Q261" s="143">
        <f>' الشركه 2018'!$H261*13%</f>
        <v>650</v>
      </c>
      <c r="R261" s="143">
        <f>' الشركه 2018'!$H261*6%</f>
        <v>300</v>
      </c>
      <c r="S261" s="143">
        <f>' الشركه 2018'!$H261*2%</f>
        <v>100</v>
      </c>
      <c r="T261" s="143">
        <f>' الشركه 2018'!$O261+' الشركه 2018'!$P261+' الشركه 2018'!$Q261+' الشركه 2018'!$R261+' الشركه 2018'!$S261</f>
        <v>3250</v>
      </c>
      <c r="U261" s="109">
        <f>VLOOKUP(Table6[[#This Row],[الرقم الوظيفى]],[2]بالخصم!$B$1:$AK$1200,35,)</f>
        <v>0</v>
      </c>
      <c r="V261" s="186"/>
      <c r="W261" s="187">
        <f>Table6[[#This Row],[عدد ايام الاجازه]]*Table6[[#This Row],[ح راتب اليوم]]</f>
        <v>0</v>
      </c>
      <c r="X261" s="188"/>
      <c r="Y261" s="189"/>
      <c r="Z261" s="187">
        <f>Table6[[#This Row],[عدد ايام الجزاء]]*Table6[[#This Row],[ح راتب اليوم]]</f>
        <v>0</v>
      </c>
      <c r="AA261" s="190"/>
      <c r="AB261" s="191" t="e">
        <f>VLOOKUP(Table6[[#This Row],[الرقم الوظيفى]],[3]!Table25289[#Data],23,)</f>
        <v>#REF!</v>
      </c>
      <c r="AC261" s="367"/>
      <c r="AD261" s="367"/>
      <c r="AE261" s="113" t="e">
        <f>VLOOKUP(Table6[[#This Row],[الرقم الوظيفى]],[3]!Table252894[#Data],22,)</f>
        <v>#REF!</v>
      </c>
      <c r="AF261" s="368"/>
      <c r="AG261" s="111">
        <f>' الشركه 2018'!$W261+' الشركه 2018'!$Z261+' الشركه 2018'!$AA261+' الشركه 2018'!$AC261+' الشركه 2018'!$AD261+' الشركه 2018'!$AF261</f>
        <v>0</v>
      </c>
      <c r="AH261" s="111">
        <f>Table6[[#This Row],[راتب الضمان]]*8%</f>
        <v>400</v>
      </c>
      <c r="AI261" s="111">
        <f>' الشركه 2018'!$H261-' الشركه 2018'!$AG261-' الشركه 2018'!$AH261</f>
        <v>4600</v>
      </c>
      <c r="AJ261" s="111">
        <f>' الشركه 2018'!$CF261</f>
        <v>698.18509615384619</v>
      </c>
      <c r="AK261" s="117">
        <f>' الشركه 2018'!$AI261+' الشركه 2018'!$AJ261</f>
        <v>5298.1850961538457</v>
      </c>
      <c r="AL261" s="195"/>
      <c r="AM261" s="196"/>
      <c r="AN261" s="9">
        <f>Table6[[#This Row],[اجمالى الاستحقاق]]-Table6[[#This Row],[Column2]]+Table6[[#This Row],[حوافز غير مستقره]]</f>
        <v>5298.1850961538457</v>
      </c>
      <c r="AO261" s="257"/>
      <c r="AP261" s="369"/>
      <c r="AQ261" s="176"/>
      <c r="AR261" s="124"/>
      <c r="AS261" s="208"/>
      <c r="AT261" s="170">
        <v>2</v>
      </c>
      <c r="AU261" s="124">
        <v>1.5</v>
      </c>
      <c r="AV261" s="124"/>
      <c r="AW261" s="124"/>
      <c r="AX261" s="124">
        <v>2</v>
      </c>
      <c r="AY261" s="124">
        <v>2.5</v>
      </c>
      <c r="AZ261" s="124">
        <v>2.5</v>
      </c>
      <c r="BA261" s="124">
        <v>1.5</v>
      </c>
      <c r="BB261" s="124">
        <v>2</v>
      </c>
      <c r="BC261" s="124"/>
      <c r="BD261" s="124"/>
      <c r="BE261" s="124">
        <v>2</v>
      </c>
      <c r="BF261" s="124">
        <v>2.9</v>
      </c>
      <c r="BG261" s="124">
        <v>2.2000000000000002</v>
      </c>
      <c r="BH261" s="228">
        <v>2.2000000000000002</v>
      </c>
      <c r="BI261" s="124"/>
      <c r="BJ261" s="228"/>
      <c r="BK261" s="124"/>
      <c r="BL261" s="124">
        <v>3</v>
      </c>
      <c r="BM261" s="177">
        <v>1.1000000000000001</v>
      </c>
      <c r="BN261" s="177">
        <v>1.5</v>
      </c>
      <c r="BO261" s="124"/>
      <c r="BP261" s="177"/>
      <c r="BQ261" s="124"/>
      <c r="BR261" s="177"/>
      <c r="BS261" s="177"/>
      <c r="BT261" s="124"/>
      <c r="BU261" s="124"/>
      <c r="BV261" s="124"/>
      <c r="BW261" s="177"/>
      <c r="BX261" s="177"/>
      <c r="BY261" s="177"/>
      <c r="BZ261" s="177"/>
      <c r="CA261" s="177"/>
      <c r="CB26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28.9</v>
      </c>
      <c r="CC26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1" s="131">
        <f>' الشركه 2018'!$H261*67%*1.5*' الشركه 2018'!$CB261/208</f>
        <v>698.18509615384619</v>
      </c>
      <c r="CE261" s="132">
        <f>' الشركه 2018'!$H261*67%*2*' الشركه 2018'!$CC261/208</f>
        <v>0</v>
      </c>
      <c r="CF261" s="133">
        <f>' الشركه 2018'!$CD261+' الشركه 2018'!$CE261</f>
        <v>698.18509615384619</v>
      </c>
      <c r="CG261" s="124"/>
      <c r="CH261" s="177"/>
      <c r="CI261" s="124"/>
      <c r="CJ261" s="162"/>
      <c r="CK261" s="162"/>
      <c r="CL261" s="177"/>
      <c r="CM261" s="162"/>
      <c r="CN261" s="162"/>
      <c r="CO261" s="162"/>
      <c r="CP261" s="163"/>
      <c r="CQ261" s="164" t="e">
        <f>VLOOKUP(Table6[[#This Row],[الرقم الوظيفى]],[4]!Table3[#Data],26,FALSE)</f>
        <v>#REF!</v>
      </c>
      <c r="CR261" s="370"/>
      <c r="CS261" s="124"/>
    </row>
    <row r="262" spans="1:97" ht="21.65" customHeight="1" thickTop="1" thickBot="1">
      <c r="A262" s="365">
        <v>1052</v>
      </c>
      <c r="B262" s="11" t="s">
        <v>726</v>
      </c>
      <c r="C262" s="11" t="s">
        <v>137</v>
      </c>
      <c r="D262" s="11" t="s">
        <v>137</v>
      </c>
      <c r="E262" s="144"/>
      <c r="F262" s="11" t="s">
        <v>117</v>
      </c>
      <c r="G262" s="184">
        <v>43169</v>
      </c>
      <c r="H262" s="185">
        <v>4000</v>
      </c>
      <c r="I262" s="103">
        <f>Table6[[#This Row],[مرتب]]/30</f>
        <v>133.33333333333334</v>
      </c>
      <c r="J262" s="143">
        <v>30</v>
      </c>
      <c r="K262" s="143">
        <f t="shared" si="4"/>
        <v>4000.0000000000005</v>
      </c>
      <c r="L262" s="12">
        <v>4000</v>
      </c>
      <c r="M262" s="143">
        <f>Table6[[#This Row],[مرتب الضمان]]*17%</f>
        <v>680</v>
      </c>
      <c r="N262" s="143">
        <f>' الشركه 2018'!$H262*35%</f>
        <v>1400</v>
      </c>
      <c r="O262" s="143">
        <f>' الشركه 2018'!$H262*32%</f>
        <v>1280</v>
      </c>
      <c r="P262" s="143">
        <f>' الشركه 2018'!$H262*12%</f>
        <v>480</v>
      </c>
      <c r="Q262" s="143">
        <f>' الشركه 2018'!$H262*13%</f>
        <v>520</v>
      </c>
      <c r="R262" s="143">
        <f>' الشركه 2018'!$H262*6%</f>
        <v>240</v>
      </c>
      <c r="S262" s="143">
        <f>' الشركه 2018'!$H262*2%</f>
        <v>80</v>
      </c>
      <c r="T262" s="143">
        <f>' الشركه 2018'!$O262+' الشركه 2018'!$P262+' الشركه 2018'!$Q262+' الشركه 2018'!$R262+' الشركه 2018'!$S262</f>
        <v>2600</v>
      </c>
      <c r="U262" s="109">
        <f>VLOOKUP(Table6[[#This Row],[الرقم الوظيفى]],[2]بالخصم!$B$1:$AK$1200,35,)</f>
        <v>1</v>
      </c>
      <c r="V262" s="186">
        <v>1</v>
      </c>
      <c r="W262" s="187">
        <f>Table6[[#This Row],[عدد ايام الاجازه]]*Table6[[#This Row],[ح راتب اليوم]]</f>
        <v>133.33333333333334</v>
      </c>
      <c r="X262" s="188"/>
      <c r="Y262" s="189"/>
      <c r="Z262" s="187">
        <f>Table6[[#This Row],[عدد ايام الجزاء]]*Table6[[#This Row],[ح راتب اليوم]]</f>
        <v>0</v>
      </c>
      <c r="AA262" s="190"/>
      <c r="AB262" s="191" t="e">
        <f>VLOOKUP(Table6[[#This Row],[الرقم الوظيفى]],[3]!Table25289[#Data],23,)</f>
        <v>#REF!</v>
      </c>
      <c r="AC262" s="367"/>
      <c r="AD262" s="367"/>
      <c r="AE262" s="113" t="e">
        <f>VLOOKUP(Table6[[#This Row],[الرقم الوظيفى]],[3]!Table252894[#Data],22,)</f>
        <v>#REF!</v>
      </c>
      <c r="AF262" s="368"/>
      <c r="AG262" s="111">
        <f>' الشركه 2018'!$W262+' الشركه 2018'!$Z262+' الشركه 2018'!$AA262+' الشركه 2018'!$AC262+' الشركه 2018'!$AD262+' الشركه 2018'!$AF262</f>
        <v>133.33333333333334</v>
      </c>
      <c r="AH262" s="111">
        <f>Table6[[#This Row],[راتب الضمان]]*8%</f>
        <v>320.00000000000006</v>
      </c>
      <c r="AI262" s="111">
        <f>' الشركه 2018'!$H262-' الشركه 2018'!$AG262-' الشركه 2018'!$AH262</f>
        <v>3546.6666666666665</v>
      </c>
      <c r="AJ262" s="111">
        <f>' الشركه 2018'!$CF262</f>
        <v>0</v>
      </c>
      <c r="AK262" s="117">
        <f>' الشركه 2018'!$AI262+' الشركه 2018'!$AJ262</f>
        <v>3546.6666666666665</v>
      </c>
      <c r="AL262" s="195"/>
      <c r="AM262" s="196"/>
      <c r="AN262" s="9">
        <f>Table6[[#This Row],[اجمالى الاستحقاق]]-Table6[[#This Row],[Column2]]+Table6[[#This Row],[حوافز غير مستقره]]</f>
        <v>3546.6666666666665</v>
      </c>
      <c r="AO262" s="257"/>
      <c r="AP262" s="369"/>
      <c r="AQ262" s="176"/>
      <c r="AR262" s="124"/>
      <c r="AS262" s="208"/>
      <c r="AT262" s="170"/>
      <c r="AU262" s="124"/>
      <c r="AV262" s="124"/>
      <c r="AW262" s="124"/>
      <c r="AX262" s="124"/>
      <c r="AY262" s="124"/>
      <c r="AZ262" s="124"/>
      <c r="BA262" s="124"/>
      <c r="BB262" s="124"/>
      <c r="BC262" s="124"/>
      <c r="BD262" s="124"/>
      <c r="BE262" s="124"/>
      <c r="BF262" s="124"/>
      <c r="BG262" s="124"/>
      <c r="BH262" s="228"/>
      <c r="BI262" s="124"/>
      <c r="BJ262" s="228"/>
      <c r="BK262" s="124"/>
      <c r="BL262" s="124"/>
      <c r="BM262" s="177"/>
      <c r="BN262" s="177"/>
      <c r="BO262" s="124"/>
      <c r="BP262" s="177"/>
      <c r="BQ262" s="124"/>
      <c r="BR262" s="177"/>
      <c r="BS262" s="177"/>
      <c r="BT262" s="124"/>
      <c r="BU262" s="124"/>
      <c r="BV262" s="124"/>
      <c r="BW262" s="177"/>
      <c r="BX262" s="177"/>
      <c r="BY262" s="177"/>
      <c r="BZ262" s="177"/>
      <c r="CA262" s="177"/>
      <c r="CB26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2" s="131">
        <f>' الشركه 2018'!$H262*67%*1.5*' الشركه 2018'!$CB262/208</f>
        <v>0</v>
      </c>
      <c r="CE262" s="132">
        <f>' الشركه 2018'!$H262*67%*2*' الشركه 2018'!$CC262/208</f>
        <v>0</v>
      </c>
      <c r="CF262" s="133">
        <f>' الشركه 2018'!$CD262+' الشركه 2018'!$CE262</f>
        <v>0</v>
      </c>
      <c r="CG262" s="124"/>
      <c r="CH262" s="177"/>
      <c r="CI262" s="124"/>
      <c r="CJ262" s="162"/>
      <c r="CK262" s="162"/>
      <c r="CL262" s="177"/>
      <c r="CM262" s="162"/>
      <c r="CN262" s="162"/>
      <c r="CO262" s="162"/>
      <c r="CP262" s="163"/>
      <c r="CQ262" s="164" t="e">
        <f>VLOOKUP(Table6[[#This Row],[الرقم الوظيفى]],[4]!Table3[#Data],26,FALSE)</f>
        <v>#REF!</v>
      </c>
      <c r="CR262" s="370">
        <v>500</v>
      </c>
      <c r="CS262" s="124"/>
    </row>
    <row r="263" spans="1:97" ht="21.65" customHeight="1" thickTop="1" thickBot="1">
      <c r="A263" s="229">
        <v>1053</v>
      </c>
      <c r="B263" s="214" t="s">
        <v>727</v>
      </c>
      <c r="C263" s="201" t="s">
        <v>90</v>
      </c>
      <c r="D263" s="11" t="s">
        <v>74</v>
      </c>
      <c r="E263" s="202"/>
      <c r="F263" s="11" t="s">
        <v>63</v>
      </c>
      <c r="G263" s="184">
        <v>43191</v>
      </c>
      <c r="H263" s="154">
        <v>3000</v>
      </c>
      <c r="I263" s="203">
        <f>Table6[[#This Row],[مرتب]]/30</f>
        <v>100</v>
      </c>
      <c r="J263" s="107">
        <v>30</v>
      </c>
      <c r="K263" s="107">
        <f t="shared" si="4"/>
        <v>3000</v>
      </c>
      <c r="L263" s="107">
        <v>3000</v>
      </c>
      <c r="M263" s="107">
        <f>Table6[[#This Row],[مرتب الضمان]]*17%</f>
        <v>510.00000000000006</v>
      </c>
      <c r="N263" s="107">
        <f>' الشركه 2018'!$H263*35%</f>
        <v>1050</v>
      </c>
      <c r="O263" s="107">
        <f>' الشركه 2018'!$H263*32%</f>
        <v>960</v>
      </c>
      <c r="P263" s="107">
        <f>' الشركه 2018'!$H263*12%</f>
        <v>360</v>
      </c>
      <c r="Q263" s="107">
        <f>' الشركه 2018'!$H263*13%</f>
        <v>390</v>
      </c>
      <c r="R263" s="107">
        <f>' الشركه 2018'!$H263*6%</f>
        <v>180</v>
      </c>
      <c r="S263" s="107">
        <f>' الشركه 2018'!$H263*2%</f>
        <v>60</v>
      </c>
      <c r="T263" s="107">
        <f>' الشركه 2018'!$O263+' الشركه 2018'!$P263+' الشركه 2018'!$Q263+' الشركه 2018'!$R263+' الشركه 2018'!$S263</f>
        <v>1950</v>
      </c>
      <c r="U263" s="109">
        <f>VLOOKUP(Table6[[#This Row],[الرقم الوظيفى]],[2]بالخصم!$B$1:$AK$1200,35,)</f>
        <v>1</v>
      </c>
      <c r="V263" s="204">
        <v>1</v>
      </c>
      <c r="W263" s="111">
        <f>Table6[[#This Row],[عدد ايام الاجازه]]*Table6[[#This Row],[ح راتب اليوم]]</f>
        <v>100</v>
      </c>
      <c r="X263" s="148"/>
      <c r="Y263" s="201"/>
      <c r="Z263" s="111">
        <f>Table6[[#This Row],[عدد ايام الجزاء]]*Table6[[#This Row],[ح راتب اليوم]]</f>
        <v>0</v>
      </c>
      <c r="AA263" s="112">
        <f>Table6[[#This Row],[مرتب]]*50%</f>
        <v>1500</v>
      </c>
      <c r="AB263" s="113" t="e">
        <f>VLOOKUP(Table6[[#This Row],[الرقم الوظيفى]],[3]!Table25289[#Data],23,)</f>
        <v>#REF!</v>
      </c>
      <c r="AC263" s="205"/>
      <c r="AD263" s="206"/>
      <c r="AE263" s="113" t="e">
        <f>VLOOKUP(Table6[[#This Row],[الرقم الوظيفى]],[3]!Table252894[#Data],22,)</f>
        <v>#REF!</v>
      </c>
      <c r="AF263" s="207"/>
      <c r="AG263" s="111">
        <f>' الشركه 2018'!$W263+' الشركه 2018'!$Z263+' الشركه 2018'!$AA263+' الشركه 2018'!$AC263+' الشركه 2018'!$AD263+' الشركه 2018'!$AF263</f>
        <v>1600</v>
      </c>
      <c r="AH263" s="111">
        <f>Table6[[#This Row],[راتب الضمان]]*8%</f>
        <v>240</v>
      </c>
      <c r="AI263" s="111">
        <f>' الشركه 2018'!$H263-' الشركه 2018'!$AG263-' الشركه 2018'!$AH263</f>
        <v>1160</v>
      </c>
      <c r="AJ263" s="111">
        <f>' الشركه 2018'!$CF263</f>
        <v>0</v>
      </c>
      <c r="AK263" s="117">
        <f>' الشركه 2018'!$AI263+' الشركه 2018'!$AJ263</f>
        <v>1160</v>
      </c>
      <c r="AL263" s="152"/>
      <c r="AM263" s="153"/>
      <c r="AN263" s="9">
        <f>Table6[[#This Row],[اجمالى الاستحقاق]]-Table6[[#This Row],[Column2]]+Table6[[#This Row],[حوافز غير مستقره]]</f>
        <v>1160</v>
      </c>
      <c r="AO263" s="59"/>
      <c r="AP263" s="169"/>
      <c r="AQ263" s="176"/>
      <c r="AR263" s="124"/>
      <c r="AS263" s="208"/>
      <c r="AT263" s="170"/>
      <c r="AU263" s="124"/>
      <c r="AV263" s="124"/>
      <c r="AW263" s="124"/>
      <c r="AX263" s="124"/>
      <c r="AY263" s="124"/>
      <c r="AZ263" s="124"/>
      <c r="BA263" s="124"/>
      <c r="BB263" s="124"/>
      <c r="BC263" s="124"/>
      <c r="BD263" s="124"/>
      <c r="BE263" s="124"/>
      <c r="BF263" s="124"/>
      <c r="BG263" s="124"/>
      <c r="BH263" s="228"/>
      <c r="BI263" s="124"/>
      <c r="BJ263" s="228"/>
      <c r="BK263" s="124"/>
      <c r="BL263" s="124"/>
      <c r="BM263" s="177"/>
      <c r="BN263" s="177"/>
      <c r="BO263" s="124"/>
      <c r="BP263" s="177"/>
      <c r="BQ263" s="124"/>
      <c r="BR263" s="177"/>
      <c r="BS263" s="177"/>
      <c r="BT263" s="124"/>
      <c r="BU263" s="124"/>
      <c r="BV263" s="124"/>
      <c r="BW263" s="177"/>
      <c r="BX263" s="177"/>
      <c r="BY263" s="177"/>
      <c r="BZ263" s="177"/>
      <c r="CA263" s="177"/>
      <c r="CB26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3" s="131">
        <f>' الشركه 2018'!$H263*67%*1.5*' الشركه 2018'!$CB263/208</f>
        <v>0</v>
      </c>
      <c r="CE263" s="132">
        <f>' الشركه 2018'!$H263*67%*2*' الشركه 2018'!$CC263/208</f>
        <v>0</v>
      </c>
      <c r="CF263" s="133">
        <f>' الشركه 2018'!$CD263+' الشركه 2018'!$CE263</f>
        <v>0</v>
      </c>
      <c r="CG263" s="124"/>
      <c r="CH263" s="177"/>
      <c r="CI263" s="124"/>
      <c r="CJ263" s="162"/>
      <c r="CK263" s="162"/>
      <c r="CL263" s="177"/>
      <c r="CM263" s="162"/>
      <c r="CN263" s="162"/>
      <c r="CO263" s="162"/>
      <c r="CP263" s="163"/>
      <c r="CQ263" s="164" t="e">
        <f>VLOOKUP(Table6[[#This Row],[الرقم الوظيفى]],[4]!Table3[#Data],26,FALSE)</f>
        <v>#REF!</v>
      </c>
      <c r="CR263" s="370"/>
      <c r="CS263" s="124"/>
    </row>
    <row r="264" spans="1:97" ht="21.65" customHeight="1" thickTop="1" thickBot="1">
      <c r="A264" s="229">
        <v>1054</v>
      </c>
      <c r="B264" s="214" t="s">
        <v>728</v>
      </c>
      <c r="C264" s="201" t="s">
        <v>90</v>
      </c>
      <c r="D264" s="11" t="s">
        <v>74</v>
      </c>
      <c r="E264" s="202"/>
      <c r="F264" s="11" t="s">
        <v>729</v>
      </c>
      <c r="G264" s="184">
        <v>43205</v>
      </c>
      <c r="H264" s="154">
        <v>4500</v>
      </c>
      <c r="I264" s="203">
        <f>Table6[[#This Row],[مرتب]]/30</f>
        <v>150</v>
      </c>
      <c r="J264" s="107">
        <v>30</v>
      </c>
      <c r="K264" s="107">
        <f t="shared" si="4"/>
        <v>4500</v>
      </c>
      <c r="L264" s="107">
        <v>4500</v>
      </c>
      <c r="M264" s="107">
        <f>Table6[[#This Row],[مرتب الضمان]]*17%</f>
        <v>765</v>
      </c>
      <c r="N264" s="107">
        <f>' الشركه 2018'!$H264*35%</f>
        <v>1575</v>
      </c>
      <c r="O264" s="107">
        <f>' الشركه 2018'!$H264*32%</f>
        <v>1440</v>
      </c>
      <c r="P264" s="107">
        <f>' الشركه 2018'!$H264*12%</f>
        <v>540</v>
      </c>
      <c r="Q264" s="107">
        <f>' الشركه 2018'!$H264*13%</f>
        <v>585</v>
      </c>
      <c r="R264" s="107">
        <f>' الشركه 2018'!$H264*6%</f>
        <v>270</v>
      </c>
      <c r="S264" s="107">
        <f>' الشركه 2018'!$H264*2%</f>
        <v>90</v>
      </c>
      <c r="T264" s="107">
        <f>' الشركه 2018'!$O264+' الشركه 2018'!$P264+' الشركه 2018'!$Q264+' الشركه 2018'!$R264+' الشركه 2018'!$S264</f>
        <v>2925</v>
      </c>
      <c r="U264" s="109">
        <f>VLOOKUP(Table6[[#This Row],[الرقم الوظيفى]],[2]بالخصم!$B$1:$AK$1200,35,)</f>
        <v>1</v>
      </c>
      <c r="V264" s="204">
        <v>1</v>
      </c>
      <c r="W264" s="111">
        <f>Table6[[#This Row],[عدد ايام الاجازه]]*Table6[[#This Row],[ح راتب اليوم]]</f>
        <v>150</v>
      </c>
      <c r="X264" s="148"/>
      <c r="Y264" s="201"/>
      <c r="Z264" s="111">
        <f>Table6[[#This Row],[عدد ايام الجزاء]]*Table6[[#This Row],[ح راتب اليوم]]</f>
        <v>0</v>
      </c>
      <c r="AA264" s="112">
        <f>Table6[[#This Row],[مرتب]]*50%</f>
        <v>2250</v>
      </c>
      <c r="AB264" s="113" t="e">
        <f>VLOOKUP(Table6[[#This Row],[الرقم الوظيفى]],[3]!Table25289[#Data],23,)</f>
        <v>#REF!</v>
      </c>
      <c r="AC264" s="205"/>
      <c r="AD264" s="206"/>
      <c r="AE264" s="113" t="e">
        <f>VLOOKUP(Table6[[#This Row],[الرقم الوظيفى]],[3]!Table252894[#Data],22,)</f>
        <v>#REF!</v>
      </c>
      <c r="AF264" s="207"/>
      <c r="AG264" s="111">
        <f>' الشركه 2018'!$W264+' الشركه 2018'!$Z264+' الشركه 2018'!$AA264+' الشركه 2018'!$AC264+' الشركه 2018'!$AD264+' الشركه 2018'!$AF264</f>
        <v>2400</v>
      </c>
      <c r="AH264" s="111">
        <f>Table6[[#This Row],[راتب الضمان]]*8%</f>
        <v>360</v>
      </c>
      <c r="AI264" s="111">
        <f>' الشركه 2018'!$H264-' الشركه 2018'!$AG264-' الشركه 2018'!$AH264</f>
        <v>1740</v>
      </c>
      <c r="AJ264" s="111">
        <f>' الشركه 2018'!$CF264</f>
        <v>347.88461538461536</v>
      </c>
      <c r="AK264" s="117">
        <f>' الشركه 2018'!$AI264+' الشركه 2018'!$AJ264</f>
        <v>2087.8846153846152</v>
      </c>
      <c r="AL264" s="152"/>
      <c r="AM264" s="153"/>
      <c r="AN264" s="9">
        <f>Table6[[#This Row],[اجمالى الاستحقاق]]-Table6[[#This Row],[Column2]]+Table6[[#This Row],[حوافز غير مستقره]]</f>
        <v>2087.8846153846152</v>
      </c>
      <c r="AO264" s="59"/>
      <c r="AP264" s="169"/>
      <c r="AQ264" s="176"/>
      <c r="AR264" s="124"/>
      <c r="AS264" s="208"/>
      <c r="AT264" s="170"/>
      <c r="AU264" s="124"/>
      <c r="AV264" s="124">
        <v>12</v>
      </c>
      <c r="AW264" s="124"/>
      <c r="AX264" s="124"/>
      <c r="AY264" s="124"/>
      <c r="AZ264" s="124"/>
      <c r="BA264" s="124"/>
      <c r="BB264" s="124"/>
      <c r="BC264" s="124"/>
      <c r="BD264" s="124"/>
      <c r="BE264" s="124"/>
      <c r="BF264" s="124"/>
      <c r="BG264" s="124"/>
      <c r="BH264" s="228"/>
      <c r="BI264" s="124"/>
      <c r="BJ264" s="228"/>
      <c r="BK264" s="124"/>
      <c r="BL264" s="124"/>
      <c r="BM264" s="177"/>
      <c r="BN264" s="177"/>
      <c r="BO264" s="124"/>
      <c r="BP264" s="177"/>
      <c r="BQ264" s="124"/>
      <c r="BR264" s="177"/>
      <c r="BS264" s="177"/>
      <c r="BT264" s="124"/>
      <c r="BU264" s="124"/>
      <c r="BV264" s="124"/>
      <c r="BW264" s="177"/>
      <c r="BX264" s="177"/>
      <c r="BY264" s="177"/>
      <c r="BZ264" s="177"/>
      <c r="CA264" s="177"/>
      <c r="CB26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4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64" s="131">
        <f>' الشركه 2018'!$H264*67%*1.5*' الشركه 2018'!$CB264/208</f>
        <v>0</v>
      </c>
      <c r="CE264" s="132">
        <f>' الشركه 2018'!$H264*67%*2*' الشركه 2018'!$CC264/208</f>
        <v>347.88461538461536</v>
      </c>
      <c r="CF264" s="133">
        <f>' الشركه 2018'!$CD264+' الشركه 2018'!$CE264</f>
        <v>347.88461538461536</v>
      </c>
      <c r="CG264" s="124"/>
      <c r="CH264" s="177"/>
      <c r="CI264" s="124"/>
      <c r="CJ264" s="162"/>
      <c r="CK264" s="162"/>
      <c r="CL264" s="177"/>
      <c r="CM264" s="162"/>
      <c r="CN264" s="162"/>
      <c r="CO264" s="162"/>
      <c r="CP264" s="163"/>
      <c r="CQ264" s="164" t="e">
        <f>VLOOKUP(Table6[[#This Row],[الرقم الوظيفى]],[4]!Table3[#Data],26,FALSE)</f>
        <v>#REF!</v>
      </c>
      <c r="CR264" s="138"/>
      <c r="CS264" s="124"/>
    </row>
    <row r="265" spans="1:97" ht="21.65" customHeight="1" thickTop="1" thickBot="1">
      <c r="A265" s="229">
        <v>1058</v>
      </c>
      <c r="B265" s="214" t="s">
        <v>730</v>
      </c>
      <c r="C265" s="201" t="s">
        <v>90</v>
      </c>
      <c r="D265" s="11" t="s">
        <v>74</v>
      </c>
      <c r="E265" s="202"/>
      <c r="F265" s="11" t="s">
        <v>63</v>
      </c>
      <c r="G265" s="145">
        <v>43209</v>
      </c>
      <c r="H265" s="154">
        <v>3000</v>
      </c>
      <c r="I265" s="203">
        <f>Table6[[#This Row],[مرتب]]/30</f>
        <v>100</v>
      </c>
      <c r="J265" s="107">
        <v>30</v>
      </c>
      <c r="K265" s="107">
        <f t="shared" si="4"/>
        <v>3000</v>
      </c>
      <c r="L265" s="107">
        <v>3000</v>
      </c>
      <c r="M265" s="107">
        <f>Table6[[#This Row],[مرتب الضمان]]*17%</f>
        <v>510.00000000000006</v>
      </c>
      <c r="N265" s="107">
        <f>' الشركه 2018'!$H265*35%</f>
        <v>1050</v>
      </c>
      <c r="O265" s="107">
        <f>' الشركه 2018'!$H265*32%</f>
        <v>960</v>
      </c>
      <c r="P265" s="107">
        <f>' الشركه 2018'!$H265*12%</f>
        <v>360</v>
      </c>
      <c r="Q265" s="107">
        <f>' الشركه 2018'!$H265*13%</f>
        <v>390</v>
      </c>
      <c r="R265" s="107">
        <f>' الشركه 2018'!$H265*6%</f>
        <v>180</v>
      </c>
      <c r="S265" s="107">
        <f>' الشركه 2018'!$H265*2%</f>
        <v>60</v>
      </c>
      <c r="T265" s="107">
        <f>' الشركه 2018'!$O265+' الشركه 2018'!$P265+' الشركه 2018'!$Q265+' الشركه 2018'!$R265+' الشركه 2018'!$S265</f>
        <v>1950</v>
      </c>
      <c r="U265" s="109">
        <f>VLOOKUP(Table6[[#This Row],[الرقم الوظيفى]],[2]بالخصم!$B$1:$AK$1200,35,)</f>
        <v>4</v>
      </c>
      <c r="V265" s="204">
        <v>4</v>
      </c>
      <c r="W265" s="111">
        <f>Table6[[#This Row],[عدد ايام الاجازه]]*Table6[[#This Row],[ح راتب اليوم]]</f>
        <v>400</v>
      </c>
      <c r="X265" s="148"/>
      <c r="Y265" s="201"/>
      <c r="Z265" s="111">
        <f>Table6[[#This Row],[عدد ايام الجزاء]]*Table6[[#This Row],[ح راتب اليوم]]</f>
        <v>0</v>
      </c>
      <c r="AA265" s="112">
        <f>Table6[[#This Row],[مرتب]]*50%</f>
        <v>1500</v>
      </c>
      <c r="AB265" s="113" t="e">
        <f>VLOOKUP(Table6[[#This Row],[الرقم الوظيفى]],[3]!Table25289[#Data],23,)</f>
        <v>#REF!</v>
      </c>
      <c r="AC265" s="205">
        <v>300</v>
      </c>
      <c r="AD265" s="206"/>
      <c r="AE265" s="113" t="e">
        <f>VLOOKUP(Table6[[#This Row],[الرقم الوظيفى]],[3]!Table252894[#Data],22,)</f>
        <v>#REF!</v>
      </c>
      <c r="AF265" s="207"/>
      <c r="AG265" s="111">
        <f>' الشركه 2018'!$W265+' الشركه 2018'!$Z265+' الشركه 2018'!$AA265+' الشركه 2018'!$AC265+' الشركه 2018'!$AD265+' الشركه 2018'!$AF265</f>
        <v>2200</v>
      </c>
      <c r="AH265" s="111">
        <f>Table6[[#This Row],[راتب الضمان]]*8%</f>
        <v>240</v>
      </c>
      <c r="AI265" s="111">
        <f>' الشركه 2018'!$H265-' الشركه 2018'!$AG265-' الشركه 2018'!$AH265</f>
        <v>560</v>
      </c>
      <c r="AJ265" s="111">
        <f>' الشركه 2018'!$CF265</f>
        <v>927.69230769230785</v>
      </c>
      <c r="AK265" s="117">
        <f>' الشركه 2018'!$AI265+' الشركه 2018'!$AJ265</f>
        <v>1487.6923076923078</v>
      </c>
      <c r="AL265" s="152"/>
      <c r="AM265" s="153"/>
      <c r="AN265" s="9">
        <f>Table6[[#This Row],[اجمالى الاستحقاق]]-Table6[[#This Row],[Column2]]+Table6[[#This Row],[حوافز غير مستقره]]</f>
        <v>1487.6923076923078</v>
      </c>
      <c r="AO265" s="59"/>
      <c r="AP265" s="169"/>
      <c r="AQ265" s="176"/>
      <c r="AR265" s="124"/>
      <c r="AS265" s="208"/>
      <c r="AT265" s="170"/>
      <c r="AU265" s="124"/>
      <c r="AV265" s="124"/>
      <c r="AW265" s="124"/>
      <c r="AX265" s="124"/>
      <c r="AY265" s="124"/>
      <c r="AZ265" s="124"/>
      <c r="BA265" s="124"/>
      <c r="BB265" s="124"/>
      <c r="BC265" s="124">
        <v>24</v>
      </c>
      <c r="BD265" s="124"/>
      <c r="BE265" s="124"/>
      <c r="BF265" s="124"/>
      <c r="BG265" s="124">
        <v>8</v>
      </c>
      <c r="BH265" s="228">
        <v>8</v>
      </c>
      <c r="BI265" s="124"/>
      <c r="BJ265" s="228"/>
      <c r="BK265" s="124"/>
      <c r="BL265" s="124"/>
      <c r="BM265" s="177"/>
      <c r="BN265" s="177"/>
      <c r="BO265" s="124"/>
      <c r="BP265" s="177"/>
      <c r="BQ265" s="124"/>
      <c r="BR265" s="177">
        <v>8</v>
      </c>
      <c r="BS265" s="177">
        <v>8</v>
      </c>
      <c r="BT265" s="124"/>
      <c r="BU265" s="124"/>
      <c r="BV265" s="124"/>
      <c r="BW265" s="177"/>
      <c r="BX265" s="177"/>
      <c r="BY265" s="177"/>
      <c r="BZ265" s="177"/>
      <c r="CA265" s="177"/>
      <c r="CB26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32</v>
      </c>
      <c r="CC265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65" s="131">
        <f>' الشركه 2018'!$H265*67%*1.5*' الشركه 2018'!$CB265/208</f>
        <v>463.84615384615392</v>
      </c>
      <c r="CE265" s="132">
        <f>' الشركه 2018'!$H265*67%*2*' الشركه 2018'!$CC265/208</f>
        <v>463.84615384615392</v>
      </c>
      <c r="CF265" s="133">
        <f>' الشركه 2018'!$CD265+' الشركه 2018'!$CE265</f>
        <v>927.69230769230785</v>
      </c>
      <c r="CG265" s="124"/>
      <c r="CH265" s="177"/>
      <c r="CI265" s="124"/>
      <c r="CJ265" s="162"/>
      <c r="CK265" s="162"/>
      <c r="CL265" s="177"/>
      <c r="CM265" s="162"/>
      <c r="CN265" s="162"/>
      <c r="CO265" s="162"/>
      <c r="CP265" s="163"/>
      <c r="CQ265" s="164" t="e">
        <f>VLOOKUP(Table6[[#This Row],[الرقم الوظيفى]],[4]!Table3[#Data],26,FALSE)</f>
        <v>#REF!</v>
      </c>
      <c r="CR265" s="370"/>
      <c r="CS265" s="124"/>
    </row>
    <row r="266" spans="1:97" ht="21.65" customHeight="1" thickTop="1" thickBot="1">
      <c r="A266" s="365">
        <v>1060</v>
      </c>
      <c r="B266" s="212" t="s">
        <v>731</v>
      </c>
      <c r="C266" s="371" t="s">
        <v>90</v>
      </c>
      <c r="D266" s="11" t="s">
        <v>74</v>
      </c>
      <c r="E266" s="202"/>
      <c r="F266" s="11" t="s">
        <v>63</v>
      </c>
      <c r="G266" s="184">
        <v>43221</v>
      </c>
      <c r="H266" s="372">
        <v>3000</v>
      </c>
      <c r="I266" s="203">
        <f>Table6[[#This Row],[مرتب]]/30</f>
        <v>100</v>
      </c>
      <c r="J266" s="107">
        <v>30</v>
      </c>
      <c r="K266" s="107">
        <f t="shared" si="4"/>
        <v>3000</v>
      </c>
      <c r="L266" s="107">
        <v>3000</v>
      </c>
      <c r="M266" s="107">
        <f>Table6[[#This Row],[مرتب الضمان]]*17%</f>
        <v>510.00000000000006</v>
      </c>
      <c r="N266" s="107">
        <f>' الشركه 2018'!$H266*35%</f>
        <v>1050</v>
      </c>
      <c r="O266" s="107">
        <f>' الشركه 2018'!$H266*32%</f>
        <v>960</v>
      </c>
      <c r="P266" s="107">
        <f>' الشركه 2018'!$H266*12%</f>
        <v>360</v>
      </c>
      <c r="Q266" s="107">
        <f>' الشركه 2018'!$H266*13%</f>
        <v>390</v>
      </c>
      <c r="R266" s="107">
        <f>' الشركه 2018'!$H266*6%</f>
        <v>180</v>
      </c>
      <c r="S266" s="107">
        <f>' الشركه 2018'!$H266*2%</f>
        <v>60</v>
      </c>
      <c r="T266" s="107">
        <f>' الشركه 2018'!$O266+' الشركه 2018'!$P266+' الشركه 2018'!$Q266+' الشركه 2018'!$R266+' الشركه 2018'!$S266</f>
        <v>1950</v>
      </c>
      <c r="U266" s="109">
        <f>VLOOKUP(Table6[[#This Row],[الرقم الوظيفى]],[2]بالخصم!$B$1:$AK$1200,35,)</f>
        <v>0</v>
      </c>
      <c r="V266" s="204"/>
      <c r="W266" s="111">
        <f>Table6[[#This Row],[عدد ايام الاجازه]]*Table6[[#This Row],[ح راتب اليوم]]</f>
        <v>0</v>
      </c>
      <c r="X266" s="148"/>
      <c r="Y266" s="201"/>
      <c r="Z266" s="111">
        <f>Table6[[#This Row],[عدد ايام الجزاء]]*Table6[[#This Row],[ح راتب اليوم]]</f>
        <v>0</v>
      </c>
      <c r="AA266" s="112">
        <f>Table6[[#This Row],[مرتب]]*50%</f>
        <v>1500</v>
      </c>
      <c r="AB266" s="113" t="e">
        <f>VLOOKUP(Table6[[#This Row],[الرقم الوظيفى]],[3]!Table25289[#Data],23,)</f>
        <v>#REF!</v>
      </c>
      <c r="AC266" s="205">
        <v>300</v>
      </c>
      <c r="AD266" s="206"/>
      <c r="AE266" s="113" t="e">
        <f>VLOOKUP(Table6[[#This Row],[الرقم الوظيفى]],[3]!Table252894[#Data],22,)</f>
        <v>#REF!</v>
      </c>
      <c r="AF266" s="207"/>
      <c r="AG266" s="111">
        <f>' الشركه 2018'!$W266+' الشركه 2018'!$Z266+' الشركه 2018'!$AA266+' الشركه 2018'!$AC266+' الشركه 2018'!$AD266+' الشركه 2018'!$AF266</f>
        <v>1800</v>
      </c>
      <c r="AH266" s="111">
        <f>Table6[[#This Row],[راتب الضمان]]*8%</f>
        <v>240</v>
      </c>
      <c r="AI266" s="111">
        <f>' الشركه 2018'!$H266-' الشركه 2018'!$AG266-' الشركه 2018'!$AH266</f>
        <v>960</v>
      </c>
      <c r="AJ266" s="111">
        <f>' الشركه 2018'!$CF266</f>
        <v>0</v>
      </c>
      <c r="AK266" s="117">
        <f>' الشركه 2018'!$AI266+' الشركه 2018'!$AJ266</f>
        <v>960</v>
      </c>
      <c r="AL266" s="152"/>
      <c r="AM266" s="153"/>
      <c r="AN266" s="9">
        <f>Table6[[#This Row],[اجمالى الاستحقاق]]-Table6[[#This Row],[Column2]]+Table6[[#This Row],[حوافز غير مستقره]]</f>
        <v>960</v>
      </c>
      <c r="AO266" s="59"/>
      <c r="AP266" s="169"/>
      <c r="AQ266" s="176"/>
      <c r="AR266" s="124"/>
      <c r="AS266" s="208"/>
      <c r="AT266" s="170"/>
      <c r="AU266" s="124"/>
      <c r="AV266" s="124"/>
      <c r="AW266" s="124"/>
      <c r="AX266" s="124"/>
      <c r="AY266" s="124"/>
      <c r="AZ266" s="124"/>
      <c r="BA266" s="124"/>
      <c r="BB266" s="124"/>
      <c r="BC266" s="124"/>
      <c r="BD266" s="124"/>
      <c r="BE266" s="124"/>
      <c r="BF266" s="124"/>
      <c r="BG266" s="124"/>
      <c r="BH266" s="228"/>
      <c r="BI266" s="124"/>
      <c r="BJ266" s="228"/>
      <c r="BK266" s="124"/>
      <c r="BL266" s="124"/>
      <c r="BM266" s="177"/>
      <c r="BN266" s="177"/>
      <c r="BO266" s="124"/>
      <c r="BP266" s="177"/>
      <c r="BQ266" s="124"/>
      <c r="BR266" s="177"/>
      <c r="BS266" s="177"/>
      <c r="BT266" s="124"/>
      <c r="BU266" s="124"/>
      <c r="BV266" s="124"/>
      <c r="BW266" s="177"/>
      <c r="BX266" s="177"/>
      <c r="BY266" s="177"/>
      <c r="BZ266" s="177"/>
      <c r="CA266" s="177"/>
      <c r="CB26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6" s="131">
        <f>' الشركه 2018'!$H266*67%*1.5*' الشركه 2018'!$CB266/208</f>
        <v>0</v>
      </c>
      <c r="CE266" s="132">
        <f>' الشركه 2018'!$H266*67%*2*' الشركه 2018'!$CC266/208</f>
        <v>0</v>
      </c>
      <c r="CF266" s="133">
        <f>' الشركه 2018'!$CD266+' الشركه 2018'!$CE266</f>
        <v>0</v>
      </c>
      <c r="CG266" s="124"/>
      <c r="CH266" s="177"/>
      <c r="CI266" s="124"/>
      <c r="CJ266" s="162"/>
      <c r="CK266" s="162"/>
      <c r="CL266" s="177"/>
      <c r="CM266" s="162"/>
      <c r="CN266" s="162"/>
      <c r="CO266" s="162"/>
      <c r="CP266" s="163"/>
      <c r="CQ266" s="164" t="e">
        <f>VLOOKUP(Table6[[#This Row],[الرقم الوظيفى]],[4]!Table3[#Data],26,FALSE)</f>
        <v>#REF!</v>
      </c>
      <c r="CR266" s="370"/>
      <c r="CS266" s="124"/>
    </row>
    <row r="267" spans="1:97" ht="21.65" customHeight="1" thickTop="1" thickBot="1">
      <c r="A267" s="365">
        <v>1061</v>
      </c>
      <c r="B267" s="373" t="s">
        <v>732</v>
      </c>
      <c r="C267" s="371" t="s">
        <v>90</v>
      </c>
      <c r="D267" s="11" t="s">
        <v>76</v>
      </c>
      <c r="E267" s="202"/>
      <c r="F267" s="11" t="s">
        <v>63</v>
      </c>
      <c r="G267" s="184">
        <v>43221</v>
      </c>
      <c r="H267" s="372">
        <v>3000</v>
      </c>
      <c r="I267" s="203">
        <f>Table6[[#This Row],[مرتب]]/30</f>
        <v>100</v>
      </c>
      <c r="J267" s="107">
        <v>0</v>
      </c>
      <c r="K267" s="107">
        <f t="shared" si="4"/>
        <v>0</v>
      </c>
      <c r="L267" s="107">
        <v>0</v>
      </c>
      <c r="M267" s="107">
        <f>Table6[[#This Row],[مرتب الضمان]]*17%</f>
        <v>0</v>
      </c>
      <c r="N267" s="107">
        <f>' الشركه 2018'!$H267*35%</f>
        <v>1050</v>
      </c>
      <c r="O267" s="107">
        <f>' الشركه 2018'!$H267*32%</f>
        <v>960</v>
      </c>
      <c r="P267" s="107">
        <f>' الشركه 2018'!$H267*12%</f>
        <v>360</v>
      </c>
      <c r="Q267" s="107">
        <f>' الشركه 2018'!$H267*13%</f>
        <v>390</v>
      </c>
      <c r="R267" s="107">
        <f>' الشركه 2018'!$H267*6%</f>
        <v>180</v>
      </c>
      <c r="S267" s="107">
        <f>' الشركه 2018'!$H267*2%</f>
        <v>60</v>
      </c>
      <c r="T267" s="107">
        <f>' الشركه 2018'!$O267+' الشركه 2018'!$P267+' الشركه 2018'!$Q267+' الشركه 2018'!$R267+' الشركه 2018'!$S267</f>
        <v>1950</v>
      </c>
      <c r="U267" s="109">
        <f>VLOOKUP(Table6[[#This Row],[الرقم الوظيفى]],[2]بالخصم!$B$1:$AK$1200,35,)</f>
        <v>0</v>
      </c>
      <c r="V267" s="204"/>
      <c r="W267" s="111">
        <f>Table6[[#This Row],[عدد ايام الاجازه]]*Table6[[#This Row],[ح راتب اليوم]]</f>
        <v>0</v>
      </c>
      <c r="X267" s="148"/>
      <c r="Y267" s="201"/>
      <c r="Z267" s="111">
        <f>Table6[[#This Row],[عدد ايام الجزاء]]*Table6[[#This Row],[ح راتب اليوم]]</f>
        <v>0</v>
      </c>
      <c r="AA267" s="112">
        <f>Table6[[#This Row],[مرتب]]*50%</f>
        <v>1500</v>
      </c>
      <c r="AB267" s="113" t="e">
        <f>VLOOKUP(Table6[[#This Row],[الرقم الوظيفى]],[3]!Table25289[#Data],23,)</f>
        <v>#REF!</v>
      </c>
      <c r="AC267" s="205"/>
      <c r="AD267" s="206"/>
      <c r="AE267" s="113" t="e">
        <f>VLOOKUP(Table6[[#This Row],[الرقم الوظيفى]],[3]!Table252894[#Data],22,)</f>
        <v>#REF!</v>
      </c>
      <c r="AF267" s="207"/>
      <c r="AG267" s="111">
        <f>' الشركه 2018'!$W267+' الشركه 2018'!$Z267+' الشركه 2018'!$AA267+' الشركه 2018'!$AC267+' الشركه 2018'!$AD267+' الشركه 2018'!$AF267</f>
        <v>1500</v>
      </c>
      <c r="AH267" s="111">
        <f>Table6[[#This Row],[راتب الضمان]]*8%</f>
        <v>0</v>
      </c>
      <c r="AI267" s="111">
        <f>' الشركه 2018'!$H267-' الشركه 2018'!$AG267-' الشركه 2018'!$AH267</f>
        <v>1500</v>
      </c>
      <c r="AJ267" s="111">
        <f>' الشركه 2018'!$CF267</f>
        <v>0</v>
      </c>
      <c r="AK267" s="117">
        <f>' الشركه 2018'!$AI267+' الشركه 2018'!$AJ267</f>
        <v>1500</v>
      </c>
      <c r="AL267" s="152"/>
      <c r="AM267" s="153"/>
      <c r="AN267" s="9">
        <f>Table6[[#This Row],[اجمالى الاستحقاق]]-Table6[[#This Row],[Column2]]+Table6[[#This Row],[حوافز غير مستقره]]</f>
        <v>1500</v>
      </c>
      <c r="AO267" s="59"/>
      <c r="AP267" s="169"/>
      <c r="AQ267" s="176"/>
      <c r="AR267" s="124"/>
      <c r="AS267" s="208"/>
      <c r="AT267" s="170"/>
      <c r="AU267" s="124"/>
      <c r="AV267" s="124"/>
      <c r="AW267" s="124"/>
      <c r="AX267" s="124"/>
      <c r="AY267" s="124"/>
      <c r="AZ267" s="124"/>
      <c r="BA267" s="124"/>
      <c r="BB267" s="124"/>
      <c r="BC267" s="124"/>
      <c r="BD267" s="124"/>
      <c r="BE267" s="124"/>
      <c r="BF267" s="124"/>
      <c r="BG267" s="124"/>
      <c r="BH267" s="228"/>
      <c r="BI267" s="124"/>
      <c r="BJ267" s="228"/>
      <c r="BK267" s="124"/>
      <c r="BL267" s="124"/>
      <c r="BM267" s="177"/>
      <c r="BN267" s="177"/>
      <c r="BO267" s="124"/>
      <c r="BP267" s="177"/>
      <c r="BQ267" s="124"/>
      <c r="BR267" s="177"/>
      <c r="BS267" s="177"/>
      <c r="BT267" s="124"/>
      <c r="BU267" s="124"/>
      <c r="BV267" s="124"/>
      <c r="BW267" s="177"/>
      <c r="BX267" s="177"/>
      <c r="BY267" s="177"/>
      <c r="BZ267" s="177"/>
      <c r="CA267" s="177"/>
      <c r="CB26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7" s="131">
        <f>' الشركه 2018'!$H267*67%*1.5*' الشركه 2018'!$CB267/208</f>
        <v>0</v>
      </c>
      <c r="CE267" s="132">
        <f>' الشركه 2018'!$H267*67%*2*' الشركه 2018'!$CC267/208</f>
        <v>0</v>
      </c>
      <c r="CF267" s="133">
        <f>' الشركه 2018'!$CD267+' الشركه 2018'!$CE267</f>
        <v>0</v>
      </c>
      <c r="CG267" s="124"/>
      <c r="CH267" s="177"/>
      <c r="CI267" s="124"/>
      <c r="CJ267" s="162"/>
      <c r="CK267" s="162"/>
      <c r="CL267" s="177"/>
      <c r="CM267" s="162"/>
      <c r="CN267" s="162"/>
      <c r="CO267" s="162"/>
      <c r="CP267" s="163"/>
      <c r="CQ267" s="164" t="e">
        <f>VLOOKUP(Table6[[#This Row],[الرقم الوظيفى]],[4]!Table3[#Data],26,FALSE)</f>
        <v>#REF!</v>
      </c>
      <c r="CR267" s="370"/>
      <c r="CS267" s="124"/>
    </row>
    <row r="268" spans="1:97" ht="28" customHeight="1" thickTop="1" thickBot="1">
      <c r="A268" s="365">
        <v>1062</v>
      </c>
      <c r="B268" s="373" t="s">
        <v>733</v>
      </c>
      <c r="C268" s="371" t="s">
        <v>90</v>
      </c>
      <c r="D268" s="11" t="s">
        <v>74</v>
      </c>
      <c r="E268" s="202"/>
      <c r="F268" s="11" t="s">
        <v>63</v>
      </c>
      <c r="G268" s="184">
        <v>43223</v>
      </c>
      <c r="H268" s="372">
        <v>3000</v>
      </c>
      <c r="I268" s="203">
        <f>Table6[[#This Row],[مرتب]]/30</f>
        <v>100</v>
      </c>
      <c r="J268" s="107">
        <v>30</v>
      </c>
      <c r="K268" s="107">
        <f t="shared" si="4"/>
        <v>3000</v>
      </c>
      <c r="L268" s="107">
        <v>3000</v>
      </c>
      <c r="M268" s="107">
        <f>Table6[[#This Row],[مرتب الضمان]]*17%</f>
        <v>510.00000000000006</v>
      </c>
      <c r="N268" s="107">
        <f>' الشركه 2018'!$H268*35%</f>
        <v>1050</v>
      </c>
      <c r="O268" s="107">
        <f>' الشركه 2018'!$H268*32%</f>
        <v>960</v>
      </c>
      <c r="P268" s="107">
        <f>' الشركه 2018'!$H268*12%</f>
        <v>360</v>
      </c>
      <c r="Q268" s="107">
        <f>' الشركه 2018'!$H268*13%</f>
        <v>390</v>
      </c>
      <c r="R268" s="107">
        <f>' الشركه 2018'!$H268*6%</f>
        <v>180</v>
      </c>
      <c r="S268" s="107">
        <f>' الشركه 2018'!$H268*2%</f>
        <v>60</v>
      </c>
      <c r="T268" s="107">
        <f>' الشركه 2018'!$O268+' الشركه 2018'!$P268+' الشركه 2018'!$Q268+' الشركه 2018'!$R268+' الشركه 2018'!$S268</f>
        <v>1950</v>
      </c>
      <c r="U268" s="109">
        <f>VLOOKUP(Table6[[#This Row],[الرقم الوظيفى]],[2]بالخصم!$B$1:$AK$1200,35,)</f>
        <v>3</v>
      </c>
      <c r="V268" s="204">
        <v>3</v>
      </c>
      <c r="W268" s="111">
        <f>Table6[[#This Row],[عدد ايام الاجازه]]*Table6[[#This Row],[ح راتب اليوم]]</f>
        <v>300</v>
      </c>
      <c r="X268" s="148"/>
      <c r="Y268" s="201"/>
      <c r="Z268" s="111">
        <f>Table6[[#This Row],[عدد ايام الجزاء]]*Table6[[#This Row],[ح راتب اليوم]]</f>
        <v>0</v>
      </c>
      <c r="AA268" s="112">
        <f>Table6[[#This Row],[مرتب]]*50%</f>
        <v>1500</v>
      </c>
      <c r="AB268" s="113" t="e">
        <f>VLOOKUP(Table6[[#This Row],[الرقم الوظيفى]],[3]!Table25289[#Data],23,)</f>
        <v>#REF!</v>
      </c>
      <c r="AC268" s="205"/>
      <c r="AD268" s="206"/>
      <c r="AE268" s="113" t="e">
        <f>VLOOKUP(Table6[[#This Row],[الرقم الوظيفى]],[3]!Table252894[#Data],22,)</f>
        <v>#REF!</v>
      </c>
      <c r="AF268" s="207"/>
      <c r="AG268" s="111">
        <f>' الشركه 2018'!$W268+' الشركه 2018'!$Z268+' الشركه 2018'!$AA268+' الشركه 2018'!$AC268+' الشركه 2018'!$AD268+' الشركه 2018'!$AF268</f>
        <v>1800</v>
      </c>
      <c r="AH268" s="111">
        <f>Table6[[#This Row],[راتب الضمان]]*8%</f>
        <v>240</v>
      </c>
      <c r="AI268" s="111">
        <f>' الشركه 2018'!$H268-' الشركه 2018'!$AG268-' الشركه 2018'!$AH268</f>
        <v>960</v>
      </c>
      <c r="AJ268" s="111">
        <f>' الشركه 2018'!$CF268</f>
        <v>0</v>
      </c>
      <c r="AK268" s="117">
        <f>' الشركه 2018'!$AI268+' الشركه 2018'!$AJ268</f>
        <v>960</v>
      </c>
      <c r="AL268" s="152"/>
      <c r="AM268" s="153"/>
      <c r="AN268" s="9">
        <f>Table6[[#This Row],[اجمالى الاستحقاق]]-Table6[[#This Row],[Column2]]+Table6[[#This Row],[حوافز غير مستقره]]</f>
        <v>960</v>
      </c>
      <c r="AO268" s="59"/>
      <c r="AP268" s="169"/>
      <c r="AQ268" s="176"/>
      <c r="AR268" s="124"/>
      <c r="AS268" s="208"/>
      <c r="AT268" s="170"/>
      <c r="AU268" s="124"/>
      <c r="AV268" s="124"/>
      <c r="AW268" s="124"/>
      <c r="AX268" s="124"/>
      <c r="AY268" s="124"/>
      <c r="AZ268" s="124"/>
      <c r="BA268" s="124"/>
      <c r="BB268" s="124"/>
      <c r="BC268" s="124"/>
      <c r="BD268" s="124"/>
      <c r="BE268" s="124"/>
      <c r="BF268" s="124"/>
      <c r="BG268" s="124"/>
      <c r="BH268" s="228"/>
      <c r="BI268" s="124"/>
      <c r="BJ268" s="228"/>
      <c r="BK268" s="124"/>
      <c r="BL268" s="124"/>
      <c r="BM268" s="177"/>
      <c r="BN268" s="177"/>
      <c r="BO268" s="124"/>
      <c r="BP268" s="177"/>
      <c r="BQ268" s="124"/>
      <c r="BR268" s="177"/>
      <c r="BS268" s="177"/>
      <c r="BT268" s="124"/>
      <c r="BU268" s="124"/>
      <c r="BV268" s="124"/>
      <c r="BW268" s="177"/>
      <c r="BX268" s="177"/>
      <c r="BY268" s="177"/>
      <c r="BZ268" s="177"/>
      <c r="CA268" s="177"/>
      <c r="CB26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8" s="131">
        <f>' الشركه 2018'!$H268*67%*1.5*' الشركه 2018'!$CB268/208</f>
        <v>0</v>
      </c>
      <c r="CE268" s="132">
        <f>' الشركه 2018'!$H268*67%*2*' الشركه 2018'!$CC268/208</f>
        <v>0</v>
      </c>
      <c r="CF268" s="133">
        <f>' الشركه 2018'!$CD268+' الشركه 2018'!$CE268</f>
        <v>0</v>
      </c>
      <c r="CG268" s="124"/>
      <c r="CH268" s="177"/>
      <c r="CI268" s="124"/>
      <c r="CJ268" s="162"/>
      <c r="CK268" s="162"/>
      <c r="CL268" s="177"/>
      <c r="CM268" s="162"/>
      <c r="CN268" s="162"/>
      <c r="CO268" s="162"/>
      <c r="CP268" s="163"/>
      <c r="CQ268" s="164" t="e">
        <f>VLOOKUP(Table6[[#This Row],[الرقم الوظيفى]],[4]!Table3[#Data],26,FALSE)</f>
        <v>#REF!</v>
      </c>
      <c r="CR268" s="370"/>
      <c r="CS268" s="124"/>
    </row>
    <row r="269" spans="1:97" ht="21.65" customHeight="1" thickTop="1" thickBot="1">
      <c r="A269" s="365">
        <v>1063</v>
      </c>
      <c r="B269" s="212" t="s">
        <v>734</v>
      </c>
      <c r="C269" s="371" t="s">
        <v>90</v>
      </c>
      <c r="D269" s="11" t="s">
        <v>74</v>
      </c>
      <c r="E269" s="202"/>
      <c r="F269" s="11" t="s">
        <v>63</v>
      </c>
      <c r="G269" s="184">
        <v>43227</v>
      </c>
      <c r="H269" s="372">
        <v>3000</v>
      </c>
      <c r="I269" s="203">
        <f>Table6[[#This Row],[مرتب]]/30</f>
        <v>100</v>
      </c>
      <c r="J269" s="107">
        <v>30</v>
      </c>
      <c r="K269" s="107">
        <f t="shared" si="4"/>
        <v>3000</v>
      </c>
      <c r="L269" s="107">
        <v>3000</v>
      </c>
      <c r="M269" s="107">
        <f>Table6[[#This Row],[مرتب الضمان]]*17%</f>
        <v>510.00000000000006</v>
      </c>
      <c r="N269" s="107">
        <f>' الشركه 2018'!$H269*35%</f>
        <v>1050</v>
      </c>
      <c r="O269" s="107">
        <f>' الشركه 2018'!$H269*32%</f>
        <v>960</v>
      </c>
      <c r="P269" s="107">
        <f>' الشركه 2018'!$H269*12%</f>
        <v>360</v>
      </c>
      <c r="Q269" s="107">
        <f>' الشركه 2018'!$H269*13%</f>
        <v>390</v>
      </c>
      <c r="R269" s="107">
        <f>' الشركه 2018'!$H269*6%</f>
        <v>180</v>
      </c>
      <c r="S269" s="107">
        <f>' الشركه 2018'!$H269*2%</f>
        <v>60</v>
      </c>
      <c r="T269" s="107">
        <f>' الشركه 2018'!$O269+' الشركه 2018'!$P269+' الشركه 2018'!$Q269+' الشركه 2018'!$R269+' الشركه 2018'!$S269</f>
        <v>1950</v>
      </c>
      <c r="U269" s="109">
        <f>VLOOKUP(Table6[[#This Row],[الرقم الوظيفى]],[2]بالخصم!$B$1:$AK$1200,35,)</f>
        <v>1</v>
      </c>
      <c r="V269" s="204">
        <v>1</v>
      </c>
      <c r="W269" s="111">
        <f>Table6[[#This Row],[عدد ايام الاجازه]]*Table6[[#This Row],[ح راتب اليوم]]</f>
        <v>100</v>
      </c>
      <c r="X269" s="148"/>
      <c r="Y269" s="201"/>
      <c r="Z269" s="111">
        <f>Table6[[#This Row],[عدد ايام الجزاء]]*Table6[[#This Row],[ح راتب اليوم]]</f>
        <v>0</v>
      </c>
      <c r="AA269" s="112">
        <f>Table6[[#This Row],[مرتب]]*50%</f>
        <v>1500</v>
      </c>
      <c r="AB269" s="113" t="e">
        <f>VLOOKUP(Table6[[#This Row],[الرقم الوظيفى]],[3]!Table25289[#Data],23,)</f>
        <v>#REF!</v>
      </c>
      <c r="AC269" s="205"/>
      <c r="AD269" s="206"/>
      <c r="AE269" s="113" t="e">
        <f>VLOOKUP(Table6[[#This Row],[الرقم الوظيفى]],[3]!Table252894[#Data],22,)</f>
        <v>#REF!</v>
      </c>
      <c r="AF269" s="207"/>
      <c r="AG269" s="111">
        <f>' الشركه 2018'!$W269+' الشركه 2018'!$Z269+' الشركه 2018'!$AA269+' الشركه 2018'!$AC269+' الشركه 2018'!$AD269+' الشركه 2018'!$AF269</f>
        <v>1600</v>
      </c>
      <c r="AH269" s="111">
        <f>Table6[[#This Row],[راتب الضمان]]*8%</f>
        <v>240</v>
      </c>
      <c r="AI269" s="111">
        <f>' الشركه 2018'!$H269-' الشركه 2018'!$AG269-' الشركه 2018'!$AH269</f>
        <v>1160</v>
      </c>
      <c r="AJ269" s="111">
        <f>' الشركه 2018'!$CF269</f>
        <v>0</v>
      </c>
      <c r="AK269" s="117">
        <f>' الشركه 2018'!$AI269+' الشركه 2018'!$AJ269</f>
        <v>1160</v>
      </c>
      <c r="AL269" s="152"/>
      <c r="AM269" s="153"/>
      <c r="AN269" s="9">
        <f>Table6[[#This Row],[اجمالى الاستحقاق]]-Table6[[#This Row],[Column2]]+Table6[[#This Row],[حوافز غير مستقره]]</f>
        <v>1160</v>
      </c>
      <c r="AO269" s="59"/>
      <c r="AP269" s="169"/>
      <c r="AQ269" s="176"/>
      <c r="AR269" s="124"/>
      <c r="AS269" s="208"/>
      <c r="AT269" s="170"/>
      <c r="AU269" s="124"/>
      <c r="AV269" s="124"/>
      <c r="AW269" s="124"/>
      <c r="AX269" s="124"/>
      <c r="AY269" s="124"/>
      <c r="AZ269" s="124"/>
      <c r="BA269" s="124"/>
      <c r="BB269" s="124"/>
      <c r="BC269" s="124"/>
      <c r="BD269" s="124"/>
      <c r="BE269" s="124"/>
      <c r="BF269" s="124"/>
      <c r="BG269" s="124"/>
      <c r="BH269" s="228"/>
      <c r="BI269" s="124"/>
      <c r="BJ269" s="228"/>
      <c r="BK269" s="124"/>
      <c r="BL269" s="124"/>
      <c r="BM269" s="177"/>
      <c r="BN269" s="177"/>
      <c r="BO269" s="124"/>
      <c r="BP269" s="177"/>
      <c r="BQ269" s="124"/>
      <c r="BR269" s="177"/>
      <c r="BS269" s="177"/>
      <c r="BT269" s="124"/>
      <c r="BU269" s="124"/>
      <c r="BV269" s="124"/>
      <c r="BW269" s="177"/>
      <c r="BX269" s="177"/>
      <c r="BY269" s="177"/>
      <c r="BZ269" s="177"/>
      <c r="CA269" s="177"/>
      <c r="CB26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6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69" s="131">
        <f>' الشركه 2018'!$H269*67%*1.5*' الشركه 2018'!$CB269/208</f>
        <v>0</v>
      </c>
      <c r="CE269" s="132">
        <f>' الشركه 2018'!$H269*67%*2*' الشركه 2018'!$CC269/208</f>
        <v>0</v>
      </c>
      <c r="CF269" s="133">
        <f>' الشركه 2018'!$CD269+' الشركه 2018'!$CE269</f>
        <v>0</v>
      </c>
      <c r="CG269" s="124"/>
      <c r="CH269" s="177"/>
      <c r="CI269" s="124"/>
      <c r="CJ269" s="162"/>
      <c r="CK269" s="162"/>
      <c r="CL269" s="177"/>
      <c r="CM269" s="162"/>
      <c r="CN269" s="162"/>
      <c r="CO269" s="162"/>
      <c r="CP269" s="163"/>
      <c r="CQ269" s="164" t="e">
        <f>VLOOKUP(Table6[[#This Row],[الرقم الوظيفى]],[4]!Table3[#Data],26,FALSE)</f>
        <v>#REF!</v>
      </c>
      <c r="CR269" s="370"/>
      <c r="CS269" s="124"/>
    </row>
    <row r="270" spans="1:97" ht="21.65" customHeight="1" thickTop="1" thickBot="1">
      <c r="A270" s="374">
        <v>1066</v>
      </c>
      <c r="B270" s="375" t="s">
        <v>735</v>
      </c>
      <c r="C270" s="376" t="s">
        <v>90</v>
      </c>
      <c r="D270" s="11"/>
      <c r="E270" s="202"/>
      <c r="F270" s="11"/>
      <c r="G270" s="145">
        <v>43252</v>
      </c>
      <c r="H270" s="355">
        <v>6000</v>
      </c>
      <c r="I270" s="377">
        <f>Table6[[#This Row],[مرتب]]/30</f>
        <v>200</v>
      </c>
      <c r="J270" s="107">
        <v>0</v>
      </c>
      <c r="K270" s="107">
        <f t="shared" si="4"/>
        <v>0</v>
      </c>
      <c r="L270" s="107">
        <v>0</v>
      </c>
      <c r="M270" s="107">
        <f>Table6[[#This Row],[مرتب الضمان]]*17%</f>
        <v>0</v>
      </c>
      <c r="N270" s="107">
        <f>' الشركه 2018'!$H270*35%</f>
        <v>2100</v>
      </c>
      <c r="O270" s="107">
        <f>' الشركه 2018'!$H270*32%</f>
        <v>1920</v>
      </c>
      <c r="P270" s="107">
        <f>' الشركه 2018'!$H270*12%</f>
        <v>720</v>
      </c>
      <c r="Q270" s="107">
        <f>' الشركه 2018'!$H270*13%</f>
        <v>780</v>
      </c>
      <c r="R270" s="107">
        <f>' الشركه 2018'!$H270*6%</f>
        <v>360</v>
      </c>
      <c r="S270" s="107">
        <f>' الشركه 2018'!$H270*2%</f>
        <v>120</v>
      </c>
      <c r="T270" s="107">
        <f>' الشركه 2018'!$O270+' الشركه 2018'!$P270+' الشركه 2018'!$Q270+' الشركه 2018'!$R270+' الشركه 2018'!$S270</f>
        <v>3900</v>
      </c>
      <c r="U270" s="109">
        <f>VLOOKUP(Table6[[#This Row],[الرقم الوظيفى]],[2]بالخصم!$B$1:$AK$1200,35,)</f>
        <v>1</v>
      </c>
      <c r="V270" s="186">
        <v>1</v>
      </c>
      <c r="W270" s="111">
        <f>Table6[[#This Row],[عدد ايام الاجازه]]*Table6[[#This Row],[ح راتب اليوم]]</f>
        <v>200</v>
      </c>
      <c r="X270" s="148"/>
      <c r="Y270" s="376"/>
      <c r="Z270" s="111">
        <f>Table6[[#This Row],[عدد ايام الجزاء]]*Table6[[#This Row],[ح راتب اليوم]]</f>
        <v>0</v>
      </c>
      <c r="AA270" s="112">
        <f>Table6[[#This Row],[مرتب]]*50%</f>
        <v>3000</v>
      </c>
      <c r="AB270" s="113" t="e">
        <f>VLOOKUP(Table6[[#This Row],[الرقم الوظيفى]],[3]!Table25289[#Data],23,)</f>
        <v>#REF!</v>
      </c>
      <c r="AC270" s="206"/>
      <c r="AD270" s="206"/>
      <c r="AE270" s="113" t="e">
        <f>VLOOKUP(Table6[[#This Row],[الرقم الوظيفى]],[3]!Table252894[#Data],22,)</f>
        <v>#REF!</v>
      </c>
      <c r="AF270" s="378"/>
      <c r="AG270" s="111">
        <f>' الشركه 2018'!$W270+' الشركه 2018'!$Z270+' الشركه 2018'!$AA270+' الشركه 2018'!$AC270+' الشركه 2018'!$AD270+' الشركه 2018'!$AF270</f>
        <v>3200</v>
      </c>
      <c r="AH270" s="111">
        <f>Table6[[#This Row],[راتب الضمان]]*8%</f>
        <v>0</v>
      </c>
      <c r="AI270" s="111">
        <f>' الشركه 2018'!$H270-' الشركه 2018'!$AG270-' الشركه 2018'!$AH270</f>
        <v>2800</v>
      </c>
      <c r="AJ270" s="111">
        <f>' الشركه 2018'!$CF270</f>
        <v>57.980769230769241</v>
      </c>
      <c r="AK270" s="117">
        <f>' الشركه 2018'!$AI270+' الشركه 2018'!$AJ270</f>
        <v>2857.9807692307691</v>
      </c>
      <c r="AL270" s="152"/>
      <c r="AM270" s="196"/>
      <c r="AN270" s="9">
        <f>Table6[[#This Row],[اجمالى الاستحقاق]]-Table6[[#This Row],[Column2]]+Table6[[#This Row],[حوافز غير مستقره]]</f>
        <v>2857.9807692307691</v>
      </c>
      <c r="AO270" s="59"/>
      <c r="AP270" s="379"/>
      <c r="AQ270" s="176"/>
      <c r="AR270" s="124"/>
      <c r="AS270" s="208"/>
      <c r="AT270" s="170"/>
      <c r="AU270" s="124"/>
      <c r="AV270" s="124"/>
      <c r="AW270" s="124"/>
      <c r="AX270" s="124">
        <v>2</v>
      </c>
      <c r="AY270" s="124"/>
      <c r="AZ270" s="124"/>
      <c r="BA270" s="124"/>
      <c r="BB270" s="124"/>
      <c r="BC270" s="124"/>
      <c r="BD270" s="124"/>
      <c r="BE270" s="124"/>
      <c r="BF270" s="124"/>
      <c r="BG270" s="124"/>
      <c r="BH270" s="228"/>
      <c r="BI270" s="124"/>
      <c r="BJ270" s="228"/>
      <c r="BK270" s="124"/>
      <c r="BL270" s="124"/>
      <c r="BM270" s="177"/>
      <c r="BN270" s="177"/>
      <c r="BO270" s="124"/>
      <c r="BP270" s="177"/>
      <c r="BQ270" s="124"/>
      <c r="BR270" s="177"/>
      <c r="BS270" s="177"/>
      <c r="BT270" s="124"/>
      <c r="BU270" s="124"/>
      <c r="BV270" s="124"/>
      <c r="BW270" s="177"/>
      <c r="BX270" s="177"/>
      <c r="BY270" s="177"/>
      <c r="BZ270" s="177"/>
      <c r="CA270" s="177"/>
      <c r="CB27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</v>
      </c>
      <c r="CC27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0" s="131">
        <f>' الشركه 2018'!$H270*67%*1.5*' الشركه 2018'!$CB270/208</f>
        <v>57.980769230769241</v>
      </c>
      <c r="CE270" s="132">
        <f>' الشركه 2018'!$H270*67%*2*' الشركه 2018'!$CC270/208</f>
        <v>0</v>
      </c>
      <c r="CF270" s="133">
        <f>' الشركه 2018'!$CD270+' الشركه 2018'!$CE270</f>
        <v>57.980769230769241</v>
      </c>
      <c r="CG270" s="124"/>
      <c r="CH270" s="177"/>
      <c r="CI270" s="124"/>
      <c r="CJ270" s="162"/>
      <c r="CK270" s="162"/>
      <c r="CL270" s="177"/>
      <c r="CM270" s="162"/>
      <c r="CN270" s="162"/>
      <c r="CO270" s="162"/>
      <c r="CP270" s="163"/>
      <c r="CQ270" s="164" t="e">
        <f>VLOOKUP(Table6[[#This Row],[الرقم الوظيفى]],[4]!Table3[#Data],26,FALSE)</f>
        <v>#REF!</v>
      </c>
      <c r="CR270" s="370"/>
      <c r="CS270" s="124"/>
    </row>
    <row r="271" spans="1:97" ht="21.65" customHeight="1" thickTop="1" thickBot="1">
      <c r="A271" s="374">
        <v>1067</v>
      </c>
      <c r="B271" s="212" t="s">
        <v>736</v>
      </c>
      <c r="C271" s="376" t="s">
        <v>90</v>
      </c>
      <c r="D271" s="11" t="s">
        <v>72</v>
      </c>
      <c r="E271" s="202"/>
      <c r="F271" s="11" t="s">
        <v>737</v>
      </c>
      <c r="G271" s="145">
        <v>43286</v>
      </c>
      <c r="H271" s="355">
        <v>4000</v>
      </c>
      <c r="I271" s="377">
        <f>Table6[[#This Row],[مرتب]]/30</f>
        <v>133.33333333333334</v>
      </c>
      <c r="J271" s="107">
        <v>30</v>
      </c>
      <c r="K271" s="107">
        <f t="shared" si="4"/>
        <v>4000.0000000000005</v>
      </c>
      <c r="L271" s="107">
        <v>4000</v>
      </c>
      <c r="M271" s="107">
        <f>Table6[[#This Row],[مرتب الضمان]]*17%</f>
        <v>680</v>
      </c>
      <c r="N271" s="107">
        <f>' الشركه 2018'!$H271*35%</f>
        <v>1400</v>
      </c>
      <c r="O271" s="107">
        <f>' الشركه 2018'!$H271*32%</f>
        <v>1280</v>
      </c>
      <c r="P271" s="107">
        <f>' الشركه 2018'!$H271*12%</f>
        <v>480</v>
      </c>
      <c r="Q271" s="107">
        <f>' الشركه 2018'!$H271*13%</f>
        <v>520</v>
      </c>
      <c r="R271" s="107">
        <f>' الشركه 2018'!$H271*6%</f>
        <v>240</v>
      </c>
      <c r="S271" s="107">
        <f>' الشركه 2018'!$H271*2%</f>
        <v>80</v>
      </c>
      <c r="T271" s="107">
        <f>' الشركه 2018'!$O271+' الشركه 2018'!$P271+' الشركه 2018'!$Q271+' الشركه 2018'!$R271+' الشركه 2018'!$S271</f>
        <v>2600</v>
      </c>
      <c r="U271" s="109">
        <f>VLOOKUP(Table6[[#This Row],[الرقم الوظيفى]],[2]بالخصم!$B$1:$AK$1200,35,)</f>
        <v>1</v>
      </c>
      <c r="V271" s="186">
        <v>1</v>
      </c>
      <c r="W271" s="111">
        <f>Table6[[#This Row],[عدد ايام الاجازه]]*Table6[[#This Row],[ح راتب اليوم]]</f>
        <v>133.33333333333334</v>
      </c>
      <c r="X271" s="148"/>
      <c r="Y271" s="376"/>
      <c r="Z271" s="111">
        <f>Table6[[#This Row],[عدد ايام الجزاء]]*Table6[[#This Row],[ح راتب اليوم]]</f>
        <v>0</v>
      </c>
      <c r="AA271" s="112">
        <f>Table6[[#This Row],[مرتب]]*50%</f>
        <v>2000</v>
      </c>
      <c r="AB271" s="113" t="e">
        <f>VLOOKUP(Table6[[#This Row],[الرقم الوظيفى]],[3]!Table25289[#Data],23,)</f>
        <v>#REF!</v>
      </c>
      <c r="AC271" s="206"/>
      <c r="AD271" s="206"/>
      <c r="AE271" s="113" t="e">
        <f>VLOOKUP(Table6[[#This Row],[الرقم الوظيفى]],[3]!Table252894[#Data],22,)</f>
        <v>#REF!</v>
      </c>
      <c r="AF271" s="378"/>
      <c r="AG271" s="111">
        <f>' الشركه 2018'!$W271+' الشركه 2018'!$Z271+' الشركه 2018'!$AA271+' الشركه 2018'!$AC271+' الشركه 2018'!$AD271+' الشركه 2018'!$AF271</f>
        <v>2133.3333333333335</v>
      </c>
      <c r="AH271" s="111">
        <f>Table6[[#This Row],[راتب الضمان]]*8%</f>
        <v>320.00000000000006</v>
      </c>
      <c r="AI271" s="111">
        <f>' الشركه 2018'!$H271-' الشركه 2018'!$AG271-' الشركه 2018'!$AH271</f>
        <v>1546.6666666666665</v>
      </c>
      <c r="AJ271" s="111">
        <f>' الشركه 2018'!$CF271</f>
        <v>96.634615384615387</v>
      </c>
      <c r="AK271" s="117">
        <f>' الشركه 2018'!$AI271+' الشركه 2018'!$AJ271</f>
        <v>1643.301282051282</v>
      </c>
      <c r="AL271" s="152"/>
      <c r="AM271" s="196"/>
      <c r="AN271" s="9">
        <f>Table6[[#This Row],[اجمالى الاستحقاق]]-Table6[[#This Row],[Column2]]+Table6[[#This Row],[حوافز غير مستقره]]</f>
        <v>1643.301282051282</v>
      </c>
      <c r="AO271" s="59"/>
      <c r="AP271" s="379"/>
      <c r="AQ271" s="176"/>
      <c r="AR271" s="124"/>
      <c r="AS271" s="208"/>
      <c r="AT271" s="170"/>
      <c r="AU271" s="124"/>
      <c r="AV271" s="124"/>
      <c r="AW271" s="124"/>
      <c r="AX271" s="124"/>
      <c r="AY271" s="124"/>
      <c r="AZ271" s="124">
        <v>1</v>
      </c>
      <c r="BA271" s="124"/>
      <c r="BB271" s="124"/>
      <c r="BC271" s="124"/>
      <c r="BD271" s="124"/>
      <c r="BE271" s="124"/>
      <c r="BF271" s="124"/>
      <c r="BG271" s="124"/>
      <c r="BH271" s="228"/>
      <c r="BI271" s="124"/>
      <c r="BJ271" s="228"/>
      <c r="BK271" s="124"/>
      <c r="BL271" s="124"/>
      <c r="BM271" s="177"/>
      <c r="BN271" s="177"/>
      <c r="BO271" s="124"/>
      <c r="BP271" s="177">
        <v>4</v>
      </c>
      <c r="BQ271" s="124"/>
      <c r="BR271" s="177"/>
      <c r="BS271" s="177"/>
      <c r="BT271" s="124"/>
      <c r="BU271" s="124"/>
      <c r="BV271" s="124"/>
      <c r="BW271" s="177"/>
      <c r="BX271" s="177"/>
      <c r="BY271" s="177"/>
      <c r="BZ271" s="177"/>
      <c r="CA271" s="177"/>
      <c r="CB27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</v>
      </c>
      <c r="CC27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1" s="131">
        <f>' الشركه 2018'!$H271*67%*1.5*' الشركه 2018'!$CB271/208</f>
        <v>96.634615384615387</v>
      </c>
      <c r="CE271" s="132">
        <f>' الشركه 2018'!$H271*67%*2*' الشركه 2018'!$CC271/208</f>
        <v>0</v>
      </c>
      <c r="CF271" s="133">
        <f>' الشركه 2018'!$CD271+' الشركه 2018'!$CE271</f>
        <v>96.634615384615387</v>
      </c>
      <c r="CG271" s="124"/>
      <c r="CH271" s="177"/>
      <c r="CI271" s="124"/>
      <c r="CJ271" s="162"/>
      <c r="CK271" s="162"/>
      <c r="CL271" s="177"/>
      <c r="CM271" s="162"/>
      <c r="CN271" s="162"/>
      <c r="CO271" s="162"/>
      <c r="CP271" s="163"/>
      <c r="CQ271" s="164" t="e">
        <f>VLOOKUP(Table6[[#This Row],[الرقم الوظيفى]],[4]!Table3[#Data],26,FALSE)</f>
        <v>#REF!</v>
      </c>
      <c r="CR271" s="370"/>
      <c r="CS271" s="124"/>
    </row>
    <row r="272" spans="1:97" ht="21.65" customHeight="1" thickTop="1" thickBot="1">
      <c r="A272" s="374">
        <v>1068</v>
      </c>
      <c r="B272" s="212" t="s">
        <v>738</v>
      </c>
      <c r="C272" s="376" t="s">
        <v>90</v>
      </c>
      <c r="D272" s="11" t="s">
        <v>83</v>
      </c>
      <c r="E272" s="202"/>
      <c r="F272" s="11" t="s">
        <v>739</v>
      </c>
      <c r="G272" s="145">
        <v>43282</v>
      </c>
      <c r="H272" s="355">
        <v>4500</v>
      </c>
      <c r="I272" s="377">
        <f>Table6[[#This Row],[مرتب]]/30</f>
        <v>150</v>
      </c>
      <c r="J272" s="107">
        <v>30</v>
      </c>
      <c r="K272" s="107">
        <f t="shared" si="4"/>
        <v>4500</v>
      </c>
      <c r="L272" s="107">
        <v>4500</v>
      </c>
      <c r="M272" s="107">
        <f>Table6[[#This Row],[مرتب الضمان]]*17%</f>
        <v>765</v>
      </c>
      <c r="N272" s="107">
        <f>' الشركه 2018'!$H272*35%</f>
        <v>1575</v>
      </c>
      <c r="O272" s="107">
        <f>' الشركه 2018'!$H272*32%</f>
        <v>1440</v>
      </c>
      <c r="P272" s="107">
        <f>' الشركه 2018'!$H272*12%</f>
        <v>540</v>
      </c>
      <c r="Q272" s="107">
        <f>' الشركه 2018'!$H272*13%</f>
        <v>585</v>
      </c>
      <c r="R272" s="107">
        <f>' الشركه 2018'!$H272*6%</f>
        <v>270</v>
      </c>
      <c r="S272" s="107">
        <f>' الشركه 2018'!$H272*2%</f>
        <v>90</v>
      </c>
      <c r="T272" s="107">
        <f>' الشركه 2018'!$O272+' الشركه 2018'!$P272+' الشركه 2018'!$Q272+' الشركه 2018'!$R272+' الشركه 2018'!$S272</f>
        <v>2925</v>
      </c>
      <c r="U272" s="109">
        <f>VLOOKUP(Table6[[#This Row],[الرقم الوظيفى]],[2]بالخصم!$B$1:$AK$1200,35,)</f>
        <v>0</v>
      </c>
      <c r="V272" s="186"/>
      <c r="W272" s="111">
        <f>Table6[[#This Row],[عدد ايام الاجازه]]*Table6[[#This Row],[ح راتب اليوم]]</f>
        <v>0</v>
      </c>
      <c r="X272" s="148"/>
      <c r="Y272" s="376"/>
      <c r="Z272" s="111">
        <f>Table6[[#This Row],[عدد ايام الجزاء]]*Table6[[#This Row],[ح راتب اليوم]]</f>
        <v>0</v>
      </c>
      <c r="AA272" s="112">
        <f>Table6[[#This Row],[مرتب]]*50%</f>
        <v>2250</v>
      </c>
      <c r="AB272" s="113" t="e">
        <f>VLOOKUP(Table6[[#This Row],[الرقم الوظيفى]],[3]!Table25289[#Data],23,)</f>
        <v>#REF!</v>
      </c>
      <c r="AC272" s="206"/>
      <c r="AD272" s="206"/>
      <c r="AE272" s="113" t="e">
        <f>VLOOKUP(Table6[[#This Row],[الرقم الوظيفى]],[3]!Table252894[#Data],22,)</f>
        <v>#REF!</v>
      </c>
      <c r="AF272" s="378"/>
      <c r="AG272" s="111">
        <f>' الشركه 2018'!$W272+' الشركه 2018'!$Z272+' الشركه 2018'!$AA272+' الشركه 2018'!$AC272+' الشركه 2018'!$AD272+' الشركه 2018'!$AF272</f>
        <v>2250</v>
      </c>
      <c r="AH272" s="111">
        <f>Table6[[#This Row],[راتب الضمان]]*8%</f>
        <v>360</v>
      </c>
      <c r="AI272" s="111">
        <f>' الشركه 2018'!$H272-' الشركه 2018'!$AG272-' الشركه 2018'!$AH272</f>
        <v>1890</v>
      </c>
      <c r="AJ272" s="111">
        <f>' الشركه 2018'!$CF272</f>
        <v>521.82692307692309</v>
      </c>
      <c r="AK272" s="117">
        <f>' الشركه 2018'!$AI272+' الشركه 2018'!$AJ272</f>
        <v>2411.8269230769229</v>
      </c>
      <c r="AL272" s="152"/>
      <c r="AM272" s="196"/>
      <c r="AN272" s="9">
        <f>Table6[[#This Row],[اجمالى الاستحقاق]]-Table6[[#This Row],[Column2]]+Table6[[#This Row],[حوافز غير مستقره]]</f>
        <v>2411.8269230769229</v>
      </c>
      <c r="AO272" s="59"/>
      <c r="AP272" s="379"/>
      <c r="AQ272" s="176"/>
      <c r="AR272" s="124"/>
      <c r="AS272" s="208"/>
      <c r="AT272" s="170"/>
      <c r="AU272" s="124"/>
      <c r="AV272" s="124">
        <v>12</v>
      </c>
      <c r="AW272" s="124"/>
      <c r="AX272" s="124"/>
      <c r="AY272" s="124"/>
      <c r="AZ272" s="124"/>
      <c r="BA272" s="124"/>
      <c r="BB272" s="124"/>
      <c r="BC272" s="124"/>
      <c r="BD272" s="124"/>
      <c r="BE272" s="124"/>
      <c r="BF272" s="124"/>
      <c r="BG272" s="124"/>
      <c r="BH272" s="228"/>
      <c r="BI272" s="124"/>
      <c r="BJ272" s="228"/>
      <c r="BK272" s="124"/>
      <c r="BL272" s="124"/>
      <c r="BM272" s="177"/>
      <c r="BN272" s="177"/>
      <c r="BO272" s="124"/>
      <c r="BP272" s="177"/>
      <c r="BQ272" s="124"/>
      <c r="BR272" s="177"/>
      <c r="BS272" s="177">
        <v>8</v>
      </c>
      <c r="BT272" s="124"/>
      <c r="BU272" s="124"/>
      <c r="BV272" s="124"/>
      <c r="BW272" s="177"/>
      <c r="BX272" s="177"/>
      <c r="BY272" s="177"/>
      <c r="BZ272" s="177"/>
      <c r="CA272" s="177"/>
      <c r="CB27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8</v>
      </c>
      <c r="CC272" s="130">
        <f>Table6[[#This Row],[Friday, November 23, 2018]]+Table6[[#This Row],[Friday, November 30, 2018]]+Table6[[#This Row],[Friday, December 07, 2018]]+Table6[[#This Row],[Friday, December 14, 2018]]+Table6[[#This Row],[فروقات عطله]]</f>
        <v>12</v>
      </c>
      <c r="CD272" s="131">
        <f>' الشركه 2018'!$H272*67%*1.5*' الشركه 2018'!$CB272/208</f>
        <v>173.94230769230768</v>
      </c>
      <c r="CE272" s="132">
        <f>' الشركه 2018'!$H272*67%*2*' الشركه 2018'!$CC272/208</f>
        <v>347.88461538461536</v>
      </c>
      <c r="CF272" s="133">
        <f>' الشركه 2018'!$CD272+' الشركه 2018'!$CE272</f>
        <v>521.82692307692309</v>
      </c>
      <c r="CG272" s="124"/>
      <c r="CH272" s="177"/>
      <c r="CI272" s="124"/>
      <c r="CJ272" s="162"/>
      <c r="CK272" s="162"/>
      <c r="CL272" s="177"/>
      <c r="CM272" s="162"/>
      <c r="CN272" s="162"/>
      <c r="CO272" s="162"/>
      <c r="CP272" s="163"/>
      <c r="CQ272" s="164" t="e">
        <f>VLOOKUP(Table6[[#This Row],[الرقم الوظيفى]],[4]!Table3[#Data],26,FALSE)</f>
        <v>#REF!</v>
      </c>
      <c r="CR272" s="370"/>
      <c r="CS272" s="124"/>
    </row>
    <row r="273" spans="1:97" ht="21.65" customHeight="1" thickTop="1" thickBot="1">
      <c r="A273" s="181">
        <v>6001</v>
      </c>
      <c r="B273" s="182" t="s">
        <v>460</v>
      </c>
      <c r="C273" s="11" t="s">
        <v>607</v>
      </c>
      <c r="D273" s="183" t="s">
        <v>611</v>
      </c>
      <c r="E273" s="174" t="s">
        <v>662</v>
      </c>
      <c r="F273" s="143" t="s">
        <v>459</v>
      </c>
      <c r="G273" s="145">
        <v>41105</v>
      </c>
      <c r="H273" s="185">
        <v>4210</v>
      </c>
      <c r="I273" s="103">
        <f>Table6[[#This Row],[مرتب]]/30</f>
        <v>140.33333333333334</v>
      </c>
      <c r="J273" s="143">
        <v>30</v>
      </c>
      <c r="K273" s="143">
        <f t="shared" si="4"/>
        <v>4210</v>
      </c>
      <c r="L273" s="12">
        <v>4210</v>
      </c>
      <c r="M273" s="143">
        <f>Table6[[#This Row],[مرتب الضمان]]*17%</f>
        <v>715.7</v>
      </c>
      <c r="N273" s="143">
        <f>' الشركه 2018'!$H273*35%</f>
        <v>1473.5</v>
      </c>
      <c r="O273" s="143">
        <f>' الشركه 2018'!$H273*32%</f>
        <v>1347.2</v>
      </c>
      <c r="P273" s="143">
        <f>' الشركه 2018'!$H273*12%</f>
        <v>505.2</v>
      </c>
      <c r="Q273" s="143">
        <f>' الشركه 2018'!$H273*13%</f>
        <v>547.30000000000007</v>
      </c>
      <c r="R273" s="143">
        <f>' الشركه 2018'!$H273*6%</f>
        <v>252.6</v>
      </c>
      <c r="S273" s="143">
        <f>' الشركه 2018'!$H273*2%</f>
        <v>84.2</v>
      </c>
      <c r="T273" s="143">
        <f>' الشركه 2018'!$O273+' الشركه 2018'!$P273+' الشركه 2018'!$Q273+' الشركه 2018'!$R273+' الشركه 2018'!$S273</f>
        <v>2736.5</v>
      </c>
      <c r="U273" s="109">
        <f>VLOOKUP(Table6[[#This Row],[الرقم الوظيفى]],[2]بالخصم!$B$1:$AK$1200,35,)</f>
        <v>0</v>
      </c>
      <c r="V273" s="186"/>
      <c r="W273" s="187">
        <f>Table6[[#This Row],[عدد ايام الاجازه]]*Table6[[#This Row],[ح راتب اليوم]]</f>
        <v>0</v>
      </c>
      <c r="X273" s="188"/>
      <c r="Y273" s="189"/>
      <c r="Z273" s="187">
        <f>Table6[[#This Row],[عدد ايام الجزاء]]*Table6[[#This Row],[ح راتب اليوم]]</f>
        <v>0</v>
      </c>
      <c r="AA273" s="190">
        <f>Table6[[#This Row],[مرتب]]*50%</f>
        <v>2105</v>
      </c>
      <c r="AB273" s="191" t="e">
        <f>VLOOKUP(Table6[[#This Row],[الرقم الوظيفى]],[3]!Table25289[#Data],23,)</f>
        <v>#REF!</v>
      </c>
      <c r="AC273" s="224"/>
      <c r="AD273" s="225"/>
      <c r="AE273" s="113" t="e">
        <f>VLOOKUP(Table6[[#This Row],[الرقم الوظيفى]],[3]!Table252894[#Data],22,)</f>
        <v>#REF!</v>
      </c>
      <c r="AF273" s="226"/>
      <c r="AG273" s="111">
        <f>' الشركه 2018'!$W273+' الشركه 2018'!$Z273+' الشركه 2018'!$AA273+' الشركه 2018'!$AC273+' الشركه 2018'!$AD273+' الشركه 2018'!$AF273</f>
        <v>2105</v>
      </c>
      <c r="AH273" s="111">
        <f>Table6[[#This Row],[راتب الضمان]]*8%</f>
        <v>336.8</v>
      </c>
      <c r="AI273" s="111">
        <f>' الشركه 2018'!$H273-' الشركه 2018'!$AG273-' الشركه 2018'!$AH273</f>
        <v>1768.2</v>
      </c>
      <c r="AJ273" s="111">
        <f>' الشركه 2018'!$CF273</f>
        <v>0</v>
      </c>
      <c r="AK273" s="117">
        <f>' الشركه 2018'!$AI273+' الشركه 2018'!$AJ273</f>
        <v>1768.2</v>
      </c>
      <c r="AL273" s="195"/>
      <c r="AM273" s="196"/>
      <c r="AN273" s="9">
        <f>Table6[[#This Row],[اجمالى الاستحقاق]]-Table6[[#This Row],[Column2]]+Table6[[#This Row],[حوافز غير مستقره]]</f>
        <v>1768.2</v>
      </c>
      <c r="AO273" s="197"/>
      <c r="AP273" s="198"/>
      <c r="AQ273" s="176"/>
      <c r="AR273" s="124"/>
      <c r="AS273" s="155"/>
      <c r="AT273" s="170"/>
      <c r="AU273" s="124"/>
      <c r="AV273" s="124"/>
      <c r="AW273" s="124"/>
      <c r="AX273" s="124"/>
      <c r="AY273" s="124"/>
      <c r="AZ273" s="124"/>
      <c r="BA273" s="124"/>
      <c r="BB273" s="124"/>
      <c r="BC273" s="124"/>
      <c r="BD273" s="124"/>
      <c r="BE273" s="124"/>
      <c r="BF273" s="124"/>
      <c r="BG273" s="124"/>
      <c r="BH273" s="124"/>
      <c r="BI273" s="124"/>
      <c r="BJ273" s="124"/>
      <c r="BK273" s="124"/>
      <c r="BL273" s="124"/>
      <c r="BM273" s="124"/>
      <c r="BN273" s="124"/>
      <c r="BO273" s="124"/>
      <c r="BP273" s="124"/>
      <c r="BQ273" s="124"/>
      <c r="BR273" s="124"/>
      <c r="BS273" s="124"/>
      <c r="BT273" s="124"/>
      <c r="BU273" s="124"/>
      <c r="BV273" s="124"/>
      <c r="BW273" s="124"/>
      <c r="BX273" s="124"/>
      <c r="BY273" s="124"/>
      <c r="BZ273" s="171"/>
      <c r="CA273" s="172"/>
      <c r="CB27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3" s="131">
        <f>' الشركه 2018'!$H273*67%*1.5*' الشركه 2018'!$CB273/208</f>
        <v>0</v>
      </c>
      <c r="CE273" s="132">
        <f>' الشركه 2018'!$H273*67%*2*' الشركه 2018'!$CC273/208</f>
        <v>0</v>
      </c>
      <c r="CF273" s="133">
        <f>' الشركه 2018'!$CD273+' الشركه 2018'!$CE273</f>
        <v>0</v>
      </c>
      <c r="CG273" s="124"/>
      <c r="CH273" s="177">
        <f>SUMIF(C273:C577,' الشركه 2018'!$CG229,L273:L577)</f>
        <v>0</v>
      </c>
      <c r="CI273" s="124"/>
      <c r="CJ273" s="162">
        <f>' الشركه 2018'!$CH229*' الشركه 2018'!$CI229</f>
        <v>0</v>
      </c>
      <c r="CK273" s="177" t="e">
        <f>' الشركه 2018'!$CJ194*8%</f>
        <v>#REF!</v>
      </c>
      <c r="CL273" s="177" t="e">
        <f>' الشركه 2018'!$CJ194*17%</f>
        <v>#REF!</v>
      </c>
      <c r="CM273" s="177" t="e">
        <f>' الشركه 2018'!$CJ194*25%</f>
        <v>#REF!</v>
      </c>
      <c r="CN273" s="162"/>
      <c r="CO273" s="162"/>
      <c r="CP273" s="163"/>
      <c r="CQ273" s="164" t="e">
        <f>VLOOKUP(Table6[[#This Row],[الرقم الوظيفى]],[4]!Table3[#Data],26,FALSE)</f>
        <v>#REF!</v>
      </c>
      <c r="CR273" s="370"/>
      <c r="CS273" s="124"/>
    </row>
    <row r="274" spans="1:97" ht="21.65" customHeight="1" thickTop="1" thickBot="1">
      <c r="A274" s="181">
        <v>6002</v>
      </c>
      <c r="B274" s="380" t="s">
        <v>448</v>
      </c>
      <c r="C274" s="143" t="s">
        <v>607</v>
      </c>
      <c r="D274" s="183" t="s">
        <v>70</v>
      </c>
      <c r="E274" s="174"/>
      <c r="F274" s="143" t="s">
        <v>447</v>
      </c>
      <c r="G274" s="145">
        <v>41760</v>
      </c>
      <c r="H274" s="185">
        <v>22120</v>
      </c>
      <c r="I274" s="103">
        <f>Table6[[#This Row],[مرتب]]/30</f>
        <v>737.33333333333337</v>
      </c>
      <c r="J274" s="143">
        <v>30</v>
      </c>
      <c r="K274" s="143">
        <f t="shared" si="4"/>
        <v>22120</v>
      </c>
      <c r="L274" s="12">
        <v>22120</v>
      </c>
      <c r="M274" s="143">
        <f>Table6[[#This Row],[مرتب الضمان]]*17%</f>
        <v>3760.4</v>
      </c>
      <c r="N274" s="143">
        <f>' الشركه 2018'!$H274*35%</f>
        <v>7741.9999999999991</v>
      </c>
      <c r="O274" s="143">
        <f>' الشركه 2018'!$H274*32%</f>
        <v>7078.4000000000005</v>
      </c>
      <c r="P274" s="143">
        <f>' الشركه 2018'!$H274*12%</f>
        <v>2654.4</v>
      </c>
      <c r="Q274" s="143">
        <f>' الشركه 2018'!$H274*13%</f>
        <v>2875.6</v>
      </c>
      <c r="R274" s="143">
        <f>' الشركه 2018'!$H274*6%</f>
        <v>1327.2</v>
      </c>
      <c r="S274" s="143">
        <f>' الشركه 2018'!$H274*2%</f>
        <v>442.40000000000003</v>
      </c>
      <c r="T274" s="143">
        <f>' الشركه 2018'!$O274+' الشركه 2018'!$P274+' الشركه 2018'!$Q274+' الشركه 2018'!$R274+' الشركه 2018'!$S274</f>
        <v>14378.000000000002</v>
      </c>
      <c r="U274" s="109">
        <f>VLOOKUP(Table6[[#This Row],[الرقم الوظيفى]],[2]بالخصم!$B$1:$AK$1200,35,)</f>
        <v>0</v>
      </c>
      <c r="V274" s="186"/>
      <c r="W274" s="187">
        <f>Table6[[#This Row],[عدد ايام الاجازه]]*Table6[[#This Row],[ح راتب اليوم]]</f>
        <v>0</v>
      </c>
      <c r="X274" s="188"/>
      <c r="Y274" s="189"/>
      <c r="Z274" s="187">
        <f>Table6[[#This Row],[عدد ايام الجزاء]]*Table6[[#This Row],[ح راتب اليوم]]</f>
        <v>0</v>
      </c>
      <c r="AA274" s="190">
        <f>Table6[[#This Row],[مرتب]]*50%</f>
        <v>11060</v>
      </c>
      <c r="AB274" s="191" t="e">
        <f>VLOOKUP(Table6[[#This Row],[الرقم الوظيفى]],[3]!Table25289[#Data],23,)</f>
        <v>#REF!</v>
      </c>
      <c r="AC274" s="224"/>
      <c r="AD274" s="225"/>
      <c r="AE274" s="113" t="e">
        <f>VLOOKUP(Table6[[#This Row],[الرقم الوظيفى]],[3]!Table252894[#Data],22,)</f>
        <v>#REF!</v>
      </c>
      <c r="AF274" s="226">
        <v>500</v>
      </c>
      <c r="AG274" s="111">
        <f>' الشركه 2018'!$W274+' الشركه 2018'!$Z274+' الشركه 2018'!$AA274+' الشركه 2018'!$AC274+' الشركه 2018'!$AD274+' الشركه 2018'!$AF274</f>
        <v>11560</v>
      </c>
      <c r="AH274" s="111">
        <f>Table6[[#This Row],[راتب الضمان]]*8%</f>
        <v>1769.6000000000001</v>
      </c>
      <c r="AI274" s="111">
        <f>' الشركه 2018'!$H274-' الشركه 2018'!$AG274-' الشركه 2018'!$AH274</f>
        <v>8790.4</v>
      </c>
      <c r="AJ274" s="111">
        <f>' الشركه 2018'!$CF274</f>
        <v>0</v>
      </c>
      <c r="AK274" s="117">
        <f>' الشركه 2018'!$AI274+' الشركه 2018'!$AJ274</f>
        <v>8790.4</v>
      </c>
      <c r="AL274" s="195"/>
      <c r="AM274" s="196"/>
      <c r="AN274" s="9">
        <f>Table6[[#This Row],[اجمالى الاستحقاق]]-Table6[[#This Row],[Column2]]+Table6[[#This Row],[حوافز غير مستقره]]</f>
        <v>8790.4</v>
      </c>
      <c r="AO274" s="381"/>
      <c r="AP274" s="198"/>
      <c r="AQ274" s="176"/>
      <c r="AR274" s="124"/>
      <c r="AS274" s="155"/>
      <c r="AT274" s="170"/>
      <c r="AU274" s="124"/>
      <c r="AV274" s="124"/>
      <c r="AW274" s="124"/>
      <c r="AX274" s="124"/>
      <c r="AY274" s="124"/>
      <c r="AZ274" s="124"/>
      <c r="BA274" s="124"/>
      <c r="BB274" s="124"/>
      <c r="BC274" s="124"/>
      <c r="BD274" s="124"/>
      <c r="BE274" s="124"/>
      <c r="BF274" s="124"/>
      <c r="BG274" s="124"/>
      <c r="BH274" s="124"/>
      <c r="BI274" s="124"/>
      <c r="BJ274" s="124"/>
      <c r="BK274" s="124"/>
      <c r="BL274" s="124"/>
      <c r="BM274" s="124"/>
      <c r="BN274" s="124"/>
      <c r="BO274" s="124"/>
      <c r="BP274" s="124"/>
      <c r="BQ274" s="124"/>
      <c r="BR274" s="124"/>
      <c r="BS274" s="124"/>
      <c r="BT274" s="124"/>
      <c r="BU274" s="124"/>
      <c r="BV274" s="124"/>
      <c r="BW274" s="124"/>
      <c r="BX274" s="124"/>
      <c r="BY274" s="124"/>
      <c r="BZ274" s="171"/>
      <c r="CA274" s="172"/>
      <c r="CB27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4" s="131">
        <f>' الشركه 2018'!$H274*67%*1.5*' الشركه 2018'!$CB274/208</f>
        <v>0</v>
      </c>
      <c r="CE274" s="132">
        <f>' الشركه 2018'!$H274*67%*2*' الشركه 2018'!$CC274/208</f>
        <v>0</v>
      </c>
      <c r="CF274" s="133">
        <f>' الشركه 2018'!$CD274+' الشركه 2018'!$CE274</f>
        <v>0</v>
      </c>
      <c r="CG274" s="124"/>
      <c r="CH274" s="177">
        <f>SUMIF(C274:C590,' الشركه 2018'!$CG195,L274:L590)</f>
        <v>0</v>
      </c>
      <c r="CI274" s="124"/>
      <c r="CJ274" s="177">
        <f>' الشركه 2018'!$CH195*' الشركه 2018'!$CI195</f>
        <v>0</v>
      </c>
      <c r="CK274" s="177" t="e">
        <f>' الشركه 2018'!$CJ195*8%</f>
        <v>#REF!</v>
      </c>
      <c r="CL274" s="177" t="e">
        <f>' الشركه 2018'!$CJ195*17%</f>
        <v>#REF!</v>
      </c>
      <c r="CM274" s="177" t="e">
        <f>' الشركه 2018'!$CJ195*25%</f>
        <v>#REF!</v>
      </c>
      <c r="CN274" s="162"/>
      <c r="CO274" s="162"/>
      <c r="CP274" s="163"/>
      <c r="CQ274" s="164" t="e">
        <f>VLOOKUP(Table6[[#This Row],[الرقم الوظيفى]],[4]!Table3[#Data],26,FALSE)</f>
        <v>#REF!</v>
      </c>
      <c r="CR274" s="370"/>
      <c r="CS274" s="124"/>
    </row>
    <row r="275" spans="1:97" ht="21.65" customHeight="1" thickTop="1" thickBot="1">
      <c r="A275" s="181">
        <v>6006</v>
      </c>
      <c r="B275" s="380" t="s">
        <v>456</v>
      </c>
      <c r="C275" s="143" t="s">
        <v>607</v>
      </c>
      <c r="D275" s="183" t="s">
        <v>70</v>
      </c>
      <c r="E275" s="174"/>
      <c r="F275" s="143"/>
      <c r="G275" s="145">
        <v>42096</v>
      </c>
      <c r="H275" s="185">
        <v>5100</v>
      </c>
      <c r="I275" s="103">
        <f>Table6[[#This Row],[مرتب]]/30</f>
        <v>170</v>
      </c>
      <c r="J275" s="143">
        <v>30</v>
      </c>
      <c r="K275" s="143">
        <f t="shared" si="4"/>
        <v>0</v>
      </c>
      <c r="L275" s="12">
        <v>0</v>
      </c>
      <c r="M275" s="143">
        <f>Table6[[#This Row],[مرتب الضمان]]*17%</f>
        <v>0</v>
      </c>
      <c r="N275" s="143">
        <f>' الشركه 2018'!$H275*35%</f>
        <v>1785</v>
      </c>
      <c r="O275" s="143">
        <f>' الشركه 2018'!$H275*32%</f>
        <v>1632</v>
      </c>
      <c r="P275" s="143">
        <f>' الشركه 2018'!$H275*12%</f>
        <v>612</v>
      </c>
      <c r="Q275" s="143">
        <f>' الشركه 2018'!$H275*13%</f>
        <v>663</v>
      </c>
      <c r="R275" s="143">
        <f>' الشركه 2018'!$H275*6%</f>
        <v>306</v>
      </c>
      <c r="S275" s="143">
        <f>' الشركه 2018'!$H275*2%</f>
        <v>102</v>
      </c>
      <c r="T275" s="143">
        <f>' الشركه 2018'!$O275+' الشركه 2018'!$P275+' الشركه 2018'!$Q275+' الشركه 2018'!$R275+' الشركه 2018'!$S275</f>
        <v>3315</v>
      </c>
      <c r="U275" s="109">
        <f>VLOOKUP(Table6[[#This Row],[الرقم الوظيفى]],[2]بالخصم!$B$1:$AK$1200,35,)</f>
        <v>0</v>
      </c>
      <c r="V275" s="350"/>
      <c r="W275" s="187">
        <f>Table6[[#This Row],[عدد ايام الاجازه]]*Table6[[#This Row],[ح راتب اليوم]]</f>
        <v>0</v>
      </c>
      <c r="X275" s="188"/>
      <c r="Y275" s="351"/>
      <c r="Z275" s="187">
        <f>Table6[[#This Row],[عدد ايام الجزاء]]*Table6[[#This Row],[ح راتب اليوم]]</f>
        <v>0</v>
      </c>
      <c r="AA275" s="190">
        <f>Table6[[#This Row],[مرتب]]*50%</f>
        <v>2550</v>
      </c>
      <c r="AB275" s="191" t="e">
        <f>VLOOKUP(Table6[[#This Row],[الرقم الوظيفى]],[3]!Table25289[#Data],23,)</f>
        <v>#REF!</v>
      </c>
      <c r="AC275" s="352"/>
      <c r="AD275" s="255"/>
      <c r="AE275" s="113" t="e">
        <f>VLOOKUP(Table6[[#This Row],[الرقم الوظيفى]],[3]!Table252894[#Data],22,)</f>
        <v>#REF!</v>
      </c>
      <c r="AF275" s="354"/>
      <c r="AG275" s="111">
        <f>' الشركه 2018'!$W275+' الشركه 2018'!$Z275+' الشركه 2018'!$AA275+' الشركه 2018'!$AC275+' الشركه 2018'!$AD275+' الشركه 2018'!$AF275</f>
        <v>2550</v>
      </c>
      <c r="AH275" s="111">
        <f>Table6[[#This Row],[راتب الضمان]]*8%</f>
        <v>0</v>
      </c>
      <c r="AI275" s="111">
        <f>' الشركه 2018'!$H275-' الشركه 2018'!$AG275-' الشركه 2018'!$AH275</f>
        <v>2550</v>
      </c>
      <c r="AJ275" s="111">
        <f>' الشركه 2018'!$CF275</f>
        <v>0</v>
      </c>
      <c r="AK275" s="117">
        <f>' الشركه 2018'!$AI275+' الشركه 2018'!$AJ275</f>
        <v>2550</v>
      </c>
      <c r="AL275" s="195"/>
      <c r="AM275" s="196"/>
      <c r="AN275" s="9">
        <f>Table6[[#This Row],[اجمالى الاستحقاق]]-Table6[[#This Row],[Column2]]+Table6[[#This Row],[حوافز غير مستقره]]</f>
        <v>2550</v>
      </c>
      <c r="AO275" s="257"/>
      <c r="AP275" s="198"/>
      <c r="AQ275" s="176"/>
      <c r="AR275" s="124"/>
      <c r="AS275" s="155"/>
      <c r="AT275" s="170"/>
      <c r="AU275" s="124"/>
      <c r="AV275" s="124"/>
      <c r="AW275" s="124"/>
      <c r="AX275" s="124"/>
      <c r="AY275" s="124"/>
      <c r="AZ275" s="124"/>
      <c r="BA275" s="124"/>
      <c r="BB275" s="124"/>
      <c r="BC275" s="124"/>
      <c r="BD275" s="124"/>
      <c r="BE275" s="124"/>
      <c r="BF275" s="124"/>
      <c r="BG275" s="124"/>
      <c r="BH275" s="124"/>
      <c r="BI275" s="124"/>
      <c r="BJ275" s="124"/>
      <c r="BK275" s="124"/>
      <c r="BL275" s="124"/>
      <c r="BM275" s="124"/>
      <c r="BN275" s="124"/>
      <c r="BO275" s="124"/>
      <c r="BP275" s="124"/>
      <c r="BQ275" s="124"/>
      <c r="BR275" s="124"/>
      <c r="BS275" s="124"/>
      <c r="BT275" s="124"/>
      <c r="BU275" s="124"/>
      <c r="BV275" s="124"/>
      <c r="BW275" s="124"/>
      <c r="BX275" s="124"/>
      <c r="BY275" s="124"/>
      <c r="BZ275" s="171"/>
      <c r="CA275" s="172"/>
      <c r="CB27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5" s="131">
        <f>' الشركه 2018'!$H275*67%*1.5*' الشركه 2018'!$CB275/208</f>
        <v>0</v>
      </c>
      <c r="CE275" s="132">
        <f>' الشركه 2018'!$H275*67%*2*' الشركه 2018'!$CC275/208</f>
        <v>0</v>
      </c>
      <c r="CF275" s="133">
        <f>' الشركه 2018'!$CD275+' الشركه 2018'!$CE275</f>
        <v>0</v>
      </c>
      <c r="CG275" s="124"/>
      <c r="CH275" s="177">
        <f>SUMIF(C275:C592,' الشركه 2018'!#REF!,L275:L592)</f>
        <v>0</v>
      </c>
      <c r="CI275" s="124"/>
      <c r="CJ275" s="177" t="e">
        <f>' الشركه 2018'!#REF!*' الشركه 2018'!#REF!</f>
        <v>#REF!</v>
      </c>
      <c r="CK275" s="177" t="e">
        <f>' الشركه 2018'!#REF!*8%</f>
        <v>#REF!</v>
      </c>
      <c r="CL275" s="177" t="e">
        <f>' الشركه 2018'!#REF!*17%</f>
        <v>#REF!</v>
      </c>
      <c r="CM275" s="177" t="e">
        <f>' الشركه 2018'!#REF!*25%</f>
        <v>#REF!</v>
      </c>
      <c r="CN275" s="162"/>
      <c r="CO275" s="162"/>
      <c r="CP275" s="163"/>
      <c r="CQ275" s="164" t="e">
        <f>VLOOKUP(Table6[[#This Row],[الرقم الوظيفى]],[4]!Table3[#Data],26,FALSE)</f>
        <v>#REF!</v>
      </c>
      <c r="CR275" s="370"/>
      <c r="CS275" s="124"/>
    </row>
    <row r="276" spans="1:97" ht="21.65" customHeight="1" thickTop="1" thickBot="1">
      <c r="A276" s="181">
        <v>6008</v>
      </c>
      <c r="B276" s="380" t="s">
        <v>452</v>
      </c>
      <c r="C276" s="143" t="s">
        <v>607</v>
      </c>
      <c r="D276" s="143"/>
      <c r="E276" s="174"/>
      <c r="F276" s="143"/>
      <c r="G276" s="145">
        <v>42692</v>
      </c>
      <c r="H276" s="185">
        <v>5050</v>
      </c>
      <c r="I276" s="103">
        <f>Table6[[#This Row],[مرتب]]/30</f>
        <v>168.33333333333334</v>
      </c>
      <c r="J276" s="143">
        <v>30</v>
      </c>
      <c r="K276" s="143">
        <f t="shared" si="4"/>
        <v>5050</v>
      </c>
      <c r="L276" s="12">
        <v>5050</v>
      </c>
      <c r="M276" s="143">
        <f>Table6[[#This Row],[مرتب الضمان]]*17%</f>
        <v>858.50000000000011</v>
      </c>
      <c r="N276" s="143">
        <f>' الشركه 2018'!$H276*35%</f>
        <v>1767.5</v>
      </c>
      <c r="O276" s="143">
        <f>' الشركه 2018'!$H276*32%</f>
        <v>1616</v>
      </c>
      <c r="P276" s="143">
        <f>' الشركه 2018'!$H276*12%</f>
        <v>606</v>
      </c>
      <c r="Q276" s="143">
        <f>' الشركه 2018'!$H276*13%</f>
        <v>656.5</v>
      </c>
      <c r="R276" s="143">
        <f>' الشركه 2018'!$H276*6%</f>
        <v>303</v>
      </c>
      <c r="S276" s="143">
        <f>' الشركه 2018'!$H276*2%</f>
        <v>101</v>
      </c>
      <c r="T276" s="143">
        <f>' الشركه 2018'!$O276+' الشركه 2018'!$P276+' الشركه 2018'!$Q276+' الشركه 2018'!$R276+' الشركه 2018'!$S276</f>
        <v>3282.5</v>
      </c>
      <c r="U276" s="109">
        <f>VLOOKUP(Table6[[#This Row],[الرقم الوظيفى]],[2]بالخصم!$B$1:$AK$1200,35,)</f>
        <v>0</v>
      </c>
      <c r="V276" s="186"/>
      <c r="W276" s="187">
        <f>Table6[[#This Row],[عدد ايام الاجازه]]*Table6[[#This Row],[ح راتب اليوم]]</f>
        <v>0</v>
      </c>
      <c r="X276" s="188"/>
      <c r="Y276" s="351"/>
      <c r="Z276" s="187">
        <f>Table6[[#This Row],[عدد ايام الجزاء]]*Table6[[#This Row],[ح راتب اليوم]]</f>
        <v>0</v>
      </c>
      <c r="AA276" s="190">
        <f>Table6[[#This Row],[مرتب]]*50%</f>
        <v>2525</v>
      </c>
      <c r="AB276" s="191" t="e">
        <f>VLOOKUP(Table6[[#This Row],[الرقم الوظيفى]],[3]!Table25289[#Data],23,)</f>
        <v>#REF!</v>
      </c>
      <c r="AC276" s="352"/>
      <c r="AD276" s="255"/>
      <c r="AE276" s="113" t="e">
        <f>VLOOKUP(Table6[[#This Row],[الرقم الوظيفى]],[3]!Table252894[#Data],22,)</f>
        <v>#REF!</v>
      </c>
      <c r="AF276" s="354"/>
      <c r="AG276" s="111">
        <f>' الشركه 2018'!$W276+' الشركه 2018'!$Z276+' الشركه 2018'!$AA276+' الشركه 2018'!$AC276+' الشركه 2018'!$AD276+' الشركه 2018'!$AF276</f>
        <v>2525</v>
      </c>
      <c r="AH276" s="111">
        <f>Table6[[#This Row],[راتب الضمان]]*8%</f>
        <v>404</v>
      </c>
      <c r="AI276" s="111">
        <f>' الشركه 2018'!$H276-' الشركه 2018'!$AG276-' الشركه 2018'!$AH276</f>
        <v>2121</v>
      </c>
      <c r="AJ276" s="111">
        <f>' الشركه 2018'!$CF276</f>
        <v>0</v>
      </c>
      <c r="AK276" s="117">
        <f>' الشركه 2018'!$AI276+' الشركه 2018'!$AJ276</f>
        <v>2121</v>
      </c>
      <c r="AL276" s="195"/>
      <c r="AM276" s="196"/>
      <c r="AN276" s="9">
        <f>Table6[[#This Row],[اجمالى الاستحقاق]]-Table6[[#This Row],[Column2]]+Table6[[#This Row],[حوافز غير مستقره]]</f>
        <v>2121</v>
      </c>
      <c r="AO276" s="257"/>
      <c r="AP276" s="198"/>
      <c r="AQ276" s="176"/>
      <c r="AR276" s="124"/>
      <c r="AS276" s="155"/>
      <c r="AT276" s="170"/>
      <c r="AU276" s="124"/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4"/>
      <c r="BF276" s="124"/>
      <c r="BG276" s="124"/>
      <c r="BH276" s="124"/>
      <c r="BI276" s="124"/>
      <c r="BJ276" s="124"/>
      <c r="BK276" s="124"/>
      <c r="BL276" s="124"/>
      <c r="BM276" s="124"/>
      <c r="BN276" s="124"/>
      <c r="BO276" s="124"/>
      <c r="BP276" s="124"/>
      <c r="BQ276" s="124"/>
      <c r="BR276" s="124"/>
      <c r="BS276" s="124"/>
      <c r="BT276" s="124"/>
      <c r="BU276" s="124"/>
      <c r="BV276" s="124"/>
      <c r="BW276" s="124"/>
      <c r="BX276" s="124"/>
      <c r="BY276" s="124"/>
      <c r="BZ276" s="171"/>
      <c r="CA276" s="172"/>
      <c r="CB27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6" s="131">
        <f>' الشركه 2018'!$H276*67%*1.5*' الشركه 2018'!$CB276/208</f>
        <v>0</v>
      </c>
      <c r="CE276" s="132">
        <f>' الشركه 2018'!$H276*67%*2*' الشركه 2018'!$CC276/208</f>
        <v>0</v>
      </c>
      <c r="CF276" s="133">
        <f>' الشركه 2018'!$CD276+' الشركه 2018'!$CE276</f>
        <v>0</v>
      </c>
      <c r="CG276" s="124"/>
      <c r="CH276" s="177">
        <f>SUMIF(C276:C594,' الشركه 2018'!#REF!,L276:L594)</f>
        <v>0</v>
      </c>
      <c r="CI276" s="124"/>
      <c r="CJ276" s="177" t="e">
        <f>' الشركه 2018'!#REF!*' الشركه 2018'!#REF!</f>
        <v>#REF!</v>
      </c>
      <c r="CK276" s="177" t="e">
        <f>' الشركه 2018'!#REF!*8%</f>
        <v>#REF!</v>
      </c>
      <c r="CL276" s="177" t="e">
        <f>' الشركه 2018'!#REF!*17%</f>
        <v>#REF!</v>
      </c>
      <c r="CM276" s="177" t="e">
        <f>' الشركه 2018'!#REF!*25%</f>
        <v>#REF!</v>
      </c>
      <c r="CN276" s="162"/>
      <c r="CO276" s="162"/>
      <c r="CP276" s="163"/>
      <c r="CQ276" s="164" t="e">
        <f>VLOOKUP(Table6[[#This Row],[الرقم الوظيفى]],[4]!Table3[#Data],26,FALSE)</f>
        <v>#REF!</v>
      </c>
      <c r="CR276" s="370"/>
      <c r="CS276" s="124"/>
    </row>
    <row r="277" spans="1:97" ht="21.65" customHeight="1" thickTop="1" thickBot="1">
      <c r="A277" s="181">
        <v>6010</v>
      </c>
      <c r="B277" s="380" t="s">
        <v>467</v>
      </c>
      <c r="C277" s="143" t="s">
        <v>607</v>
      </c>
      <c r="D277" s="143"/>
      <c r="E277" s="174"/>
      <c r="F277" s="143"/>
      <c r="G277" s="145">
        <v>42719</v>
      </c>
      <c r="H277" s="185">
        <v>3040</v>
      </c>
      <c r="I277" s="103">
        <f>Table6[[#This Row],[مرتب]]/30</f>
        <v>101.33333333333333</v>
      </c>
      <c r="J277" s="143">
        <v>30</v>
      </c>
      <c r="K277" s="143">
        <f t="shared" si="4"/>
        <v>3040</v>
      </c>
      <c r="L277" s="12">
        <v>3040</v>
      </c>
      <c r="M277" s="143">
        <f>Table6[[#This Row],[مرتب الضمان]]*17%</f>
        <v>516.80000000000007</v>
      </c>
      <c r="N277" s="143">
        <f>' الشركه 2018'!$H277*35%</f>
        <v>1064</v>
      </c>
      <c r="O277" s="143">
        <f>' الشركه 2018'!$H277*32%</f>
        <v>972.80000000000007</v>
      </c>
      <c r="P277" s="143">
        <f>' الشركه 2018'!$H277*12%</f>
        <v>364.8</v>
      </c>
      <c r="Q277" s="143">
        <f>' الشركه 2018'!$H277*13%</f>
        <v>395.2</v>
      </c>
      <c r="R277" s="143">
        <f>' الشركه 2018'!$H277*6%</f>
        <v>182.4</v>
      </c>
      <c r="S277" s="143">
        <f>' الشركه 2018'!$H277*2%</f>
        <v>60.800000000000004</v>
      </c>
      <c r="T277" s="143">
        <f>' الشركه 2018'!$O277+' الشركه 2018'!$P277+' الشركه 2018'!$Q277+' الشركه 2018'!$R277+' الشركه 2018'!$S277</f>
        <v>1976.0000000000002</v>
      </c>
      <c r="U277" s="109">
        <f>VLOOKUP(Table6[[#This Row],[الرقم الوظيفى]],[2]بالخصم!$B$1:$AK$1200,35,)</f>
        <v>0</v>
      </c>
      <c r="V277" s="350"/>
      <c r="W277" s="187">
        <f>Table6[[#This Row],[عدد ايام الاجازه]]*Table6[[#This Row],[ح راتب اليوم]]</f>
        <v>0</v>
      </c>
      <c r="X277" s="188"/>
      <c r="Y277" s="351"/>
      <c r="Z277" s="187">
        <f>Table6[[#This Row],[عدد ايام الجزاء]]*Table6[[#This Row],[ح راتب اليوم]]</f>
        <v>0</v>
      </c>
      <c r="AA277" s="190">
        <f>Table6[[#This Row],[مرتب]]*50%</f>
        <v>1520</v>
      </c>
      <c r="AB277" s="191" t="e">
        <f>VLOOKUP(Table6[[#This Row],[الرقم الوظيفى]],[3]!Table25289[#Data],23,)</f>
        <v>#REF!</v>
      </c>
      <c r="AC277" s="352"/>
      <c r="AD277" s="255"/>
      <c r="AE277" s="113" t="e">
        <f>VLOOKUP(Table6[[#This Row],[الرقم الوظيفى]],[3]!Table252894[#Data],22,)</f>
        <v>#REF!</v>
      </c>
      <c r="AF277" s="354"/>
      <c r="AG277" s="111">
        <f>' الشركه 2018'!$W277+' الشركه 2018'!$Z277+' الشركه 2018'!$AA277+' الشركه 2018'!$AC277+' الشركه 2018'!$AD277+' الشركه 2018'!$AF277</f>
        <v>1520</v>
      </c>
      <c r="AH277" s="111">
        <f>Table6[[#This Row],[راتب الضمان]]*8%</f>
        <v>243.20000000000002</v>
      </c>
      <c r="AI277" s="111">
        <f>' الشركه 2018'!$H277-' الشركه 2018'!$AG277-' الشركه 2018'!$AH277</f>
        <v>1276.8</v>
      </c>
      <c r="AJ277" s="111">
        <f>' الشركه 2018'!$CF277</f>
        <v>0</v>
      </c>
      <c r="AK277" s="117">
        <f>' الشركه 2018'!$AI277+' الشركه 2018'!$AJ277</f>
        <v>1276.8</v>
      </c>
      <c r="AL277" s="195"/>
      <c r="AM277" s="196"/>
      <c r="AN277" s="9">
        <f>Table6[[#This Row],[اجمالى الاستحقاق]]-Table6[[#This Row],[Column2]]+Table6[[#This Row],[حوافز غير مستقره]]</f>
        <v>1276.8</v>
      </c>
      <c r="AO277" s="257"/>
      <c r="AP277" s="198"/>
      <c r="AQ277" s="176"/>
      <c r="AR277" s="124"/>
      <c r="AS277" s="155"/>
      <c r="AT277" s="170"/>
      <c r="AU277" s="124"/>
      <c r="AV277" s="124"/>
      <c r="AW277" s="124"/>
      <c r="AX277" s="124"/>
      <c r="AY277" s="124"/>
      <c r="AZ277" s="124"/>
      <c r="BA277" s="124"/>
      <c r="BB277" s="124"/>
      <c r="BC277" s="124"/>
      <c r="BD277" s="124"/>
      <c r="BE277" s="124"/>
      <c r="BF277" s="124"/>
      <c r="BG277" s="124"/>
      <c r="BH277" s="124"/>
      <c r="BI277" s="124"/>
      <c r="BJ277" s="124"/>
      <c r="BK277" s="124"/>
      <c r="BL277" s="124"/>
      <c r="BM277" s="124"/>
      <c r="BN277" s="124"/>
      <c r="BO277" s="124"/>
      <c r="BP277" s="124"/>
      <c r="BQ277" s="124"/>
      <c r="BR277" s="124"/>
      <c r="BS277" s="124"/>
      <c r="BT277" s="124"/>
      <c r="BU277" s="124"/>
      <c r="BV277" s="124"/>
      <c r="BW277" s="124"/>
      <c r="BX277" s="124"/>
      <c r="BY277" s="124"/>
      <c r="BZ277" s="171"/>
      <c r="CA277" s="172"/>
      <c r="CB27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7" s="131">
        <f>' الشركه 2018'!$H277*67%*1.5*' الشركه 2018'!$CB277/208</f>
        <v>0</v>
      </c>
      <c r="CE277" s="132">
        <f>' الشركه 2018'!$H277*67%*2*' الشركه 2018'!$CC277/208</f>
        <v>0</v>
      </c>
      <c r="CF277" s="133">
        <f>' الشركه 2018'!$CD277+' الشركه 2018'!$CE277</f>
        <v>0</v>
      </c>
      <c r="CG277" s="124"/>
      <c r="CH277" s="177">
        <f>SUMIF(C277:C598,' الشركه 2018'!#REF!,L277:L598)</f>
        <v>0</v>
      </c>
      <c r="CI277" s="124"/>
      <c r="CJ277" s="177" t="e">
        <f>' الشركه 2018'!#REF!*' الشركه 2018'!#REF!</f>
        <v>#REF!</v>
      </c>
      <c r="CK277" s="177" t="e">
        <f>' الشركه 2018'!#REF!*8%</f>
        <v>#REF!</v>
      </c>
      <c r="CL277" s="177" t="e">
        <f>' الشركه 2018'!#REF!*17%</f>
        <v>#REF!</v>
      </c>
      <c r="CM277" s="177" t="e">
        <f>' الشركه 2018'!#REF!*25%</f>
        <v>#REF!</v>
      </c>
      <c r="CN277" s="162"/>
      <c r="CO277" s="162"/>
      <c r="CP277" s="163"/>
      <c r="CQ277" s="164" t="e">
        <f>VLOOKUP(Table6[[#This Row],[الرقم الوظيفى]],[4]!Table3[#Data],26,FALSE)</f>
        <v>#REF!</v>
      </c>
      <c r="CR277" s="370"/>
      <c r="CS277" s="124"/>
    </row>
    <row r="278" spans="1:97" ht="21.65" customHeight="1" thickTop="1" thickBot="1">
      <c r="A278" s="181">
        <v>6011</v>
      </c>
      <c r="B278" s="348" t="s">
        <v>740</v>
      </c>
      <c r="C278" s="349" t="s">
        <v>607</v>
      </c>
      <c r="D278" s="11" t="s">
        <v>129</v>
      </c>
      <c r="E278" s="202"/>
      <c r="F278" s="11"/>
      <c r="G278" s="145">
        <v>42795</v>
      </c>
      <c r="H278" s="185">
        <v>5040</v>
      </c>
      <c r="I278" s="103">
        <f>Table6[[#This Row],[مرتب]]/30</f>
        <v>168</v>
      </c>
      <c r="J278" s="143">
        <v>30</v>
      </c>
      <c r="K278" s="143">
        <f t="shared" si="4"/>
        <v>5040</v>
      </c>
      <c r="L278" s="12">
        <v>5040</v>
      </c>
      <c r="M278" s="143">
        <f>Table6[[#This Row],[مرتب الضمان]]*17%</f>
        <v>856.80000000000007</v>
      </c>
      <c r="N278" s="143">
        <f>' الشركه 2018'!$H278*35%</f>
        <v>1764</v>
      </c>
      <c r="O278" s="143">
        <f>' الشركه 2018'!$H278*32%</f>
        <v>1612.8</v>
      </c>
      <c r="P278" s="143">
        <f>' الشركه 2018'!$H278*12%</f>
        <v>604.79999999999995</v>
      </c>
      <c r="Q278" s="143">
        <f>' الشركه 2018'!$H278*13%</f>
        <v>655.20000000000005</v>
      </c>
      <c r="R278" s="143">
        <f>' الشركه 2018'!$H278*6%</f>
        <v>302.39999999999998</v>
      </c>
      <c r="S278" s="143">
        <f>' الشركه 2018'!$H278*2%</f>
        <v>100.8</v>
      </c>
      <c r="T278" s="143">
        <f>' الشركه 2018'!$O278+' الشركه 2018'!$P278+' الشركه 2018'!$Q278+' الشركه 2018'!$R278+' الشركه 2018'!$S278</f>
        <v>3276.0000000000005</v>
      </c>
      <c r="U278" s="109">
        <f>VLOOKUP(Table6[[#This Row],[الرقم الوظيفى]],[2]بالخصم!$B$1:$AK$1200,35,)</f>
        <v>0</v>
      </c>
      <c r="V278" s="186"/>
      <c r="W278" s="187">
        <f>Table6[[#This Row],[عدد ايام الاجازه]]*Table6[[#This Row],[ح راتب اليوم]]</f>
        <v>0</v>
      </c>
      <c r="X278" s="188"/>
      <c r="Y278" s="189"/>
      <c r="Z278" s="187">
        <f>Table6[[#This Row],[عدد ايام الجزاء]]*Table6[[#This Row],[ح راتب اليوم]]</f>
        <v>0</v>
      </c>
      <c r="AA278" s="190">
        <f>Table6[[#This Row],[مرتب]]*50%</f>
        <v>2520</v>
      </c>
      <c r="AB278" s="191" t="e">
        <f>VLOOKUP(Table6[[#This Row],[الرقم الوظيفى]],[3]!Table25289[#Data],23,)</f>
        <v>#REF!</v>
      </c>
      <c r="AC278" s="382"/>
      <c r="AD278" s="367"/>
      <c r="AE278" s="113" t="e">
        <f>VLOOKUP(Table6[[#This Row],[الرقم الوظيفى]],[3]!Table252894[#Data],22,)</f>
        <v>#REF!</v>
      </c>
      <c r="AF278" s="383"/>
      <c r="AG278" s="111">
        <f>' الشركه 2018'!$W278+' الشركه 2018'!$Z278+' الشركه 2018'!$AA278+' الشركه 2018'!$AC278+' الشركه 2018'!$AD278+' الشركه 2018'!$AF278</f>
        <v>2520</v>
      </c>
      <c r="AH278" s="111">
        <f>Table6[[#This Row],[راتب الضمان]]*8%</f>
        <v>403.2</v>
      </c>
      <c r="AI278" s="111">
        <f>' الشركه 2018'!$H278-' الشركه 2018'!$AG278-' الشركه 2018'!$AH278</f>
        <v>2116.8000000000002</v>
      </c>
      <c r="AJ278" s="111">
        <f>' الشركه 2018'!$CF278</f>
        <v>0</v>
      </c>
      <c r="AK278" s="117">
        <f>' الشركه 2018'!$AI278+' الشركه 2018'!$AJ278</f>
        <v>2116.8000000000002</v>
      </c>
      <c r="AL278" s="195"/>
      <c r="AM278" s="196"/>
      <c r="AN278" s="9">
        <f>Table6[[#This Row],[اجمالى الاستحقاق]]-Table6[[#This Row],[Column2]]+Table6[[#This Row],[حوافز غير مستقره]]</f>
        <v>2116.8000000000002</v>
      </c>
      <c r="AO278" s="257"/>
      <c r="AP278" s="198"/>
      <c r="AQ278" s="176"/>
      <c r="AR278" s="124"/>
      <c r="AS278" s="208"/>
      <c r="AT278" s="170"/>
      <c r="AU278" s="124"/>
      <c r="AV278" s="124"/>
      <c r="AW278" s="124"/>
      <c r="AX278" s="124"/>
      <c r="AY278" s="124"/>
      <c r="AZ278" s="124"/>
      <c r="BA278" s="124"/>
      <c r="BB278" s="124"/>
      <c r="BC278" s="124"/>
      <c r="BD278" s="124"/>
      <c r="BE278" s="124"/>
      <c r="BF278" s="124"/>
      <c r="BG278" s="124"/>
      <c r="BH278" s="124"/>
      <c r="BI278" s="124"/>
      <c r="BJ278" s="124"/>
      <c r="BK278" s="124"/>
      <c r="BL278" s="124"/>
      <c r="BM278" s="177"/>
      <c r="BN278" s="177"/>
      <c r="BO278" s="177"/>
      <c r="BP278" s="177"/>
      <c r="BQ278" s="177"/>
      <c r="BR278" s="124"/>
      <c r="BS278" s="177"/>
      <c r="BT278" s="124"/>
      <c r="BU278" s="124"/>
      <c r="BV278" s="177"/>
      <c r="BW278" s="177"/>
      <c r="BX278" s="177"/>
      <c r="BY278" s="177"/>
      <c r="BZ278" s="171"/>
      <c r="CA278" s="172"/>
      <c r="CB27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8" s="131">
        <f>' الشركه 2018'!$H278*67%*1.5*' الشركه 2018'!$CB278/208</f>
        <v>0</v>
      </c>
      <c r="CE278" s="132">
        <f>' الشركه 2018'!$H278*67%*2*' الشركه 2018'!$CC278/208</f>
        <v>0</v>
      </c>
      <c r="CF278" s="133">
        <f>' الشركه 2018'!$CD278+' الشركه 2018'!$CE278</f>
        <v>0</v>
      </c>
      <c r="CG278" s="124"/>
      <c r="CH278" s="177">
        <f>SUMIF(C278:C578,' الشركه 2018'!$CG223,L278:L578)</f>
        <v>0</v>
      </c>
      <c r="CI278" s="124"/>
      <c r="CJ278" s="162">
        <f>' الشركه 2018'!$CH223*' الشركه 2018'!$CI223</f>
        <v>0</v>
      </c>
      <c r="CK278" s="162">
        <f>' الشركه 2018'!$CJ223*8%</f>
        <v>0</v>
      </c>
      <c r="CL278" s="162">
        <f>' الشركه 2018'!$CJ223*17%</f>
        <v>0</v>
      </c>
      <c r="CM278" s="162">
        <f>' الشركه 2018'!$CJ223*25%</f>
        <v>0</v>
      </c>
      <c r="CN278" s="162"/>
      <c r="CO278" s="162"/>
      <c r="CP278" s="163"/>
      <c r="CQ278" s="164" t="e">
        <f>VLOOKUP(Table6[[#This Row],[الرقم الوظيفى]],[4]!Table3[#Data],26,FALSE)</f>
        <v>#REF!</v>
      </c>
      <c r="CR278" s="370"/>
      <c r="CS278" s="124"/>
    </row>
    <row r="279" spans="1:97" ht="21.65" customHeight="1" thickTop="1" thickBot="1">
      <c r="A279" s="181">
        <v>6013</v>
      </c>
      <c r="B279" s="384" t="s">
        <v>464</v>
      </c>
      <c r="C279" s="143" t="s">
        <v>607</v>
      </c>
      <c r="D279" s="143" t="s">
        <v>74</v>
      </c>
      <c r="E279" s="174"/>
      <c r="F279" s="143"/>
      <c r="G279" s="246">
        <v>42953</v>
      </c>
      <c r="H279" s="185">
        <v>3010</v>
      </c>
      <c r="I279" s="103">
        <f>Table6[[#This Row],[مرتب]]/30</f>
        <v>100.33333333333333</v>
      </c>
      <c r="J279" s="143">
        <v>30</v>
      </c>
      <c r="K279" s="143">
        <f t="shared" si="4"/>
        <v>3010</v>
      </c>
      <c r="L279" s="12">
        <v>3010</v>
      </c>
      <c r="M279" s="143">
        <f>Table6[[#This Row],[مرتب الضمان]]*17%</f>
        <v>511.70000000000005</v>
      </c>
      <c r="N279" s="143">
        <f>' الشركه 2018'!$H279*35%</f>
        <v>1053.5</v>
      </c>
      <c r="O279" s="143">
        <f>' الشركه 2018'!$H279*32%</f>
        <v>963.2</v>
      </c>
      <c r="P279" s="143">
        <f>' الشركه 2018'!$H279*12%</f>
        <v>361.2</v>
      </c>
      <c r="Q279" s="143">
        <f>' الشركه 2018'!$H279*13%</f>
        <v>391.3</v>
      </c>
      <c r="R279" s="143">
        <f>' الشركه 2018'!$H279*6%</f>
        <v>180.6</v>
      </c>
      <c r="S279" s="143">
        <f>' الشركه 2018'!$H279*2%</f>
        <v>60.2</v>
      </c>
      <c r="T279" s="143">
        <f>' الشركه 2018'!$O279+' الشركه 2018'!$P279+' الشركه 2018'!$Q279+' الشركه 2018'!$R279+' الشركه 2018'!$S279</f>
        <v>1956.5</v>
      </c>
      <c r="U279" s="109">
        <f>VLOOKUP(Table6[[#This Row],[الرقم الوظيفى]],[2]بالخصم!$B$1:$AK$1200,35,)</f>
        <v>0</v>
      </c>
      <c r="V279" s="186"/>
      <c r="W279" s="187">
        <f>Table6[[#This Row],[عدد ايام الاجازه]]*Table6[[#This Row],[ح راتب اليوم]]</f>
        <v>0</v>
      </c>
      <c r="X279" s="188"/>
      <c r="Y279" s="351"/>
      <c r="Z279" s="187">
        <f>Table6[[#This Row],[عدد ايام الجزاء]]*Table6[[#This Row],[ح راتب اليوم]]</f>
        <v>0</v>
      </c>
      <c r="AA279" s="190">
        <f>Table6[[#This Row],[مرتب]]*50%</f>
        <v>1505</v>
      </c>
      <c r="AB279" s="191" t="e">
        <f>VLOOKUP(Table6[[#This Row],[الرقم الوظيفى]],[3]!Table25289[#Data],23,)</f>
        <v>#REF!</v>
      </c>
      <c r="AC279" s="352"/>
      <c r="AD279" s="255"/>
      <c r="AE279" s="113" t="e">
        <f>VLOOKUP(Table6[[#This Row],[الرقم الوظيفى]],[3]!Table252894[#Data],22,)</f>
        <v>#REF!</v>
      </c>
      <c r="AF279" s="354"/>
      <c r="AG279" s="111">
        <f>' الشركه 2018'!$W279+' الشركه 2018'!$Z279+' الشركه 2018'!$AA279+' الشركه 2018'!$AC279+' الشركه 2018'!$AD279+' الشركه 2018'!$AF279</f>
        <v>1505</v>
      </c>
      <c r="AH279" s="111">
        <f>Table6[[#This Row],[راتب الضمان]]*8%</f>
        <v>240.8</v>
      </c>
      <c r="AI279" s="111">
        <f>' الشركه 2018'!$H279-' الشركه 2018'!$AG279-' الشركه 2018'!$AH279</f>
        <v>1264.2</v>
      </c>
      <c r="AJ279" s="111">
        <f>' الشركه 2018'!$CF279</f>
        <v>0</v>
      </c>
      <c r="AK279" s="117">
        <f>' الشركه 2018'!$AI279+' الشركه 2018'!$AJ279</f>
        <v>1264.2</v>
      </c>
      <c r="AL279" s="195"/>
      <c r="AM279" s="196"/>
      <c r="AN279" s="9">
        <f>Table6[[#This Row],[اجمالى الاستحقاق]]-Table6[[#This Row],[Column2]]+Table6[[#This Row],[حوافز غير مستقره]]</f>
        <v>1264.2</v>
      </c>
      <c r="AO279" s="257"/>
      <c r="AP279" s="198"/>
      <c r="AQ279" s="176"/>
      <c r="AR279" s="124"/>
      <c r="AS279" s="155"/>
      <c r="AT279" s="170"/>
      <c r="AU279" s="124"/>
      <c r="AV279" s="124"/>
      <c r="AW279" s="124"/>
      <c r="AX279" s="124"/>
      <c r="AY279" s="124"/>
      <c r="AZ279" s="124"/>
      <c r="BA279" s="124"/>
      <c r="BB279" s="124"/>
      <c r="BC279" s="124"/>
      <c r="BD279" s="124"/>
      <c r="BE279" s="124"/>
      <c r="BF279" s="124"/>
      <c r="BG279" s="124"/>
      <c r="BH279" s="124"/>
      <c r="BI279" s="124"/>
      <c r="BJ279" s="124"/>
      <c r="BK279" s="124"/>
      <c r="BL279" s="124"/>
      <c r="BM279" s="124"/>
      <c r="BN279" s="124"/>
      <c r="BO279" s="124"/>
      <c r="BP279" s="124"/>
      <c r="BQ279" s="124"/>
      <c r="BR279" s="124"/>
      <c r="BS279" s="124"/>
      <c r="BT279" s="124"/>
      <c r="BU279" s="124"/>
      <c r="BV279" s="124"/>
      <c r="BW279" s="124"/>
      <c r="BX279" s="124"/>
      <c r="BY279" s="124"/>
      <c r="BZ279" s="171"/>
      <c r="CA279" s="172"/>
      <c r="CB27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7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79" s="131">
        <f>' الشركه 2018'!$H279*67%*1.5*' الشركه 2018'!$CB279/208</f>
        <v>0</v>
      </c>
      <c r="CE279" s="132">
        <f>' الشركه 2018'!$H279*67%*2*' الشركه 2018'!$CC279/208</f>
        <v>0</v>
      </c>
      <c r="CF279" s="133">
        <f>' الشركه 2018'!$CD279+' الشركه 2018'!$CE279</f>
        <v>0</v>
      </c>
      <c r="CG279" s="124"/>
      <c r="CH279" s="177"/>
      <c r="CI279" s="124"/>
      <c r="CJ279" s="162"/>
      <c r="CK279" s="162"/>
      <c r="CL279" s="177"/>
      <c r="CM279" s="177"/>
      <c r="CN279" s="162"/>
      <c r="CO279" s="162"/>
      <c r="CP279" s="163"/>
      <c r="CQ279" s="164" t="e">
        <f>VLOOKUP(Table6[[#This Row],[الرقم الوظيفى]],[4]!Table3[#Data],26,FALSE)</f>
        <v>#REF!</v>
      </c>
      <c r="CR279" s="370"/>
      <c r="CS279" s="124"/>
    </row>
    <row r="280" spans="1:97" ht="21.65" customHeight="1" thickTop="1" thickBot="1">
      <c r="A280" s="181">
        <v>6014</v>
      </c>
      <c r="B280" s="384" t="s">
        <v>741</v>
      </c>
      <c r="C280" s="143" t="s">
        <v>607</v>
      </c>
      <c r="D280" s="143" t="s">
        <v>74</v>
      </c>
      <c r="E280" s="174"/>
      <c r="F280" s="143"/>
      <c r="G280" s="145">
        <v>43023</v>
      </c>
      <c r="H280" s="185">
        <v>3000</v>
      </c>
      <c r="I280" s="103">
        <f>Table6[[#This Row],[مرتب]]/30</f>
        <v>100</v>
      </c>
      <c r="J280" s="143">
        <v>30</v>
      </c>
      <c r="K280" s="143">
        <f t="shared" si="4"/>
        <v>3000</v>
      </c>
      <c r="L280" s="12">
        <v>3000</v>
      </c>
      <c r="M280" s="143">
        <f>Table6[[#This Row],[مرتب الضمان]]*17%</f>
        <v>510.00000000000006</v>
      </c>
      <c r="N280" s="143">
        <f>' الشركه 2018'!$H280*35%</f>
        <v>1050</v>
      </c>
      <c r="O280" s="143">
        <f>' الشركه 2018'!$H280*32%</f>
        <v>960</v>
      </c>
      <c r="P280" s="143">
        <f>' الشركه 2018'!$H280*12%</f>
        <v>360</v>
      </c>
      <c r="Q280" s="143">
        <f>' الشركه 2018'!$H280*13%</f>
        <v>390</v>
      </c>
      <c r="R280" s="143">
        <f>' الشركه 2018'!$H280*6%</f>
        <v>180</v>
      </c>
      <c r="S280" s="143">
        <f>' الشركه 2018'!$H280*2%</f>
        <v>60</v>
      </c>
      <c r="T280" s="143">
        <f>' الشركه 2018'!$O280+' الشركه 2018'!$P280+' الشركه 2018'!$Q280+' الشركه 2018'!$R280+' الشركه 2018'!$S280</f>
        <v>1950</v>
      </c>
      <c r="U280" s="109">
        <f>VLOOKUP(Table6[[#This Row],[الرقم الوظيفى]],[2]بالخصم!$B$1:$AK$1200,35,)</f>
        <v>0</v>
      </c>
      <c r="V280" s="186"/>
      <c r="W280" s="187">
        <f>Table6[[#This Row],[عدد ايام الاجازه]]*Table6[[#This Row],[ح راتب اليوم]]</f>
        <v>0</v>
      </c>
      <c r="X280" s="188"/>
      <c r="Y280" s="351"/>
      <c r="Z280" s="187">
        <f>Table6[[#This Row],[عدد ايام الجزاء]]*Table6[[#This Row],[ح راتب اليوم]]</f>
        <v>0</v>
      </c>
      <c r="AA280" s="190">
        <f>Table6[[#This Row],[مرتب]]*50%</f>
        <v>1500</v>
      </c>
      <c r="AB280" s="191" t="e">
        <f>VLOOKUP(Table6[[#This Row],[الرقم الوظيفى]],[3]!Table25289[#Data],23,)</f>
        <v>#REF!</v>
      </c>
      <c r="AC280" s="352"/>
      <c r="AD280" s="255"/>
      <c r="AE280" s="113" t="e">
        <f>VLOOKUP(Table6[[#This Row],[الرقم الوظيفى]],[3]!Table252894[#Data],22,)</f>
        <v>#REF!</v>
      </c>
      <c r="AF280" s="354"/>
      <c r="AG280" s="111">
        <f>' الشركه 2018'!$W280+' الشركه 2018'!$Z280+' الشركه 2018'!$AA280+' الشركه 2018'!$AC280+' الشركه 2018'!$AD280+' الشركه 2018'!$AF280</f>
        <v>1500</v>
      </c>
      <c r="AH280" s="111">
        <f>Table6[[#This Row],[راتب الضمان]]*8%</f>
        <v>240</v>
      </c>
      <c r="AI280" s="111">
        <f>' الشركه 2018'!$H280-' الشركه 2018'!$AG280-' الشركه 2018'!$AH280</f>
        <v>1260</v>
      </c>
      <c r="AJ280" s="111">
        <f>' الشركه 2018'!$CF280</f>
        <v>0</v>
      </c>
      <c r="AK280" s="117">
        <f>' الشركه 2018'!$AI280+' الشركه 2018'!$AJ280</f>
        <v>1260</v>
      </c>
      <c r="AL280" s="195"/>
      <c r="AM280" s="196"/>
      <c r="AN280" s="9">
        <f>Table6[[#This Row],[اجمالى الاستحقاق]]-Table6[[#This Row],[Column2]]+Table6[[#This Row],[حوافز غير مستقره]]</f>
        <v>1260</v>
      </c>
      <c r="AO280" s="257"/>
      <c r="AP280" s="198"/>
      <c r="AQ280" s="176"/>
      <c r="AR280" s="124"/>
      <c r="AS280" s="155"/>
      <c r="AT280" s="170"/>
      <c r="AU280" s="124"/>
      <c r="AV280" s="124"/>
      <c r="AW280" s="124"/>
      <c r="AX280" s="124"/>
      <c r="AY280" s="124"/>
      <c r="AZ280" s="124"/>
      <c r="BA280" s="124"/>
      <c r="BB280" s="124"/>
      <c r="BC280" s="124"/>
      <c r="BD280" s="124"/>
      <c r="BE280" s="124"/>
      <c r="BF280" s="124"/>
      <c r="BG280" s="124"/>
      <c r="BH280" s="124"/>
      <c r="BI280" s="124"/>
      <c r="BJ280" s="124"/>
      <c r="BK280" s="124"/>
      <c r="BL280" s="124"/>
      <c r="BM280" s="124"/>
      <c r="BN280" s="124"/>
      <c r="BO280" s="124"/>
      <c r="BP280" s="124"/>
      <c r="BQ280" s="124"/>
      <c r="BR280" s="124"/>
      <c r="BS280" s="124"/>
      <c r="BT280" s="124"/>
      <c r="BU280" s="124"/>
      <c r="BV280" s="124"/>
      <c r="BW280" s="124"/>
      <c r="BX280" s="124"/>
      <c r="BY280" s="124"/>
      <c r="BZ280" s="171"/>
      <c r="CA280" s="172"/>
      <c r="CB28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0" s="131">
        <f>' الشركه 2018'!$H280*67%*1.5*' الشركه 2018'!$CB280/208</f>
        <v>0</v>
      </c>
      <c r="CE280" s="132">
        <f>' الشركه 2018'!$H280*67%*2*' الشركه 2018'!$CC280/208</f>
        <v>0</v>
      </c>
      <c r="CF280" s="133">
        <f>' الشركه 2018'!$CD280+' الشركه 2018'!$CE280</f>
        <v>0</v>
      </c>
      <c r="CG280" s="124"/>
      <c r="CH280" s="177"/>
      <c r="CI280" s="124"/>
      <c r="CJ280" s="162"/>
      <c r="CK280" s="162"/>
      <c r="CL280" s="177"/>
      <c r="CM280" s="177"/>
      <c r="CN280" s="162"/>
      <c r="CO280" s="162"/>
      <c r="CP280" s="163"/>
      <c r="CQ280" s="164" t="e">
        <f>VLOOKUP(Table6[[#This Row],[الرقم الوظيفى]],[4]!Table3[#Data],26,FALSE)</f>
        <v>#REF!</v>
      </c>
      <c r="CR280" s="370"/>
      <c r="CS280" s="124"/>
    </row>
    <row r="281" spans="1:97" ht="21.65" customHeight="1" thickTop="1" thickBot="1">
      <c r="A281" s="181">
        <v>6016</v>
      </c>
      <c r="B281" s="348" t="s">
        <v>468</v>
      </c>
      <c r="C281" s="143" t="s">
        <v>607</v>
      </c>
      <c r="D281" s="11" t="s">
        <v>74</v>
      </c>
      <c r="E281" s="202"/>
      <c r="F281" s="11"/>
      <c r="G281" s="145">
        <v>43044</v>
      </c>
      <c r="H281" s="185">
        <v>3000</v>
      </c>
      <c r="I281" s="103">
        <f>Table6[[#This Row],[مرتب]]/30</f>
        <v>100</v>
      </c>
      <c r="J281" s="143">
        <v>30</v>
      </c>
      <c r="K281" s="143">
        <f t="shared" si="4"/>
        <v>3000</v>
      </c>
      <c r="L281" s="12">
        <v>3000</v>
      </c>
      <c r="M281" s="143">
        <f>Table6[[#This Row],[مرتب الضمان]]*17%</f>
        <v>510.00000000000006</v>
      </c>
      <c r="N281" s="143">
        <f>' الشركه 2018'!$H281*35%</f>
        <v>1050</v>
      </c>
      <c r="O281" s="143">
        <f>' الشركه 2018'!$H281*32%</f>
        <v>960</v>
      </c>
      <c r="P281" s="143">
        <f>' الشركه 2018'!$H281*12%</f>
        <v>360</v>
      </c>
      <c r="Q281" s="143">
        <f>' الشركه 2018'!$H281*13%</f>
        <v>390</v>
      </c>
      <c r="R281" s="143">
        <f>' الشركه 2018'!$H281*6%</f>
        <v>180</v>
      </c>
      <c r="S281" s="143">
        <f>' الشركه 2018'!$H281*2%</f>
        <v>60</v>
      </c>
      <c r="T281" s="143">
        <f>' الشركه 2018'!$O281+' الشركه 2018'!$P281+' الشركه 2018'!$Q281+' الشركه 2018'!$R281+' الشركه 2018'!$S281</f>
        <v>1950</v>
      </c>
      <c r="U281" s="109">
        <f>VLOOKUP(Table6[[#This Row],[الرقم الوظيفى]],[2]بالخصم!$B$1:$AK$1200,35,)</f>
        <v>0</v>
      </c>
      <c r="V281" s="186"/>
      <c r="W281" s="187">
        <f>Table6[[#This Row],[عدد ايام الاجازه]]*Table6[[#This Row],[ح راتب اليوم]]</f>
        <v>0</v>
      </c>
      <c r="X281" s="188"/>
      <c r="Y281" s="189"/>
      <c r="Z281" s="187">
        <f>Table6[[#This Row],[عدد ايام الجزاء]]*Table6[[#This Row],[ح راتب اليوم]]</f>
        <v>0</v>
      </c>
      <c r="AA281" s="190">
        <f>Table6[[#This Row],[مرتب]]*50%</f>
        <v>1500</v>
      </c>
      <c r="AB281" s="191" t="e">
        <f>VLOOKUP(Table6[[#This Row],[الرقم الوظيفى]],[3]!Table25289[#Data],23,)</f>
        <v>#REF!</v>
      </c>
      <c r="AC281" s="382"/>
      <c r="AD281" s="367"/>
      <c r="AE281" s="113" t="e">
        <f>VLOOKUP(Table6[[#This Row],[الرقم الوظيفى]],[3]!Table252894[#Data],22,)</f>
        <v>#REF!</v>
      </c>
      <c r="AF281" s="383"/>
      <c r="AG281" s="111">
        <f>' الشركه 2018'!$W281+' الشركه 2018'!$Z281+' الشركه 2018'!$AA281+' الشركه 2018'!$AC281+' الشركه 2018'!$AD281+' الشركه 2018'!$AF281</f>
        <v>1500</v>
      </c>
      <c r="AH281" s="111">
        <f>Table6[[#This Row],[راتب الضمان]]*8%</f>
        <v>240</v>
      </c>
      <c r="AI281" s="111">
        <f>' الشركه 2018'!$H281-' الشركه 2018'!$AG281-' الشركه 2018'!$AH281</f>
        <v>1260</v>
      </c>
      <c r="AJ281" s="111">
        <f>' الشركه 2018'!$CF281</f>
        <v>1855.3846153846157</v>
      </c>
      <c r="AK281" s="117">
        <f>' الشركه 2018'!$AI281+' الشركه 2018'!$AJ281</f>
        <v>3115.3846153846157</v>
      </c>
      <c r="AL281" s="195"/>
      <c r="AM281" s="196"/>
      <c r="AN281" s="9">
        <f>Table6[[#This Row],[اجمالى الاستحقاق]]-Table6[[#This Row],[Column2]]+Table6[[#This Row],[حوافز غير مستقره]]</f>
        <v>3115.3846153846157</v>
      </c>
      <c r="AO281" s="385"/>
      <c r="AP281" s="369"/>
      <c r="AQ281" s="176"/>
      <c r="AR281" s="124"/>
      <c r="AS281" s="208"/>
      <c r="AT281" s="170"/>
      <c r="AU281" s="124"/>
      <c r="AV281" s="124">
        <v>24</v>
      </c>
      <c r="AW281" s="124"/>
      <c r="AX281" s="124"/>
      <c r="AY281" s="124"/>
      <c r="AZ281" s="124"/>
      <c r="BA281" s="124"/>
      <c r="BB281" s="124"/>
      <c r="BC281" s="124">
        <v>24</v>
      </c>
      <c r="BD281" s="124"/>
      <c r="BE281" s="124"/>
      <c r="BF281" s="124"/>
      <c r="BG281" s="124"/>
      <c r="BH281" s="228"/>
      <c r="BI281" s="124"/>
      <c r="BJ281" s="228"/>
      <c r="BK281" s="124"/>
      <c r="BL281" s="124"/>
      <c r="BM281" s="177"/>
      <c r="BN281" s="177">
        <v>8</v>
      </c>
      <c r="BO281" s="124">
        <v>8</v>
      </c>
      <c r="BP281" s="177">
        <v>8</v>
      </c>
      <c r="BQ281" s="124"/>
      <c r="BR281" s="177">
        <v>8</v>
      </c>
      <c r="BS281" s="177"/>
      <c r="BT281" s="124"/>
      <c r="BU281" s="124"/>
      <c r="BV281" s="124"/>
      <c r="BW281" s="177"/>
      <c r="BX281" s="177"/>
      <c r="BY281" s="177"/>
      <c r="BZ281" s="177"/>
      <c r="CA281" s="177">
        <v>24</v>
      </c>
      <c r="CB28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32</v>
      </c>
      <c r="CC281" s="130">
        <f>Table6[[#This Row],[Friday, November 23, 2018]]+Table6[[#This Row],[Friday, November 30, 2018]]+Table6[[#This Row],[Friday, December 07, 2018]]+Table6[[#This Row],[Friday, December 14, 2018]]+Table6[[#This Row],[فروقات عطله]]</f>
        <v>72</v>
      </c>
      <c r="CD281" s="131">
        <f>' الشركه 2018'!$H281*67%*1.5*' الشركه 2018'!$CB281/208</f>
        <v>463.84615384615392</v>
      </c>
      <c r="CE281" s="132">
        <f>' الشركه 2018'!$H281*67%*2*' الشركه 2018'!$CC281/208</f>
        <v>1391.5384615384619</v>
      </c>
      <c r="CF281" s="133">
        <f>' الشركه 2018'!$CD281+' الشركه 2018'!$CE281</f>
        <v>1855.3846153846157</v>
      </c>
      <c r="CG281" s="124"/>
      <c r="CH281" s="177"/>
      <c r="CI281" s="124"/>
      <c r="CJ281" s="162"/>
      <c r="CK281" s="162"/>
      <c r="CL281" s="177"/>
      <c r="CM281" s="162"/>
      <c r="CN281" s="162"/>
      <c r="CO281" s="162"/>
      <c r="CP281" s="163"/>
      <c r="CQ281" s="164" t="e">
        <f>VLOOKUP(Table6[[#This Row],[الرقم الوظيفى]],[4]!Table3[#Data],26,FALSE)</f>
        <v>#REF!</v>
      </c>
      <c r="CR281" s="370"/>
      <c r="CS281" s="124"/>
    </row>
    <row r="282" spans="1:97" ht="21.65" customHeight="1" thickTop="1" thickBot="1">
      <c r="A282" s="181">
        <v>6017</v>
      </c>
      <c r="B282" s="348" t="s">
        <v>463</v>
      </c>
      <c r="C282" s="143" t="s">
        <v>607</v>
      </c>
      <c r="D282" s="11" t="s">
        <v>74</v>
      </c>
      <c r="E282" s="202"/>
      <c r="F282" s="11"/>
      <c r="G282" s="145">
        <v>43047</v>
      </c>
      <c r="H282" s="185">
        <v>3000</v>
      </c>
      <c r="I282" s="103">
        <f>Table6[[#This Row],[مرتب]]/30</f>
        <v>100</v>
      </c>
      <c r="J282" s="143">
        <v>30</v>
      </c>
      <c r="K282" s="143">
        <f t="shared" si="4"/>
        <v>3000</v>
      </c>
      <c r="L282" s="12">
        <v>3000</v>
      </c>
      <c r="M282" s="143">
        <f>Table6[[#This Row],[مرتب الضمان]]*17%</f>
        <v>510.00000000000006</v>
      </c>
      <c r="N282" s="143">
        <f>' الشركه 2018'!$H282*35%</f>
        <v>1050</v>
      </c>
      <c r="O282" s="143">
        <f>' الشركه 2018'!$H282*32%</f>
        <v>960</v>
      </c>
      <c r="P282" s="143">
        <f>' الشركه 2018'!$H282*12%</f>
        <v>360</v>
      </c>
      <c r="Q282" s="143">
        <f>' الشركه 2018'!$H282*13%</f>
        <v>390</v>
      </c>
      <c r="R282" s="143">
        <f>' الشركه 2018'!$H282*6%</f>
        <v>180</v>
      </c>
      <c r="S282" s="143">
        <f>' الشركه 2018'!$H282*2%</f>
        <v>60</v>
      </c>
      <c r="T282" s="143">
        <f>' الشركه 2018'!$O282+' الشركه 2018'!$P282+' الشركه 2018'!$Q282+' الشركه 2018'!$R282+' الشركه 2018'!$S282</f>
        <v>1950</v>
      </c>
      <c r="U282" s="109">
        <f>VLOOKUP(Table6[[#This Row],[الرقم الوظيفى]],[2]بالخصم!$B$1:$AK$1200,35,)</f>
        <v>0</v>
      </c>
      <c r="V282" s="186"/>
      <c r="W282" s="187">
        <f>Table6[[#This Row],[عدد ايام الاجازه]]*Table6[[#This Row],[ح راتب اليوم]]</f>
        <v>0</v>
      </c>
      <c r="X282" s="188"/>
      <c r="Y282" s="189"/>
      <c r="Z282" s="187">
        <f>Table6[[#This Row],[عدد ايام الجزاء]]*Table6[[#This Row],[ح راتب اليوم]]</f>
        <v>0</v>
      </c>
      <c r="AA282" s="190">
        <f>Table6[[#This Row],[مرتب]]*50%</f>
        <v>1500</v>
      </c>
      <c r="AB282" s="191" t="e">
        <f>VLOOKUP(Table6[[#This Row],[الرقم الوظيفى]],[3]!Table25289[#Data],23,)</f>
        <v>#REF!</v>
      </c>
      <c r="AC282" s="382"/>
      <c r="AD282" s="367"/>
      <c r="AE282" s="113" t="e">
        <f>VLOOKUP(Table6[[#This Row],[الرقم الوظيفى]],[3]!Table252894[#Data],22,)</f>
        <v>#REF!</v>
      </c>
      <c r="AF282" s="383"/>
      <c r="AG282" s="111">
        <f>' الشركه 2018'!$W282+' الشركه 2018'!$Z282+' الشركه 2018'!$AA282+' الشركه 2018'!$AC282+' الشركه 2018'!$AD282+' الشركه 2018'!$AF282</f>
        <v>1500</v>
      </c>
      <c r="AH282" s="111">
        <f>Table6[[#This Row],[راتب الضمان]]*8%</f>
        <v>240</v>
      </c>
      <c r="AI282" s="111">
        <f>' الشركه 2018'!$H282-' الشركه 2018'!$AG282-' الشركه 2018'!$AH282</f>
        <v>1260</v>
      </c>
      <c r="AJ282" s="111">
        <f>' الشركه 2018'!$CF282</f>
        <v>0</v>
      </c>
      <c r="AK282" s="117">
        <f>' الشركه 2018'!$AI282+' الشركه 2018'!$AJ282</f>
        <v>1260</v>
      </c>
      <c r="AL282" s="195"/>
      <c r="AM282" s="196"/>
      <c r="AN282" s="9">
        <f>Table6[[#This Row],[اجمالى الاستحقاق]]-Table6[[#This Row],[Column2]]+Table6[[#This Row],[حوافز غير مستقره]]</f>
        <v>1260</v>
      </c>
      <c r="AO282" s="385"/>
      <c r="AP282" s="369"/>
      <c r="AQ282" s="176"/>
      <c r="AR282" s="124"/>
      <c r="AS282" s="208"/>
      <c r="AT282" s="170"/>
      <c r="AU282" s="124"/>
      <c r="AV282" s="124"/>
      <c r="AW282" s="124"/>
      <c r="AX282" s="124"/>
      <c r="AY282" s="124"/>
      <c r="AZ282" s="124"/>
      <c r="BA282" s="124"/>
      <c r="BB282" s="124"/>
      <c r="BC282" s="124"/>
      <c r="BD282" s="124"/>
      <c r="BE282" s="124"/>
      <c r="BF282" s="124"/>
      <c r="BG282" s="124"/>
      <c r="BH282" s="228"/>
      <c r="BI282" s="124"/>
      <c r="BJ282" s="228"/>
      <c r="BK282" s="124"/>
      <c r="BL282" s="124"/>
      <c r="BM282" s="177"/>
      <c r="BN282" s="177"/>
      <c r="BO282" s="124"/>
      <c r="BP282" s="177"/>
      <c r="BQ282" s="124"/>
      <c r="BR282" s="177"/>
      <c r="BS282" s="177"/>
      <c r="BT282" s="124"/>
      <c r="BU282" s="124"/>
      <c r="BV282" s="124"/>
      <c r="BW282" s="177"/>
      <c r="BX282" s="177"/>
      <c r="BY282" s="177"/>
      <c r="BZ282" s="177"/>
      <c r="CA282" s="177"/>
      <c r="CB28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2" s="131">
        <f>' الشركه 2018'!$H282*67%*1.5*' الشركه 2018'!$CB282/208</f>
        <v>0</v>
      </c>
      <c r="CE282" s="132">
        <f>' الشركه 2018'!$H282*67%*2*' الشركه 2018'!$CC282/208</f>
        <v>0</v>
      </c>
      <c r="CF282" s="133">
        <f>' الشركه 2018'!$CD282+' الشركه 2018'!$CE282</f>
        <v>0</v>
      </c>
      <c r="CG282" s="124"/>
      <c r="CH282" s="177"/>
      <c r="CI282" s="124"/>
      <c r="CJ282" s="162"/>
      <c r="CK282" s="162"/>
      <c r="CL282" s="177"/>
      <c r="CM282" s="162"/>
      <c r="CN282" s="162"/>
      <c r="CO282" s="162"/>
      <c r="CP282" s="163"/>
      <c r="CQ282" s="164" t="e">
        <f>VLOOKUP(Table6[[#This Row],[الرقم الوظيفى]],[4]!Table3[#Data],26,FALSE)</f>
        <v>#REF!</v>
      </c>
      <c r="CR282" s="370"/>
      <c r="CS282" s="124"/>
    </row>
    <row r="283" spans="1:97" ht="21.65" customHeight="1" thickTop="1" thickBot="1">
      <c r="A283" s="181">
        <v>6018</v>
      </c>
      <c r="B283" s="348" t="s">
        <v>742</v>
      </c>
      <c r="C283" s="143" t="s">
        <v>607</v>
      </c>
      <c r="D283" s="11" t="s">
        <v>74</v>
      </c>
      <c r="E283" s="202"/>
      <c r="F283" s="11"/>
      <c r="G283" s="145">
        <v>43057</v>
      </c>
      <c r="H283" s="185">
        <v>3000</v>
      </c>
      <c r="I283" s="103">
        <f>Table6[[#This Row],[مرتب]]/30</f>
        <v>100</v>
      </c>
      <c r="J283" s="143">
        <v>30</v>
      </c>
      <c r="K283" s="143">
        <f t="shared" si="4"/>
        <v>3000</v>
      </c>
      <c r="L283" s="12">
        <v>3000</v>
      </c>
      <c r="M283" s="143">
        <f>Table6[[#This Row],[مرتب الضمان]]*17%</f>
        <v>510.00000000000006</v>
      </c>
      <c r="N283" s="143">
        <f>' الشركه 2018'!$H283*35%</f>
        <v>1050</v>
      </c>
      <c r="O283" s="143">
        <f>' الشركه 2018'!$H283*32%</f>
        <v>960</v>
      </c>
      <c r="P283" s="143">
        <f>' الشركه 2018'!$H283*12%</f>
        <v>360</v>
      </c>
      <c r="Q283" s="143">
        <f>' الشركه 2018'!$H283*13%</f>
        <v>390</v>
      </c>
      <c r="R283" s="143">
        <f>' الشركه 2018'!$H283*6%</f>
        <v>180</v>
      </c>
      <c r="S283" s="143">
        <f>' الشركه 2018'!$H283*2%</f>
        <v>60</v>
      </c>
      <c r="T283" s="143">
        <f>' الشركه 2018'!$O283+' الشركه 2018'!$P283+' الشركه 2018'!$Q283+' الشركه 2018'!$R283+' الشركه 2018'!$S283</f>
        <v>1950</v>
      </c>
      <c r="U283" s="109">
        <f>VLOOKUP(Table6[[#This Row],[الرقم الوظيفى]],[2]بالخصم!$B$1:$AK$1200,35,)</f>
        <v>0</v>
      </c>
      <c r="V283" s="186"/>
      <c r="W283" s="187">
        <f>Table6[[#This Row],[عدد ايام الاجازه]]*Table6[[#This Row],[ح راتب اليوم]]</f>
        <v>0</v>
      </c>
      <c r="X283" s="188"/>
      <c r="Y283" s="189"/>
      <c r="Z283" s="187">
        <f>Table6[[#This Row],[عدد ايام الجزاء]]*Table6[[#This Row],[ح راتب اليوم]]</f>
        <v>0</v>
      </c>
      <c r="AA283" s="190">
        <f>Table6[[#This Row],[مرتب]]*50%</f>
        <v>1500</v>
      </c>
      <c r="AB283" s="191" t="e">
        <f>VLOOKUP(Table6[[#This Row],[الرقم الوظيفى]],[3]!Table25289[#Data],23,)</f>
        <v>#REF!</v>
      </c>
      <c r="AC283" s="382"/>
      <c r="AD283" s="367"/>
      <c r="AE283" s="113" t="e">
        <f>VLOOKUP(Table6[[#This Row],[الرقم الوظيفى]],[3]!Table252894[#Data],22,)</f>
        <v>#REF!</v>
      </c>
      <c r="AF283" s="383"/>
      <c r="AG283" s="111">
        <f>' الشركه 2018'!$W283+' الشركه 2018'!$Z283+' الشركه 2018'!$AA283+' الشركه 2018'!$AC283+' الشركه 2018'!$AD283+' الشركه 2018'!$AF283</f>
        <v>1500</v>
      </c>
      <c r="AH283" s="111">
        <f>Table6[[#This Row],[راتب الضمان]]*8%</f>
        <v>240</v>
      </c>
      <c r="AI283" s="111">
        <f>' الشركه 2018'!$H283-' الشركه 2018'!$AG283-' الشركه 2018'!$AH283</f>
        <v>1260</v>
      </c>
      <c r="AJ283" s="111">
        <f>' الشركه 2018'!$CF283</f>
        <v>695.76923076923094</v>
      </c>
      <c r="AK283" s="117">
        <f>' الشركه 2018'!$AI283+' الشركه 2018'!$AJ283</f>
        <v>1955.7692307692309</v>
      </c>
      <c r="AL283" s="195"/>
      <c r="AM283" s="196"/>
      <c r="AN283" s="9">
        <f>Table6[[#This Row],[اجمالى الاستحقاق]]-Table6[[#This Row],[Column2]]+Table6[[#This Row],[حوافز غير مستقره]]</f>
        <v>1955.7692307692309</v>
      </c>
      <c r="AO283" s="385"/>
      <c r="AP283" s="369"/>
      <c r="AQ283" s="176"/>
      <c r="AR283" s="124"/>
      <c r="AS283" s="208"/>
      <c r="AT283" s="170"/>
      <c r="AU283" s="124"/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4"/>
      <c r="BF283" s="124"/>
      <c r="BG283" s="124"/>
      <c r="BH283" s="228"/>
      <c r="BI283" s="124"/>
      <c r="BJ283" s="228">
        <v>24</v>
      </c>
      <c r="BK283" s="124"/>
      <c r="BL283" s="124"/>
      <c r="BM283" s="177"/>
      <c r="BN283" s="177"/>
      <c r="BO283" s="124"/>
      <c r="BP283" s="177">
        <v>8</v>
      </c>
      <c r="BQ283" s="124"/>
      <c r="BR283" s="177">
        <v>8</v>
      </c>
      <c r="BS283" s="177"/>
      <c r="BT283" s="124"/>
      <c r="BU283" s="124"/>
      <c r="BV283" s="124"/>
      <c r="BW283" s="177"/>
      <c r="BX283" s="177"/>
      <c r="BY283" s="177"/>
      <c r="BZ283" s="177"/>
      <c r="CA283" s="177"/>
      <c r="CB28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283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283" s="131">
        <f>' الشركه 2018'!$H283*67%*1.5*' الشركه 2018'!$CB283/208</f>
        <v>231.92307692307696</v>
      </c>
      <c r="CE283" s="132">
        <f>' الشركه 2018'!$H283*67%*2*' الشركه 2018'!$CC283/208</f>
        <v>463.84615384615392</v>
      </c>
      <c r="CF283" s="133">
        <f>' الشركه 2018'!$CD283+' الشركه 2018'!$CE283</f>
        <v>695.76923076923094</v>
      </c>
      <c r="CG283" s="124"/>
      <c r="CH283" s="177"/>
      <c r="CI283" s="124"/>
      <c r="CJ283" s="162"/>
      <c r="CK283" s="162"/>
      <c r="CL283" s="177"/>
      <c r="CM283" s="162"/>
      <c r="CN283" s="162"/>
      <c r="CO283" s="162"/>
      <c r="CP283" s="163"/>
      <c r="CQ283" s="164" t="e">
        <f>VLOOKUP(Table6[[#This Row],[الرقم الوظيفى]],[4]!Table3[#Data],26,FALSE)</f>
        <v>#REF!</v>
      </c>
      <c r="CR283" s="370"/>
      <c r="CS283" s="124"/>
    </row>
    <row r="284" spans="1:97" ht="21.65" customHeight="1" thickTop="1" thickBot="1">
      <c r="A284" s="181">
        <v>8501</v>
      </c>
      <c r="B284" s="143" t="s">
        <v>450</v>
      </c>
      <c r="C284" s="143" t="s">
        <v>604</v>
      </c>
      <c r="D284" s="183" t="s">
        <v>70</v>
      </c>
      <c r="E284" s="174"/>
      <c r="F284" s="143" t="s">
        <v>449</v>
      </c>
      <c r="G284" s="145">
        <v>42005</v>
      </c>
      <c r="H284" s="185">
        <v>11240</v>
      </c>
      <c r="I284" s="103">
        <f>Table6[[#This Row],[مرتب]]/30</f>
        <v>374.66666666666669</v>
      </c>
      <c r="J284" s="143">
        <v>30</v>
      </c>
      <c r="K284" s="143">
        <f t="shared" si="4"/>
        <v>11240</v>
      </c>
      <c r="L284" s="12">
        <v>11240</v>
      </c>
      <c r="M284" s="143">
        <f>Table6[[#This Row],[مرتب الضمان]]*17%</f>
        <v>1910.8000000000002</v>
      </c>
      <c r="N284" s="143">
        <f>' الشركه 2018'!$H284*35%</f>
        <v>3933.9999999999995</v>
      </c>
      <c r="O284" s="143">
        <f>' الشركه 2018'!$H284*32%</f>
        <v>3596.8</v>
      </c>
      <c r="P284" s="143">
        <f>' الشركه 2018'!$H284*12%</f>
        <v>1348.8</v>
      </c>
      <c r="Q284" s="143">
        <f>' الشركه 2018'!$H284*13%</f>
        <v>1461.2</v>
      </c>
      <c r="R284" s="143">
        <f>' الشركه 2018'!$H284*6%</f>
        <v>674.4</v>
      </c>
      <c r="S284" s="143">
        <f>' الشركه 2018'!$H284*2%</f>
        <v>224.8</v>
      </c>
      <c r="T284" s="143">
        <f>' الشركه 2018'!$O284+' الشركه 2018'!$P284+' الشركه 2018'!$Q284+' الشركه 2018'!$R284+' الشركه 2018'!$S284</f>
        <v>7306</v>
      </c>
      <c r="U284" s="109">
        <f>VLOOKUP(Table6[[#This Row],[الرقم الوظيفى]],[2]بالخصم!$B$1:$AK$1200,35,)</f>
        <v>0</v>
      </c>
      <c r="V284" s="350"/>
      <c r="W284" s="187">
        <f>Table6[[#This Row],[عدد ايام الاجازه]]*Table6[[#This Row],[ح راتب اليوم]]</f>
        <v>0</v>
      </c>
      <c r="X284" s="188"/>
      <c r="Y284" s="351"/>
      <c r="Z284" s="187">
        <f>Table6[[#This Row],[عدد ايام الجزاء]]*Table6[[#This Row],[ح راتب اليوم]]</f>
        <v>0</v>
      </c>
      <c r="AA284" s="190"/>
      <c r="AB284" s="191" t="e">
        <f>VLOOKUP(Table6[[#This Row],[الرقم الوظيفى]],[3]!Table25289[#Data],23,)</f>
        <v>#REF!</v>
      </c>
      <c r="AC284" s="352"/>
      <c r="AD284" s="255"/>
      <c r="AE284" s="113" t="e">
        <f>VLOOKUP(Table6[[#This Row],[الرقم الوظيفى]],[3]!Table252894[#Data],22,)</f>
        <v>#REF!</v>
      </c>
      <c r="AF284" s="354"/>
      <c r="AG284" s="111">
        <f>' الشركه 2018'!$W284+' الشركه 2018'!$Z284+' الشركه 2018'!$AA284+' الشركه 2018'!$AC284+' الشركه 2018'!$AD284+' الشركه 2018'!$AF284</f>
        <v>0</v>
      </c>
      <c r="AH284" s="111">
        <f>Table6[[#This Row],[راتب الضمان]]*8%</f>
        <v>899.2</v>
      </c>
      <c r="AI284" s="111">
        <f>' الشركه 2018'!$H284-' الشركه 2018'!$AG284-' الشركه 2018'!$AH284</f>
        <v>10340.799999999999</v>
      </c>
      <c r="AJ284" s="111">
        <f>' الشركه 2018'!$CF284</f>
        <v>0</v>
      </c>
      <c r="AK284" s="117">
        <f>' الشركه 2018'!$AI284+' الشركه 2018'!$AJ284</f>
        <v>10340.799999999999</v>
      </c>
      <c r="AL284" s="195"/>
      <c r="AM284" s="196"/>
      <c r="AN284" s="9">
        <f>Table6[[#This Row],[اجمالى الاستحقاق]]-Table6[[#This Row],[Column2]]+Table6[[#This Row],[حوافز غير مستقره]]</f>
        <v>10340.799999999999</v>
      </c>
      <c r="AO284" s="257"/>
      <c r="AP284" s="198"/>
      <c r="AQ284" s="176"/>
      <c r="AR284" s="124"/>
      <c r="AS284" s="155"/>
      <c r="AT284" s="170"/>
      <c r="AU284" s="124"/>
      <c r="AV284" s="124"/>
      <c r="AW284" s="124"/>
      <c r="AX284" s="124"/>
      <c r="AY284" s="124"/>
      <c r="AZ284" s="124"/>
      <c r="BA284" s="124"/>
      <c r="BB284" s="124"/>
      <c r="BC284" s="124"/>
      <c r="BD284" s="124"/>
      <c r="BE284" s="124"/>
      <c r="BF284" s="124"/>
      <c r="BG284" s="124"/>
      <c r="BH284" s="124"/>
      <c r="BI284" s="124"/>
      <c r="BJ284" s="124"/>
      <c r="BK284" s="124"/>
      <c r="BL284" s="124"/>
      <c r="BM284" s="124"/>
      <c r="BN284" s="124"/>
      <c r="BO284" s="124"/>
      <c r="BP284" s="124"/>
      <c r="BQ284" s="124"/>
      <c r="BR284" s="124"/>
      <c r="BS284" s="124"/>
      <c r="BT284" s="124"/>
      <c r="BU284" s="124"/>
      <c r="BV284" s="124"/>
      <c r="BW284" s="124"/>
      <c r="BX284" s="124"/>
      <c r="BY284" s="124"/>
      <c r="BZ284" s="171"/>
      <c r="CA284" s="172"/>
      <c r="CB28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4" s="131">
        <f>' الشركه 2018'!$H284*67%*1.5*' الشركه 2018'!$CB284/208</f>
        <v>0</v>
      </c>
      <c r="CE284" s="132">
        <f>' الشركه 2018'!$H284*67%*2*' الشركه 2018'!$CC284/208</f>
        <v>0</v>
      </c>
      <c r="CF284" s="133">
        <f>' الشركه 2018'!$CD284+' الشركه 2018'!$CE284</f>
        <v>0</v>
      </c>
      <c r="CG284" s="124"/>
      <c r="CH284" s="177">
        <f>SUMIF(C284:C605,' الشركه 2018'!$CG197,L284:L605)</f>
        <v>0</v>
      </c>
      <c r="CI284" s="124"/>
      <c r="CJ284" s="177">
        <f>' الشركه 2018'!$CH197*' الشركه 2018'!$CI197</f>
        <v>0</v>
      </c>
      <c r="CK284" s="177">
        <f>' الشركه 2018'!$CJ197*8%</f>
        <v>0</v>
      </c>
      <c r="CL284" s="177">
        <f>' الشركه 2018'!$CJ197*17%</f>
        <v>0</v>
      </c>
      <c r="CM284" s="177">
        <f>' الشركه 2018'!$CJ197*25%</f>
        <v>0</v>
      </c>
      <c r="CN284" s="162"/>
      <c r="CO284" s="162"/>
      <c r="CP284" s="163"/>
      <c r="CQ284" s="164" t="e">
        <f>VLOOKUP(Table6[[#This Row],[الرقم الوظيفى]],[4]!Table3[#Data],26,FALSE)</f>
        <v>#REF!</v>
      </c>
      <c r="CR284" s="370"/>
      <c r="CS284" s="124"/>
    </row>
    <row r="285" spans="1:97" ht="21.65" customHeight="1" thickTop="1" thickBot="1">
      <c r="A285" s="181">
        <v>8502</v>
      </c>
      <c r="B285" s="143" t="s">
        <v>471</v>
      </c>
      <c r="C285" s="143" t="s">
        <v>604</v>
      </c>
      <c r="D285" s="183" t="s">
        <v>469</v>
      </c>
      <c r="E285" s="174"/>
      <c r="F285" s="143"/>
      <c r="G285" s="145">
        <v>42005</v>
      </c>
      <c r="H285" s="185">
        <v>5720</v>
      </c>
      <c r="I285" s="103">
        <f>Table6[[#This Row],[مرتب]]/30</f>
        <v>190.66666666666666</v>
      </c>
      <c r="J285" s="143">
        <v>30</v>
      </c>
      <c r="K285" s="143">
        <f t="shared" si="4"/>
        <v>5720</v>
      </c>
      <c r="L285" s="12">
        <v>5720</v>
      </c>
      <c r="M285" s="143">
        <f>Table6[[#This Row],[مرتب الضمان]]*17%</f>
        <v>972.40000000000009</v>
      </c>
      <c r="N285" s="143">
        <f>' الشركه 2018'!$H285*35%</f>
        <v>2001.9999999999998</v>
      </c>
      <c r="O285" s="143">
        <f>' الشركه 2018'!$H285*32%</f>
        <v>1830.4</v>
      </c>
      <c r="P285" s="143">
        <f>' الشركه 2018'!$H285*12%</f>
        <v>686.4</v>
      </c>
      <c r="Q285" s="143">
        <f>' الشركه 2018'!$H285*13%</f>
        <v>743.6</v>
      </c>
      <c r="R285" s="143">
        <f>' الشركه 2018'!$H285*6%</f>
        <v>343.2</v>
      </c>
      <c r="S285" s="143">
        <f>' الشركه 2018'!$H285*2%</f>
        <v>114.4</v>
      </c>
      <c r="T285" s="143">
        <f>' الشركه 2018'!$O285+' الشركه 2018'!$P285+' الشركه 2018'!$Q285+' الشركه 2018'!$R285+' الشركه 2018'!$S285</f>
        <v>3718</v>
      </c>
      <c r="U285" s="109">
        <f>VLOOKUP(Table6[[#This Row],[الرقم الوظيفى]],[2]بالخصم!$B$1:$AK$1200,35,)</f>
        <v>0</v>
      </c>
      <c r="V285" s="350"/>
      <c r="W285" s="187">
        <f>Table6[[#This Row],[عدد ايام الاجازه]]*Table6[[#This Row],[ح راتب اليوم]]</f>
        <v>0</v>
      </c>
      <c r="X285" s="188"/>
      <c r="Y285" s="351"/>
      <c r="Z285" s="187">
        <f>Table6[[#This Row],[عدد ايام الجزاء]]*Table6[[#This Row],[ح راتب اليوم]]</f>
        <v>0</v>
      </c>
      <c r="AA285" s="190"/>
      <c r="AB285" s="191" t="e">
        <f>VLOOKUP(Table6[[#This Row],[الرقم الوظيفى]],[3]!Table25289[#Data],23,)</f>
        <v>#REF!</v>
      </c>
      <c r="AC285" s="352"/>
      <c r="AD285" s="255"/>
      <c r="AE285" s="113" t="e">
        <f>VLOOKUP(Table6[[#This Row],[الرقم الوظيفى]],[3]!Table252894[#Data],22,)</f>
        <v>#REF!</v>
      </c>
      <c r="AF285" s="354"/>
      <c r="AG285" s="111">
        <f>' الشركه 2018'!$W285+' الشركه 2018'!$Z285+' الشركه 2018'!$AA285+' الشركه 2018'!$AC285+' الشركه 2018'!$AD285+' الشركه 2018'!$AF285</f>
        <v>0</v>
      </c>
      <c r="AH285" s="111">
        <f>Table6[[#This Row],[راتب الضمان]]*8%</f>
        <v>457.6</v>
      </c>
      <c r="AI285" s="111">
        <f>' الشركه 2018'!$H285-' الشركه 2018'!$AG285-' الشركه 2018'!$AH285</f>
        <v>5262.4</v>
      </c>
      <c r="AJ285" s="111">
        <f>' الشركه 2018'!$CF285</f>
        <v>0</v>
      </c>
      <c r="AK285" s="117">
        <f>' الشركه 2018'!$AI285+' الشركه 2018'!$AJ285</f>
        <v>5262.4</v>
      </c>
      <c r="AL285" s="195"/>
      <c r="AM285" s="196"/>
      <c r="AN285" s="9">
        <f>Table6[[#This Row],[اجمالى الاستحقاق]]-Table6[[#This Row],[Column2]]+Table6[[#This Row],[حوافز غير مستقره]]</f>
        <v>5262.4</v>
      </c>
      <c r="AO285" s="257"/>
      <c r="AP285" s="198"/>
      <c r="AQ285" s="176"/>
      <c r="AR285" s="124"/>
      <c r="AS285" s="155"/>
      <c r="AT285" s="170"/>
      <c r="AU285" s="124"/>
      <c r="AV285" s="124"/>
      <c r="AW285" s="124"/>
      <c r="AX285" s="124"/>
      <c r="AY285" s="124"/>
      <c r="AZ285" s="124"/>
      <c r="BA285" s="124"/>
      <c r="BB285" s="124"/>
      <c r="BC285" s="124"/>
      <c r="BD285" s="124"/>
      <c r="BE285" s="124"/>
      <c r="BF285" s="124"/>
      <c r="BG285" s="124"/>
      <c r="BH285" s="124"/>
      <c r="BI285" s="124"/>
      <c r="BJ285" s="124"/>
      <c r="BK285" s="124"/>
      <c r="BL285" s="124"/>
      <c r="BM285" s="124"/>
      <c r="BN285" s="124"/>
      <c r="BO285" s="124"/>
      <c r="BP285" s="124"/>
      <c r="BQ285" s="124"/>
      <c r="BR285" s="124"/>
      <c r="BS285" s="124"/>
      <c r="BT285" s="124"/>
      <c r="BU285" s="124"/>
      <c r="BV285" s="124"/>
      <c r="BW285" s="124"/>
      <c r="BX285" s="124"/>
      <c r="BY285" s="124"/>
      <c r="BZ285" s="171"/>
      <c r="CA285" s="172"/>
      <c r="CB28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5" s="131">
        <f>' الشركه 2018'!$H285*67%*1.5*' الشركه 2018'!$CB285/208</f>
        <v>0</v>
      </c>
      <c r="CE285" s="132">
        <f>' الشركه 2018'!$H285*67%*2*' الشركه 2018'!$CC285/208</f>
        <v>0</v>
      </c>
      <c r="CF285" s="133">
        <f>' الشركه 2018'!$CD285+' الشركه 2018'!$CE285</f>
        <v>0</v>
      </c>
      <c r="CG285" s="124"/>
      <c r="CH285" s="177">
        <f>SUMIF(C285:C606,' الشركه 2018'!#REF!,L285:L606)</f>
        <v>0</v>
      </c>
      <c r="CI285" s="124"/>
      <c r="CJ285" s="177" t="e">
        <f>' الشركه 2018'!#REF!*' الشركه 2018'!#REF!</f>
        <v>#REF!</v>
      </c>
      <c r="CK285" s="177" t="e">
        <f>' الشركه 2018'!#REF!*8%</f>
        <v>#REF!</v>
      </c>
      <c r="CL285" s="177" t="e">
        <f>' الشركه 2018'!#REF!*17%</f>
        <v>#REF!</v>
      </c>
      <c r="CM285" s="177" t="e">
        <f>' الشركه 2018'!#REF!*25%</f>
        <v>#REF!</v>
      </c>
      <c r="CN285" s="162"/>
      <c r="CO285" s="162"/>
      <c r="CP285" s="163"/>
      <c r="CQ285" s="164" t="e">
        <f>VLOOKUP(Table6[[#This Row],[الرقم الوظيفى]],[4]!Table3[#Data],26,FALSE)</f>
        <v>#REF!</v>
      </c>
      <c r="CR285" s="370"/>
      <c r="CS285" s="124"/>
    </row>
    <row r="286" spans="1:97" ht="21.65" customHeight="1" thickTop="1" thickBot="1">
      <c r="A286" s="181">
        <v>8503</v>
      </c>
      <c r="B286" s="143" t="s">
        <v>470</v>
      </c>
      <c r="C286" s="143" t="s">
        <v>604</v>
      </c>
      <c r="D286" s="183" t="s">
        <v>469</v>
      </c>
      <c r="E286" s="174"/>
      <c r="F286" s="143"/>
      <c r="G286" s="145">
        <v>42005</v>
      </c>
      <c r="H286" s="185">
        <v>5720</v>
      </c>
      <c r="I286" s="103">
        <f>Table6[[#This Row],[مرتب]]/30</f>
        <v>190.66666666666666</v>
      </c>
      <c r="J286" s="143">
        <v>30</v>
      </c>
      <c r="K286" s="143">
        <f t="shared" si="4"/>
        <v>5720</v>
      </c>
      <c r="L286" s="12">
        <v>5720</v>
      </c>
      <c r="M286" s="143">
        <f>Table6[[#This Row],[مرتب الضمان]]*17%</f>
        <v>972.40000000000009</v>
      </c>
      <c r="N286" s="143">
        <f>' الشركه 2018'!$H286*35%</f>
        <v>2001.9999999999998</v>
      </c>
      <c r="O286" s="143">
        <f>' الشركه 2018'!$H286*32%</f>
        <v>1830.4</v>
      </c>
      <c r="P286" s="143">
        <f>' الشركه 2018'!$H286*12%</f>
        <v>686.4</v>
      </c>
      <c r="Q286" s="143">
        <f>' الشركه 2018'!$H286*13%</f>
        <v>743.6</v>
      </c>
      <c r="R286" s="143">
        <f>' الشركه 2018'!$H286*6%</f>
        <v>343.2</v>
      </c>
      <c r="S286" s="143">
        <f>' الشركه 2018'!$H286*2%</f>
        <v>114.4</v>
      </c>
      <c r="T286" s="143">
        <f>' الشركه 2018'!$O286+' الشركه 2018'!$P286+' الشركه 2018'!$Q286+' الشركه 2018'!$R286+' الشركه 2018'!$S286</f>
        <v>3718</v>
      </c>
      <c r="U286" s="109">
        <f>VLOOKUP(Table6[[#This Row],[الرقم الوظيفى]],[2]بالخصم!$B$1:$AK$1200,35,)</f>
        <v>0</v>
      </c>
      <c r="V286" s="350"/>
      <c r="W286" s="187">
        <f>Table6[[#This Row],[عدد ايام الاجازه]]*Table6[[#This Row],[ح راتب اليوم]]</f>
        <v>0</v>
      </c>
      <c r="X286" s="188"/>
      <c r="Y286" s="351"/>
      <c r="Z286" s="187">
        <f>Table6[[#This Row],[عدد ايام الجزاء]]*Table6[[#This Row],[ح راتب اليوم]]</f>
        <v>0</v>
      </c>
      <c r="AA286" s="190"/>
      <c r="AB286" s="191" t="e">
        <f>VLOOKUP(Table6[[#This Row],[الرقم الوظيفى]],[3]!Table25289[#Data],23,)</f>
        <v>#REF!</v>
      </c>
      <c r="AC286" s="352"/>
      <c r="AD286" s="255"/>
      <c r="AE286" s="113" t="e">
        <f>VLOOKUP(Table6[[#This Row],[الرقم الوظيفى]],[3]!Table252894[#Data],22,)</f>
        <v>#REF!</v>
      </c>
      <c r="AF286" s="354"/>
      <c r="AG286" s="111">
        <f>' الشركه 2018'!$W286+' الشركه 2018'!$Z286+' الشركه 2018'!$AA286+' الشركه 2018'!$AC286+' الشركه 2018'!$AD286+' الشركه 2018'!$AF286</f>
        <v>0</v>
      </c>
      <c r="AH286" s="111">
        <f>Table6[[#This Row],[راتب الضمان]]*8%</f>
        <v>457.6</v>
      </c>
      <c r="AI286" s="111">
        <f>' الشركه 2018'!$H286-' الشركه 2018'!$AG286-' الشركه 2018'!$AH286</f>
        <v>5262.4</v>
      </c>
      <c r="AJ286" s="111">
        <f>' الشركه 2018'!$CF286</f>
        <v>0</v>
      </c>
      <c r="AK286" s="117">
        <f>' الشركه 2018'!$AI286+' الشركه 2018'!$AJ286</f>
        <v>5262.4</v>
      </c>
      <c r="AL286" s="195"/>
      <c r="AM286" s="196"/>
      <c r="AN286" s="9">
        <f>Table6[[#This Row],[اجمالى الاستحقاق]]-Table6[[#This Row],[Column2]]+Table6[[#This Row],[حوافز غير مستقره]]</f>
        <v>5262.4</v>
      </c>
      <c r="AO286" s="257"/>
      <c r="AP286" s="198"/>
      <c r="AQ286" s="176"/>
      <c r="AR286" s="124"/>
      <c r="AS286" s="155"/>
      <c r="AT286" s="170"/>
      <c r="AU286" s="124"/>
      <c r="AV286" s="124"/>
      <c r="AW286" s="124"/>
      <c r="AX286" s="124"/>
      <c r="AY286" s="124"/>
      <c r="AZ286" s="124"/>
      <c r="BA286" s="124"/>
      <c r="BB286" s="124"/>
      <c r="BC286" s="124"/>
      <c r="BD286" s="124"/>
      <c r="BE286" s="124"/>
      <c r="BF286" s="124"/>
      <c r="BG286" s="124"/>
      <c r="BH286" s="124"/>
      <c r="BI286" s="124"/>
      <c r="BJ286" s="124"/>
      <c r="BK286" s="124"/>
      <c r="BL286" s="124"/>
      <c r="BM286" s="124"/>
      <c r="BN286" s="124"/>
      <c r="BO286" s="124"/>
      <c r="BP286" s="124"/>
      <c r="BQ286" s="124"/>
      <c r="BR286" s="124"/>
      <c r="BS286" s="124"/>
      <c r="BT286" s="124"/>
      <c r="BU286" s="124"/>
      <c r="BV286" s="124"/>
      <c r="BW286" s="124"/>
      <c r="BX286" s="124"/>
      <c r="BY286" s="124"/>
      <c r="BZ286" s="171"/>
      <c r="CA286" s="172"/>
      <c r="CB28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6" s="131">
        <f>' الشركه 2018'!$H286*67%*1.5*' الشركه 2018'!$CB286/208</f>
        <v>0</v>
      </c>
      <c r="CE286" s="132">
        <f>' الشركه 2018'!$H286*67%*2*' الشركه 2018'!$CC286/208</f>
        <v>0</v>
      </c>
      <c r="CF286" s="133">
        <f>' الشركه 2018'!$CD286+' الشركه 2018'!$CE286</f>
        <v>0</v>
      </c>
      <c r="CG286" s="124"/>
      <c r="CH286" s="177">
        <f>SUMIF(C286:C607,' الشركه 2018'!$CG198,L286:L607)</f>
        <v>0</v>
      </c>
      <c r="CI286" s="124"/>
      <c r="CJ286" s="177">
        <f>' الشركه 2018'!$CH198*' الشركه 2018'!$CI198</f>
        <v>0</v>
      </c>
      <c r="CK286" s="177" t="e">
        <f>' الشركه 2018'!$CJ198*8%</f>
        <v>#REF!</v>
      </c>
      <c r="CL286" s="177" t="e">
        <f>' الشركه 2018'!$CJ198*17%</f>
        <v>#REF!</v>
      </c>
      <c r="CM286" s="177" t="e">
        <f>' الشركه 2018'!$CJ198*25%</f>
        <v>#REF!</v>
      </c>
      <c r="CN286" s="162"/>
      <c r="CO286" s="162"/>
      <c r="CP286" s="163"/>
      <c r="CQ286" s="164" t="e">
        <f>VLOOKUP(Table6[[#This Row],[الرقم الوظيفى]],[4]!Table3[#Data],26,FALSE)</f>
        <v>#REF!</v>
      </c>
      <c r="CR286" s="370"/>
      <c r="CS286" s="124"/>
    </row>
    <row r="287" spans="1:97" ht="21.65" customHeight="1" thickTop="1" thickBot="1">
      <c r="A287" s="181">
        <v>8504</v>
      </c>
      <c r="B287" s="143" t="s">
        <v>472</v>
      </c>
      <c r="C287" s="143" t="s">
        <v>604</v>
      </c>
      <c r="D287" s="183" t="s">
        <v>76</v>
      </c>
      <c r="E287" s="174"/>
      <c r="F287" s="143"/>
      <c r="G287" s="145">
        <v>42005</v>
      </c>
      <c r="H287" s="185">
        <v>3510</v>
      </c>
      <c r="I287" s="103">
        <f>Table6[[#This Row],[مرتب]]/30</f>
        <v>117</v>
      </c>
      <c r="J287" s="143">
        <v>30</v>
      </c>
      <c r="K287" s="143">
        <f t="shared" si="4"/>
        <v>3510</v>
      </c>
      <c r="L287" s="12">
        <v>3510</v>
      </c>
      <c r="M287" s="143">
        <f>Table6[[#This Row],[مرتب الضمان]]*17%</f>
        <v>596.70000000000005</v>
      </c>
      <c r="N287" s="143">
        <f>' الشركه 2018'!$H287*35%</f>
        <v>1228.5</v>
      </c>
      <c r="O287" s="143">
        <f>' الشركه 2018'!$H287*32%</f>
        <v>1123.2</v>
      </c>
      <c r="P287" s="143">
        <f>' الشركه 2018'!$H287*12%</f>
        <v>421.2</v>
      </c>
      <c r="Q287" s="143">
        <f>' الشركه 2018'!$H287*13%</f>
        <v>456.3</v>
      </c>
      <c r="R287" s="143">
        <f>' الشركه 2018'!$H287*6%</f>
        <v>210.6</v>
      </c>
      <c r="S287" s="143">
        <f>' الشركه 2018'!$H287*2%</f>
        <v>70.2</v>
      </c>
      <c r="T287" s="143">
        <f>' الشركه 2018'!$O287+' الشركه 2018'!$P287+' الشركه 2018'!$Q287+' الشركه 2018'!$R287+' الشركه 2018'!$S287</f>
        <v>2281.5</v>
      </c>
      <c r="U287" s="109">
        <f>VLOOKUP(Table6[[#This Row],[الرقم الوظيفى]],[2]بالخصم!$B$1:$AK$1200,35,)</f>
        <v>0</v>
      </c>
      <c r="V287" s="350"/>
      <c r="W287" s="187">
        <f>Table6[[#This Row],[عدد ايام الاجازه]]*Table6[[#This Row],[ح راتب اليوم]]</f>
        <v>0</v>
      </c>
      <c r="X287" s="188"/>
      <c r="Y287" s="351"/>
      <c r="Z287" s="187">
        <f>Table6[[#This Row],[عدد ايام الجزاء]]*Table6[[#This Row],[ح راتب اليوم]]</f>
        <v>0</v>
      </c>
      <c r="AA287" s="190"/>
      <c r="AB287" s="191" t="e">
        <f>VLOOKUP(Table6[[#This Row],[الرقم الوظيفى]],[3]!Table25289[#Data],23,)</f>
        <v>#REF!</v>
      </c>
      <c r="AC287" s="352"/>
      <c r="AD287" s="255"/>
      <c r="AE287" s="113" t="e">
        <f>VLOOKUP(Table6[[#This Row],[الرقم الوظيفى]],[3]!Table252894[#Data],22,)</f>
        <v>#REF!</v>
      </c>
      <c r="AF287" s="354"/>
      <c r="AG287" s="111">
        <f>' الشركه 2018'!$W287+' الشركه 2018'!$Z287+' الشركه 2018'!$AA287+' الشركه 2018'!$AC287+' الشركه 2018'!$AD287+' الشركه 2018'!$AF287</f>
        <v>0</v>
      </c>
      <c r="AH287" s="111">
        <f>Table6[[#This Row],[راتب الضمان]]*8%</f>
        <v>280.8</v>
      </c>
      <c r="AI287" s="111">
        <f>' الشركه 2018'!$H287-' الشركه 2018'!$AG287-' الشركه 2018'!$AH287</f>
        <v>3229.2</v>
      </c>
      <c r="AJ287" s="111">
        <f>' الشركه 2018'!$CF287</f>
        <v>0</v>
      </c>
      <c r="AK287" s="117">
        <f>' الشركه 2018'!$AI287+' الشركه 2018'!$AJ287</f>
        <v>3229.2</v>
      </c>
      <c r="AL287" s="195"/>
      <c r="AM287" s="196"/>
      <c r="AN287" s="9">
        <f>Table6[[#This Row],[اجمالى الاستحقاق]]-Table6[[#This Row],[Column2]]+Table6[[#This Row],[حوافز غير مستقره]]</f>
        <v>3229.2</v>
      </c>
      <c r="AO287" s="257"/>
      <c r="AP287" s="198"/>
      <c r="AQ287" s="176"/>
      <c r="AR287" s="124"/>
      <c r="AS287" s="155"/>
      <c r="AT287" s="170"/>
      <c r="AU287" s="124"/>
      <c r="AV287" s="124"/>
      <c r="AW287" s="124"/>
      <c r="AX287" s="124"/>
      <c r="AY287" s="124"/>
      <c r="AZ287" s="124"/>
      <c r="BA287" s="124"/>
      <c r="BB287" s="124"/>
      <c r="BC287" s="124"/>
      <c r="BD287" s="124"/>
      <c r="BE287" s="124"/>
      <c r="BF287" s="124"/>
      <c r="BG287" s="124"/>
      <c r="BH287" s="124"/>
      <c r="BI287" s="124"/>
      <c r="BJ287" s="124"/>
      <c r="BK287" s="124"/>
      <c r="BL287" s="124"/>
      <c r="BM287" s="124"/>
      <c r="BN287" s="124"/>
      <c r="BO287" s="124"/>
      <c r="BP287" s="124"/>
      <c r="BQ287" s="124"/>
      <c r="BR287" s="124"/>
      <c r="BS287" s="124"/>
      <c r="BT287" s="124"/>
      <c r="BU287" s="124"/>
      <c r="BV287" s="124"/>
      <c r="BW287" s="124"/>
      <c r="BX287" s="124"/>
      <c r="BY287" s="124"/>
      <c r="BZ287" s="171"/>
      <c r="CA287" s="172"/>
      <c r="CB28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7" s="131">
        <f>' الشركه 2018'!$H287*67%*1.5*' الشركه 2018'!$CB287/208</f>
        <v>0</v>
      </c>
      <c r="CE287" s="132">
        <f>' الشركه 2018'!$H287*67%*2*' الشركه 2018'!$CC287/208</f>
        <v>0</v>
      </c>
      <c r="CF287" s="133">
        <f>' الشركه 2018'!$CD287+' الشركه 2018'!$CE287</f>
        <v>0</v>
      </c>
      <c r="CG287" s="124"/>
      <c r="CH287" s="177">
        <f>SUMIF(C287:C608,' الشركه 2018'!$CG199,L287:L608)</f>
        <v>0</v>
      </c>
      <c r="CI287" s="124"/>
      <c r="CJ287" s="177">
        <f>' الشركه 2018'!$CH199*' الشركه 2018'!$CI199</f>
        <v>0</v>
      </c>
      <c r="CK287" s="177">
        <f>' الشركه 2018'!$CJ199*8%</f>
        <v>0</v>
      </c>
      <c r="CL287" s="177">
        <f>' الشركه 2018'!$CJ199*17%</f>
        <v>0</v>
      </c>
      <c r="CM287" s="177">
        <f>' الشركه 2018'!$CJ199*25%</f>
        <v>0</v>
      </c>
      <c r="CN287" s="162"/>
      <c r="CO287" s="162"/>
      <c r="CP287" s="163"/>
      <c r="CQ287" s="164" t="e">
        <f>VLOOKUP(Table6[[#This Row],[الرقم الوظيفى]],[4]!Table3[#Data],26,FALSE)</f>
        <v>#REF!</v>
      </c>
      <c r="CR287" s="370"/>
      <c r="CS287" s="124"/>
    </row>
    <row r="288" spans="1:97" ht="21.65" customHeight="1" thickTop="1" thickBot="1">
      <c r="A288" s="181">
        <v>8505</v>
      </c>
      <c r="B288" s="143" t="s">
        <v>473</v>
      </c>
      <c r="C288" s="143" t="s">
        <v>604</v>
      </c>
      <c r="D288" s="183" t="s">
        <v>80</v>
      </c>
      <c r="E288" s="174"/>
      <c r="F288" s="143"/>
      <c r="G288" s="145">
        <v>42430</v>
      </c>
      <c r="H288" s="185">
        <v>5090</v>
      </c>
      <c r="I288" s="103">
        <f>Table6[[#This Row],[مرتب]]/30</f>
        <v>169.66666666666666</v>
      </c>
      <c r="J288" s="143">
        <v>30</v>
      </c>
      <c r="K288" s="143">
        <f t="shared" si="4"/>
        <v>5090</v>
      </c>
      <c r="L288" s="12">
        <v>5090</v>
      </c>
      <c r="M288" s="143">
        <f>Table6[[#This Row],[مرتب الضمان]]*17%</f>
        <v>865.30000000000007</v>
      </c>
      <c r="N288" s="143">
        <f>' الشركه 2018'!$H288*35%</f>
        <v>1781.5</v>
      </c>
      <c r="O288" s="143">
        <f>' الشركه 2018'!$H288*32%</f>
        <v>1628.8</v>
      </c>
      <c r="P288" s="143">
        <f>' الشركه 2018'!$H288*12%</f>
        <v>610.79999999999995</v>
      </c>
      <c r="Q288" s="143">
        <f>' الشركه 2018'!$H288*13%</f>
        <v>661.7</v>
      </c>
      <c r="R288" s="143">
        <f>' الشركه 2018'!$H288*6%</f>
        <v>305.39999999999998</v>
      </c>
      <c r="S288" s="143">
        <f>' الشركه 2018'!$H288*2%</f>
        <v>101.8</v>
      </c>
      <c r="T288" s="143">
        <f>' الشركه 2018'!$O288+' الشركه 2018'!$P288+' الشركه 2018'!$Q288+' الشركه 2018'!$R288+' الشركه 2018'!$S288</f>
        <v>3308.5000000000005</v>
      </c>
      <c r="U288" s="109">
        <f>VLOOKUP(Table6[[#This Row],[الرقم الوظيفى]],[2]بالخصم!$B$1:$AK$1200,35,)</f>
        <v>0</v>
      </c>
      <c r="V288" s="350"/>
      <c r="W288" s="187">
        <f>Table6[[#This Row],[عدد ايام الاجازه]]*Table6[[#This Row],[ح راتب اليوم]]</f>
        <v>0</v>
      </c>
      <c r="X288" s="188"/>
      <c r="Y288" s="351"/>
      <c r="Z288" s="187">
        <f>Table6[[#This Row],[عدد ايام الجزاء]]*Table6[[#This Row],[ح راتب اليوم]]</f>
        <v>0</v>
      </c>
      <c r="AA288" s="190"/>
      <c r="AB288" s="191" t="e">
        <f>VLOOKUP(Table6[[#This Row],[الرقم الوظيفى]],[3]!Table25289[#Data],23,)</f>
        <v>#REF!</v>
      </c>
      <c r="AC288" s="352"/>
      <c r="AD288" s="255"/>
      <c r="AE288" s="113" t="e">
        <f>VLOOKUP(Table6[[#This Row],[الرقم الوظيفى]],[3]!Table252894[#Data],22,)</f>
        <v>#REF!</v>
      </c>
      <c r="AF288" s="354"/>
      <c r="AG288" s="111">
        <f>' الشركه 2018'!$W288+' الشركه 2018'!$Z288+' الشركه 2018'!$AA288+' الشركه 2018'!$AC288+' الشركه 2018'!$AD288+' الشركه 2018'!$AF288</f>
        <v>0</v>
      </c>
      <c r="AH288" s="111">
        <f>Table6[[#This Row],[راتب الضمان]]*8%</f>
        <v>407.2</v>
      </c>
      <c r="AI288" s="111">
        <f>' الشركه 2018'!$H288-' الشركه 2018'!$AG288-' الشركه 2018'!$AH288</f>
        <v>4682.8</v>
      </c>
      <c r="AJ288" s="111">
        <f>' الشركه 2018'!$CF288</f>
        <v>0</v>
      </c>
      <c r="AK288" s="117">
        <f>' الشركه 2018'!$AI288+' الشركه 2018'!$AJ288</f>
        <v>4682.8</v>
      </c>
      <c r="AL288" s="195"/>
      <c r="AM288" s="196"/>
      <c r="AN288" s="9">
        <f>Table6[[#This Row],[اجمالى الاستحقاق]]-Table6[[#This Row],[Column2]]+Table6[[#This Row],[حوافز غير مستقره]]</f>
        <v>4682.8</v>
      </c>
      <c r="AO288" s="257"/>
      <c r="AP288" s="198"/>
      <c r="AQ288" s="176"/>
      <c r="AR288" s="124"/>
      <c r="AS288" s="155"/>
      <c r="AT288" s="170"/>
      <c r="AU288" s="124"/>
      <c r="AV288" s="124"/>
      <c r="AW288" s="124"/>
      <c r="AX288" s="124"/>
      <c r="AY288" s="124"/>
      <c r="AZ288" s="124"/>
      <c r="BA288" s="124"/>
      <c r="BB288" s="124"/>
      <c r="BC288" s="124"/>
      <c r="BD288" s="124"/>
      <c r="BE288" s="124"/>
      <c r="BF288" s="124"/>
      <c r="BG288" s="124"/>
      <c r="BH288" s="124"/>
      <c r="BI288" s="124"/>
      <c r="BJ288" s="124"/>
      <c r="BK288" s="124"/>
      <c r="BL288" s="124"/>
      <c r="BM288" s="124"/>
      <c r="BN288" s="124"/>
      <c r="BO288" s="124"/>
      <c r="BP288" s="124"/>
      <c r="BQ288" s="124"/>
      <c r="BR288" s="124"/>
      <c r="BS288" s="124"/>
      <c r="BT288" s="124"/>
      <c r="BU288" s="124"/>
      <c r="BV288" s="124"/>
      <c r="BW288" s="124"/>
      <c r="BX288" s="124"/>
      <c r="BY288" s="124"/>
      <c r="BZ288" s="171"/>
      <c r="CA288" s="172"/>
      <c r="CB28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8" s="131">
        <f>' الشركه 2018'!$H288*67%*1.5*' الشركه 2018'!$CB288/208</f>
        <v>0</v>
      </c>
      <c r="CE288" s="132">
        <f>' الشركه 2018'!$H288*67%*2*' الشركه 2018'!$CC288/208</f>
        <v>0</v>
      </c>
      <c r="CF288" s="133">
        <f>' الشركه 2018'!$CD288+' الشركه 2018'!$CE288</f>
        <v>0</v>
      </c>
      <c r="CG288" s="124"/>
      <c r="CH288" s="177">
        <f>SUMIF(C288:C609,' الشركه 2018'!#REF!,L288:L609)</f>
        <v>0</v>
      </c>
      <c r="CI288" s="124"/>
      <c r="CJ288" s="177" t="e">
        <f>' الشركه 2018'!#REF!*' الشركه 2018'!#REF!</f>
        <v>#REF!</v>
      </c>
      <c r="CK288" s="177" t="e">
        <f>' الشركه 2018'!#REF!*8%</f>
        <v>#REF!</v>
      </c>
      <c r="CL288" s="177" t="e">
        <f>' الشركه 2018'!#REF!*17%</f>
        <v>#REF!</v>
      </c>
      <c r="CM288" s="177" t="e">
        <f>' الشركه 2018'!#REF!*25%</f>
        <v>#REF!</v>
      </c>
      <c r="CN288" s="162"/>
      <c r="CO288" s="162"/>
      <c r="CP288" s="163"/>
      <c r="CQ288" s="164" t="e">
        <f>VLOOKUP(Table6[[#This Row],[الرقم الوظيفى]],[4]!Table3[#Data],26,FALSE)</f>
        <v>#REF!</v>
      </c>
      <c r="CR288" s="370"/>
      <c r="CS288" s="124"/>
    </row>
    <row r="289" spans="1:97" ht="21.65" customHeight="1" thickTop="1" thickBot="1">
      <c r="A289" s="365">
        <v>8506</v>
      </c>
      <c r="B289" s="11" t="s">
        <v>743</v>
      </c>
      <c r="C289" s="349" t="s">
        <v>604</v>
      </c>
      <c r="D289" s="11"/>
      <c r="E289" s="144"/>
      <c r="F289" s="11" t="s">
        <v>173</v>
      </c>
      <c r="G289" s="145">
        <v>43191</v>
      </c>
      <c r="H289" s="185">
        <v>3000</v>
      </c>
      <c r="I289" s="103">
        <f>Table6[[#This Row],[مرتب]]/30</f>
        <v>100</v>
      </c>
      <c r="J289" s="143">
        <v>30</v>
      </c>
      <c r="K289" s="143">
        <f t="shared" si="4"/>
        <v>3000</v>
      </c>
      <c r="L289" s="107">
        <v>3000</v>
      </c>
      <c r="M289" s="143">
        <f>Table6[[#This Row],[مرتب الضمان]]*17%</f>
        <v>510.00000000000006</v>
      </c>
      <c r="N289" s="143">
        <f>' الشركه 2018'!$H289*35%</f>
        <v>1050</v>
      </c>
      <c r="O289" s="143">
        <f>' الشركه 2018'!$H289*32%</f>
        <v>960</v>
      </c>
      <c r="P289" s="143">
        <f>' الشركه 2018'!$H289*12%</f>
        <v>360</v>
      </c>
      <c r="Q289" s="143">
        <f>' الشركه 2018'!$H289*13%</f>
        <v>390</v>
      </c>
      <c r="R289" s="143">
        <f>' الشركه 2018'!$H289*6%</f>
        <v>180</v>
      </c>
      <c r="S289" s="143">
        <f>' الشركه 2018'!$H289*2%</f>
        <v>60</v>
      </c>
      <c r="T289" s="143">
        <f>' الشركه 2018'!$O289+' الشركه 2018'!$P289+' الشركه 2018'!$Q289+' الشركه 2018'!$R289+' الشركه 2018'!$S289</f>
        <v>1950</v>
      </c>
      <c r="U289" s="109">
        <f>VLOOKUP(Table6[[#This Row],[الرقم الوظيفى]],[2]بالخصم!$B$1:$AK$1200,35,)</f>
        <v>0</v>
      </c>
      <c r="V289" s="186"/>
      <c r="W289" s="187">
        <f>Table6[[#This Row],[عدد ايام الاجازه]]*Table6[[#This Row],[ح راتب اليوم]]</f>
        <v>0</v>
      </c>
      <c r="X289" s="188"/>
      <c r="Y289" s="189"/>
      <c r="Z289" s="187">
        <f>Table6[[#This Row],[عدد ايام الجزاء]]*Table6[[#This Row],[ح راتب اليوم]]</f>
        <v>0</v>
      </c>
      <c r="AA289" s="190"/>
      <c r="AB289" s="191" t="e">
        <f>VLOOKUP(Table6[[#This Row],[الرقم الوظيفى]],[3]!Table25289[#Data],23,)</f>
        <v>#REF!</v>
      </c>
      <c r="AC289" s="367"/>
      <c r="AD289" s="367"/>
      <c r="AE289" s="113" t="e">
        <f>VLOOKUP(Table6[[#This Row],[الرقم الوظيفى]],[3]!Table252894[#Data],22,)</f>
        <v>#REF!</v>
      </c>
      <c r="AF289" s="368"/>
      <c r="AG289" s="111">
        <f>' الشركه 2018'!$W289+' الشركه 2018'!$Z289+' الشركه 2018'!$AA289+' الشركه 2018'!$AC289+' الشركه 2018'!$AD289+' الشركه 2018'!$AF289</f>
        <v>0</v>
      </c>
      <c r="AH289" s="111">
        <f>Table6[[#This Row],[راتب الضمان]]*8%</f>
        <v>240</v>
      </c>
      <c r="AI289" s="111">
        <f>' الشركه 2018'!$H289-' الشركه 2018'!$AG289-' الشركه 2018'!$AH289</f>
        <v>2760</v>
      </c>
      <c r="AJ289" s="111">
        <f>' الشركه 2018'!$CF289</f>
        <v>0</v>
      </c>
      <c r="AK289" s="117">
        <f>' الشركه 2018'!$AI289+' الشركه 2018'!$AJ289</f>
        <v>2760</v>
      </c>
      <c r="AL289" s="195"/>
      <c r="AM289" s="196"/>
      <c r="AN289" s="9">
        <f>Table6[[#This Row],[اجمالى الاستحقاق]]-Table6[[#This Row],[Column2]]+Table6[[#This Row],[حوافز غير مستقره]]</f>
        <v>2760</v>
      </c>
      <c r="AO289" s="257"/>
      <c r="AP289" s="369"/>
      <c r="AQ289" s="176"/>
      <c r="AR289" s="124"/>
      <c r="AS289" s="208"/>
      <c r="AT289" s="170"/>
      <c r="AU289" s="124"/>
      <c r="AV289" s="124"/>
      <c r="AW289" s="124"/>
      <c r="AX289" s="124"/>
      <c r="AY289" s="124"/>
      <c r="AZ289" s="124"/>
      <c r="BA289" s="124"/>
      <c r="BB289" s="124"/>
      <c r="BC289" s="124"/>
      <c r="BD289" s="124"/>
      <c r="BE289" s="124"/>
      <c r="BF289" s="124"/>
      <c r="BG289" s="124"/>
      <c r="BH289" s="228"/>
      <c r="BI289" s="124"/>
      <c r="BJ289" s="228"/>
      <c r="BK289" s="124"/>
      <c r="BL289" s="124"/>
      <c r="BM289" s="177"/>
      <c r="BN289" s="177"/>
      <c r="BO289" s="124"/>
      <c r="BP289" s="177"/>
      <c r="BQ289" s="124"/>
      <c r="BR289" s="177"/>
      <c r="BS289" s="177"/>
      <c r="BT289" s="124"/>
      <c r="BU289" s="124"/>
      <c r="BV289" s="124"/>
      <c r="BW289" s="177"/>
      <c r="BX289" s="177"/>
      <c r="BY289" s="177"/>
      <c r="BZ289" s="177"/>
      <c r="CA289" s="177"/>
      <c r="CB28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8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89" s="131">
        <f>' الشركه 2018'!$H289*67%*1.5*' الشركه 2018'!$CB289/208</f>
        <v>0</v>
      </c>
      <c r="CE289" s="132">
        <f>' الشركه 2018'!$H289*67%*2*' الشركه 2018'!$CC289/208</f>
        <v>0</v>
      </c>
      <c r="CF289" s="133">
        <f>' الشركه 2018'!$CD289+' الشركه 2018'!$CE289</f>
        <v>0</v>
      </c>
      <c r="CG289" s="124"/>
      <c r="CH289" s="177">
        <f>SUMIF(C289:C610,' الشركه 2018'!#REF!,L289:L610)</f>
        <v>0</v>
      </c>
      <c r="CI289" s="124"/>
      <c r="CJ289" s="162"/>
      <c r="CK289" s="162"/>
      <c r="CL289" s="177"/>
      <c r="CM289" s="162"/>
      <c r="CN289" s="162"/>
      <c r="CO289" s="162"/>
      <c r="CP289" s="163"/>
      <c r="CQ289" s="164" t="e">
        <f>VLOOKUP(Table6[[#This Row],[الرقم الوظيفى]],[4]!Table3[#Data],26,FALSE)</f>
        <v>#REF!</v>
      </c>
      <c r="CR289" s="370"/>
      <c r="CS289" s="124"/>
    </row>
    <row r="290" spans="1:97" ht="21.65" customHeight="1" thickTop="1" thickBot="1">
      <c r="A290" s="229">
        <v>8507</v>
      </c>
      <c r="B290" s="386" t="s">
        <v>744</v>
      </c>
      <c r="C290" s="387" t="s">
        <v>604</v>
      </c>
      <c r="D290" s="11"/>
      <c r="E290" s="202"/>
      <c r="F290" s="11"/>
      <c r="G290" s="145"/>
      <c r="H290" s="388">
        <v>3000</v>
      </c>
      <c r="I290" s="389">
        <f>Table6[[#This Row],[مرتب]]/30</f>
        <v>100</v>
      </c>
      <c r="J290" s="143">
        <v>30</v>
      </c>
      <c r="K290" s="143">
        <f t="shared" si="4"/>
        <v>3000</v>
      </c>
      <c r="L290" s="107">
        <v>3000</v>
      </c>
      <c r="M290" s="143">
        <f>Table6[[#This Row],[مرتب الضمان]]*17%</f>
        <v>510.00000000000006</v>
      </c>
      <c r="N290" s="143">
        <f>' الشركه 2018'!$H290*35%</f>
        <v>1050</v>
      </c>
      <c r="O290" s="143">
        <f>' الشركه 2018'!$H290*32%</f>
        <v>960</v>
      </c>
      <c r="P290" s="143">
        <f>' الشركه 2018'!$H290*12%</f>
        <v>360</v>
      </c>
      <c r="Q290" s="143">
        <f>' الشركه 2018'!$H290*13%</f>
        <v>390</v>
      </c>
      <c r="R290" s="143">
        <f>' الشركه 2018'!$H290*6%</f>
        <v>180</v>
      </c>
      <c r="S290" s="143">
        <f>' الشركه 2018'!$H290*2%</f>
        <v>60</v>
      </c>
      <c r="T290" s="143">
        <f>' الشركه 2018'!$O290+' الشركه 2018'!$P290+' الشركه 2018'!$Q290+' الشركه 2018'!$R290+' الشركه 2018'!$S290</f>
        <v>1950</v>
      </c>
      <c r="U290" s="109">
        <f>VLOOKUP(Table6[[#This Row],[الرقم الوظيفى]],[2]بالخصم!$B$1:$AK$1200,35,)</f>
        <v>0</v>
      </c>
      <c r="V290" s="204"/>
      <c r="W290" s="187">
        <f>Table6[[#This Row],[عدد ايام الاجازه]]*Table6[[#This Row],[ح راتب اليوم]]</f>
        <v>0</v>
      </c>
      <c r="X290" s="188"/>
      <c r="Y290" s="390"/>
      <c r="Z290" s="391"/>
      <c r="AA290" s="190"/>
      <c r="AB290" s="191" t="e">
        <f>VLOOKUP(Table6[[#This Row],[الرقم الوظيفى]],[3]!Table25289[#Data],23,)</f>
        <v>#REF!</v>
      </c>
      <c r="AC290" s="382"/>
      <c r="AD290" s="367"/>
      <c r="AE290" s="113" t="e">
        <f>VLOOKUP(Table6[[#This Row],[الرقم الوظيفى]],[3]!Table252894[#Data],22,)</f>
        <v>#REF!</v>
      </c>
      <c r="AF290" s="383"/>
      <c r="AG290" s="111">
        <f>' الشركه 2018'!$W290+' الشركه 2018'!$Z290+' الشركه 2018'!$AA290+' الشركه 2018'!$AC290+' الشركه 2018'!$AD290+' الشركه 2018'!$AF290</f>
        <v>0</v>
      </c>
      <c r="AH290" s="111">
        <f>Table6[[#This Row],[راتب الضمان]]*8%</f>
        <v>240</v>
      </c>
      <c r="AI290" s="111">
        <f>' الشركه 2018'!$H290-' الشركه 2018'!$AG290-' الشركه 2018'!$AH290</f>
        <v>2760</v>
      </c>
      <c r="AJ290" s="111">
        <f>' الشركه 2018'!$CF290</f>
        <v>0</v>
      </c>
      <c r="AK290" s="117">
        <f>' الشركه 2018'!$AI290+' الشركه 2018'!$AJ290</f>
        <v>2760</v>
      </c>
      <c r="AL290" s="195"/>
      <c r="AM290" s="196"/>
      <c r="AN290" s="9">
        <f>Table6[[#This Row],[اجمالى الاستحقاق]]-Table6[[#This Row],[Column2]]+Table6[[#This Row],[حوافز غير مستقره]]</f>
        <v>2760</v>
      </c>
      <c r="AO290" s="257"/>
      <c r="AP290" s="198"/>
      <c r="AQ290" s="176"/>
      <c r="AR290" s="124"/>
      <c r="AS290" s="208"/>
      <c r="AT290" s="170"/>
      <c r="AU290" s="124"/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4"/>
      <c r="BF290" s="124"/>
      <c r="BG290" s="124"/>
      <c r="BH290" s="228"/>
      <c r="BI290" s="124"/>
      <c r="BJ290" s="228"/>
      <c r="BK290" s="124"/>
      <c r="BL290" s="124"/>
      <c r="BM290" s="177"/>
      <c r="BN290" s="177"/>
      <c r="BO290" s="124"/>
      <c r="BP290" s="177"/>
      <c r="BQ290" s="124"/>
      <c r="BR290" s="177"/>
      <c r="BS290" s="177"/>
      <c r="BT290" s="124"/>
      <c r="BU290" s="124"/>
      <c r="BV290" s="124"/>
      <c r="BW290" s="177"/>
      <c r="BX290" s="177"/>
      <c r="BY290" s="177"/>
      <c r="BZ290" s="177"/>
      <c r="CA290" s="177"/>
      <c r="CB29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9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0" s="131">
        <f>' الشركه 2018'!$H290*67%*1.5*' الشركه 2018'!$CB290/208</f>
        <v>0</v>
      </c>
      <c r="CE290" s="132">
        <f>' الشركه 2018'!$H290*67%*2*' الشركه 2018'!$CC290/208</f>
        <v>0</v>
      </c>
      <c r="CF290" s="133">
        <f>' الشركه 2018'!$CD290+' الشركه 2018'!$CE290</f>
        <v>0</v>
      </c>
      <c r="CG290" s="124"/>
      <c r="CH290" s="177">
        <f>SUMIF(C290:C611,' الشركه 2018'!#REF!,L290:L611)</f>
        <v>0</v>
      </c>
      <c r="CI290" s="124"/>
      <c r="CJ290" s="162"/>
      <c r="CK290" s="162"/>
      <c r="CL290" s="177"/>
      <c r="CM290" s="162"/>
      <c r="CN290" s="162"/>
      <c r="CO290" s="162"/>
      <c r="CP290" s="163"/>
      <c r="CQ290" s="164" t="e">
        <f>VLOOKUP(Table6[[#This Row],[الرقم الوظيفى]],[4]!Table3[#Data],26,FALSE)</f>
        <v>#REF!</v>
      </c>
      <c r="CR290" s="370"/>
      <c r="CS290" s="124"/>
    </row>
    <row r="291" spans="1:97" ht="21.65" customHeight="1" thickTop="1" thickBot="1">
      <c r="A291" s="181">
        <v>1008</v>
      </c>
      <c r="B291" s="182" t="s">
        <v>148</v>
      </c>
      <c r="C291" s="11" t="s">
        <v>137</v>
      </c>
      <c r="D291" s="183" t="s">
        <v>129</v>
      </c>
      <c r="E291" s="174"/>
      <c r="F291" s="143"/>
      <c r="G291" s="184">
        <v>39142</v>
      </c>
      <c r="H291" s="185">
        <v>10740</v>
      </c>
      <c r="I291" s="103">
        <f>Table6[[#This Row],[مرتب]]/30</f>
        <v>358</v>
      </c>
      <c r="J291" s="143">
        <v>30</v>
      </c>
      <c r="K291" s="143">
        <f t="shared" si="4"/>
        <v>10740</v>
      </c>
      <c r="L291" s="12">
        <v>10740</v>
      </c>
      <c r="M291" s="143">
        <f>Table6[[#This Row],[مرتب الضمان]]*17%</f>
        <v>1825.8000000000002</v>
      </c>
      <c r="N291" s="143">
        <f>' الشركه 2018'!$H291*35%</f>
        <v>3758.9999999999995</v>
      </c>
      <c r="O291" s="143">
        <f>' الشركه 2018'!$H291*32%</f>
        <v>3436.8</v>
      </c>
      <c r="P291" s="143">
        <f>' الشركه 2018'!$H291*12%</f>
        <v>1288.8</v>
      </c>
      <c r="Q291" s="143">
        <f>' الشركه 2018'!$H291*13%</f>
        <v>1396.2</v>
      </c>
      <c r="R291" s="143">
        <f>' الشركه 2018'!$H291*6%</f>
        <v>644.4</v>
      </c>
      <c r="S291" s="143">
        <f>' الشركه 2018'!$H291*2%</f>
        <v>214.8</v>
      </c>
      <c r="T291" s="143">
        <f>' الشركه 2018'!$O291+' الشركه 2018'!$P291+' الشركه 2018'!$Q291+' الشركه 2018'!$R291+' الشركه 2018'!$S291</f>
        <v>6981</v>
      </c>
      <c r="U291" s="109">
        <f>VLOOKUP(Table6[[#This Row],[الرقم الوظيفى]],[2]بالخصم!$B$1:$AK$1200,35,)</f>
        <v>0</v>
      </c>
      <c r="V291" s="186"/>
      <c r="W291" s="187">
        <f>Table6[[#This Row],[عدد ايام الاجازه]]*Table6[[#This Row],[ح راتب اليوم]]</f>
        <v>0</v>
      </c>
      <c r="X291" s="188"/>
      <c r="Y291" s="189"/>
      <c r="Z291" s="380">
        <f>Table6[[#This Row],[عدد ايام الجزاء]]*Table6[[#This Row],[ح راتب اليوم]]</f>
        <v>0</v>
      </c>
      <c r="AA291" s="190"/>
      <c r="AB291" s="191" t="e">
        <f>VLOOKUP(Table6[[#This Row],[الرقم الوظيفى]],[3]!Table25289[#Data],23,)</f>
        <v>#REF!</v>
      </c>
      <c r="AC291" s="224"/>
      <c r="AD291" s="193"/>
      <c r="AE291" s="113" t="e">
        <f>VLOOKUP(Table6[[#This Row],[الرقم الوظيفى]],[3]!Table252894[#Data],22,)</f>
        <v>#REF!</v>
      </c>
      <c r="AF291" s="226"/>
      <c r="AG291" s="111">
        <f>' الشركه 2018'!$W291+' الشركه 2018'!$Z291+' الشركه 2018'!$AA291+' الشركه 2018'!$AC291+' الشركه 2018'!$AD291+' الشركه 2018'!$AF291</f>
        <v>0</v>
      </c>
      <c r="AH291" s="111">
        <f>Table6[[#This Row],[راتب الضمان]]*8%</f>
        <v>859.2</v>
      </c>
      <c r="AI291" s="111">
        <f>' الشركه 2018'!$H291-' الشركه 2018'!$AG291-' الشركه 2018'!$AH291</f>
        <v>9880.7999999999993</v>
      </c>
      <c r="AJ291" s="111">
        <f>' الشركه 2018'!$CF291</f>
        <v>1364.7803365384616</v>
      </c>
      <c r="AK291" s="117">
        <f>' الشركه 2018'!$AI291+' الشركه 2018'!$AJ291</f>
        <v>11245.58033653846</v>
      </c>
      <c r="AL291" s="195"/>
      <c r="AM291" s="196"/>
      <c r="AN291" s="9">
        <f>Table6[[#This Row],[اجمالى الاستحقاق]]-Table6[[#This Row],[Column2]]+Table6[[#This Row],[حوافز غير مستقره]]</f>
        <v>11245.58033653846</v>
      </c>
      <c r="AO291" s="197"/>
      <c r="AP291" s="198"/>
      <c r="AQ291" s="176"/>
      <c r="AR291" s="124"/>
      <c r="AS291" s="155"/>
      <c r="AT291" s="170">
        <v>2</v>
      </c>
      <c r="AU291" s="124">
        <v>1</v>
      </c>
      <c r="AV291" s="124"/>
      <c r="AW291" s="124"/>
      <c r="AX291" s="124"/>
      <c r="AY291" s="124"/>
      <c r="AZ291" s="124"/>
      <c r="BA291" s="124"/>
      <c r="BB291" s="124">
        <v>1.2</v>
      </c>
      <c r="BC291" s="124"/>
      <c r="BD291" s="124"/>
      <c r="BE291" s="124">
        <v>3.5</v>
      </c>
      <c r="BF291" s="124">
        <v>1</v>
      </c>
      <c r="BG291" s="124">
        <v>4</v>
      </c>
      <c r="BH291" s="124">
        <v>3.9</v>
      </c>
      <c r="BI291" s="124">
        <v>1.5</v>
      </c>
      <c r="BJ291" s="124"/>
      <c r="BK291" s="124"/>
      <c r="BL291" s="124"/>
      <c r="BM291" s="124">
        <v>2</v>
      </c>
      <c r="BN291" s="124">
        <v>2.5</v>
      </c>
      <c r="BO291" s="124"/>
      <c r="BP291" s="124"/>
      <c r="BQ291" s="124"/>
      <c r="BR291" s="124"/>
      <c r="BS291" s="124">
        <v>1.5</v>
      </c>
      <c r="BT291" s="124">
        <v>2.2000000000000002</v>
      </c>
      <c r="BU291" s="124"/>
      <c r="BV291" s="124"/>
      <c r="BW291" s="124"/>
      <c r="BX291" s="124"/>
      <c r="BY291" s="124"/>
      <c r="BZ291" s="171"/>
      <c r="CA291" s="172"/>
      <c r="CB29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26.299999999999997</v>
      </c>
      <c r="CC29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1" s="131">
        <f>' الشركه 2018'!$H291*67%*1.5*' الشركه 2018'!$CB291/208</f>
        <v>1364.7803365384616</v>
      </c>
      <c r="CE291" s="132">
        <f>' الشركه 2018'!$H291*67%*2*' الشركه 2018'!$CC291/208</f>
        <v>0</v>
      </c>
      <c r="CF291" s="133">
        <f>' الشركه 2018'!$CD291+' الشركه 2018'!$CE291</f>
        <v>1364.7803365384616</v>
      </c>
      <c r="CG291" s="124"/>
      <c r="CH291" s="177">
        <f>SUMIF(C291:C613,' الشركه 2018'!#REF!,L291:L613)</f>
        <v>0</v>
      </c>
      <c r="CI291" s="124"/>
      <c r="CJ291" s="177">
        <f>' الشركه 2018'!$CH201*' الشركه 2018'!$CI201</f>
        <v>0</v>
      </c>
      <c r="CK291" s="177">
        <f>' الشركه 2018'!$CJ201*8%</f>
        <v>0</v>
      </c>
      <c r="CL291" s="177">
        <f>' الشركه 2018'!$CJ201*17%</f>
        <v>0</v>
      </c>
      <c r="CM291" s="177">
        <f>' الشركه 2018'!$CJ201*25%</f>
        <v>0</v>
      </c>
      <c r="CN291" s="162"/>
      <c r="CO291" s="162"/>
      <c r="CP291" s="163"/>
      <c r="CQ291" s="164" t="e">
        <f>VLOOKUP(Table6[[#This Row],[الرقم الوظيفى]],[4]!Table3[#Data],26,FALSE)</f>
        <v>#REF!</v>
      </c>
      <c r="CR291" s="370"/>
      <c r="CS291" s="124"/>
    </row>
    <row r="292" spans="1:97" ht="28" customHeight="1" thickTop="1" thickBot="1">
      <c r="A292" s="181">
        <v>1009</v>
      </c>
      <c r="B292" s="182" t="s">
        <v>141</v>
      </c>
      <c r="C292" s="11" t="s">
        <v>137</v>
      </c>
      <c r="D292" s="183" t="s">
        <v>128</v>
      </c>
      <c r="E292" s="174"/>
      <c r="F292" s="143"/>
      <c r="G292" s="184">
        <v>39142</v>
      </c>
      <c r="H292" s="185">
        <v>50000</v>
      </c>
      <c r="I292" s="103">
        <f>Table6[[#This Row],[مرتب]]/30</f>
        <v>1666.6666666666667</v>
      </c>
      <c r="J292" s="143">
        <v>30</v>
      </c>
      <c r="K292" s="143">
        <f t="shared" si="4"/>
        <v>50000</v>
      </c>
      <c r="L292" s="12">
        <v>50000</v>
      </c>
      <c r="M292" s="143">
        <f>Table6[[#This Row],[مرتب الضمان]]*17%</f>
        <v>8500</v>
      </c>
      <c r="N292" s="143">
        <f>' الشركه 2018'!$H292*35%</f>
        <v>17500</v>
      </c>
      <c r="O292" s="143">
        <f>' الشركه 2018'!$H292*32%</f>
        <v>16000</v>
      </c>
      <c r="P292" s="143">
        <f>' الشركه 2018'!$H292*12%</f>
        <v>6000</v>
      </c>
      <c r="Q292" s="143">
        <f>' الشركه 2018'!$H292*13%</f>
        <v>6500</v>
      </c>
      <c r="R292" s="143">
        <f>' الشركه 2018'!$H292*6%</f>
        <v>3000</v>
      </c>
      <c r="S292" s="143">
        <f>' الشركه 2018'!$H292*2%</f>
        <v>1000</v>
      </c>
      <c r="T292" s="143">
        <f>' الشركه 2018'!$O292+' الشركه 2018'!$P292+' الشركه 2018'!$Q292+' الشركه 2018'!$R292+' الشركه 2018'!$S292</f>
        <v>32500</v>
      </c>
      <c r="U292" s="109">
        <f>VLOOKUP(Table6[[#This Row],[الرقم الوظيفى]],[2]بالخصم!$B$1:$AK$1200,35,)</f>
        <v>0</v>
      </c>
      <c r="V292" s="186"/>
      <c r="W292" s="187">
        <f>Table6[[#This Row],[عدد ايام الاجازه]]*Table6[[#This Row],[ح راتب اليوم]]</f>
        <v>0</v>
      </c>
      <c r="X292" s="188"/>
      <c r="Y292" s="189"/>
      <c r="Z292" s="380">
        <f>Table6[[#This Row],[عدد ايام الجزاء]]*Table6[[#This Row],[ح راتب اليوم]]</f>
        <v>0</v>
      </c>
      <c r="AA292" s="190"/>
      <c r="AB292" s="191" t="e">
        <f>VLOOKUP(Table6[[#This Row],[الرقم الوظيفى]],[3]!Table25289[#Data],23,)</f>
        <v>#REF!</v>
      </c>
      <c r="AC292" s="224"/>
      <c r="AD292" s="193"/>
      <c r="AE292" s="113" t="e">
        <f>VLOOKUP(Table6[[#This Row],[الرقم الوظيفى]],[3]!Table252894[#Data],22,)</f>
        <v>#REF!</v>
      </c>
      <c r="AF292" s="226"/>
      <c r="AG292" s="111">
        <f>' الشركه 2018'!$W292+' الشركه 2018'!$Z292+' الشركه 2018'!$AA292+' الشركه 2018'!$AC292+' الشركه 2018'!$AD292+' الشركه 2018'!$AF292</f>
        <v>0</v>
      </c>
      <c r="AH292" s="111">
        <f>Table6[[#This Row],[راتب الضمان]]*8%</f>
        <v>4000</v>
      </c>
      <c r="AI292" s="111">
        <f>' الشركه 2018'!$H292-' الشركه 2018'!$AG292-' الشركه 2018'!$AH292</f>
        <v>46000</v>
      </c>
      <c r="AJ292" s="111">
        <f>' الشركه 2018'!$CF292</f>
        <v>0</v>
      </c>
      <c r="AK292" s="117">
        <f>' الشركه 2018'!$AI292+' الشركه 2018'!$AJ292</f>
        <v>46000</v>
      </c>
      <c r="AL292" s="195"/>
      <c r="AM292" s="196"/>
      <c r="AN292" s="9">
        <f>Table6[[#This Row],[اجمالى الاستحقاق]]-Table6[[#This Row],[Column2]]+Table6[[#This Row],[حوافز غير مستقره]]</f>
        <v>46000</v>
      </c>
      <c r="AO292" s="197"/>
      <c r="AP292" s="198"/>
      <c r="AQ292" s="176"/>
      <c r="AR292" s="124"/>
      <c r="AS292" s="155"/>
      <c r="AT292" s="170"/>
      <c r="AU292" s="124"/>
      <c r="AV292" s="124"/>
      <c r="AW292" s="124"/>
      <c r="AX292" s="124"/>
      <c r="AY292" s="124"/>
      <c r="AZ292" s="124"/>
      <c r="BA292" s="124"/>
      <c r="BB292" s="124"/>
      <c r="BC292" s="124"/>
      <c r="BD292" s="124"/>
      <c r="BE292" s="124"/>
      <c r="BF292" s="124"/>
      <c r="BG292" s="124"/>
      <c r="BH292" s="124"/>
      <c r="BI292" s="124"/>
      <c r="BJ292" s="124"/>
      <c r="BK292" s="124"/>
      <c r="BL292" s="124"/>
      <c r="BM292" s="124"/>
      <c r="BN292" s="124"/>
      <c r="BO292" s="124"/>
      <c r="BP292" s="124"/>
      <c r="BQ292" s="124"/>
      <c r="BR292" s="124"/>
      <c r="BS292" s="124"/>
      <c r="BT292" s="124"/>
      <c r="BU292" s="124"/>
      <c r="BV292" s="124"/>
      <c r="BW292" s="124"/>
      <c r="BX292" s="124"/>
      <c r="BY292" s="124"/>
      <c r="BZ292" s="171"/>
      <c r="CA292" s="172"/>
      <c r="CB29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9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2" s="131">
        <f>' الشركه 2018'!$H292*67%*1.5*' الشركه 2018'!$CB292/208</f>
        <v>0</v>
      </c>
      <c r="CE292" s="132">
        <f>' الشركه 2018'!$H292*67%*2*' الشركه 2018'!$CC292/208</f>
        <v>0</v>
      </c>
      <c r="CF292" s="133">
        <f>' الشركه 2018'!$CD292+' الشركه 2018'!$CE292</f>
        <v>0</v>
      </c>
      <c r="CG292" s="124"/>
      <c r="CH292" s="177">
        <f>SUMIF(C292:C614,' الشركه 2018'!$CG202,L292:L614)</f>
        <v>0</v>
      </c>
      <c r="CI292" s="124"/>
      <c r="CJ292" s="177">
        <f>' الشركه 2018'!$CH202*' الشركه 2018'!$CI202</f>
        <v>0</v>
      </c>
      <c r="CK292" s="177" t="e">
        <f>' الشركه 2018'!$CJ202*8%</f>
        <v>#REF!</v>
      </c>
      <c r="CL292" s="177" t="e">
        <f>' الشركه 2018'!$CJ202*17%</f>
        <v>#REF!</v>
      </c>
      <c r="CM292" s="177" t="e">
        <f>' الشركه 2018'!$CJ202*25%</f>
        <v>#REF!</v>
      </c>
      <c r="CN292" s="162"/>
      <c r="CO292" s="162"/>
      <c r="CP292" s="163"/>
      <c r="CQ292" s="164" t="e">
        <f>VLOOKUP(Table6[[#This Row],[الرقم الوظيفى]],[4]!Table3[#Data],26,FALSE)</f>
        <v>#REF!</v>
      </c>
      <c r="CR292" s="370"/>
      <c r="CS292" s="124"/>
    </row>
    <row r="293" spans="1:97" ht="21.65" customHeight="1" thickTop="1" thickBot="1">
      <c r="A293" s="181">
        <v>1010</v>
      </c>
      <c r="B293" s="182" t="s">
        <v>145</v>
      </c>
      <c r="C293" s="11" t="s">
        <v>137</v>
      </c>
      <c r="D293" s="183" t="s">
        <v>76</v>
      </c>
      <c r="E293" s="144"/>
      <c r="F293" s="11"/>
      <c r="G293" s="184">
        <v>39995</v>
      </c>
      <c r="H293" s="185">
        <v>3320</v>
      </c>
      <c r="I293" s="103">
        <f>Table6[[#This Row],[مرتب]]/30</f>
        <v>110.66666666666667</v>
      </c>
      <c r="J293" s="143">
        <v>30</v>
      </c>
      <c r="K293" s="143">
        <f t="shared" si="4"/>
        <v>3320</v>
      </c>
      <c r="L293" s="12">
        <v>3320</v>
      </c>
      <c r="M293" s="143">
        <f>Table6[[#This Row],[مرتب الضمان]]*17%</f>
        <v>564.40000000000009</v>
      </c>
      <c r="N293" s="143">
        <f>' الشركه 2018'!$H293*35%</f>
        <v>1162</v>
      </c>
      <c r="O293" s="143">
        <f>' الشركه 2018'!$H293*32%</f>
        <v>1062.4000000000001</v>
      </c>
      <c r="P293" s="143">
        <f>' الشركه 2018'!$H293*12%</f>
        <v>398.4</v>
      </c>
      <c r="Q293" s="143">
        <f>' الشركه 2018'!$H293*13%</f>
        <v>431.6</v>
      </c>
      <c r="R293" s="143">
        <f>' الشركه 2018'!$H293*6%</f>
        <v>199.2</v>
      </c>
      <c r="S293" s="143">
        <f>' الشركه 2018'!$H293*2%</f>
        <v>66.400000000000006</v>
      </c>
      <c r="T293" s="143">
        <f>' الشركه 2018'!$O293+' الشركه 2018'!$P293+' الشركه 2018'!$Q293+' الشركه 2018'!$R293+' الشركه 2018'!$S293</f>
        <v>2158</v>
      </c>
      <c r="U293" s="109">
        <f>VLOOKUP(Table6[[#This Row],[الرقم الوظيفى]],[2]بالخصم!$B$1:$AK$1200,35,)</f>
        <v>0</v>
      </c>
      <c r="V293" s="186"/>
      <c r="W293" s="187">
        <f>Table6[[#This Row],[عدد ايام الاجازه]]*Table6[[#This Row],[ح راتب اليوم]]</f>
        <v>0</v>
      </c>
      <c r="X293" s="188"/>
      <c r="Y293" s="189"/>
      <c r="Z293" s="380">
        <f>Table6[[#This Row],[عدد ايام الجزاء]]*Table6[[#This Row],[ح راتب اليوم]]</f>
        <v>0</v>
      </c>
      <c r="AA293" s="190">
        <v>500</v>
      </c>
      <c r="AB293" s="191" t="e">
        <f>VLOOKUP(Table6[[#This Row],[الرقم الوظيفى]],[3]!Table25289[#Data],23,)</f>
        <v>#REF!</v>
      </c>
      <c r="AC293" s="224"/>
      <c r="AD293" s="193"/>
      <c r="AE293" s="113" t="e">
        <f>VLOOKUP(Table6[[#This Row],[الرقم الوظيفى]],[3]!Table252894[#Data],22,)</f>
        <v>#REF!</v>
      </c>
      <c r="AF293" s="226"/>
      <c r="AG293" s="111">
        <f>' الشركه 2018'!$W293+' الشركه 2018'!$Z293+' الشركه 2018'!$AA293+' الشركه 2018'!$AC293+' الشركه 2018'!$AD293+' الشركه 2018'!$AF293</f>
        <v>500</v>
      </c>
      <c r="AH293" s="111">
        <f>Table6[[#This Row],[راتب الضمان]]*8%</f>
        <v>265.60000000000002</v>
      </c>
      <c r="AI293" s="111">
        <f>' الشركه 2018'!$H293-' الشركه 2018'!$AG293-' الشركه 2018'!$AH293</f>
        <v>2554.4</v>
      </c>
      <c r="AJ293" s="111">
        <f>' الشركه 2018'!$CF293</f>
        <v>684.96548076923079</v>
      </c>
      <c r="AK293" s="117">
        <f>' الشركه 2018'!$AI293+' الشركه 2018'!$AJ293</f>
        <v>3239.365480769231</v>
      </c>
      <c r="AL293" s="195"/>
      <c r="AM293" s="196"/>
      <c r="AN293" s="9">
        <f>Table6[[#This Row],[اجمالى الاستحقاق]]-Table6[[#This Row],[Column2]]+Table6[[#This Row],[حوافز غير مستقره]]</f>
        <v>3239.365480769231</v>
      </c>
      <c r="AO293" s="197"/>
      <c r="AP293" s="198"/>
      <c r="AQ293" s="176"/>
      <c r="AR293" s="124"/>
      <c r="AS293" s="155"/>
      <c r="AT293" s="170">
        <v>1</v>
      </c>
      <c r="AU293" s="124">
        <v>2</v>
      </c>
      <c r="AV293" s="124"/>
      <c r="AW293" s="124">
        <v>1</v>
      </c>
      <c r="AX293" s="124"/>
      <c r="AY293" s="124">
        <v>2.5</v>
      </c>
      <c r="AZ293" s="124">
        <v>2.2999999999999998</v>
      </c>
      <c r="BA293" s="124">
        <v>3</v>
      </c>
      <c r="BB293" s="124">
        <v>2.9</v>
      </c>
      <c r="BC293" s="124"/>
      <c r="BD293" s="124">
        <v>1.2</v>
      </c>
      <c r="BE293" s="124">
        <v>2.8</v>
      </c>
      <c r="BF293" s="124">
        <v>2.5</v>
      </c>
      <c r="BG293" s="124">
        <v>5.0999999999999996</v>
      </c>
      <c r="BH293" s="124">
        <v>2</v>
      </c>
      <c r="BI293" s="124">
        <v>2</v>
      </c>
      <c r="BJ293" s="124"/>
      <c r="BK293" s="124">
        <v>1.5</v>
      </c>
      <c r="BL293" s="124">
        <v>2</v>
      </c>
      <c r="BM293" s="124">
        <v>1.9</v>
      </c>
      <c r="BN293" s="124">
        <v>2</v>
      </c>
      <c r="BO293" s="124"/>
      <c r="BP293" s="124"/>
      <c r="BQ293" s="124"/>
      <c r="BR293" s="124"/>
      <c r="BS293" s="124">
        <v>2</v>
      </c>
      <c r="BT293" s="124">
        <v>1.5</v>
      </c>
      <c r="BU293" s="124">
        <v>1.5</v>
      </c>
      <c r="BV293" s="124"/>
      <c r="BW293" s="124"/>
      <c r="BX293" s="124"/>
      <c r="BY293" s="124"/>
      <c r="BZ293" s="159"/>
      <c r="CA293" s="160"/>
      <c r="CB293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42.699999999999996</v>
      </c>
      <c r="CC29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3" s="131">
        <f>' الشركه 2018'!$H293*67%*1.5*' الشركه 2018'!$CB293/208</f>
        <v>684.96548076923079</v>
      </c>
      <c r="CE293" s="132">
        <f>' الشركه 2018'!$H293*67%*2*' الشركه 2018'!$CC293/208</f>
        <v>0</v>
      </c>
      <c r="CF293" s="133">
        <f>' الشركه 2018'!$CD293+' الشركه 2018'!$CE293</f>
        <v>684.96548076923079</v>
      </c>
      <c r="CG293" s="124"/>
      <c r="CH293" s="177">
        <f>SUMIF(C293:C615,' الشركه 2018'!#REF!,L293:L615)</f>
        <v>0</v>
      </c>
      <c r="CI293" s="124"/>
      <c r="CJ293" s="177" t="e">
        <f>' الشركه 2018'!#REF!*' الشركه 2018'!#REF!</f>
        <v>#REF!</v>
      </c>
      <c r="CK293" s="177" t="e">
        <f>' الشركه 2018'!#REF!*8%</f>
        <v>#REF!</v>
      </c>
      <c r="CL293" s="177" t="e">
        <f>' الشركه 2018'!#REF!*17%</f>
        <v>#REF!</v>
      </c>
      <c r="CM293" s="177" t="e">
        <f>' الشركه 2018'!#REF!*25%</f>
        <v>#REF!</v>
      </c>
      <c r="CN293" s="162"/>
      <c r="CO293" s="162"/>
      <c r="CP293" s="163"/>
      <c r="CQ293" s="164" t="e">
        <f>VLOOKUP(Table6[[#This Row],[الرقم الوظيفى]],[4]!Table3[#Data],26,FALSE)</f>
        <v>#REF!</v>
      </c>
      <c r="CR293" s="370"/>
      <c r="CS293" s="124"/>
    </row>
    <row r="294" spans="1:97" ht="28" customHeight="1" thickTop="1" thickBot="1">
      <c r="A294" s="181">
        <v>1011</v>
      </c>
      <c r="B294" s="182" t="s">
        <v>144</v>
      </c>
      <c r="C294" s="11" t="s">
        <v>137</v>
      </c>
      <c r="D294" s="183" t="s">
        <v>76</v>
      </c>
      <c r="E294" s="144"/>
      <c r="F294" s="11"/>
      <c r="G294" s="184">
        <v>39264</v>
      </c>
      <c r="H294" s="185">
        <v>3570</v>
      </c>
      <c r="I294" s="103">
        <f>Table6[[#This Row],[مرتب]]/30</f>
        <v>119</v>
      </c>
      <c r="J294" s="143">
        <v>30</v>
      </c>
      <c r="K294" s="143">
        <f t="shared" si="4"/>
        <v>3570</v>
      </c>
      <c r="L294" s="12">
        <v>3570</v>
      </c>
      <c r="M294" s="143">
        <f>Table6[[#This Row],[مرتب الضمان]]*17%</f>
        <v>606.90000000000009</v>
      </c>
      <c r="N294" s="143">
        <f>' الشركه 2018'!$H294*35%</f>
        <v>1249.5</v>
      </c>
      <c r="O294" s="143">
        <f>' الشركه 2018'!$H294*32%</f>
        <v>1142.4000000000001</v>
      </c>
      <c r="P294" s="143">
        <f>' الشركه 2018'!$H294*12%</f>
        <v>428.4</v>
      </c>
      <c r="Q294" s="143">
        <f>' الشركه 2018'!$H294*13%</f>
        <v>464.1</v>
      </c>
      <c r="R294" s="143">
        <f>' الشركه 2018'!$H294*6%</f>
        <v>214.2</v>
      </c>
      <c r="S294" s="143">
        <f>' الشركه 2018'!$H294*2%</f>
        <v>71.400000000000006</v>
      </c>
      <c r="T294" s="143">
        <f>' الشركه 2018'!$O294+' الشركه 2018'!$P294+' الشركه 2018'!$Q294+' الشركه 2018'!$R294+' الشركه 2018'!$S294</f>
        <v>2320.5</v>
      </c>
      <c r="U294" s="109">
        <f>VLOOKUP(Table6[[#This Row],[الرقم الوظيفى]],[2]بالخصم!$B$1:$AK$1200,35,)</f>
        <v>0</v>
      </c>
      <c r="V294" s="186"/>
      <c r="W294" s="187">
        <f>Table6[[#This Row],[عدد ايام الاجازه]]*Table6[[#This Row],[ح راتب اليوم]]</f>
        <v>0</v>
      </c>
      <c r="X294" s="188"/>
      <c r="Y294" s="189"/>
      <c r="Z294" s="380">
        <f>Table6[[#This Row],[عدد ايام الجزاء]]*Table6[[#This Row],[ح راتب اليوم]]</f>
        <v>0</v>
      </c>
      <c r="AA294" s="190">
        <v>1000</v>
      </c>
      <c r="AB294" s="191" t="e">
        <f>VLOOKUP(Table6[[#This Row],[الرقم الوظيفى]],[3]!Table25289[#Data],23,)</f>
        <v>#REF!</v>
      </c>
      <c r="AC294" s="224"/>
      <c r="AD294" s="193"/>
      <c r="AE294" s="113" t="e">
        <f>VLOOKUP(Table6[[#This Row],[الرقم الوظيفى]],[3]!Table252894[#Data],22,)</f>
        <v>#REF!</v>
      </c>
      <c r="AF294" s="226"/>
      <c r="AG294" s="111">
        <f>' الشركه 2018'!$W294+' الشركه 2018'!$Z294+' الشركه 2018'!$AA294+' الشركه 2018'!$AC294+' الشركه 2018'!$AD294+' الشركه 2018'!$AF294</f>
        <v>1000</v>
      </c>
      <c r="AH294" s="111">
        <f>Table6[[#This Row],[راتب الضمان]]*8%</f>
        <v>285.60000000000002</v>
      </c>
      <c r="AI294" s="111">
        <f>' الشركه 2018'!$H294-' الشركه 2018'!$AG294-' الشركه 2018'!$AH294</f>
        <v>2284.4</v>
      </c>
      <c r="AJ294" s="111">
        <f>' الشركه 2018'!$CF294</f>
        <v>1355.7933173076926</v>
      </c>
      <c r="AK294" s="117">
        <f>' الشركه 2018'!$AI294+' الشركه 2018'!$AJ294</f>
        <v>3640.1933173076927</v>
      </c>
      <c r="AL294" s="195"/>
      <c r="AM294" s="196"/>
      <c r="AN294" s="9">
        <f>Table6[[#This Row],[اجمالى الاستحقاق]]-Table6[[#This Row],[Column2]]+Table6[[#This Row],[حوافز غير مستقره]]</f>
        <v>3640.1933173076927</v>
      </c>
      <c r="AO294" s="197"/>
      <c r="AP294" s="198"/>
      <c r="AQ294" s="176"/>
      <c r="AR294" s="124"/>
      <c r="AS294" s="155"/>
      <c r="AT294" s="170">
        <v>5.5</v>
      </c>
      <c r="AU294" s="124">
        <v>5</v>
      </c>
      <c r="AV294" s="124"/>
      <c r="AW294" s="124"/>
      <c r="AX294" s="124">
        <v>4.5</v>
      </c>
      <c r="AY294" s="124">
        <v>4</v>
      </c>
      <c r="AZ294" s="124">
        <v>4.5</v>
      </c>
      <c r="BA294" s="124">
        <v>3.5</v>
      </c>
      <c r="BB294" s="124">
        <v>2.5</v>
      </c>
      <c r="BC294" s="124"/>
      <c r="BD294" s="124"/>
      <c r="BE294" s="124">
        <v>3</v>
      </c>
      <c r="BF294" s="124">
        <v>4.2</v>
      </c>
      <c r="BG294" s="124">
        <v>4.9000000000000004</v>
      </c>
      <c r="BH294" s="124">
        <v>5.2</v>
      </c>
      <c r="BI294" s="124">
        <v>4.5</v>
      </c>
      <c r="BJ294" s="124"/>
      <c r="BK294" s="124"/>
      <c r="BL294" s="124">
        <v>3.5</v>
      </c>
      <c r="BM294" s="124">
        <v>2.5</v>
      </c>
      <c r="BN294" s="124">
        <v>4.5</v>
      </c>
      <c r="BO294" s="124"/>
      <c r="BP294" s="124">
        <v>8</v>
      </c>
      <c r="BQ294" s="124"/>
      <c r="BR294" s="124">
        <v>1.5</v>
      </c>
      <c r="BS294" s="124">
        <v>3</v>
      </c>
      <c r="BT294" s="124">
        <v>2.2000000000000002</v>
      </c>
      <c r="BU294" s="124">
        <v>2.1</v>
      </c>
      <c r="BV294" s="124"/>
      <c r="BW294" s="124"/>
      <c r="BX294" s="124"/>
      <c r="BY294" s="124"/>
      <c r="BZ294" s="159"/>
      <c r="CA294" s="160"/>
      <c r="CB294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78.600000000000009</v>
      </c>
      <c r="CC29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4" s="131">
        <f>' الشركه 2018'!$H294*67%*1.5*' الشركه 2018'!$CB294/208</f>
        <v>1355.7933173076926</v>
      </c>
      <c r="CE294" s="132">
        <f>' الشركه 2018'!$H294*67%*2*' الشركه 2018'!$CC294/208</f>
        <v>0</v>
      </c>
      <c r="CF294" s="133">
        <f>' الشركه 2018'!$CD294+' الشركه 2018'!$CE294</f>
        <v>1355.7933173076926</v>
      </c>
      <c r="CG294" s="124"/>
      <c r="CH294" s="177">
        <f>SUMIF(C294:C616,' الشركه 2018'!$CG203,L294:L616)</f>
        <v>0</v>
      </c>
      <c r="CI294" s="124"/>
      <c r="CJ294" s="177">
        <f>' الشركه 2018'!$CH203*' الشركه 2018'!$CI203</f>
        <v>0</v>
      </c>
      <c r="CK294" s="177">
        <f>' الشركه 2018'!$CJ203*8%</f>
        <v>0</v>
      </c>
      <c r="CL294" s="177">
        <f>' الشركه 2018'!$CJ203*17%</f>
        <v>0</v>
      </c>
      <c r="CM294" s="177">
        <f>' الشركه 2018'!$CJ203*25%</f>
        <v>0</v>
      </c>
      <c r="CN294" s="162"/>
      <c r="CO294" s="162"/>
      <c r="CP294" s="241">
        <v>600</v>
      </c>
      <c r="CQ294" s="164" t="e">
        <f>VLOOKUP(Table6[[#This Row],[الرقم الوظيفى]],[4]!Table3[#Data],26,FALSE)</f>
        <v>#REF!</v>
      </c>
      <c r="CR294" s="370"/>
      <c r="CS294" s="124"/>
    </row>
    <row r="295" spans="1:97" ht="28" customHeight="1" thickTop="1" thickBot="1">
      <c r="A295" s="181">
        <v>1012</v>
      </c>
      <c r="B295" s="182" t="s">
        <v>143</v>
      </c>
      <c r="C295" s="11" t="s">
        <v>137</v>
      </c>
      <c r="D295" s="183" t="s">
        <v>76</v>
      </c>
      <c r="E295" s="174"/>
      <c r="F295" s="143"/>
      <c r="G295" s="184">
        <v>39142</v>
      </c>
      <c r="H295" s="185">
        <v>3420</v>
      </c>
      <c r="I295" s="103">
        <f>Table6[[#This Row],[مرتب]]/30</f>
        <v>114</v>
      </c>
      <c r="J295" s="143">
        <v>30</v>
      </c>
      <c r="K295" s="143">
        <f t="shared" si="4"/>
        <v>3420</v>
      </c>
      <c r="L295" s="12">
        <v>3420</v>
      </c>
      <c r="M295" s="143">
        <f>Table6[[#This Row],[مرتب الضمان]]*17%</f>
        <v>581.40000000000009</v>
      </c>
      <c r="N295" s="143">
        <f>' الشركه 2018'!$H295*35%</f>
        <v>1197</v>
      </c>
      <c r="O295" s="143">
        <f>' الشركه 2018'!$H295*32%</f>
        <v>1094.4000000000001</v>
      </c>
      <c r="P295" s="143">
        <f>' الشركه 2018'!$H295*12%</f>
        <v>410.4</v>
      </c>
      <c r="Q295" s="143">
        <f>' الشركه 2018'!$H295*13%</f>
        <v>444.6</v>
      </c>
      <c r="R295" s="143">
        <f>' الشركه 2018'!$H295*6%</f>
        <v>205.2</v>
      </c>
      <c r="S295" s="143">
        <f>' الشركه 2018'!$H295*2%</f>
        <v>68.400000000000006</v>
      </c>
      <c r="T295" s="143">
        <f>' الشركه 2018'!$O295+' الشركه 2018'!$P295+' الشركه 2018'!$Q295+' الشركه 2018'!$R295+' الشركه 2018'!$S295</f>
        <v>2223</v>
      </c>
      <c r="U295" s="109">
        <f>VLOOKUP(Table6[[#This Row],[الرقم الوظيفى]],[2]بالخصم!$B$1:$AK$1200,35,)</f>
        <v>0</v>
      </c>
      <c r="V295" s="186"/>
      <c r="W295" s="187">
        <f>Table6[[#This Row],[عدد ايام الاجازه]]*Table6[[#This Row],[ح راتب اليوم]]</f>
        <v>0</v>
      </c>
      <c r="X295" s="188"/>
      <c r="Y295" s="189"/>
      <c r="Z295" s="380">
        <f>Table6[[#This Row],[عدد ايام الجزاء]]*Table6[[#This Row],[ح راتب اليوم]]</f>
        <v>0</v>
      </c>
      <c r="AA295" s="190">
        <v>1000</v>
      </c>
      <c r="AB295" s="191" t="e">
        <f>VLOOKUP(Table6[[#This Row],[الرقم الوظيفى]],[3]!Table25289[#Data],23,)</f>
        <v>#REF!</v>
      </c>
      <c r="AC295" s="224"/>
      <c r="AD295" s="225"/>
      <c r="AE295" s="113" t="e">
        <f>VLOOKUP(Table6[[#This Row],[الرقم الوظيفى]],[3]!Table252894[#Data],22,)</f>
        <v>#REF!</v>
      </c>
      <c r="AF295" s="226"/>
      <c r="AG295" s="111">
        <f>' الشركه 2018'!$W295+' الشركه 2018'!$Z295+' الشركه 2018'!$AA295+' الشركه 2018'!$AC295+' الشركه 2018'!$AD295+' الشركه 2018'!$AF295</f>
        <v>1000</v>
      </c>
      <c r="AH295" s="111">
        <f>Table6[[#This Row],[راتب الضمان]]*8%</f>
        <v>273.60000000000002</v>
      </c>
      <c r="AI295" s="111">
        <f>' الشركه 2018'!$H295-' الشركه 2018'!$AG295-' الشركه 2018'!$AH295</f>
        <v>2146.4</v>
      </c>
      <c r="AJ295" s="111">
        <f>' الشركه 2018'!$CF295</f>
        <v>8.2622596153846164</v>
      </c>
      <c r="AK295" s="117">
        <f>' الشركه 2018'!$AI295+' الشركه 2018'!$AJ295</f>
        <v>2154.6622596153848</v>
      </c>
      <c r="AL295" s="195"/>
      <c r="AM295" s="196"/>
      <c r="AN295" s="9">
        <f>Table6[[#This Row],[اجمالى الاستحقاق]]-Table6[[#This Row],[Column2]]+Table6[[#This Row],[حوافز غير مستقره]]</f>
        <v>2154.6622596153848</v>
      </c>
      <c r="AO295" s="197"/>
      <c r="AP295" s="198"/>
      <c r="AQ295" s="176"/>
      <c r="AR295" s="124"/>
      <c r="AS295" s="155"/>
      <c r="AT295" s="170"/>
      <c r="AU295" s="124"/>
      <c r="AV295" s="124"/>
      <c r="AW295" s="124"/>
      <c r="AX295" s="124"/>
      <c r="AY295" s="124"/>
      <c r="AZ295" s="124"/>
      <c r="BA295" s="124"/>
      <c r="BB295" s="124"/>
      <c r="BC295" s="124"/>
      <c r="BD295" s="124"/>
      <c r="BE295" s="124"/>
      <c r="BF295" s="124"/>
      <c r="BG295" s="124"/>
      <c r="BH295" s="124"/>
      <c r="BI295" s="124"/>
      <c r="BJ295" s="124"/>
      <c r="BK295" s="124"/>
      <c r="BL295" s="124"/>
      <c r="BM295" s="124"/>
      <c r="BN295" s="124"/>
      <c r="BO295" s="124"/>
      <c r="BP295" s="124"/>
      <c r="BQ295" s="124"/>
      <c r="BR295" s="124"/>
      <c r="BS295" s="124"/>
      <c r="BT295" s="124">
        <v>0.5</v>
      </c>
      <c r="BU295" s="124"/>
      <c r="BV295" s="124"/>
      <c r="BW295" s="124"/>
      <c r="BX295" s="124"/>
      <c r="BY295" s="124"/>
      <c r="BZ295" s="171"/>
      <c r="CA295" s="172"/>
      <c r="CB295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0.5</v>
      </c>
      <c r="CC29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5" s="131">
        <f>' الشركه 2018'!$H295*67%*1.5*' الشركه 2018'!$CB295/208</f>
        <v>8.2622596153846164</v>
      </c>
      <c r="CE295" s="132">
        <f>' الشركه 2018'!$H295*67%*2*' الشركه 2018'!$CC295/208</f>
        <v>0</v>
      </c>
      <c r="CF295" s="133">
        <f>' الشركه 2018'!$CD295+' الشركه 2018'!$CE295</f>
        <v>8.2622596153846164</v>
      </c>
      <c r="CG295" s="124"/>
      <c r="CH295" s="177">
        <f>SUMIF(C295:C617,' الشركه 2018'!#REF!,L295:L617)</f>
        <v>0</v>
      </c>
      <c r="CI295" s="124"/>
      <c r="CJ295" s="177" t="e">
        <f>' الشركه 2018'!#REF!*' الشركه 2018'!#REF!</f>
        <v>#REF!</v>
      </c>
      <c r="CK295" s="177" t="e">
        <f>' الشركه 2018'!#REF!*8%</f>
        <v>#REF!</v>
      </c>
      <c r="CL295" s="177" t="e">
        <f>' الشركه 2018'!#REF!*17%</f>
        <v>#REF!</v>
      </c>
      <c r="CM295" s="177" t="e">
        <f>' الشركه 2018'!#REF!*25%</f>
        <v>#REF!</v>
      </c>
      <c r="CN295" s="162"/>
      <c r="CO295" s="162"/>
      <c r="CP295" s="241">
        <v>600</v>
      </c>
      <c r="CQ295" s="164" t="e">
        <f>VLOOKUP(Table6[[#This Row],[الرقم الوظيفى]],[4]!Table3[#Data],26,FALSE)</f>
        <v>#REF!</v>
      </c>
      <c r="CR295" s="370"/>
      <c r="CS295" s="124"/>
    </row>
    <row r="296" spans="1:97" ht="21.65" customHeight="1" thickTop="1" thickBot="1">
      <c r="A296" s="181">
        <v>1013</v>
      </c>
      <c r="B296" s="182" t="s">
        <v>156</v>
      </c>
      <c r="C296" s="11" t="s">
        <v>137</v>
      </c>
      <c r="D296" s="183" t="s">
        <v>80</v>
      </c>
      <c r="E296" s="174"/>
      <c r="F296" s="143"/>
      <c r="G296" s="184">
        <v>41365</v>
      </c>
      <c r="H296" s="185">
        <v>5640</v>
      </c>
      <c r="I296" s="103">
        <f>Table6[[#This Row],[مرتب]]/30</f>
        <v>188</v>
      </c>
      <c r="J296" s="143">
        <v>30</v>
      </c>
      <c r="K296" s="143">
        <f t="shared" si="4"/>
        <v>5640</v>
      </c>
      <c r="L296" s="12">
        <v>5640</v>
      </c>
      <c r="M296" s="143">
        <f>Table6[[#This Row],[مرتب الضمان]]*17%</f>
        <v>958.80000000000007</v>
      </c>
      <c r="N296" s="143">
        <f>' الشركه 2018'!$H296*35%</f>
        <v>1973.9999999999998</v>
      </c>
      <c r="O296" s="143">
        <f>' الشركه 2018'!$H296*32%</f>
        <v>1804.8</v>
      </c>
      <c r="P296" s="143">
        <f>' الشركه 2018'!$H296*12%</f>
        <v>676.8</v>
      </c>
      <c r="Q296" s="143">
        <f>' الشركه 2018'!$H296*13%</f>
        <v>733.2</v>
      </c>
      <c r="R296" s="143">
        <f>' الشركه 2018'!$H296*6%</f>
        <v>338.4</v>
      </c>
      <c r="S296" s="143">
        <f>' الشركه 2018'!$H296*2%</f>
        <v>112.8</v>
      </c>
      <c r="T296" s="143">
        <f>' الشركه 2018'!$O296+' الشركه 2018'!$P296+' الشركه 2018'!$Q296+' الشركه 2018'!$R296+' الشركه 2018'!$S296</f>
        <v>3666.0000000000005</v>
      </c>
      <c r="U296" s="109">
        <f>VLOOKUP(Table6[[#This Row],[الرقم الوظيفى]],[2]بالخصم!$B$1:$AK$1200,35,)</f>
        <v>0</v>
      </c>
      <c r="V296" s="186"/>
      <c r="W296" s="187">
        <f>Table6[[#This Row],[عدد ايام الاجازه]]*Table6[[#This Row],[ح راتب اليوم]]</f>
        <v>0</v>
      </c>
      <c r="X296" s="188"/>
      <c r="Y296" s="189"/>
      <c r="Z296" s="380">
        <f>Table6[[#This Row],[عدد ايام الجزاء]]*Table6[[#This Row],[ح راتب اليوم]]</f>
        <v>0</v>
      </c>
      <c r="AA296" s="190">
        <v>1000</v>
      </c>
      <c r="AB296" s="191" t="e">
        <f>VLOOKUP(Table6[[#This Row],[الرقم الوظيفى]],[3]!Table25289[#Data],23,)</f>
        <v>#REF!</v>
      </c>
      <c r="AC296" s="224"/>
      <c r="AD296" s="193"/>
      <c r="AE296" s="113" t="e">
        <f>VLOOKUP(Table6[[#This Row],[الرقم الوظيفى]],[3]!Table252894[#Data],22,)</f>
        <v>#REF!</v>
      </c>
      <c r="AF296" s="226">
        <v>400</v>
      </c>
      <c r="AG296" s="111">
        <f>' الشركه 2018'!$W296+' الشركه 2018'!$Z296+' الشركه 2018'!$AA296+' الشركه 2018'!$AC296+' الشركه 2018'!$AD296+' الشركه 2018'!$AF296</f>
        <v>1400</v>
      </c>
      <c r="AH296" s="111">
        <f>Table6[[#This Row],[راتب الضمان]]*8%</f>
        <v>451.2</v>
      </c>
      <c r="AI296" s="111">
        <f>' الشركه 2018'!$H296-' الشركه 2018'!$AG296-' الشركه 2018'!$AH296</f>
        <v>3788.8</v>
      </c>
      <c r="AJ296" s="111">
        <f>' الشركه 2018'!$CF296</f>
        <v>149.8802884615385</v>
      </c>
      <c r="AK296" s="117">
        <f>' الشركه 2018'!$AI296+' الشركه 2018'!$AJ296</f>
        <v>3938.6802884615386</v>
      </c>
      <c r="AL296" s="195"/>
      <c r="AM296" s="196"/>
      <c r="AN296" s="9">
        <f>Table6[[#This Row],[اجمالى الاستحقاق]]-Table6[[#This Row],[Column2]]+Table6[[#This Row],[حوافز غير مستقره]]</f>
        <v>3938.6802884615386</v>
      </c>
      <c r="AO296" s="197"/>
      <c r="AP296" s="198"/>
      <c r="AQ296" s="176"/>
      <c r="AR296" s="124"/>
      <c r="AS296" s="155"/>
      <c r="AT296" s="170"/>
      <c r="AU296" s="124"/>
      <c r="AV296" s="124"/>
      <c r="AW296" s="124"/>
      <c r="AX296" s="124"/>
      <c r="AY296" s="124"/>
      <c r="AZ296" s="124"/>
      <c r="BA296" s="124"/>
      <c r="BB296" s="124"/>
      <c r="BC296" s="124"/>
      <c r="BD296" s="124"/>
      <c r="BE296" s="124">
        <v>0.5</v>
      </c>
      <c r="BF296" s="124"/>
      <c r="BG296" s="124"/>
      <c r="BH296" s="124"/>
      <c r="BI296" s="124"/>
      <c r="BJ296" s="124"/>
      <c r="BK296" s="124"/>
      <c r="BL296" s="124"/>
      <c r="BM296" s="124">
        <v>1</v>
      </c>
      <c r="BN296" s="124">
        <v>1.5</v>
      </c>
      <c r="BO296" s="124"/>
      <c r="BP296" s="124"/>
      <c r="BQ296" s="124"/>
      <c r="BR296" s="124"/>
      <c r="BS296" s="124">
        <v>1</v>
      </c>
      <c r="BT296" s="124">
        <v>1.5</v>
      </c>
      <c r="BU296" s="124"/>
      <c r="BV296" s="124"/>
      <c r="BW296" s="124"/>
      <c r="BX296" s="124"/>
      <c r="BY296" s="124"/>
      <c r="BZ296" s="159"/>
      <c r="CA296" s="160"/>
      <c r="CB296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5.5</v>
      </c>
      <c r="CC29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6" s="131">
        <f>' الشركه 2018'!$H296*67%*1.5*' الشركه 2018'!$CB296/208</f>
        <v>149.8802884615385</v>
      </c>
      <c r="CE296" s="132">
        <f>' الشركه 2018'!$H296*67%*2*' الشركه 2018'!$CC296/208</f>
        <v>0</v>
      </c>
      <c r="CF296" s="133">
        <f>' الشركه 2018'!$CD296+' الشركه 2018'!$CE296</f>
        <v>149.8802884615385</v>
      </c>
      <c r="CG296" s="124"/>
      <c r="CH296" s="177">
        <f>SUMIF(C296:C618,' الشركه 2018'!$CG204,L296:L618)</f>
        <v>0</v>
      </c>
      <c r="CI296" s="124"/>
      <c r="CJ296" s="177">
        <f>' الشركه 2018'!$CH204*' الشركه 2018'!$CI204</f>
        <v>0</v>
      </c>
      <c r="CK296" s="177" t="e">
        <f>' الشركه 2018'!$CJ204*8%</f>
        <v>#REF!</v>
      </c>
      <c r="CL296" s="177" t="e">
        <f>' الشركه 2018'!$CJ204*17%</f>
        <v>#REF!</v>
      </c>
      <c r="CM296" s="177" t="e">
        <f>' الشركه 2018'!$CJ204*25%</f>
        <v>#REF!</v>
      </c>
      <c r="CN296" s="162"/>
      <c r="CO296" s="162"/>
      <c r="CP296" s="241">
        <v>500</v>
      </c>
      <c r="CQ296" s="164" t="e">
        <f>VLOOKUP(Table6[[#This Row],[الرقم الوظيفى]],[4]!Table3[#Data],26,FALSE)</f>
        <v>#REF!</v>
      </c>
      <c r="CR296" s="370"/>
      <c r="CS296" s="124"/>
    </row>
    <row r="297" spans="1:97" ht="21.65" customHeight="1" thickTop="1" thickBot="1">
      <c r="A297" s="181">
        <v>1014</v>
      </c>
      <c r="B297" s="182" t="s">
        <v>140</v>
      </c>
      <c r="C297" s="11" t="s">
        <v>137</v>
      </c>
      <c r="D297" s="183" t="s">
        <v>70</v>
      </c>
      <c r="E297" s="174"/>
      <c r="F297" s="143"/>
      <c r="G297" s="184">
        <v>41262</v>
      </c>
      <c r="H297" s="185">
        <v>4750</v>
      </c>
      <c r="I297" s="103">
        <f>Table6[[#This Row],[مرتب]]/30</f>
        <v>158.33333333333334</v>
      </c>
      <c r="J297" s="143">
        <v>30</v>
      </c>
      <c r="K297" s="143">
        <f t="shared" si="4"/>
        <v>4750</v>
      </c>
      <c r="L297" s="12">
        <v>4750</v>
      </c>
      <c r="M297" s="143">
        <f>Table6[[#This Row],[مرتب الضمان]]*17%</f>
        <v>807.50000000000011</v>
      </c>
      <c r="N297" s="143">
        <f>' الشركه 2018'!$H297*35%</f>
        <v>1662.5</v>
      </c>
      <c r="O297" s="143">
        <f>' الشركه 2018'!$H297*32%</f>
        <v>1520</v>
      </c>
      <c r="P297" s="143">
        <f>' الشركه 2018'!$H297*12%</f>
        <v>570</v>
      </c>
      <c r="Q297" s="143">
        <f>' الشركه 2018'!$H297*13%</f>
        <v>617.5</v>
      </c>
      <c r="R297" s="143">
        <f>' الشركه 2018'!$H297*6%</f>
        <v>285</v>
      </c>
      <c r="S297" s="143">
        <f>' الشركه 2018'!$H297*2%</f>
        <v>95</v>
      </c>
      <c r="T297" s="143">
        <f>' الشركه 2018'!$O297+' الشركه 2018'!$P297+' الشركه 2018'!$Q297+' الشركه 2018'!$R297+' الشركه 2018'!$S297</f>
        <v>3087.5</v>
      </c>
      <c r="U297" s="109">
        <f>VLOOKUP(Table6[[#This Row],[الرقم الوظيفى]],[2]بالخصم!$B$1:$AK$1200,35,)</f>
        <v>0</v>
      </c>
      <c r="V297" s="186"/>
      <c r="W297" s="187">
        <f>Table6[[#This Row],[عدد ايام الاجازه]]*Table6[[#This Row],[ح راتب اليوم]]</f>
        <v>0</v>
      </c>
      <c r="X297" s="188"/>
      <c r="Y297" s="189"/>
      <c r="Z297" s="380">
        <f>Table6[[#This Row],[عدد ايام الجزاء]]*Table6[[#This Row],[ح راتب اليوم]]</f>
        <v>0</v>
      </c>
      <c r="AA297" s="190">
        <v>2000</v>
      </c>
      <c r="AB297" s="191" t="e">
        <f>VLOOKUP(Table6[[#This Row],[الرقم الوظيفى]],[3]!Table25289[#Data],23,)</f>
        <v>#REF!</v>
      </c>
      <c r="AC297" s="224"/>
      <c r="AD297" s="193"/>
      <c r="AE297" s="113" t="e">
        <f>VLOOKUP(Table6[[#This Row],[الرقم الوظيفى]],[3]!Table252894[#Data],22,)</f>
        <v>#REF!</v>
      </c>
      <c r="AF297" s="226"/>
      <c r="AG297" s="111">
        <f>' الشركه 2018'!$W297+' الشركه 2018'!$Z297+' الشركه 2018'!$AA297+' الشركه 2018'!$AC297+' الشركه 2018'!$AD297+' الشركه 2018'!$AF297</f>
        <v>2000</v>
      </c>
      <c r="AH297" s="111">
        <f>Table6[[#This Row],[راتب الضمان]]*8%</f>
        <v>380</v>
      </c>
      <c r="AI297" s="111">
        <f>' الشركه 2018'!$H297-' الشركه 2018'!$AG297-' الشركه 2018'!$AH297</f>
        <v>2370</v>
      </c>
      <c r="AJ297" s="111">
        <f>' الشركه 2018'!$CF297</f>
        <v>55.081730769230766</v>
      </c>
      <c r="AK297" s="117">
        <f>' الشركه 2018'!$AI297+' الشركه 2018'!$AJ297</f>
        <v>2425.0817307692309</v>
      </c>
      <c r="AL297" s="195"/>
      <c r="AM297" s="196"/>
      <c r="AN297" s="9">
        <f>Table6[[#This Row],[اجمالى الاستحقاق]]-Table6[[#This Row],[Column2]]+Table6[[#This Row],[حوافز غير مستقره]]</f>
        <v>2425.0817307692309</v>
      </c>
      <c r="AO297" s="197"/>
      <c r="AP297" s="198"/>
      <c r="AQ297" s="176"/>
      <c r="AR297" s="124"/>
      <c r="AS297" s="155"/>
      <c r="AT297" s="170"/>
      <c r="AU297" s="124"/>
      <c r="AV297" s="124"/>
      <c r="AW297" s="124"/>
      <c r="AX297" s="124"/>
      <c r="AY297" s="124"/>
      <c r="AZ297" s="124">
        <v>1.2</v>
      </c>
      <c r="BA297" s="124"/>
      <c r="BB297" s="124">
        <v>1.2</v>
      </c>
      <c r="BC297" s="124"/>
      <c r="BD297" s="124"/>
      <c r="BE297" s="124"/>
      <c r="BF297" s="124"/>
      <c r="BG297" s="124"/>
      <c r="BH297" s="124"/>
      <c r="BI297" s="124"/>
      <c r="BJ297" s="124"/>
      <c r="BK297" s="124"/>
      <c r="BL297" s="124"/>
      <c r="BM297" s="124"/>
      <c r="BN297" s="124"/>
      <c r="BO297" s="124"/>
      <c r="BP297" s="124"/>
      <c r="BQ297" s="124"/>
      <c r="BR297" s="124"/>
      <c r="BS297" s="124"/>
      <c r="BT297" s="124"/>
      <c r="BU297" s="124"/>
      <c r="BV297" s="124"/>
      <c r="BW297" s="124"/>
      <c r="BX297" s="124"/>
      <c r="BY297" s="124"/>
      <c r="BZ297" s="171"/>
      <c r="CA297" s="172"/>
      <c r="CB297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2.4</v>
      </c>
      <c r="CC29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7" s="131">
        <f>' الشركه 2018'!$H297*67%*1.5*' الشركه 2018'!$CB297/208</f>
        <v>55.081730769230766</v>
      </c>
      <c r="CE297" s="132">
        <f>' الشركه 2018'!$H297*67%*2*' الشركه 2018'!$CC297/208</f>
        <v>0</v>
      </c>
      <c r="CF297" s="133">
        <f>' الشركه 2018'!$CD297+' الشركه 2018'!$CE297</f>
        <v>55.081730769230766</v>
      </c>
      <c r="CG297" s="124"/>
      <c r="CH297" s="177">
        <f>SUMIF(C297:C619,' الشركه 2018'!$CG205,L297:L619)</f>
        <v>0</v>
      </c>
      <c r="CI297" s="124"/>
      <c r="CJ297" s="177">
        <f>' الشركه 2018'!$CH205*' الشركه 2018'!$CI205</f>
        <v>0</v>
      </c>
      <c r="CK297" s="177">
        <f>' الشركه 2018'!$CJ205*8%</f>
        <v>0</v>
      </c>
      <c r="CL297" s="177">
        <f>' الشركه 2018'!$CJ205*17%</f>
        <v>0</v>
      </c>
      <c r="CM297" s="177">
        <f>' الشركه 2018'!$CJ205*25%</f>
        <v>0</v>
      </c>
      <c r="CN297" s="162"/>
      <c r="CO297" s="162"/>
      <c r="CP297" s="241">
        <v>500</v>
      </c>
      <c r="CQ297" s="164" t="e">
        <f>VLOOKUP(Table6[[#This Row],[الرقم الوظيفى]],[4]!Table3[#Data],26,FALSE)</f>
        <v>#REF!</v>
      </c>
      <c r="CR297" s="370"/>
      <c r="CS297" s="124"/>
    </row>
    <row r="298" spans="1:97" ht="21.65" customHeight="1" thickTop="1" thickBot="1">
      <c r="A298" s="181">
        <v>407</v>
      </c>
      <c r="B298" s="182" t="s">
        <v>160</v>
      </c>
      <c r="C298" s="11" t="s">
        <v>137</v>
      </c>
      <c r="D298" s="183" t="s">
        <v>745</v>
      </c>
      <c r="E298" s="174"/>
      <c r="F298" s="143"/>
      <c r="G298" s="184">
        <v>41281</v>
      </c>
      <c r="H298" s="185">
        <v>5400</v>
      </c>
      <c r="I298" s="103">
        <f>Table6[[#This Row],[مرتب]]/30</f>
        <v>180</v>
      </c>
      <c r="J298" s="143">
        <v>30</v>
      </c>
      <c r="K298" s="143">
        <f t="shared" si="4"/>
        <v>5400</v>
      </c>
      <c r="L298" s="12">
        <v>5400</v>
      </c>
      <c r="M298" s="143">
        <f>Table6[[#This Row],[مرتب الضمان]]*17%</f>
        <v>918.00000000000011</v>
      </c>
      <c r="N298" s="143">
        <f>' الشركه 2018'!$H298*35%</f>
        <v>1889.9999999999998</v>
      </c>
      <c r="O298" s="143">
        <f>' الشركه 2018'!$H298*32%</f>
        <v>1728</v>
      </c>
      <c r="P298" s="143">
        <f>' الشركه 2018'!$H298*12%</f>
        <v>648</v>
      </c>
      <c r="Q298" s="143">
        <f>' الشركه 2018'!$H298*13%</f>
        <v>702</v>
      </c>
      <c r="R298" s="143">
        <f>' الشركه 2018'!$H298*6%</f>
        <v>324</v>
      </c>
      <c r="S298" s="143">
        <f>' الشركه 2018'!$H298*2%</f>
        <v>108</v>
      </c>
      <c r="T298" s="143">
        <f>' الشركه 2018'!$O298+' الشركه 2018'!$P298+' الشركه 2018'!$Q298+' الشركه 2018'!$R298+' الشركه 2018'!$S298</f>
        <v>3510</v>
      </c>
      <c r="U298" s="109">
        <f>VLOOKUP(Table6[[#This Row],[الرقم الوظيفى]],[2]بالخصم!$B$1:$AK$1200,35,)</f>
        <v>0</v>
      </c>
      <c r="V298" s="186"/>
      <c r="W298" s="187">
        <f>Table6[[#This Row],[عدد ايام الاجازه]]*Table6[[#This Row],[ح راتب اليوم]]</f>
        <v>0</v>
      </c>
      <c r="X298" s="188"/>
      <c r="Y298" s="189"/>
      <c r="Z298" s="380">
        <f>Table6[[#This Row],[عدد ايام الجزاء]]*Table6[[#This Row],[ح راتب اليوم]]</f>
        <v>0</v>
      </c>
      <c r="AA298" s="190"/>
      <c r="AB298" s="191" t="e">
        <f>VLOOKUP(Table6[[#This Row],[الرقم الوظيفى]],[3]!Table25289[#Data],23,)</f>
        <v>#REF!</v>
      </c>
      <c r="AC298" s="224"/>
      <c r="AD298" s="193"/>
      <c r="AE298" s="113" t="e">
        <f>VLOOKUP(Table6[[#This Row],[الرقم الوظيفى]],[3]!Table252894[#Data],22,)</f>
        <v>#REF!</v>
      </c>
      <c r="AF298" s="226"/>
      <c r="AG298" s="111">
        <f>' الشركه 2018'!$W298+' الشركه 2018'!$Z298+' الشركه 2018'!$AA298+' الشركه 2018'!$AC298+' الشركه 2018'!$AD298+' الشركه 2018'!$AF298</f>
        <v>0</v>
      </c>
      <c r="AH298" s="111">
        <f>Table6[[#This Row],[راتب الضمان]]*8%</f>
        <v>432</v>
      </c>
      <c r="AI298" s="111">
        <f>' الشركه 2018'!$H298-' الشركه 2018'!$AG298-' الشركه 2018'!$AH298</f>
        <v>4968</v>
      </c>
      <c r="AJ298" s="111">
        <f>' الشركه 2018'!$CF298</f>
        <v>0</v>
      </c>
      <c r="AK298" s="117">
        <f>' الشركه 2018'!$AI298+' الشركه 2018'!$AJ298</f>
        <v>4968</v>
      </c>
      <c r="AL298" s="195"/>
      <c r="AM298" s="196"/>
      <c r="AN298" s="9">
        <f>Table6[[#This Row],[اجمالى الاستحقاق]]-Table6[[#This Row],[Column2]]+Table6[[#This Row],[حوافز غير مستقره]]</f>
        <v>4968</v>
      </c>
      <c r="AO298" s="197"/>
      <c r="AP298" s="198"/>
      <c r="AQ298" s="176"/>
      <c r="AR298" s="124"/>
      <c r="AS298" s="155"/>
      <c r="AT298" s="170"/>
      <c r="AU298" s="124"/>
      <c r="AV298" s="124"/>
      <c r="AW298" s="124"/>
      <c r="AX298" s="124"/>
      <c r="AY298" s="124"/>
      <c r="AZ298" s="124"/>
      <c r="BA298" s="124"/>
      <c r="BB298" s="124"/>
      <c r="BC298" s="124"/>
      <c r="BD298" s="124"/>
      <c r="BE298" s="124"/>
      <c r="BF298" s="124"/>
      <c r="BG298" s="124"/>
      <c r="BH298" s="124"/>
      <c r="BI298" s="124"/>
      <c r="BJ298" s="124"/>
      <c r="BK298" s="124"/>
      <c r="BL298" s="124"/>
      <c r="BM298" s="124"/>
      <c r="BN298" s="124"/>
      <c r="BO298" s="124"/>
      <c r="BP298" s="124"/>
      <c r="BQ298" s="124"/>
      <c r="BR298" s="124"/>
      <c r="BS298" s="124"/>
      <c r="BT298" s="124"/>
      <c r="BU298" s="124"/>
      <c r="BV298" s="124"/>
      <c r="BW298" s="124"/>
      <c r="BX298" s="124"/>
      <c r="BY298" s="124"/>
      <c r="BZ298" s="171"/>
      <c r="CA298" s="172"/>
      <c r="CB298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9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8" s="131">
        <f>' الشركه 2018'!$H298*67%*1.5*' الشركه 2018'!$CB298/208</f>
        <v>0</v>
      </c>
      <c r="CE298" s="132">
        <f>' الشركه 2018'!$H298*67%*2*' الشركه 2018'!$CC298/208</f>
        <v>0</v>
      </c>
      <c r="CF298" s="133">
        <f>' الشركه 2018'!$CD298+' الشركه 2018'!$CE298</f>
        <v>0</v>
      </c>
      <c r="CG298" s="124"/>
      <c r="CH298" s="177">
        <f>SUMIF(C298:C620,' الشركه 2018'!#REF!,L298:L620)</f>
        <v>0</v>
      </c>
      <c r="CI298" s="124"/>
      <c r="CJ298" s="177" t="e">
        <f>' الشركه 2018'!#REF!*' الشركه 2018'!#REF!</f>
        <v>#REF!</v>
      </c>
      <c r="CK298" s="177" t="e">
        <f>' الشركه 2018'!#REF!*8%</f>
        <v>#REF!</v>
      </c>
      <c r="CL298" s="177" t="e">
        <f>' الشركه 2018'!#REF!*17%</f>
        <v>#REF!</v>
      </c>
      <c r="CM298" s="177" t="e">
        <f>' الشركه 2018'!#REF!*25%</f>
        <v>#REF!</v>
      </c>
      <c r="CN298" s="162"/>
      <c r="CO298" s="162"/>
      <c r="CP298" s="241"/>
      <c r="CQ298" s="164" t="e">
        <f>VLOOKUP(Table6[[#This Row],[الرقم الوظيفى]],[4]!Table3[#Data],26,FALSE)</f>
        <v>#REF!</v>
      </c>
      <c r="CR298" s="370"/>
      <c r="CS298" s="124"/>
    </row>
    <row r="299" spans="1:97" ht="28" customHeight="1" thickTop="1" thickBot="1">
      <c r="A299" s="181">
        <v>1017</v>
      </c>
      <c r="B299" s="182" t="s">
        <v>157</v>
      </c>
      <c r="C299" s="11" t="s">
        <v>137</v>
      </c>
      <c r="D299" s="183" t="s">
        <v>80</v>
      </c>
      <c r="E299" s="174"/>
      <c r="F299" s="143"/>
      <c r="G299" s="184">
        <v>42176</v>
      </c>
      <c r="H299" s="185">
        <v>5120</v>
      </c>
      <c r="I299" s="103">
        <f>Table6[[#This Row],[مرتب]]/30</f>
        <v>170.66666666666666</v>
      </c>
      <c r="J299" s="143">
        <v>30</v>
      </c>
      <c r="K299" s="143">
        <f t="shared" si="4"/>
        <v>5120</v>
      </c>
      <c r="L299" s="12">
        <v>5120</v>
      </c>
      <c r="M299" s="143">
        <f>Table6[[#This Row],[مرتب الضمان]]*17%</f>
        <v>870.40000000000009</v>
      </c>
      <c r="N299" s="143">
        <f>' الشركه 2018'!$H299*35%</f>
        <v>1792</v>
      </c>
      <c r="O299" s="143">
        <f>' الشركه 2018'!$H299*32%</f>
        <v>1638.4</v>
      </c>
      <c r="P299" s="143">
        <f>' الشركه 2018'!$H299*12%</f>
        <v>614.4</v>
      </c>
      <c r="Q299" s="143">
        <f>' الشركه 2018'!$H299*13%</f>
        <v>665.6</v>
      </c>
      <c r="R299" s="143">
        <f>' الشركه 2018'!$H299*6%</f>
        <v>307.2</v>
      </c>
      <c r="S299" s="143">
        <f>' الشركه 2018'!$H299*2%</f>
        <v>102.4</v>
      </c>
      <c r="T299" s="143">
        <f>' الشركه 2018'!$O299+' الشركه 2018'!$P299+' الشركه 2018'!$Q299+' الشركه 2018'!$R299+' الشركه 2018'!$S299</f>
        <v>3328</v>
      </c>
      <c r="U299" s="109">
        <f>VLOOKUP(Table6[[#This Row],[الرقم الوظيفى]],[2]بالخصم!$B$1:$AK$1200,35,)</f>
        <v>0</v>
      </c>
      <c r="V299" s="186"/>
      <c r="W299" s="187">
        <f>Table6[[#This Row],[عدد ايام الاجازه]]*Table6[[#This Row],[ح راتب اليوم]]</f>
        <v>0</v>
      </c>
      <c r="X299" s="188"/>
      <c r="Y299" s="189"/>
      <c r="Z299" s="380">
        <f>Table6[[#This Row],[عدد ايام الجزاء]]*Table6[[#This Row],[ح راتب اليوم]]</f>
        <v>0</v>
      </c>
      <c r="AA299" s="190"/>
      <c r="AB299" s="191" t="e">
        <f>VLOOKUP(Table6[[#This Row],[الرقم الوظيفى]],[3]!Table25289[#Data],23,)</f>
        <v>#REF!</v>
      </c>
      <c r="AC299" s="224"/>
      <c r="AD299" s="193"/>
      <c r="AE299" s="113" t="e">
        <f>VLOOKUP(Table6[[#This Row],[الرقم الوظيفى]],[3]!Table252894[#Data],22,)</f>
        <v>#REF!</v>
      </c>
      <c r="AF299" s="226"/>
      <c r="AG299" s="111">
        <f>' الشركه 2018'!$W299+' الشركه 2018'!$Z299+' الشركه 2018'!$AA299+' الشركه 2018'!$AC299+' الشركه 2018'!$AD299+' الشركه 2018'!$AF299</f>
        <v>0</v>
      </c>
      <c r="AH299" s="111">
        <f>Table6[[#This Row],[راتب الضمان]]*8%</f>
        <v>409.6</v>
      </c>
      <c r="AI299" s="111">
        <f>' الشركه 2018'!$H299-' الشركه 2018'!$AG299-' الشركه 2018'!$AH299</f>
        <v>4710.3999999999996</v>
      </c>
      <c r="AJ299" s="111">
        <f>' الشركه 2018'!$CF299</f>
        <v>0</v>
      </c>
      <c r="AK299" s="117">
        <f>' الشركه 2018'!$AI299+' الشركه 2018'!$AJ299</f>
        <v>4710.3999999999996</v>
      </c>
      <c r="AL299" s="195"/>
      <c r="AM299" s="196"/>
      <c r="AN299" s="9">
        <f>Table6[[#This Row],[اجمالى الاستحقاق]]-Table6[[#This Row],[Column2]]+Table6[[#This Row],[حوافز غير مستقره]]</f>
        <v>4710.3999999999996</v>
      </c>
      <c r="AO299" s="197"/>
      <c r="AP299" s="198"/>
      <c r="AQ299" s="176"/>
      <c r="AR299" s="124"/>
      <c r="AS299" s="155"/>
      <c r="AT299" s="170"/>
      <c r="AU299" s="124"/>
      <c r="AV299" s="124"/>
      <c r="AW299" s="124"/>
      <c r="AX299" s="124"/>
      <c r="AY299" s="124"/>
      <c r="AZ299" s="124"/>
      <c r="BA299" s="124"/>
      <c r="BB299" s="124"/>
      <c r="BC299" s="124"/>
      <c r="BD299" s="124"/>
      <c r="BE299" s="124"/>
      <c r="BF299" s="124"/>
      <c r="BG299" s="124"/>
      <c r="BH299" s="124"/>
      <c r="BI299" s="124"/>
      <c r="BJ299" s="124"/>
      <c r="BK299" s="124"/>
      <c r="BL299" s="124"/>
      <c r="BM299" s="124"/>
      <c r="BN299" s="124"/>
      <c r="BO299" s="124"/>
      <c r="BP299" s="124"/>
      <c r="BQ299" s="124"/>
      <c r="BR299" s="124"/>
      <c r="BS299" s="124"/>
      <c r="BT299" s="124"/>
      <c r="BU299" s="124"/>
      <c r="BV299" s="124"/>
      <c r="BW299" s="124"/>
      <c r="BX299" s="124"/>
      <c r="BY299" s="124"/>
      <c r="BZ299" s="171"/>
      <c r="CA299" s="172"/>
      <c r="CB299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29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299" s="131">
        <f>' الشركه 2018'!$H299*67%*1.5*' الشركه 2018'!$CB299/208</f>
        <v>0</v>
      </c>
      <c r="CE299" s="132">
        <f>' الشركه 2018'!$H299*67%*2*' الشركه 2018'!$CC299/208</f>
        <v>0</v>
      </c>
      <c r="CF299" s="133">
        <f>' الشركه 2018'!$CD299+' الشركه 2018'!$CE299</f>
        <v>0</v>
      </c>
      <c r="CG299" s="124"/>
      <c r="CH299" s="177">
        <f>SUMIF(C299:C623,' الشركه 2018'!#REF!,L299:L623)</f>
        <v>0</v>
      </c>
      <c r="CI299" s="124"/>
      <c r="CJ299" s="177" t="e">
        <f>' الشركه 2018'!#REF!*' الشركه 2018'!#REF!</f>
        <v>#REF!</v>
      </c>
      <c r="CK299" s="177" t="e">
        <f>' الشركه 2018'!#REF!*8%</f>
        <v>#REF!</v>
      </c>
      <c r="CL299" s="177" t="e">
        <f>' الشركه 2018'!#REF!*17%</f>
        <v>#REF!</v>
      </c>
      <c r="CM299" s="177" t="e">
        <f>' الشركه 2018'!#REF!*25%</f>
        <v>#REF!</v>
      </c>
      <c r="CN299" s="162"/>
      <c r="CO299" s="162"/>
      <c r="CP299" s="240"/>
      <c r="CQ299" s="164" t="e">
        <f>VLOOKUP(Table6[[#This Row],[الرقم الوظيفى]],[4]!Table3[#Data],26,FALSE)</f>
        <v>#REF!</v>
      </c>
      <c r="CR299" s="370"/>
      <c r="CS299" s="124"/>
    </row>
    <row r="300" spans="1:97" ht="28" customHeight="1" thickTop="1" thickBot="1">
      <c r="A300" s="181">
        <v>1018</v>
      </c>
      <c r="B300" s="182" t="s">
        <v>155</v>
      </c>
      <c r="C300" s="11" t="s">
        <v>137</v>
      </c>
      <c r="D300" s="183" t="s">
        <v>80</v>
      </c>
      <c r="E300" s="144"/>
      <c r="F300" s="11"/>
      <c r="G300" s="184">
        <v>42403</v>
      </c>
      <c r="H300" s="185">
        <v>5110</v>
      </c>
      <c r="I300" s="103">
        <f>Table6[[#This Row],[مرتب]]/30</f>
        <v>170.33333333333334</v>
      </c>
      <c r="J300" s="143">
        <v>30</v>
      </c>
      <c r="K300" s="143">
        <f t="shared" si="4"/>
        <v>5110</v>
      </c>
      <c r="L300" s="12">
        <v>5110</v>
      </c>
      <c r="M300" s="143">
        <f>Table6[[#This Row],[مرتب الضمان]]*17%</f>
        <v>868.7</v>
      </c>
      <c r="N300" s="143">
        <f>' الشركه 2018'!$H300*35%</f>
        <v>1788.5</v>
      </c>
      <c r="O300" s="143">
        <f>' الشركه 2018'!$H300*32%</f>
        <v>1635.2</v>
      </c>
      <c r="P300" s="143">
        <f>' الشركه 2018'!$H300*12%</f>
        <v>613.19999999999993</v>
      </c>
      <c r="Q300" s="143">
        <f>' الشركه 2018'!$H300*13%</f>
        <v>664.30000000000007</v>
      </c>
      <c r="R300" s="143">
        <f>' الشركه 2018'!$H300*6%</f>
        <v>306.59999999999997</v>
      </c>
      <c r="S300" s="143">
        <f>' الشركه 2018'!$H300*2%</f>
        <v>102.2</v>
      </c>
      <c r="T300" s="143">
        <f>' الشركه 2018'!$O300+' الشركه 2018'!$P300+' الشركه 2018'!$Q300+' الشركه 2018'!$R300+' الشركه 2018'!$S300</f>
        <v>3321.5</v>
      </c>
      <c r="U300" s="109">
        <f>VLOOKUP(Table6[[#This Row],[الرقم الوظيفى]],[2]بالخصم!$B$1:$AK$1200,35,)</f>
        <v>0</v>
      </c>
      <c r="V300" s="186"/>
      <c r="W300" s="187">
        <f>Table6[[#This Row],[عدد ايام الاجازه]]*Table6[[#This Row],[ح راتب اليوم]]</f>
        <v>0</v>
      </c>
      <c r="X300" s="188"/>
      <c r="Y300" s="189"/>
      <c r="Z300" s="380">
        <f>Table6[[#This Row],[عدد ايام الجزاء]]*Table6[[#This Row],[ح راتب اليوم]]</f>
        <v>0</v>
      </c>
      <c r="AA300" s="190"/>
      <c r="AB300" s="191" t="e">
        <f>VLOOKUP(Table6[[#This Row],[الرقم الوظيفى]],[3]!Table25289[#Data],23,)</f>
        <v>#REF!</v>
      </c>
      <c r="AC300" s="224"/>
      <c r="AD300" s="225"/>
      <c r="AE300" s="113" t="e">
        <f>VLOOKUP(Table6[[#This Row],[الرقم الوظيفى]],[3]!Table252894[#Data],22,)</f>
        <v>#REF!</v>
      </c>
      <c r="AF300" s="226">
        <v>1250</v>
      </c>
      <c r="AG300" s="111">
        <f>' الشركه 2018'!$W300+' الشركه 2018'!$Z300+' الشركه 2018'!$AA300+' الشركه 2018'!$AC300+' الشركه 2018'!$AD300+' الشركه 2018'!$AF300</f>
        <v>1250</v>
      </c>
      <c r="AH300" s="111">
        <f>Table6[[#This Row],[راتب الضمان]]*8%</f>
        <v>408.8</v>
      </c>
      <c r="AI300" s="111">
        <f>' الشركه 2018'!$H300-' الشركه 2018'!$AG300-' الشركه 2018'!$AH300</f>
        <v>3451.2</v>
      </c>
      <c r="AJ300" s="111">
        <f>' الشركه 2018'!$CF300</f>
        <v>108.63663461538462</v>
      </c>
      <c r="AK300" s="117">
        <f>' الشركه 2018'!$AI300+' الشركه 2018'!$AJ300</f>
        <v>3559.8366346153844</v>
      </c>
      <c r="AL300" s="195"/>
      <c r="AM300" s="196"/>
      <c r="AN300" s="9">
        <f>Table6[[#This Row],[اجمالى الاستحقاق]]-Table6[[#This Row],[Column2]]+Table6[[#This Row],[حوافز غير مستقره]]</f>
        <v>3559.8366346153844</v>
      </c>
      <c r="AO300" s="197"/>
      <c r="AP300" s="198"/>
      <c r="AQ300" s="176"/>
      <c r="AR300" s="124"/>
      <c r="AS300" s="155"/>
      <c r="AT300" s="170"/>
      <c r="AU300" s="124"/>
      <c r="AV300" s="124"/>
      <c r="AW300" s="124"/>
      <c r="AX300" s="124">
        <v>1</v>
      </c>
      <c r="AY300" s="124">
        <v>1.4</v>
      </c>
      <c r="AZ300" s="124"/>
      <c r="BA300" s="124"/>
      <c r="BB300" s="124"/>
      <c r="BC300" s="124"/>
      <c r="BD300" s="124"/>
      <c r="BE300" s="124"/>
      <c r="BF300" s="124"/>
      <c r="BG300" s="124"/>
      <c r="BH300" s="124"/>
      <c r="BI300" s="124"/>
      <c r="BJ300" s="124"/>
      <c r="BK300" s="124"/>
      <c r="BL300" s="124">
        <v>1</v>
      </c>
      <c r="BM300" s="124"/>
      <c r="BN300" s="124">
        <v>1</v>
      </c>
      <c r="BO300" s="124"/>
      <c r="BP300" s="124"/>
      <c r="BQ300" s="124"/>
      <c r="BR300" s="124"/>
      <c r="BS300" s="124"/>
      <c r="BT300" s="124"/>
      <c r="BU300" s="124"/>
      <c r="BV300" s="124"/>
      <c r="BW300" s="124"/>
      <c r="BX300" s="124"/>
      <c r="BY300" s="124"/>
      <c r="BZ300" s="159"/>
      <c r="CA300" s="160"/>
      <c r="CB300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4.4000000000000004</v>
      </c>
      <c r="CC30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0" s="131">
        <f>' الشركه 2018'!$H300*67%*1.5*' الشركه 2018'!$CB300/208</f>
        <v>108.63663461538462</v>
      </c>
      <c r="CE300" s="132">
        <f>' الشركه 2018'!$H300*67%*2*' الشركه 2018'!$CC300/208</f>
        <v>0</v>
      </c>
      <c r="CF300" s="133">
        <f>' الشركه 2018'!$CD300+' الشركه 2018'!$CE300</f>
        <v>108.63663461538462</v>
      </c>
      <c r="CG300" s="124"/>
      <c r="CH300" s="177">
        <f>SUMIF(C300:C624,' الشركه 2018'!$CG209,L300:L624)</f>
        <v>0</v>
      </c>
      <c r="CI300" s="124"/>
      <c r="CJ300" s="177">
        <f>' الشركه 2018'!$CH209*' الشركه 2018'!$CI209</f>
        <v>0</v>
      </c>
      <c r="CK300" s="177">
        <f>' الشركه 2018'!$CJ209*8%</f>
        <v>0</v>
      </c>
      <c r="CL300" s="177">
        <f>' الشركه 2018'!$CJ209*17%</f>
        <v>0</v>
      </c>
      <c r="CM300" s="177">
        <f>' الشركه 2018'!$CJ209*25%</f>
        <v>0</v>
      </c>
      <c r="CN300" s="162"/>
      <c r="CO300" s="162"/>
      <c r="CP300" s="240"/>
      <c r="CQ300" s="164" t="e">
        <f>VLOOKUP(Table6[[#This Row],[الرقم الوظيفى]],[4]!Table3[#Data],26,FALSE)</f>
        <v>#REF!</v>
      </c>
      <c r="CR300" s="370"/>
      <c r="CS300" s="124"/>
    </row>
    <row r="301" spans="1:97" ht="28" customHeight="1" thickTop="1" thickBot="1">
      <c r="A301" s="181">
        <v>1019</v>
      </c>
      <c r="B301" s="182" t="s">
        <v>142</v>
      </c>
      <c r="C301" s="11" t="s">
        <v>137</v>
      </c>
      <c r="D301" s="183" t="s">
        <v>76</v>
      </c>
      <c r="E301" s="174"/>
      <c r="F301" s="143"/>
      <c r="G301" s="184">
        <v>42597</v>
      </c>
      <c r="H301" s="185">
        <v>3050</v>
      </c>
      <c r="I301" s="103">
        <f>Table6[[#This Row],[مرتب]]/30</f>
        <v>101.66666666666667</v>
      </c>
      <c r="J301" s="143">
        <v>30</v>
      </c>
      <c r="K301" s="143">
        <f t="shared" si="4"/>
        <v>3050</v>
      </c>
      <c r="L301" s="12">
        <v>3050</v>
      </c>
      <c r="M301" s="143">
        <f>Table6[[#This Row],[مرتب الضمان]]*17%</f>
        <v>518.5</v>
      </c>
      <c r="N301" s="143">
        <f>' الشركه 2018'!$H301*35%</f>
        <v>1067.5</v>
      </c>
      <c r="O301" s="143">
        <f>' الشركه 2018'!$H301*32%</f>
        <v>976</v>
      </c>
      <c r="P301" s="143">
        <f>' الشركه 2018'!$H301*12%</f>
        <v>366</v>
      </c>
      <c r="Q301" s="143">
        <f>' الشركه 2018'!$H301*13%</f>
        <v>396.5</v>
      </c>
      <c r="R301" s="143">
        <f>' الشركه 2018'!$H301*6%</f>
        <v>183</v>
      </c>
      <c r="S301" s="143">
        <f>' الشركه 2018'!$H301*2%</f>
        <v>61</v>
      </c>
      <c r="T301" s="143">
        <f>' الشركه 2018'!$O301+' الشركه 2018'!$P301+' الشركه 2018'!$Q301+' الشركه 2018'!$R301+' الشركه 2018'!$S301</f>
        <v>1982.5</v>
      </c>
      <c r="U301" s="109">
        <f>VLOOKUP(Table6[[#This Row],[الرقم الوظيفى]],[2]بالخصم!$B$1:$AK$1200,35,)</f>
        <v>0</v>
      </c>
      <c r="V301" s="186"/>
      <c r="W301" s="187">
        <f>Table6[[#This Row],[عدد ايام الاجازه]]*Table6[[#This Row],[ح راتب اليوم]]</f>
        <v>0</v>
      </c>
      <c r="X301" s="188"/>
      <c r="Y301" s="189"/>
      <c r="Z301" s="380">
        <f>Table6[[#This Row],[عدد ايام الجزاء]]*Table6[[#This Row],[ح راتب اليوم]]</f>
        <v>0</v>
      </c>
      <c r="AA301" s="190"/>
      <c r="AB301" s="191" t="e">
        <f>VLOOKUP(Table6[[#This Row],[الرقم الوظيفى]],[3]!Table25289[#Data],23,)</f>
        <v>#REF!</v>
      </c>
      <c r="AC301" s="224"/>
      <c r="AD301" s="193"/>
      <c r="AE301" s="113" t="e">
        <f>VLOOKUP(Table6[[#This Row],[الرقم الوظيفى]],[3]!Table252894[#Data],22,)</f>
        <v>#REF!</v>
      </c>
      <c r="AF301" s="226"/>
      <c r="AG301" s="111">
        <f>' الشركه 2018'!$W301+' الشركه 2018'!$Z301+' الشركه 2018'!$AA301+' الشركه 2018'!$AC301+' الشركه 2018'!$AD301+' الشركه 2018'!$AF301</f>
        <v>0</v>
      </c>
      <c r="AH301" s="111">
        <f>Table6[[#This Row],[راتب الضمان]]*8%</f>
        <v>244</v>
      </c>
      <c r="AI301" s="111">
        <f>' الشركه 2018'!$H301-' الشركه 2018'!$AG301-' الشركه 2018'!$AH301</f>
        <v>2806</v>
      </c>
      <c r="AJ301" s="111">
        <f>' الشركه 2018'!$CF301</f>
        <v>132.63100961538464</v>
      </c>
      <c r="AK301" s="117">
        <f>' الشركه 2018'!$AI301+' الشركه 2018'!$AJ301</f>
        <v>2938.6310096153848</v>
      </c>
      <c r="AL301" s="195"/>
      <c r="AM301" s="196"/>
      <c r="AN301" s="9">
        <f>Table6[[#This Row],[اجمالى الاستحقاق]]-Table6[[#This Row],[Column2]]+Table6[[#This Row],[حوافز غير مستقره]]</f>
        <v>2938.6310096153848</v>
      </c>
      <c r="AO301" s="197"/>
      <c r="AP301" s="198"/>
      <c r="AQ301" s="176"/>
      <c r="AR301" s="124"/>
      <c r="AS301" s="155"/>
      <c r="AT301" s="170">
        <v>1.5</v>
      </c>
      <c r="AU301" s="124"/>
      <c r="AV301" s="124"/>
      <c r="AW301" s="124">
        <v>1</v>
      </c>
      <c r="AX301" s="124">
        <v>1</v>
      </c>
      <c r="AY301" s="124"/>
      <c r="AZ301" s="124"/>
      <c r="BA301" s="124"/>
      <c r="BB301" s="124"/>
      <c r="BC301" s="124"/>
      <c r="BD301" s="124"/>
      <c r="BE301" s="124">
        <v>0.5</v>
      </c>
      <c r="BF301" s="124"/>
      <c r="BG301" s="124">
        <v>1</v>
      </c>
      <c r="BH301" s="124">
        <v>1</v>
      </c>
      <c r="BI301" s="124">
        <v>0.9</v>
      </c>
      <c r="BJ301" s="124"/>
      <c r="BK301" s="124"/>
      <c r="BL301" s="124">
        <v>0.5</v>
      </c>
      <c r="BM301" s="124">
        <v>0.7</v>
      </c>
      <c r="BN301" s="124">
        <v>0.9</v>
      </c>
      <c r="BO301" s="124"/>
      <c r="BP301" s="124"/>
      <c r="BQ301" s="124"/>
      <c r="BR301" s="124"/>
      <c r="BS301" s="124"/>
      <c r="BT301" s="124"/>
      <c r="BU301" s="124"/>
      <c r="BV301" s="124"/>
      <c r="BW301" s="124"/>
      <c r="BX301" s="124"/>
      <c r="BY301" s="124"/>
      <c r="BZ301" s="171"/>
      <c r="CA301" s="172"/>
      <c r="CB301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9</v>
      </c>
      <c r="CC30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1" s="131">
        <f>' الشركه 2018'!$H301*67%*1.5*' الشركه 2018'!$CB301/208</f>
        <v>132.63100961538464</v>
      </c>
      <c r="CE301" s="132">
        <f>' الشركه 2018'!$H301*67%*2*' الشركه 2018'!$CC301/208</f>
        <v>0</v>
      </c>
      <c r="CF301" s="133">
        <f>' الشركه 2018'!$CD301+' الشركه 2018'!$CE301</f>
        <v>132.63100961538464</v>
      </c>
      <c r="CG301" s="124"/>
      <c r="CH301" s="177">
        <f>SUMIF(C301:C636,' الشركه 2018'!#REF!,L301:L636)</f>
        <v>0</v>
      </c>
      <c r="CI301" s="124"/>
      <c r="CJ301" s="177" t="e">
        <f>' الشركه 2018'!#REF!*' الشركه 2018'!#REF!</f>
        <v>#REF!</v>
      </c>
      <c r="CK301" s="177" t="e">
        <f>' الشركه 2018'!#REF!*8%</f>
        <v>#REF!</v>
      </c>
      <c r="CL301" s="177" t="e">
        <f>' الشركه 2018'!#REF!*17%</f>
        <v>#REF!</v>
      </c>
      <c r="CM301" s="177" t="e">
        <f>' الشركه 2018'!#REF!*25%</f>
        <v>#REF!</v>
      </c>
      <c r="CN301" s="162"/>
      <c r="CO301" s="162"/>
      <c r="CP301" s="163"/>
      <c r="CQ301" s="164" t="e">
        <f>VLOOKUP(Table6[[#This Row],[الرقم الوظيفى]],[4]!Table3[#Data],26,FALSE)</f>
        <v>#REF!</v>
      </c>
      <c r="CR301" s="370"/>
      <c r="CS301" s="124"/>
    </row>
    <row r="302" spans="1:97" ht="28" customHeight="1" thickTop="1" thickBot="1">
      <c r="A302" s="181">
        <v>317</v>
      </c>
      <c r="B302" s="182" t="s">
        <v>746</v>
      </c>
      <c r="C302" s="11" t="s">
        <v>137</v>
      </c>
      <c r="D302" s="11" t="s">
        <v>76</v>
      </c>
      <c r="E302" s="174"/>
      <c r="F302" s="143"/>
      <c r="G302" s="184">
        <v>42687</v>
      </c>
      <c r="H302" s="185">
        <v>3420</v>
      </c>
      <c r="I302" s="103">
        <f>Table6[[#This Row],[مرتب]]/30</f>
        <v>114</v>
      </c>
      <c r="J302" s="143">
        <v>30</v>
      </c>
      <c r="K302" s="143">
        <f t="shared" si="4"/>
        <v>3420</v>
      </c>
      <c r="L302" s="12">
        <v>3420</v>
      </c>
      <c r="M302" s="143">
        <f>Table6[[#This Row],[مرتب الضمان]]*17%</f>
        <v>581.40000000000009</v>
      </c>
      <c r="N302" s="143">
        <f>' الشركه 2018'!$H302*35%</f>
        <v>1197</v>
      </c>
      <c r="O302" s="143">
        <f>' الشركه 2018'!$H302*32%</f>
        <v>1094.4000000000001</v>
      </c>
      <c r="P302" s="143">
        <f>' الشركه 2018'!$H302*12%</f>
        <v>410.4</v>
      </c>
      <c r="Q302" s="143">
        <f>' الشركه 2018'!$H302*13%</f>
        <v>444.6</v>
      </c>
      <c r="R302" s="143">
        <f>' الشركه 2018'!$H302*6%</f>
        <v>205.2</v>
      </c>
      <c r="S302" s="143">
        <f>' الشركه 2018'!$H302*2%</f>
        <v>68.400000000000006</v>
      </c>
      <c r="T302" s="143">
        <f>' الشركه 2018'!$O302+' الشركه 2018'!$P302+' الشركه 2018'!$Q302+' الشركه 2018'!$R302+' الشركه 2018'!$S302</f>
        <v>2223</v>
      </c>
      <c r="U302" s="109">
        <f>VLOOKUP(Table6[[#This Row],[الرقم الوظيفى]],[2]بالخصم!$B$1:$AK$1200,35,)</f>
        <v>0</v>
      </c>
      <c r="V302" s="186"/>
      <c r="W302" s="187">
        <f>Table6[[#This Row],[عدد ايام الاجازه]]*Table6[[#This Row],[ح راتب اليوم]]</f>
        <v>0</v>
      </c>
      <c r="X302" s="188"/>
      <c r="Y302" s="189"/>
      <c r="Z302" s="380">
        <f>Table6[[#This Row],[عدد ايام الجزاء]]*Table6[[#This Row],[ح راتب اليوم]]</f>
        <v>0</v>
      </c>
      <c r="AA302" s="190">
        <v>1000</v>
      </c>
      <c r="AB302" s="191" t="e">
        <f>VLOOKUP(Table6[[#This Row],[الرقم الوظيفى]],[3]!Table25289[#Data],23,)</f>
        <v>#REF!</v>
      </c>
      <c r="AC302" s="224"/>
      <c r="AD302" s="225"/>
      <c r="AE302" s="113" t="e">
        <f>VLOOKUP(Table6[[#This Row],[الرقم الوظيفى]],[3]!Table252894[#Data],22,)</f>
        <v>#REF!</v>
      </c>
      <c r="AF302" s="226"/>
      <c r="AG302" s="111">
        <f>' الشركه 2018'!$W302+' الشركه 2018'!$Z302+' الشركه 2018'!$AA302+' الشركه 2018'!$AC302+' الشركه 2018'!$AD302+' الشركه 2018'!$AF302</f>
        <v>1000</v>
      </c>
      <c r="AH302" s="111">
        <f>Table6[[#This Row],[راتب الضمان]]*8%</f>
        <v>273.60000000000002</v>
      </c>
      <c r="AI302" s="111">
        <f>' الشركه 2018'!$H302-' الشركه 2018'!$AG302-' الشركه 2018'!$AH302</f>
        <v>2146.4</v>
      </c>
      <c r="AJ302" s="111">
        <f>' الشركه 2018'!$CF302</f>
        <v>49.573557692307695</v>
      </c>
      <c r="AK302" s="117">
        <f>' الشركه 2018'!$AI302+' الشركه 2018'!$AJ302</f>
        <v>2195.9735576923076</v>
      </c>
      <c r="AL302" s="195"/>
      <c r="AM302" s="196"/>
      <c r="AN302" s="9">
        <f>Table6[[#This Row],[اجمالى الاستحقاق]]-Table6[[#This Row],[Column2]]+Table6[[#This Row],[حوافز غير مستقره]]</f>
        <v>2195.9735576923076</v>
      </c>
      <c r="AO302" s="197"/>
      <c r="AP302" s="198"/>
      <c r="AQ302" s="176"/>
      <c r="AR302" s="124"/>
      <c r="AS302" s="155"/>
      <c r="AT302" s="170"/>
      <c r="AU302" s="124">
        <v>1</v>
      </c>
      <c r="AV302" s="124"/>
      <c r="AW302" s="124"/>
      <c r="AX302" s="124">
        <v>1</v>
      </c>
      <c r="AY302" s="124"/>
      <c r="AZ302" s="124"/>
      <c r="BA302" s="124"/>
      <c r="BB302" s="124"/>
      <c r="BC302" s="124"/>
      <c r="BD302" s="124"/>
      <c r="BE302" s="124">
        <v>0.5</v>
      </c>
      <c r="BF302" s="124"/>
      <c r="BG302" s="124"/>
      <c r="BH302" s="124"/>
      <c r="BI302" s="124">
        <v>0.5</v>
      </c>
      <c r="BJ302" s="124"/>
      <c r="BK302" s="124"/>
      <c r="BL302" s="124"/>
      <c r="BM302" s="124"/>
      <c r="BN302" s="124"/>
      <c r="BO302" s="124"/>
      <c r="BP302" s="124"/>
      <c r="BQ302" s="124"/>
      <c r="BR302" s="124"/>
      <c r="BS302" s="124"/>
      <c r="BT302" s="124"/>
      <c r="BU302" s="124"/>
      <c r="BV302" s="124"/>
      <c r="BW302" s="124"/>
      <c r="BX302" s="124"/>
      <c r="BY302" s="124"/>
      <c r="BZ302" s="159"/>
      <c r="CA302" s="160"/>
      <c r="CB302" s="161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</v>
      </c>
      <c r="CC30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2" s="131">
        <f>' الشركه 2018'!$H302*67%*1.5*' الشركه 2018'!$CB302/208</f>
        <v>49.573557692307695</v>
      </c>
      <c r="CE302" s="132">
        <f>' الشركه 2018'!$H302*67%*2*' الشركه 2018'!$CC302/208</f>
        <v>0</v>
      </c>
      <c r="CF302" s="133">
        <f>' الشركه 2018'!$CD302+' الشركه 2018'!$CE302</f>
        <v>49.573557692307695</v>
      </c>
      <c r="CG302" s="124"/>
      <c r="CH302" s="177">
        <f>SUMIF(C302:C625,' الشركه 2018'!#REF!,L302:L625)</f>
        <v>0</v>
      </c>
      <c r="CI302" s="124"/>
      <c r="CJ302" s="177" t="e">
        <f>' الشركه 2018'!#REF!*' الشركه 2018'!#REF!</f>
        <v>#REF!</v>
      </c>
      <c r="CK302" s="177" t="e">
        <f>' الشركه 2018'!#REF!*8%</f>
        <v>#REF!</v>
      </c>
      <c r="CL302" s="177" t="e">
        <f>' الشركه 2018'!#REF!*17%</f>
        <v>#REF!</v>
      </c>
      <c r="CM302" s="177" t="e">
        <f>' الشركه 2018'!#REF!*25%</f>
        <v>#REF!</v>
      </c>
      <c r="CN302" s="162"/>
      <c r="CO302" s="162"/>
      <c r="CP302" s="261"/>
      <c r="CQ302" s="164" t="e">
        <f>VLOOKUP(Table6[[#This Row],[الرقم الوظيفى]],[4]!Table3[#Data],26,FALSE)</f>
        <v>#REF!</v>
      </c>
      <c r="CR302" s="370"/>
      <c r="CS302" s="124"/>
    </row>
    <row r="303" spans="1:97" ht="21.65" customHeight="1" thickTop="1" thickBot="1">
      <c r="A303" s="393">
        <v>1021</v>
      </c>
      <c r="B303" s="384" t="s">
        <v>158</v>
      </c>
      <c r="C303" s="394" t="s">
        <v>137</v>
      </c>
      <c r="D303" s="143" t="s">
        <v>80</v>
      </c>
      <c r="E303" s="395"/>
      <c r="F303" s="394"/>
      <c r="G303" s="396">
        <v>43009</v>
      </c>
      <c r="H303" s="397">
        <v>5010</v>
      </c>
      <c r="I303" s="103">
        <f>Table6[[#This Row],[مرتب]]/30</f>
        <v>167</v>
      </c>
      <c r="J303" s="143">
        <v>30</v>
      </c>
      <c r="K303" s="143">
        <f t="shared" si="4"/>
        <v>5010</v>
      </c>
      <c r="L303" s="12">
        <v>5010</v>
      </c>
      <c r="M303" s="143">
        <f>Table6[[#This Row],[مرتب الضمان]]*17%</f>
        <v>851.7</v>
      </c>
      <c r="N303" s="143">
        <f>' الشركه 2018'!$H303*35%</f>
        <v>1753.5</v>
      </c>
      <c r="O303" s="143">
        <f>' الشركه 2018'!$H303*32%</f>
        <v>1603.2</v>
      </c>
      <c r="P303" s="143">
        <f>' الشركه 2018'!$H303*12%</f>
        <v>601.19999999999993</v>
      </c>
      <c r="Q303" s="143">
        <f>' الشركه 2018'!$H303*13%</f>
        <v>651.30000000000007</v>
      </c>
      <c r="R303" s="143">
        <f>' الشركه 2018'!$H303*6%</f>
        <v>300.59999999999997</v>
      </c>
      <c r="S303" s="143">
        <f>' الشركه 2018'!$H303*2%</f>
        <v>100.2</v>
      </c>
      <c r="T303" s="143">
        <f>' الشركه 2018'!$O303+' الشركه 2018'!$P303+' الشركه 2018'!$Q303+' الشركه 2018'!$R303+' الشركه 2018'!$S303</f>
        <v>3256.5</v>
      </c>
      <c r="U303" s="109">
        <f>VLOOKUP(Table6[[#This Row],[الرقم الوظيفى]],[2]بالخصم!$B$1:$AK$1200,35,)</f>
        <v>0</v>
      </c>
      <c r="V303" s="398"/>
      <c r="W303" s="187">
        <f>Table6[[#This Row],[عدد ايام الاجازه]]*Table6[[#This Row],[ح راتب اليوم]]</f>
        <v>0</v>
      </c>
      <c r="X303" s="399"/>
      <c r="Y303" s="400"/>
      <c r="Z303" s="401">
        <f>Table6[[#This Row],[عدد ايام الجزاء]]*Table6[[#This Row],[ح راتب اليوم]]</f>
        <v>0</v>
      </c>
      <c r="AA303" s="190"/>
      <c r="AB303" s="191" t="e">
        <f>VLOOKUP(Table6[[#This Row],[الرقم الوظيفى]],[3]!Table25289[#Data],23,)</f>
        <v>#REF!</v>
      </c>
      <c r="AC303" s="402"/>
      <c r="AD303" s="403"/>
      <c r="AE303" s="113" t="e">
        <f>VLOOKUP(Table6[[#This Row],[الرقم الوظيفى]],[3]!Table252894[#Data],22,)</f>
        <v>#REF!</v>
      </c>
      <c r="AF303" s="404"/>
      <c r="AG303" s="111">
        <f>' الشركه 2018'!$W303+' الشركه 2018'!$Z303+' الشركه 2018'!$AA303+' الشركه 2018'!$AC303+' الشركه 2018'!$AD303+' الشركه 2018'!$AF303</f>
        <v>0</v>
      </c>
      <c r="AH303" s="111">
        <f>Table6[[#This Row],[راتب الضمان]]*8%</f>
        <v>400.8</v>
      </c>
      <c r="AI303" s="111">
        <f>' الشركه 2018'!$H303-' الشركه 2018'!$AG303-' الشركه 2018'!$AH303</f>
        <v>4609.2</v>
      </c>
      <c r="AJ303" s="111">
        <f>' الشركه 2018'!$CF303</f>
        <v>222.70413461538462</v>
      </c>
      <c r="AK303" s="117">
        <f>' الشركه 2018'!$AI303+' الشركه 2018'!$AJ303</f>
        <v>4831.9041346153845</v>
      </c>
      <c r="AL303" s="405"/>
      <c r="AM303" s="406"/>
      <c r="AN303" s="278">
        <f>Table6[[#This Row],[اجمالى الاستحقاق]]-Table6[[#This Row],[Column2]]+Table6[[#This Row],[حوافز غير مستقره]]</f>
        <v>4831.9041346153845</v>
      </c>
      <c r="AO303" s="407"/>
      <c r="AP303" s="408"/>
      <c r="AQ303" s="176"/>
      <c r="AR303" s="124"/>
      <c r="AS303" s="155"/>
      <c r="AT303" s="409"/>
      <c r="AU303" s="359"/>
      <c r="AV303" s="359"/>
      <c r="AW303" s="359"/>
      <c r="AX303" s="359">
        <v>1</v>
      </c>
      <c r="AY303" s="359">
        <v>1</v>
      </c>
      <c r="AZ303" s="359">
        <v>1.5</v>
      </c>
      <c r="BA303" s="359"/>
      <c r="BB303" s="359">
        <v>1.2</v>
      </c>
      <c r="BC303" s="359"/>
      <c r="BD303" s="359"/>
      <c r="BE303" s="359">
        <v>1.5</v>
      </c>
      <c r="BF303" s="359">
        <v>1</v>
      </c>
      <c r="BG303" s="359">
        <v>1</v>
      </c>
      <c r="BH303" s="359"/>
      <c r="BI303" s="359">
        <v>1</v>
      </c>
      <c r="BJ303" s="359"/>
      <c r="BK303" s="359"/>
      <c r="BL303" s="359"/>
      <c r="BM303" s="359"/>
      <c r="BN303" s="359"/>
      <c r="BO303" s="359"/>
      <c r="BP303" s="359"/>
      <c r="BQ303" s="359"/>
      <c r="BR303" s="359"/>
      <c r="BS303" s="359"/>
      <c r="BT303" s="359"/>
      <c r="BU303" s="359"/>
      <c r="BV303" s="359"/>
      <c r="BW303" s="359"/>
      <c r="BX303" s="359"/>
      <c r="BY303" s="359"/>
      <c r="BZ303" s="410"/>
      <c r="CA303" s="411"/>
      <c r="CB303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9.1999999999999993</v>
      </c>
      <c r="CC30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3" s="131">
        <f>' الشركه 2018'!$H303*67%*1.5*' الشركه 2018'!$CB303/208</f>
        <v>222.70413461538462</v>
      </c>
      <c r="CE303" s="132">
        <f>' الشركه 2018'!$H303*67%*2*' الشركه 2018'!$CC303/208</f>
        <v>0</v>
      </c>
      <c r="CF303" s="133">
        <f>' الشركه 2018'!$CD303+' الشركه 2018'!$CE303</f>
        <v>222.70413461538462</v>
      </c>
      <c r="CG303" s="359"/>
      <c r="CH303" s="413">
        <f>SUMIF(C303:C632,' الشركه 2018'!$CG233,L303:L632)</f>
        <v>0</v>
      </c>
      <c r="CI303" s="359"/>
      <c r="CJ303" s="413">
        <f>' الشركه 2018'!$CH233*' الشركه 2018'!$CI233</f>
        <v>0</v>
      </c>
      <c r="CK303" s="413">
        <f>' الشركه 2018'!$CJ233*8%</f>
        <v>0</v>
      </c>
      <c r="CL303" s="413">
        <f>' الشركه 2018'!$CJ235*17%</f>
        <v>0</v>
      </c>
      <c r="CM303" s="413">
        <f>' الشركه 2018'!$CJ233*25%</f>
        <v>0</v>
      </c>
      <c r="CN303" s="414"/>
      <c r="CO303" s="414"/>
      <c r="CP303" s="415"/>
      <c r="CQ303" s="416" t="e">
        <f>VLOOKUP(Table6[[#This Row],[الرقم الوظيفى]],[4]!Table3[#Data],26,FALSE)</f>
        <v>#REF!</v>
      </c>
      <c r="CR303" s="370"/>
      <c r="CS303" s="124"/>
    </row>
    <row r="304" spans="1:97" ht="28" customHeight="1" thickTop="1" thickBot="1">
      <c r="A304" s="393">
        <v>1002</v>
      </c>
      <c r="B304" s="182" t="s">
        <v>152</v>
      </c>
      <c r="C304" s="417" t="s">
        <v>137</v>
      </c>
      <c r="D304" s="183" t="s">
        <v>80</v>
      </c>
      <c r="E304" s="395"/>
      <c r="F304" s="394"/>
      <c r="G304" s="184">
        <v>39142</v>
      </c>
      <c r="H304" s="418">
        <v>17080</v>
      </c>
      <c r="I304" s="103">
        <f>Table6[[#This Row],[مرتب]]/30</f>
        <v>569.33333333333337</v>
      </c>
      <c r="J304" s="143">
        <v>30</v>
      </c>
      <c r="K304" s="143">
        <f t="shared" si="4"/>
        <v>17080</v>
      </c>
      <c r="L304" s="12">
        <v>17080</v>
      </c>
      <c r="M304" s="143">
        <f>Table6[[#This Row],[مرتب الضمان]]*17%</f>
        <v>2903.6000000000004</v>
      </c>
      <c r="N304" s="143">
        <f>' الشركه 2018'!$H304*35%</f>
        <v>5978</v>
      </c>
      <c r="O304" s="143">
        <f>' الشركه 2018'!$H304*32%</f>
        <v>5465.6</v>
      </c>
      <c r="P304" s="143">
        <f>' الشركه 2018'!$H304*12%</f>
        <v>2049.6</v>
      </c>
      <c r="Q304" s="143">
        <f>' الشركه 2018'!$H304*13%</f>
        <v>2220.4</v>
      </c>
      <c r="R304" s="143">
        <f>' الشركه 2018'!$H304*6%</f>
        <v>1024.8</v>
      </c>
      <c r="S304" s="143">
        <f>' الشركه 2018'!$H304*2%</f>
        <v>341.6</v>
      </c>
      <c r="T304" s="143">
        <f>' الشركه 2018'!$O304+' الشركه 2018'!$P304+' الشركه 2018'!$Q304+' الشركه 2018'!$R304+' الشركه 2018'!$S304</f>
        <v>11102</v>
      </c>
      <c r="U304" s="109">
        <f>VLOOKUP(Table6[[#This Row],[الرقم الوظيفى]],[2]بالخصم!$B$1:$AK$1200,35,)</f>
        <v>0</v>
      </c>
      <c r="V304" s="398"/>
      <c r="W304" s="187">
        <f>Table6[[#This Row],[عدد ايام الاجازه]]*Table6[[#This Row],[ح راتب اليوم]]</f>
        <v>0</v>
      </c>
      <c r="X304" s="399"/>
      <c r="Y304" s="419"/>
      <c r="Z304" s="380">
        <f>Table6[[#This Row],[عدد ايام الجزاء]]*Table6[[#This Row],[ح راتب اليوم]]</f>
        <v>0</v>
      </c>
      <c r="AA304" s="190"/>
      <c r="AB304" s="191" t="e">
        <f>VLOOKUP(Table6[[#This Row],[الرقم الوظيفى]],[3]!Table25289[#Data],23,)</f>
        <v>#REF!</v>
      </c>
      <c r="AC304" s="420"/>
      <c r="AD304" s="421"/>
      <c r="AE304" s="113" t="e">
        <f>VLOOKUP(Table6[[#This Row],[الرقم الوظيفى]],[3]!Table252894[#Data],22,)</f>
        <v>#REF!</v>
      </c>
      <c r="AF304" s="422"/>
      <c r="AG304" s="111">
        <f>' الشركه 2018'!$W304+' الشركه 2018'!$Z304+' الشركه 2018'!$AA304+' الشركه 2018'!$AC304+' الشركه 2018'!$AD304+' الشركه 2018'!$AF304</f>
        <v>0</v>
      </c>
      <c r="AH304" s="111">
        <f>Table6[[#This Row],[راتب الضمان]]*8%</f>
        <v>1366.4</v>
      </c>
      <c r="AI304" s="111">
        <f>' الشركه 2018'!$H304-' الشركه 2018'!$AG304-' الشركه 2018'!$AH304</f>
        <v>15713.6</v>
      </c>
      <c r="AJ304" s="111">
        <f>' الشركه 2018'!$CF304</f>
        <v>3556.868942307693</v>
      </c>
      <c r="AK304" s="117">
        <f>' الشركه 2018'!$AI304+' الشركه 2018'!$AJ304</f>
        <v>19270.468942307692</v>
      </c>
      <c r="AL304" s="405"/>
      <c r="AM304" s="406"/>
      <c r="AN304" s="278">
        <f>Table6[[#This Row],[اجمالى الاستحقاق]]-Table6[[#This Row],[Column2]]+Table6[[#This Row],[حوافز غير مستقره]]</f>
        <v>19270.468942307692</v>
      </c>
      <c r="AO304" s="423"/>
      <c r="AP304" s="408"/>
      <c r="AQ304" s="176"/>
      <c r="AR304" s="124"/>
      <c r="AS304" s="155"/>
      <c r="AT304" s="409">
        <v>2</v>
      </c>
      <c r="AU304" s="359">
        <v>1.2</v>
      </c>
      <c r="AV304" s="359"/>
      <c r="AW304" s="359"/>
      <c r="AX304" s="359">
        <v>2</v>
      </c>
      <c r="AY304" s="359">
        <v>3</v>
      </c>
      <c r="AZ304" s="359">
        <v>2.8</v>
      </c>
      <c r="BA304" s="359">
        <v>2.2000000000000002</v>
      </c>
      <c r="BB304" s="359">
        <v>1.2</v>
      </c>
      <c r="BC304" s="359"/>
      <c r="BD304" s="359"/>
      <c r="BE304" s="359">
        <v>2.1</v>
      </c>
      <c r="BF304" s="359"/>
      <c r="BG304" s="359">
        <v>2</v>
      </c>
      <c r="BH304" s="359">
        <v>4</v>
      </c>
      <c r="BI304" s="359">
        <v>2.5</v>
      </c>
      <c r="BJ304" s="359"/>
      <c r="BK304" s="359"/>
      <c r="BL304" s="359"/>
      <c r="BM304" s="359">
        <v>2.9</v>
      </c>
      <c r="BN304" s="359">
        <v>3</v>
      </c>
      <c r="BO304" s="359"/>
      <c r="BP304" s="359">
        <v>8</v>
      </c>
      <c r="BQ304" s="359"/>
      <c r="BR304" s="359">
        <v>1</v>
      </c>
      <c r="BS304" s="359"/>
      <c r="BT304" s="359">
        <v>1.2</v>
      </c>
      <c r="BU304" s="359">
        <v>2</v>
      </c>
      <c r="BV304" s="359"/>
      <c r="BW304" s="359"/>
      <c r="BX304" s="359"/>
      <c r="BY304" s="359"/>
      <c r="BZ304" s="410"/>
      <c r="CA304" s="411"/>
      <c r="CB304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43.1</v>
      </c>
      <c r="CC30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4" s="131">
        <f>' الشركه 2018'!$H304*67%*1.5*' الشركه 2018'!$CB304/208</f>
        <v>3556.868942307693</v>
      </c>
      <c r="CE304" s="132">
        <f>' الشركه 2018'!$H304*67%*2*' الشركه 2018'!$CC304/208</f>
        <v>0</v>
      </c>
      <c r="CF304" s="133">
        <f>' الشركه 2018'!$CD304+' الشركه 2018'!$CE304</f>
        <v>3556.868942307693</v>
      </c>
      <c r="CG304" s="359"/>
      <c r="CH304" s="413">
        <f>SUMIF(C304:C629,' الشركه 2018'!$CG210,L304:L629)</f>
        <v>0</v>
      </c>
      <c r="CI304" s="359"/>
      <c r="CJ304" s="413" t="e">
        <f>' الشركه 2018'!#REF!*' الشركه 2018'!#REF!</f>
        <v>#REF!</v>
      </c>
      <c r="CK304" s="413" t="e">
        <f>' الشركه 2018'!#REF!*8%</f>
        <v>#REF!</v>
      </c>
      <c r="CL304" s="413" t="e">
        <f>' الشركه 2018'!#REF!*17%</f>
        <v>#REF!</v>
      </c>
      <c r="CM304" s="413">
        <f>' الشركه 2018'!$CJ210*25%</f>
        <v>0</v>
      </c>
      <c r="CN304" s="414"/>
      <c r="CO304" s="414"/>
      <c r="CP304" s="424"/>
      <c r="CQ304" s="416" t="e">
        <f>VLOOKUP(Table6[[#This Row],[الرقم الوظيفى]],[4]!Table3[#Data],26,FALSE)</f>
        <v>#REF!</v>
      </c>
      <c r="CR304" s="370"/>
      <c r="CS304" s="124"/>
    </row>
    <row r="305" spans="1:97" ht="28" customHeight="1" thickTop="1" thickBot="1">
      <c r="A305" s="393">
        <v>1003</v>
      </c>
      <c r="B305" s="182" t="s">
        <v>154</v>
      </c>
      <c r="C305" s="417" t="s">
        <v>137</v>
      </c>
      <c r="D305" s="183" t="s">
        <v>80</v>
      </c>
      <c r="E305" s="425"/>
      <c r="F305" s="417"/>
      <c r="G305" s="184">
        <v>39142</v>
      </c>
      <c r="H305" s="418">
        <v>9420</v>
      </c>
      <c r="I305" s="103">
        <f>Table6[[#This Row],[مرتب]]/30</f>
        <v>314</v>
      </c>
      <c r="J305" s="143">
        <v>30</v>
      </c>
      <c r="K305" s="143">
        <f t="shared" si="4"/>
        <v>9420</v>
      </c>
      <c r="L305" s="12">
        <v>9420</v>
      </c>
      <c r="M305" s="143">
        <f>Table6[[#This Row],[مرتب الضمان]]*17%</f>
        <v>1601.4</v>
      </c>
      <c r="N305" s="143">
        <f>' الشركه 2018'!$H305*35%</f>
        <v>3297</v>
      </c>
      <c r="O305" s="143">
        <f>' الشركه 2018'!$H305*32%</f>
        <v>3014.4</v>
      </c>
      <c r="P305" s="143">
        <f>' الشركه 2018'!$H305*12%</f>
        <v>1130.3999999999999</v>
      </c>
      <c r="Q305" s="143">
        <f>' الشركه 2018'!$H305*13%</f>
        <v>1224.6000000000001</v>
      </c>
      <c r="R305" s="143">
        <f>' الشركه 2018'!$H305*6%</f>
        <v>565.19999999999993</v>
      </c>
      <c r="S305" s="143">
        <f>' الشركه 2018'!$H305*2%</f>
        <v>188.4</v>
      </c>
      <c r="T305" s="143">
        <f>' الشركه 2018'!$O305+' الشركه 2018'!$P305+' الشركه 2018'!$Q305+' الشركه 2018'!$R305+' الشركه 2018'!$S305</f>
        <v>6123</v>
      </c>
      <c r="U305" s="109">
        <f>VLOOKUP(Table6[[#This Row],[الرقم الوظيفى]],[2]بالخصم!$B$1:$AK$1200,35,)</f>
        <v>0</v>
      </c>
      <c r="V305" s="398"/>
      <c r="W305" s="187">
        <f>Table6[[#This Row],[عدد ايام الاجازه]]*Table6[[#This Row],[ح راتب اليوم]]</f>
        <v>0</v>
      </c>
      <c r="X305" s="399"/>
      <c r="Y305" s="419"/>
      <c r="Z305" s="380">
        <f>Table6[[#This Row],[عدد ايام الجزاء]]*Table6[[#This Row],[ح راتب اليوم]]</f>
        <v>0</v>
      </c>
      <c r="AA305" s="190"/>
      <c r="AB305" s="191" t="e">
        <f>VLOOKUP(Table6[[#This Row],[الرقم الوظيفى]],[3]!Table25289[#Data],23,)</f>
        <v>#REF!</v>
      </c>
      <c r="AC305" s="420"/>
      <c r="AD305" s="426"/>
      <c r="AE305" s="113" t="e">
        <f>VLOOKUP(Table6[[#This Row],[الرقم الوظيفى]],[3]!Table252894[#Data],22,)</f>
        <v>#REF!</v>
      </c>
      <c r="AF305" s="422"/>
      <c r="AG305" s="111">
        <f>' الشركه 2018'!$W305+' الشركه 2018'!$Z305+' الشركه 2018'!$AA305+' الشركه 2018'!$AC305+' الشركه 2018'!$AD305+' الشركه 2018'!$AF305</f>
        <v>0</v>
      </c>
      <c r="AH305" s="111">
        <f>Table6[[#This Row],[راتب الضمان]]*8%</f>
        <v>753.6</v>
      </c>
      <c r="AI305" s="111">
        <f>' الشركه 2018'!$H305-' الشركه 2018'!$AG305-' الشركه 2018'!$AH305</f>
        <v>8666.4</v>
      </c>
      <c r="AJ305" s="111">
        <f>' الشركه 2018'!$CF305</f>
        <v>1365.4471153846155</v>
      </c>
      <c r="AK305" s="117">
        <f>' الشركه 2018'!$AI305+' الشركه 2018'!$AJ305</f>
        <v>10031.847115384615</v>
      </c>
      <c r="AL305" s="405"/>
      <c r="AM305" s="406"/>
      <c r="AN305" s="278">
        <f>Table6[[#This Row],[اجمالى الاستحقاق]]-Table6[[#This Row],[Column2]]+Table6[[#This Row],[حوافز غير مستقره]]</f>
        <v>10031.847115384615</v>
      </c>
      <c r="AO305" s="423"/>
      <c r="AP305" s="408"/>
      <c r="AQ305" s="176"/>
      <c r="AR305" s="124"/>
      <c r="AS305" s="155"/>
      <c r="AT305" s="409"/>
      <c r="AU305" s="359"/>
      <c r="AV305" s="359"/>
      <c r="AW305" s="359"/>
      <c r="AX305" s="359"/>
      <c r="AY305" s="359"/>
      <c r="AZ305" s="359"/>
      <c r="BA305" s="359"/>
      <c r="BB305" s="359"/>
      <c r="BC305" s="359"/>
      <c r="BD305" s="359"/>
      <c r="BE305" s="359"/>
      <c r="BF305" s="359"/>
      <c r="BG305" s="359">
        <v>2</v>
      </c>
      <c r="BH305" s="359">
        <v>2</v>
      </c>
      <c r="BI305" s="359">
        <v>2</v>
      </c>
      <c r="BJ305" s="359"/>
      <c r="BK305" s="359">
        <v>2</v>
      </c>
      <c r="BL305" s="359">
        <v>2</v>
      </c>
      <c r="BM305" s="359">
        <v>2</v>
      </c>
      <c r="BN305" s="359">
        <v>2</v>
      </c>
      <c r="BO305" s="359"/>
      <c r="BP305" s="359">
        <v>8</v>
      </c>
      <c r="BQ305" s="359"/>
      <c r="BR305" s="359">
        <v>2</v>
      </c>
      <c r="BS305" s="359">
        <v>2</v>
      </c>
      <c r="BT305" s="359">
        <v>2</v>
      </c>
      <c r="BU305" s="359">
        <v>2</v>
      </c>
      <c r="BV305" s="359"/>
      <c r="BW305" s="359"/>
      <c r="BX305" s="359"/>
      <c r="BY305" s="359"/>
      <c r="BZ305" s="410"/>
      <c r="CA305" s="411"/>
      <c r="CB305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30</v>
      </c>
      <c r="CC30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5" s="131">
        <f>' الشركه 2018'!$H305*67%*1.5*' الشركه 2018'!$CB305/208</f>
        <v>1365.4471153846155</v>
      </c>
      <c r="CE305" s="132">
        <f>' الشركه 2018'!$H305*67%*2*' الشركه 2018'!$CC305/208</f>
        <v>0</v>
      </c>
      <c r="CF305" s="133">
        <f>' الشركه 2018'!$CD305+' الشركه 2018'!$CE305</f>
        <v>1365.4471153846155</v>
      </c>
      <c r="CG305" s="359"/>
      <c r="CH305" s="413">
        <f>SUMIF(C305:C630,' الشركه 2018'!#REF!,L305:L630)</f>
        <v>0</v>
      </c>
      <c r="CI305" s="359"/>
      <c r="CJ305" s="413">
        <f>' الشركه 2018'!$CH211*' الشركه 2018'!$CI211</f>
        <v>0</v>
      </c>
      <c r="CK305" s="413">
        <f>' الشركه 2018'!$CJ211*8%</f>
        <v>0</v>
      </c>
      <c r="CL305" s="413">
        <f>' الشركه 2018'!$CJ211*17%</f>
        <v>0</v>
      </c>
      <c r="CM305" s="413" t="e">
        <f>' الشركه 2018'!#REF!*25%</f>
        <v>#REF!</v>
      </c>
      <c r="CN305" s="414"/>
      <c r="CO305" s="414"/>
      <c r="CP305" s="424"/>
      <c r="CQ305" s="416" t="e">
        <f>VLOOKUP(Table6[[#This Row],[الرقم الوظيفى]],[4]!Table3[#Data],26,FALSE)</f>
        <v>#REF!</v>
      </c>
      <c r="CR305" s="370"/>
      <c r="CS305" s="124"/>
    </row>
    <row r="306" spans="1:97" ht="28" customHeight="1" thickTop="1" thickBot="1">
      <c r="A306" s="393">
        <v>1004</v>
      </c>
      <c r="B306" s="182" t="s">
        <v>159</v>
      </c>
      <c r="C306" s="417" t="s">
        <v>137</v>
      </c>
      <c r="D306" s="183" t="s">
        <v>134</v>
      </c>
      <c r="E306" s="425"/>
      <c r="F306" s="417"/>
      <c r="G306" s="184">
        <v>39142</v>
      </c>
      <c r="H306" s="418">
        <v>14000</v>
      </c>
      <c r="I306" s="103">
        <f>Table6[[#This Row],[مرتب]]/30</f>
        <v>466.66666666666669</v>
      </c>
      <c r="J306" s="143">
        <v>11</v>
      </c>
      <c r="K306" s="143">
        <f t="shared" si="4"/>
        <v>5133.3333333333339</v>
      </c>
      <c r="L306" s="12">
        <v>14000</v>
      </c>
      <c r="M306" s="143">
        <f>Table6[[#This Row],[مرتب الضمان]]*17%</f>
        <v>2380</v>
      </c>
      <c r="N306" s="143">
        <f>' الشركه 2018'!$H306*35%</f>
        <v>4900</v>
      </c>
      <c r="O306" s="143">
        <f>' الشركه 2018'!$H306*32%</f>
        <v>4480</v>
      </c>
      <c r="P306" s="143">
        <f>' الشركه 2018'!$H306*12%</f>
        <v>1680</v>
      </c>
      <c r="Q306" s="143">
        <f>' الشركه 2018'!$H306*13%</f>
        <v>1820</v>
      </c>
      <c r="R306" s="143">
        <f>' الشركه 2018'!$H306*6%</f>
        <v>840</v>
      </c>
      <c r="S306" s="143">
        <f>' الشركه 2018'!$H306*2%</f>
        <v>280</v>
      </c>
      <c r="T306" s="143">
        <f>' الشركه 2018'!$O306+' الشركه 2018'!$P306+' الشركه 2018'!$Q306+' الشركه 2018'!$R306+' الشركه 2018'!$S306</f>
        <v>9100</v>
      </c>
      <c r="U306" s="109">
        <f>VLOOKUP(Table6[[#This Row],[الرقم الوظيفى]],[2]بالخصم!$B$1:$AK$1200,35,)</f>
        <v>0</v>
      </c>
      <c r="V306" s="398"/>
      <c r="W306" s="187">
        <f>Table6[[#This Row],[عدد ايام الاجازه]]*Table6[[#This Row],[ح راتب اليوم]]</f>
        <v>0</v>
      </c>
      <c r="X306" s="399"/>
      <c r="Y306" s="419"/>
      <c r="Z306" s="380">
        <f>Table6[[#This Row],[عدد ايام الجزاء]]*Table6[[#This Row],[ح راتب اليوم]]</f>
        <v>0</v>
      </c>
      <c r="AA306" s="190"/>
      <c r="AB306" s="191" t="e">
        <f>VLOOKUP(Table6[[#This Row],[الرقم الوظيفى]],[3]!Table25289[#Data],23,)</f>
        <v>#REF!</v>
      </c>
      <c r="AC306" s="420"/>
      <c r="AD306" s="426"/>
      <c r="AE306" s="113" t="e">
        <f>VLOOKUP(Table6[[#This Row],[الرقم الوظيفى]],[3]!Table252894[#Data],22,)</f>
        <v>#REF!</v>
      </c>
      <c r="AF306" s="422"/>
      <c r="AG306" s="111">
        <f>' الشركه 2018'!$W306+' الشركه 2018'!$Z306+' الشركه 2018'!$AA306+' الشركه 2018'!$AC306+' الشركه 2018'!$AD306+' الشركه 2018'!$AF306</f>
        <v>0</v>
      </c>
      <c r="AH306" s="111">
        <f>Table6[[#This Row],[راتب الضمان]]*8%</f>
        <v>410.66666666666674</v>
      </c>
      <c r="AI306" s="111">
        <f>' الشركه 2018'!$H306-' الشركه 2018'!$AG306-' الشركه 2018'!$AH306</f>
        <v>13589.333333333334</v>
      </c>
      <c r="AJ306" s="111">
        <f>' الشركه 2018'!$CF306</f>
        <v>1028.1923076923076</v>
      </c>
      <c r="AK306" s="117">
        <f>' الشركه 2018'!$AI306+' الشركه 2018'!$AJ306</f>
        <v>14617.525641025641</v>
      </c>
      <c r="AL306" s="405"/>
      <c r="AM306" s="406"/>
      <c r="AN306" s="278">
        <f>Table6[[#This Row],[اجمالى الاستحقاق]]-Table6[[#This Row],[Column2]]+Table6[[#This Row],[حوافز غير مستقره]]</f>
        <v>14617.525641025641</v>
      </c>
      <c r="AO306" s="423"/>
      <c r="AP306" s="408"/>
      <c r="AQ306" s="176"/>
      <c r="AR306" s="124"/>
      <c r="AS306" s="155"/>
      <c r="AT306" s="409"/>
      <c r="AU306" s="359"/>
      <c r="AV306" s="359"/>
      <c r="AW306" s="359"/>
      <c r="AX306" s="359"/>
      <c r="AY306" s="359"/>
      <c r="AZ306" s="359"/>
      <c r="BA306" s="359"/>
      <c r="BB306" s="359"/>
      <c r="BC306" s="359"/>
      <c r="BD306" s="359">
        <v>3.5</v>
      </c>
      <c r="BE306" s="359">
        <v>4.5</v>
      </c>
      <c r="BF306" s="359"/>
      <c r="BG306" s="359"/>
      <c r="BH306" s="359">
        <v>4.2</v>
      </c>
      <c r="BI306" s="359"/>
      <c r="BJ306" s="359"/>
      <c r="BK306" s="359"/>
      <c r="BL306" s="359">
        <v>3</v>
      </c>
      <c r="BM306" s="359"/>
      <c r="BN306" s="359"/>
      <c r="BO306" s="359"/>
      <c r="BP306" s="359"/>
      <c r="BQ306" s="359"/>
      <c r="BR306" s="359"/>
      <c r="BS306" s="359"/>
      <c r="BT306" s="359"/>
      <c r="BU306" s="359"/>
      <c r="BV306" s="359"/>
      <c r="BW306" s="359"/>
      <c r="BX306" s="359"/>
      <c r="BY306" s="359"/>
      <c r="BZ306" s="410"/>
      <c r="CA306" s="411"/>
      <c r="CB306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15.2</v>
      </c>
      <c r="CC30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6" s="131">
        <f>' الشركه 2018'!$H306*67%*1.5*' الشركه 2018'!$CB306/208</f>
        <v>1028.1923076923076</v>
      </c>
      <c r="CE306" s="132">
        <f>' الشركه 2018'!$H306*67%*2*' الشركه 2018'!$CC306/208</f>
        <v>0</v>
      </c>
      <c r="CF306" s="133">
        <f>' الشركه 2018'!$CD306+' الشركه 2018'!$CE306</f>
        <v>1028.1923076923076</v>
      </c>
      <c r="CG306" s="359"/>
      <c r="CH306" s="413">
        <f>SUMIF(C306:C631,' الشركه 2018'!$CG211,L306:L631)</f>
        <v>0</v>
      </c>
      <c r="CI306" s="359"/>
      <c r="CJ306" s="413">
        <f>' الشركه 2018'!$CH212*' الشركه 2018'!$CI212</f>
        <v>0</v>
      </c>
      <c r="CK306" s="413">
        <f>' الشركه 2018'!$CJ212*8%</f>
        <v>0</v>
      </c>
      <c r="CL306" s="413">
        <f>' الشركه 2018'!$CJ212*17%</f>
        <v>0</v>
      </c>
      <c r="CM306" s="413">
        <f>' الشركه 2018'!$CJ211*25%</f>
        <v>0</v>
      </c>
      <c r="CN306" s="414"/>
      <c r="CO306" s="414"/>
      <c r="CP306" s="424"/>
      <c r="CQ306" s="416" t="e">
        <f>VLOOKUP(Table6[[#This Row],[الرقم الوظيفى]],[4]!Table3[#Data],26,FALSE)</f>
        <v>#REF!</v>
      </c>
      <c r="CR306" s="370"/>
      <c r="CS306" s="124"/>
    </row>
    <row r="307" spans="1:97" ht="28" customHeight="1" thickTop="1" thickBot="1">
      <c r="A307" s="393">
        <v>1006</v>
      </c>
      <c r="B307" s="182" t="s">
        <v>147</v>
      </c>
      <c r="C307" s="417" t="s">
        <v>137</v>
      </c>
      <c r="D307" s="183" t="s">
        <v>75</v>
      </c>
      <c r="E307" s="395"/>
      <c r="F307" s="394" t="s">
        <v>747</v>
      </c>
      <c r="G307" s="184">
        <v>39995</v>
      </c>
      <c r="H307" s="418">
        <v>10000</v>
      </c>
      <c r="I307" s="103">
        <f>Table6[[#This Row],[مرتب]]/30</f>
        <v>333.33333333333331</v>
      </c>
      <c r="J307" s="143">
        <v>30</v>
      </c>
      <c r="K307" s="143">
        <f t="shared" si="4"/>
        <v>10000</v>
      </c>
      <c r="L307" s="12">
        <v>10000</v>
      </c>
      <c r="M307" s="143">
        <f>Table6[[#This Row],[مرتب الضمان]]*17%</f>
        <v>1700.0000000000002</v>
      </c>
      <c r="N307" s="143">
        <f>' الشركه 2018'!$H307*35%</f>
        <v>3500</v>
      </c>
      <c r="O307" s="143">
        <f>' الشركه 2018'!$H307*32%</f>
        <v>3200</v>
      </c>
      <c r="P307" s="143">
        <f>' الشركه 2018'!$H307*12%</f>
        <v>1200</v>
      </c>
      <c r="Q307" s="143">
        <f>' الشركه 2018'!$H307*13%</f>
        <v>1300</v>
      </c>
      <c r="R307" s="143">
        <f>' الشركه 2018'!$H307*6%</f>
        <v>600</v>
      </c>
      <c r="S307" s="143">
        <f>' الشركه 2018'!$H307*2%</f>
        <v>200</v>
      </c>
      <c r="T307" s="143">
        <f>' الشركه 2018'!$O307+' الشركه 2018'!$P307+' الشركه 2018'!$Q307+' الشركه 2018'!$R307+' الشركه 2018'!$S307</f>
        <v>6500</v>
      </c>
      <c r="U307" s="109">
        <f>VLOOKUP(Table6[[#This Row],[الرقم الوظيفى]],[2]بالخصم!$B$1:$AK$1200,35,)</f>
        <v>0</v>
      </c>
      <c r="V307" s="398"/>
      <c r="W307" s="187">
        <f>Table6[[#This Row],[عدد ايام الاجازه]]*Table6[[#This Row],[ح راتب اليوم]]</f>
        <v>0</v>
      </c>
      <c r="X307" s="399"/>
      <c r="Y307" s="419"/>
      <c r="Z307" s="380">
        <f>Table6[[#This Row],[عدد ايام الجزاء]]*Table6[[#This Row],[ح راتب اليوم]]</f>
        <v>0</v>
      </c>
      <c r="AA307" s="190">
        <v>2000</v>
      </c>
      <c r="AB307" s="191" t="e">
        <f>VLOOKUP(Table6[[#This Row],[الرقم الوظيفى]],[3]!Table25289[#Data],23,)</f>
        <v>#REF!</v>
      </c>
      <c r="AC307" s="420"/>
      <c r="AD307" s="421"/>
      <c r="AE307" s="113" t="e">
        <f>VLOOKUP(Table6[[#This Row],[الرقم الوظيفى]],[3]!Table252894[#Data],22,)</f>
        <v>#REF!</v>
      </c>
      <c r="AF307" s="422"/>
      <c r="AG307" s="111">
        <f>' الشركه 2018'!$W307+' الشركه 2018'!$Z307+' الشركه 2018'!$AA307+' الشركه 2018'!$AC307+' الشركه 2018'!$AD307+' الشركه 2018'!$AF307</f>
        <v>2000</v>
      </c>
      <c r="AH307" s="111">
        <f>Table6[[#This Row],[راتب الضمان]]*8%</f>
        <v>800</v>
      </c>
      <c r="AI307" s="111">
        <f>' الشركه 2018'!$H307-' الشركه 2018'!$AG307-' الشركه 2018'!$AH307</f>
        <v>7200</v>
      </c>
      <c r="AJ307" s="111">
        <f>' الشركه 2018'!$CF307</f>
        <v>0</v>
      </c>
      <c r="AK307" s="117">
        <f>' الشركه 2018'!$AI307+' الشركه 2018'!$AJ307</f>
        <v>7200</v>
      </c>
      <c r="AL307" s="405"/>
      <c r="AM307" s="406"/>
      <c r="AN307" s="278">
        <f>Table6[[#This Row],[اجمالى الاستحقاق]]-Table6[[#This Row],[Column2]]+Table6[[#This Row],[حوافز غير مستقره]]</f>
        <v>7200</v>
      </c>
      <c r="AO307" s="423"/>
      <c r="AP307" s="408"/>
      <c r="AQ307" s="176"/>
      <c r="AR307" s="124"/>
      <c r="AS307" s="155"/>
      <c r="AT307" s="409"/>
      <c r="AU307" s="359"/>
      <c r="AV307" s="359"/>
      <c r="AW307" s="359"/>
      <c r="AX307" s="359"/>
      <c r="AY307" s="359"/>
      <c r="AZ307" s="359"/>
      <c r="BA307" s="359"/>
      <c r="BB307" s="359"/>
      <c r="BC307" s="359"/>
      <c r="BD307" s="359"/>
      <c r="BE307" s="359"/>
      <c r="BF307" s="359"/>
      <c r="BG307" s="359"/>
      <c r="BH307" s="359"/>
      <c r="BI307" s="359"/>
      <c r="BJ307" s="359"/>
      <c r="BK307" s="359"/>
      <c r="BL307" s="359"/>
      <c r="BM307" s="359"/>
      <c r="BN307" s="359"/>
      <c r="BO307" s="359"/>
      <c r="BP307" s="359"/>
      <c r="BQ307" s="359"/>
      <c r="BR307" s="359"/>
      <c r="BS307" s="359"/>
      <c r="BT307" s="359"/>
      <c r="BU307" s="359"/>
      <c r="BV307" s="359"/>
      <c r="BW307" s="359"/>
      <c r="BX307" s="359"/>
      <c r="BY307" s="359"/>
      <c r="BZ307" s="427"/>
      <c r="CA307" s="428"/>
      <c r="CB307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0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7" s="131">
        <f>' الشركه 2018'!$H307*67%*1.5*' الشركه 2018'!$CB307/208</f>
        <v>0</v>
      </c>
      <c r="CE307" s="132">
        <f>' الشركه 2018'!$H307*67%*2*' الشركه 2018'!$CC307/208</f>
        <v>0</v>
      </c>
      <c r="CF307" s="133">
        <f>' الشركه 2018'!$CD307+' الشركه 2018'!$CE307</f>
        <v>0</v>
      </c>
      <c r="CG307" s="359"/>
      <c r="CH307" s="413">
        <f>SUMIF(C307:C633,' الشركه 2018'!#REF!,L307:L633)</f>
        <v>0</v>
      </c>
      <c r="CI307" s="359"/>
      <c r="CJ307" s="413">
        <f>' الشركه 2018'!$CH214*' الشركه 2018'!$CI214</f>
        <v>0</v>
      </c>
      <c r="CK307" s="413">
        <f>' الشركه 2018'!$CJ214*8%</f>
        <v>0</v>
      </c>
      <c r="CL307" s="413">
        <f>' الشركه 2018'!$CJ214*17%</f>
        <v>0</v>
      </c>
      <c r="CM307" s="413" t="e">
        <f>' الشركه 2018'!#REF!*25%</f>
        <v>#REF!</v>
      </c>
      <c r="CN307" s="414"/>
      <c r="CO307" s="414"/>
      <c r="CP307" s="424">
        <v>1000</v>
      </c>
      <c r="CQ307" s="416" t="e">
        <f>VLOOKUP(Table6[[#This Row],[الرقم الوظيفى]],[4]!Table3[#Data],26,FALSE)</f>
        <v>#REF!</v>
      </c>
      <c r="CR307" s="370"/>
      <c r="CS307" s="124"/>
    </row>
    <row r="308" spans="1:97" ht="28" customHeight="1" thickTop="1" thickBot="1">
      <c r="A308" s="393">
        <v>1007</v>
      </c>
      <c r="B308" s="182" t="s">
        <v>146</v>
      </c>
      <c r="C308" s="417" t="s">
        <v>137</v>
      </c>
      <c r="D308" s="183" t="s">
        <v>129</v>
      </c>
      <c r="E308" s="395"/>
      <c r="F308" s="394"/>
      <c r="G308" s="184">
        <v>39142</v>
      </c>
      <c r="H308" s="418">
        <v>9070</v>
      </c>
      <c r="I308" s="103">
        <f>Table6[[#This Row],[مرتب]]/30</f>
        <v>302.33333333333331</v>
      </c>
      <c r="J308" s="143">
        <v>30</v>
      </c>
      <c r="K308" s="143">
        <f t="shared" si="4"/>
        <v>9070</v>
      </c>
      <c r="L308" s="12">
        <v>9070</v>
      </c>
      <c r="M308" s="143">
        <f>Table6[[#This Row],[مرتب الضمان]]*17%</f>
        <v>1541.9</v>
      </c>
      <c r="N308" s="143">
        <f>' الشركه 2018'!$H308*35%</f>
        <v>3174.5</v>
      </c>
      <c r="O308" s="143">
        <f>' الشركه 2018'!$H308*32%</f>
        <v>2902.4</v>
      </c>
      <c r="P308" s="143">
        <f>' الشركه 2018'!$H308*12%</f>
        <v>1088.3999999999999</v>
      </c>
      <c r="Q308" s="143">
        <f>' الشركه 2018'!$H308*13%</f>
        <v>1179.1000000000001</v>
      </c>
      <c r="R308" s="143">
        <f>' الشركه 2018'!$H308*6%</f>
        <v>544.19999999999993</v>
      </c>
      <c r="S308" s="143">
        <f>' الشركه 2018'!$H308*2%</f>
        <v>181.4</v>
      </c>
      <c r="T308" s="143">
        <f>' الشركه 2018'!$O308+' الشركه 2018'!$P308+' الشركه 2018'!$Q308+' الشركه 2018'!$R308+' الشركه 2018'!$S308</f>
        <v>5895.5</v>
      </c>
      <c r="U308" s="109">
        <f>VLOOKUP(Table6[[#This Row],[الرقم الوظيفى]],[2]بالخصم!$B$1:$AK$1200,35,)</f>
        <v>0</v>
      </c>
      <c r="V308" s="398"/>
      <c r="W308" s="187">
        <f>Table6[[#This Row],[عدد ايام الاجازه]]*Table6[[#This Row],[ح راتب اليوم]]</f>
        <v>0</v>
      </c>
      <c r="X308" s="399"/>
      <c r="Y308" s="419"/>
      <c r="Z308" s="380">
        <f>Table6[[#This Row],[عدد ايام الجزاء]]*Table6[[#This Row],[ح راتب اليوم]]</f>
        <v>0</v>
      </c>
      <c r="AA308" s="190"/>
      <c r="AB308" s="191" t="e">
        <f>VLOOKUP(Table6[[#This Row],[الرقم الوظيفى]],[3]!Table25289[#Data],23,)</f>
        <v>#REF!</v>
      </c>
      <c r="AC308" s="420"/>
      <c r="AD308" s="421"/>
      <c r="AE308" s="113" t="e">
        <f>VLOOKUP(Table6[[#This Row],[الرقم الوظيفى]],[3]!Table252894[#Data],22,)</f>
        <v>#REF!</v>
      </c>
      <c r="AF308" s="422">
        <v>300</v>
      </c>
      <c r="AG308" s="111">
        <f>' الشركه 2018'!$W308+' الشركه 2018'!$Z308+' الشركه 2018'!$AA308+' الشركه 2018'!$AC308+' الشركه 2018'!$AD308+' الشركه 2018'!$AF308</f>
        <v>300</v>
      </c>
      <c r="AH308" s="111">
        <f>Table6[[#This Row],[راتب الضمان]]*8%</f>
        <v>725.6</v>
      </c>
      <c r="AI308" s="111">
        <f>' الشركه 2018'!$H308-' الشركه 2018'!$AG308-' الشركه 2018'!$AH308</f>
        <v>8044.4</v>
      </c>
      <c r="AJ308" s="111">
        <f>' الشركه 2018'!$CF308</f>
        <v>0</v>
      </c>
      <c r="AK308" s="117">
        <f>' الشركه 2018'!$AI308+' الشركه 2018'!$AJ308</f>
        <v>8044.4</v>
      </c>
      <c r="AL308" s="405"/>
      <c r="AM308" s="406"/>
      <c r="AN308" s="278">
        <f>Table6[[#This Row],[اجمالى الاستحقاق]]-Table6[[#This Row],[Column2]]+Table6[[#This Row],[حوافز غير مستقره]]</f>
        <v>8044.4</v>
      </c>
      <c r="AO308" s="423"/>
      <c r="AP308" s="408"/>
      <c r="AQ308" s="176"/>
      <c r="AR308" s="124"/>
      <c r="AS308" s="155"/>
      <c r="AT308" s="409"/>
      <c r="AU308" s="359"/>
      <c r="AV308" s="359"/>
      <c r="AW308" s="359"/>
      <c r="AX308" s="359"/>
      <c r="AY308" s="359"/>
      <c r="AZ308" s="359"/>
      <c r="BA308" s="359"/>
      <c r="BB308" s="359"/>
      <c r="BC308" s="359"/>
      <c r="BD308" s="359"/>
      <c r="BE308" s="359"/>
      <c r="BF308" s="359"/>
      <c r="BG308" s="359"/>
      <c r="BH308" s="359"/>
      <c r="BI308" s="359"/>
      <c r="BJ308" s="359"/>
      <c r="BK308" s="359"/>
      <c r="BL308" s="359"/>
      <c r="BM308" s="359"/>
      <c r="BN308" s="359"/>
      <c r="BO308" s="359"/>
      <c r="BP308" s="359"/>
      <c r="BQ308" s="359"/>
      <c r="BR308" s="359"/>
      <c r="BS308" s="359"/>
      <c r="BT308" s="359"/>
      <c r="BU308" s="359"/>
      <c r="BV308" s="359"/>
      <c r="BW308" s="359"/>
      <c r="BX308" s="359"/>
      <c r="BY308" s="359"/>
      <c r="BZ308" s="427"/>
      <c r="CA308" s="428"/>
      <c r="CB308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0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8" s="131">
        <f>' الشركه 2018'!$H308*67%*1.5*' الشركه 2018'!$CB308/208</f>
        <v>0</v>
      </c>
      <c r="CE308" s="132">
        <f>' الشركه 2018'!$H308*67%*2*' الشركه 2018'!$CC308/208</f>
        <v>0</v>
      </c>
      <c r="CF308" s="133">
        <f>' الشركه 2018'!$CD308+' الشركه 2018'!$CE308</f>
        <v>0</v>
      </c>
      <c r="CG308" s="359"/>
      <c r="CH308" s="413">
        <f>SUMIF(C308:C633,' الشركه 2018'!$CG213,L308:L633)</f>
        <v>0</v>
      </c>
      <c r="CI308" s="359"/>
      <c r="CJ308" s="413" t="e">
        <f>' الشركه 2018'!#REF!*' الشركه 2018'!#REF!</f>
        <v>#REF!</v>
      </c>
      <c r="CK308" s="413" t="e">
        <f>' الشركه 2018'!#REF!*8%</f>
        <v>#REF!</v>
      </c>
      <c r="CL308" s="413" t="e">
        <f>' الشركه 2018'!#REF!*17%</f>
        <v>#REF!</v>
      </c>
      <c r="CM308" s="413">
        <f>' الشركه 2018'!$CJ213*25%</f>
        <v>0</v>
      </c>
      <c r="CN308" s="414"/>
      <c r="CO308" s="414"/>
      <c r="CP308" s="424"/>
      <c r="CQ308" s="416" t="e">
        <f>VLOOKUP(Table6[[#This Row],[الرقم الوظيفى]],[4]!Table3[#Data],26,FALSE)</f>
        <v>#REF!</v>
      </c>
      <c r="CR308" s="370"/>
      <c r="CS308" s="124"/>
    </row>
    <row r="309" spans="1:97" ht="21.65" customHeight="1" thickTop="1" thickBot="1">
      <c r="A309" s="429">
        <v>1022</v>
      </c>
      <c r="B309" s="394" t="s">
        <v>475</v>
      </c>
      <c r="C309" s="394" t="s">
        <v>137</v>
      </c>
      <c r="D309" s="430" t="s">
        <v>80</v>
      </c>
      <c r="E309" s="395"/>
      <c r="F309" s="394" t="s">
        <v>474</v>
      </c>
      <c r="G309" s="396">
        <v>39173</v>
      </c>
      <c r="H309" s="397">
        <v>35000</v>
      </c>
      <c r="I309" s="103">
        <f>Table6[[#This Row],[مرتب]]/30</f>
        <v>1166.6666666666667</v>
      </c>
      <c r="J309" s="143">
        <v>30</v>
      </c>
      <c r="K309" s="143">
        <f t="shared" si="4"/>
        <v>0</v>
      </c>
      <c r="L309" s="12">
        <v>0</v>
      </c>
      <c r="M309" s="143">
        <f>Table6[[#This Row],[مرتب الضمان]]*17%</f>
        <v>0</v>
      </c>
      <c r="N309" s="143">
        <f>' الشركه 2018'!$H309*35%</f>
        <v>12250</v>
      </c>
      <c r="O309" s="143">
        <f>' الشركه 2018'!$H309*32%</f>
        <v>11200</v>
      </c>
      <c r="P309" s="143">
        <f>' الشركه 2018'!$H309*12%</f>
        <v>4200</v>
      </c>
      <c r="Q309" s="143">
        <f>' الشركه 2018'!$H309*13%</f>
        <v>4550</v>
      </c>
      <c r="R309" s="143">
        <f>' الشركه 2018'!$H309*6%</f>
        <v>2100</v>
      </c>
      <c r="S309" s="143">
        <f>' الشركه 2018'!$H309*2%</f>
        <v>700</v>
      </c>
      <c r="T309" s="143">
        <f>' الشركه 2018'!$O309+' الشركه 2018'!$P309+' الشركه 2018'!$Q309+' الشركه 2018'!$R309+' الشركه 2018'!$S309</f>
        <v>22750</v>
      </c>
      <c r="U309" s="109">
        <f>VLOOKUP(Table6[[#This Row],[الرقم الوظيفى]],[2]بالخصم!$B$1:$AK$1200,35,)</f>
        <v>0</v>
      </c>
      <c r="V309" s="431"/>
      <c r="W309" s="187">
        <f>Table6[[#This Row],[عدد ايام الاجازه]]*Table6[[#This Row],[ح راتب اليوم]]</f>
        <v>0</v>
      </c>
      <c r="X309" s="399"/>
      <c r="Y309" s="400"/>
      <c r="Z309" s="401">
        <f>Table6[[#This Row],[عدد ايام الجزاء]]*Table6[[#This Row],[ح راتب اليوم]]</f>
        <v>0</v>
      </c>
      <c r="AA309" s="190"/>
      <c r="AB309" s="191" t="e">
        <f>VLOOKUP(Table6[[#This Row],[الرقم الوظيفى]],[3]!Table25289[#Data],23,)</f>
        <v>#REF!</v>
      </c>
      <c r="AC309" s="402">
        <v>6000</v>
      </c>
      <c r="AD309" s="432"/>
      <c r="AE309" s="113" t="e">
        <f>VLOOKUP(Table6[[#This Row],[الرقم الوظيفى]],[3]!Table252894[#Data],22,)</f>
        <v>#REF!</v>
      </c>
      <c r="AF309" s="404"/>
      <c r="AG309" s="111">
        <f>' الشركه 2018'!$W309+' الشركه 2018'!$Z309+' الشركه 2018'!$AA309+' الشركه 2018'!$AC309+' الشركه 2018'!$AD309+' الشركه 2018'!$AF309</f>
        <v>6000</v>
      </c>
      <c r="AH309" s="111">
        <f>Table6[[#This Row],[راتب الضمان]]*8%</f>
        <v>0</v>
      </c>
      <c r="AI309" s="111">
        <f>' الشركه 2018'!$H309-' الشركه 2018'!$AG309-' الشركه 2018'!$AH309</f>
        <v>29000</v>
      </c>
      <c r="AJ309" s="111">
        <f>' الشركه 2018'!$CF309</f>
        <v>0</v>
      </c>
      <c r="AK309" s="117">
        <f>' الشركه 2018'!$AI309+' الشركه 2018'!$AJ309</f>
        <v>29000</v>
      </c>
      <c r="AL309" s="405"/>
      <c r="AM309" s="406"/>
      <c r="AN309" s="278">
        <f>Table6[[#This Row],[اجمالى الاستحقاق]]-Table6[[#This Row],[Column2]]+Table6[[#This Row],[حوافز غير مستقره]]</f>
        <v>29000</v>
      </c>
      <c r="AO309" s="407"/>
      <c r="AP309" s="408"/>
      <c r="AQ309" s="176"/>
      <c r="AR309" s="124"/>
      <c r="AS309" s="155"/>
      <c r="AT309" s="409"/>
      <c r="AU309" s="359"/>
      <c r="AV309" s="359"/>
      <c r="AW309" s="359"/>
      <c r="AX309" s="359"/>
      <c r="AY309" s="359"/>
      <c r="AZ309" s="359"/>
      <c r="BA309" s="359"/>
      <c r="BB309" s="359"/>
      <c r="BC309" s="359"/>
      <c r="BD309" s="359"/>
      <c r="BE309" s="359"/>
      <c r="BF309" s="359"/>
      <c r="BG309" s="359"/>
      <c r="BH309" s="359"/>
      <c r="BI309" s="359"/>
      <c r="BJ309" s="359"/>
      <c r="BK309" s="359"/>
      <c r="BL309" s="359"/>
      <c r="BM309" s="359"/>
      <c r="BN309" s="359"/>
      <c r="BO309" s="359"/>
      <c r="BP309" s="359"/>
      <c r="BQ309" s="359"/>
      <c r="BR309" s="359"/>
      <c r="BS309" s="359"/>
      <c r="BT309" s="359"/>
      <c r="BU309" s="359"/>
      <c r="BV309" s="359"/>
      <c r="BW309" s="359"/>
      <c r="BX309" s="359"/>
      <c r="BY309" s="359"/>
      <c r="BZ309" s="427"/>
      <c r="CA309" s="428"/>
      <c r="CB309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0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09" s="131">
        <f>' الشركه 2018'!$H309*67%*1.5*' الشركه 2018'!$CB309/208</f>
        <v>0</v>
      </c>
      <c r="CE309" s="132">
        <f>' الشركه 2018'!$H309*67%*2*' الشركه 2018'!$CC309/208</f>
        <v>0</v>
      </c>
      <c r="CF309" s="133">
        <f>' الشركه 2018'!$CD309+' الشركه 2018'!$CE309</f>
        <v>0</v>
      </c>
      <c r="CG309" s="359"/>
      <c r="CH309" s="413">
        <f>SUMIF(C309:C634,' الشركه 2018'!#REF!,L309:L634)</f>
        <v>0</v>
      </c>
      <c r="CI309" s="359"/>
      <c r="CJ309" s="413" t="e">
        <f>' الشركه 2018'!#REF!*' الشركه 2018'!#REF!</f>
        <v>#REF!</v>
      </c>
      <c r="CK309" s="413" t="e">
        <f>' الشركه 2018'!#REF!*8%</f>
        <v>#REF!</v>
      </c>
      <c r="CL309" s="413" t="e">
        <f>' الشركه 2018'!#REF!*17%</f>
        <v>#REF!</v>
      </c>
      <c r="CM309" s="413" t="e">
        <f>' الشركه 2018'!#REF!*25%</f>
        <v>#REF!</v>
      </c>
      <c r="CN309" s="414"/>
      <c r="CO309" s="414"/>
      <c r="CP309" s="415"/>
      <c r="CQ309" s="416" t="e">
        <f>VLOOKUP(Table6[[#This Row],[الرقم الوظيفى]],[4]!Table3[#Data],26,FALSE)</f>
        <v>#REF!</v>
      </c>
      <c r="CR309" s="370"/>
      <c r="CS309" s="124"/>
    </row>
    <row r="310" spans="1:97" ht="21.65" customHeight="1" thickTop="1" thickBot="1">
      <c r="A310" s="433">
        <v>4</v>
      </c>
      <c r="B310" s="434" t="s">
        <v>458</v>
      </c>
      <c r="C310" s="434" t="s">
        <v>90</v>
      </c>
      <c r="D310" s="435" t="s">
        <v>70</v>
      </c>
      <c r="E310" s="266"/>
      <c r="F310" s="265"/>
      <c r="G310" s="267">
        <v>39063</v>
      </c>
      <c r="H310" s="436">
        <v>34960</v>
      </c>
      <c r="I310" s="377">
        <f>Table6[[#This Row],[مرتب]]/30</f>
        <v>1165.3333333333333</v>
      </c>
      <c r="J310" s="107">
        <v>30</v>
      </c>
      <c r="K310" s="107">
        <f t="shared" si="4"/>
        <v>34960</v>
      </c>
      <c r="L310" s="107">
        <v>34960</v>
      </c>
      <c r="M310" s="107">
        <f>Table6[[#This Row],[مرتب الضمان]]*17%</f>
        <v>5943.2000000000007</v>
      </c>
      <c r="N310" s="107">
        <f>' الشركه 2018'!$H310*35%</f>
        <v>12236</v>
      </c>
      <c r="O310" s="107">
        <f>' الشركه 2018'!$H310*32%</f>
        <v>11187.2</v>
      </c>
      <c r="P310" s="107">
        <f>' الشركه 2018'!$H310*12%</f>
        <v>4195.2</v>
      </c>
      <c r="Q310" s="107">
        <f>' الشركه 2018'!$H310*13%</f>
        <v>4544.8</v>
      </c>
      <c r="R310" s="107">
        <f>' الشركه 2018'!$H310*6%</f>
        <v>2097.6</v>
      </c>
      <c r="S310" s="107">
        <f>' الشركه 2018'!$H310*2%</f>
        <v>699.2</v>
      </c>
      <c r="T310" s="107">
        <f>' الشركه 2018'!$O310+' الشركه 2018'!$P310+' الشركه 2018'!$Q310+' الشركه 2018'!$R310+' الشركه 2018'!$S310</f>
        <v>22724</v>
      </c>
      <c r="U310" s="109">
        <f>VLOOKUP(Table6[[#This Row],[الرقم الوظيفى]],[2]بالخصم!$B$1:$AK$1200,35,)</f>
        <v>0</v>
      </c>
      <c r="V310" s="437"/>
      <c r="W310" s="111">
        <f>Table6[[#This Row],[عدد ايام الاجازه]]*Table6[[#This Row],[ح راتب اليوم]]</f>
        <v>0</v>
      </c>
      <c r="X310" s="271"/>
      <c r="Y310" s="434"/>
      <c r="Z310" s="438">
        <f>Table6[[#This Row],[عدد ايام الجزاء]]*Table6[[#This Row],[ح راتب اليوم]]</f>
        <v>0</v>
      </c>
      <c r="AA310" s="112">
        <f>Table6[[#This Row],[مرتب]]*50%</f>
        <v>17480</v>
      </c>
      <c r="AB310" s="113" t="e">
        <f>VLOOKUP(Table6[[#This Row],[الرقم الوظيفى]],[3]!Table25289[#Data],23,)</f>
        <v>#REF!</v>
      </c>
      <c r="AC310" s="439"/>
      <c r="AD310" s="440"/>
      <c r="AE310" s="113" t="e">
        <f>VLOOKUP(Table6[[#This Row],[الرقم الوظيفى]],[3]!Table252894[#Data],22,)</f>
        <v>#REF!</v>
      </c>
      <c r="AF310" s="441"/>
      <c r="AG310" s="111">
        <f>' الشركه 2018'!$W310+' الشركه 2018'!$Z310+' الشركه 2018'!$AA310+' الشركه 2018'!$AC310+' الشركه 2018'!$AD310+' الشركه 2018'!$AF310</f>
        <v>17480</v>
      </c>
      <c r="AH310" s="111">
        <f>Table6[[#This Row],[راتب الضمان]]*8%</f>
        <v>2796.8</v>
      </c>
      <c r="AI310" s="111">
        <f>' الشركه 2018'!$H310-' الشركه 2018'!$AG310-' الشركه 2018'!$AH310</f>
        <v>14683.2</v>
      </c>
      <c r="AJ310" s="111">
        <f>' الشركه 2018'!$CF310</f>
        <v>0</v>
      </c>
      <c r="AK310" s="117">
        <f>' الشركه 2018'!$AI310+' الشركه 2018'!$AJ310</f>
        <v>14683.2</v>
      </c>
      <c r="AL310" s="276"/>
      <c r="AM310" s="442"/>
      <c r="AN310" s="443">
        <f>Table6[[#This Row],[اجمالى الاستحقاق]]-Table6[[#This Row],[Column2]]+Table6[[#This Row],[حوافز غير مستقره]]</f>
        <v>14683.2</v>
      </c>
      <c r="AO310" s="444"/>
      <c r="AP310" s="445"/>
      <c r="AQ310" s="176"/>
      <c r="AR310" s="124"/>
      <c r="AS310" s="155"/>
      <c r="AT310" s="280"/>
      <c r="AU310" s="281"/>
      <c r="AV310" s="281"/>
      <c r="AW310" s="281"/>
      <c r="AX310" s="281"/>
      <c r="AY310" s="281"/>
      <c r="AZ310" s="281"/>
      <c r="BA310" s="281"/>
      <c r="BB310" s="281"/>
      <c r="BC310" s="281"/>
      <c r="BD310" s="281"/>
      <c r="BE310" s="281"/>
      <c r="BF310" s="281"/>
      <c r="BG310" s="281"/>
      <c r="BH310" s="281"/>
      <c r="BI310" s="281"/>
      <c r="BJ310" s="281"/>
      <c r="BK310" s="281"/>
      <c r="BL310" s="281"/>
      <c r="BM310" s="281"/>
      <c r="BN310" s="281"/>
      <c r="BO310" s="281"/>
      <c r="BP310" s="281"/>
      <c r="BQ310" s="281"/>
      <c r="BR310" s="281"/>
      <c r="BS310" s="281"/>
      <c r="BT310" s="281"/>
      <c r="BU310" s="281"/>
      <c r="BV310" s="281"/>
      <c r="BW310" s="281"/>
      <c r="BX310" s="281"/>
      <c r="BY310" s="281"/>
      <c r="BZ310" s="282"/>
      <c r="CA310" s="283"/>
      <c r="CB310" s="28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0" s="131">
        <f>' الشركه 2018'!$H310*67%*1.5*' الشركه 2018'!$CB310/208</f>
        <v>0</v>
      </c>
      <c r="CE310" s="132">
        <f>' الشركه 2018'!$H310*67%*2*' الشركه 2018'!$CC310/208</f>
        <v>0</v>
      </c>
      <c r="CF310" s="133">
        <f>' الشركه 2018'!$CD310+' الشركه 2018'!$CE310</f>
        <v>0</v>
      </c>
      <c r="CG310" s="281"/>
      <c r="CH310" s="285">
        <f>SUMIF(C310:C635,' الشركه 2018'!$CG214,L310:L635)</f>
        <v>0</v>
      </c>
      <c r="CI310" s="281"/>
      <c r="CJ310" s="285">
        <f>' الشركه 2018'!$CH214*' الشركه 2018'!$CI214</f>
        <v>0</v>
      </c>
      <c r="CK310" s="285">
        <f>' الشركه 2018'!$CJ214*8%</f>
        <v>0</v>
      </c>
      <c r="CL310" s="285">
        <f>' الشركه 2018'!$CJ214*17%</f>
        <v>0</v>
      </c>
      <c r="CM310" s="285">
        <f>' الشركه 2018'!$CJ214*25%</f>
        <v>0</v>
      </c>
      <c r="CN310" s="286"/>
      <c r="CO310" s="286"/>
      <c r="CP310" s="327"/>
      <c r="CQ310" s="288" t="e">
        <f>VLOOKUP(Table6[[#This Row],[الرقم الوظيفى]],[4]!Table3[#Data],26,FALSE)</f>
        <v>#REF!</v>
      </c>
      <c r="CR310" s="370"/>
      <c r="CS310" s="124"/>
    </row>
    <row r="311" spans="1:97" ht="21.65" customHeight="1" thickTop="1" thickBot="1">
      <c r="A311" s="433">
        <v>1069</v>
      </c>
      <c r="B311" s="446" t="s">
        <v>748</v>
      </c>
      <c r="C311" s="434" t="s">
        <v>90</v>
      </c>
      <c r="D311" s="417" t="s">
        <v>74</v>
      </c>
      <c r="E311" s="357"/>
      <c r="F311" s="447" t="s">
        <v>63</v>
      </c>
      <c r="G311" s="267">
        <v>43346</v>
      </c>
      <c r="H311" s="448">
        <v>3000</v>
      </c>
      <c r="I311" s="449">
        <f>Table6[[#This Row],[مرتب]]/30</f>
        <v>100</v>
      </c>
      <c r="J311" s="450">
        <v>30</v>
      </c>
      <c r="K311" s="107">
        <f t="shared" si="4"/>
        <v>3000</v>
      </c>
      <c r="L311" s="448">
        <v>3000</v>
      </c>
      <c r="M311" s="107">
        <f>Table6[[#This Row],[مرتب الضمان]]*17%</f>
        <v>510.00000000000006</v>
      </c>
      <c r="N311" s="107">
        <f>' الشركه 2018'!$H311*35%</f>
        <v>1050</v>
      </c>
      <c r="O311" s="107">
        <f>' الشركه 2018'!$H311*32%</f>
        <v>960</v>
      </c>
      <c r="P311" s="107">
        <f>' الشركه 2018'!$H311*12%</f>
        <v>360</v>
      </c>
      <c r="Q311" s="107">
        <f>' الشركه 2018'!$H311*13%</f>
        <v>390</v>
      </c>
      <c r="R311" s="107">
        <f>' الشركه 2018'!$H311*6%</f>
        <v>180</v>
      </c>
      <c r="S311" s="107">
        <f>' الشركه 2018'!$H311*2%</f>
        <v>60</v>
      </c>
      <c r="T311" s="107">
        <f>' الشركه 2018'!$O311+' الشركه 2018'!$P311+' الشركه 2018'!$Q311+' الشركه 2018'!$R311+' الشركه 2018'!$S311</f>
        <v>1950</v>
      </c>
      <c r="U311" s="109">
        <f>VLOOKUP(Table6[[#This Row],[الرقم الوظيفى]],[2]بالخصم!$B$1:$AK$1200,35,)</f>
        <v>0</v>
      </c>
      <c r="V311" s="451"/>
      <c r="W311" s="111">
        <f>Table6[[#This Row],[عدد ايام الاجازه]]*Table6[[#This Row],[ح راتب اليوم]]</f>
        <v>0</v>
      </c>
      <c r="X311" s="452"/>
      <c r="Y311" s="453"/>
      <c r="Z311" s="438">
        <f>Table6[[#This Row],[عدد ايام الجزاء]]*Table6[[#This Row],[ح راتب اليوم]]</f>
        <v>0</v>
      </c>
      <c r="AA311" s="112">
        <f>Table6[[#This Row],[مرتب]]*50%</f>
        <v>1500</v>
      </c>
      <c r="AB311" s="113" t="e">
        <f>VLOOKUP(Table6[[#This Row],[الرقم الوظيفى]],[3]!Table25289[#Data],23,)</f>
        <v>#REF!</v>
      </c>
      <c r="AC311" s="454"/>
      <c r="AD311" s="454"/>
      <c r="AE311" s="113" t="e">
        <f>VLOOKUP(Table6[[#This Row],[الرقم الوظيفى]],[3]!Table252894[#Data],22,)</f>
        <v>#REF!</v>
      </c>
      <c r="AF311" s="455"/>
      <c r="AG311" s="111">
        <f>' الشركه 2018'!$W311+' الشركه 2018'!$Z311+' الشركه 2018'!$AA311+' الشركه 2018'!$AC311+' الشركه 2018'!$AD311+' الشركه 2018'!$AF311</f>
        <v>1500</v>
      </c>
      <c r="AH311" s="111">
        <f>Table6[[#This Row],[راتب الضمان]]*8%</f>
        <v>240</v>
      </c>
      <c r="AI311" s="111">
        <f>' الشركه 2018'!$H311-' الشركه 2018'!$AG311-' الشركه 2018'!$AH311</f>
        <v>1260</v>
      </c>
      <c r="AJ311" s="111">
        <f>' الشركه 2018'!$CF311</f>
        <v>0</v>
      </c>
      <c r="AK311" s="117">
        <f>' الشركه 2018'!$AI311+' الشركه 2018'!$AJ311</f>
        <v>1260</v>
      </c>
      <c r="AL311" s="276"/>
      <c r="AM311" s="406"/>
      <c r="AN311" s="278">
        <f>Table6[[#This Row],[اجمالى الاستحقاق]]-Table6[[#This Row],[Column2]]+Table6[[#This Row],[حوافز غير مستقره]]</f>
        <v>1260</v>
      </c>
      <c r="AO311" s="456"/>
      <c r="AP311" s="457"/>
      <c r="AQ311" s="358"/>
      <c r="AR311" s="359"/>
      <c r="AS311" s="360"/>
      <c r="BH311" s="458"/>
      <c r="BJ311" s="458"/>
      <c r="BM311" s="459"/>
      <c r="BN311" s="459"/>
      <c r="BP311" s="459"/>
      <c r="BR311" s="459"/>
      <c r="BS311" s="459"/>
      <c r="BW311" s="459"/>
      <c r="BX311" s="459"/>
      <c r="BY311" s="413"/>
      <c r="BZ311" s="413"/>
      <c r="CA311" s="413"/>
      <c r="CB311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1" s="131">
        <f>' الشركه 2018'!$H311*67%*1.5*' الشركه 2018'!$CB311/208</f>
        <v>0</v>
      </c>
      <c r="CE311" s="132">
        <f>' الشركه 2018'!$H311*67%*2*' الشركه 2018'!$CC311/208</f>
        <v>0</v>
      </c>
      <c r="CF311" s="133">
        <f>' الشركه 2018'!$CD311+' الشركه 2018'!$CE311</f>
        <v>0</v>
      </c>
      <c r="CG311" s="359"/>
      <c r="CH311" s="413"/>
      <c r="CI311" s="359"/>
      <c r="CJ311" s="414"/>
      <c r="CK311" s="414"/>
      <c r="CL311" s="413"/>
      <c r="CM311" s="414"/>
      <c r="CN311" s="414"/>
      <c r="CO311" s="414"/>
      <c r="CP311" s="460"/>
      <c r="CQ311" s="461" t="e">
        <f>VLOOKUP(Table6[[#This Row],[الرقم الوظيفى]],[4]!Table3[#Data],26,FALSE)</f>
        <v>#REF!</v>
      </c>
      <c r="CR311" s="462"/>
      <c r="CS311" s="124"/>
    </row>
    <row r="312" spans="1:97" ht="21.65" customHeight="1" thickTop="1" thickBot="1">
      <c r="A312" s="433">
        <v>1070</v>
      </c>
      <c r="B312" s="446" t="s">
        <v>749</v>
      </c>
      <c r="C312" s="434" t="s">
        <v>90</v>
      </c>
      <c r="D312" s="417" t="s">
        <v>76</v>
      </c>
      <c r="E312" s="357"/>
      <c r="F312" s="447" t="s">
        <v>326</v>
      </c>
      <c r="G312" s="267">
        <v>43356</v>
      </c>
      <c r="H312" s="448">
        <v>4500</v>
      </c>
      <c r="I312" s="449">
        <f>Table6[[#This Row],[مرتب]]/30</f>
        <v>150</v>
      </c>
      <c r="J312" s="450">
        <v>30</v>
      </c>
      <c r="K312" s="107">
        <f t="shared" si="4"/>
        <v>4500</v>
      </c>
      <c r="L312" s="448">
        <v>4500</v>
      </c>
      <c r="M312" s="107">
        <f>Table6[[#This Row],[مرتب الضمان]]*17%</f>
        <v>765</v>
      </c>
      <c r="N312" s="107">
        <f>' الشركه 2018'!$H312*35%</f>
        <v>1575</v>
      </c>
      <c r="O312" s="107">
        <f>' الشركه 2018'!$H312*32%</f>
        <v>1440</v>
      </c>
      <c r="P312" s="107">
        <f>' الشركه 2018'!$H312*12%</f>
        <v>540</v>
      </c>
      <c r="Q312" s="107">
        <f>' الشركه 2018'!$H312*13%</f>
        <v>585</v>
      </c>
      <c r="R312" s="107">
        <f>' الشركه 2018'!$H312*6%</f>
        <v>270</v>
      </c>
      <c r="S312" s="107">
        <f>' الشركه 2018'!$H312*2%</f>
        <v>90</v>
      </c>
      <c r="T312" s="107">
        <f>' الشركه 2018'!$O312+' الشركه 2018'!$P312+' الشركه 2018'!$Q312+' الشركه 2018'!$R312+' الشركه 2018'!$S312</f>
        <v>2925</v>
      </c>
      <c r="U312" s="109">
        <f>VLOOKUP(Table6[[#This Row],[الرقم الوظيفى]],[2]بالخصم!$B$1:$AK$1200,35,)</f>
        <v>1</v>
      </c>
      <c r="V312" s="451">
        <v>1</v>
      </c>
      <c r="W312" s="111">
        <f>Table6[[#This Row],[عدد ايام الاجازه]]*Table6[[#This Row],[ح راتب اليوم]]</f>
        <v>150</v>
      </c>
      <c r="X312" s="452"/>
      <c r="Y312" s="453"/>
      <c r="Z312" s="438">
        <f>Table6[[#This Row],[عدد ايام الجزاء]]*Table6[[#This Row],[ح راتب اليوم]]</f>
        <v>0</v>
      </c>
      <c r="AA312" s="112">
        <f>Table6[[#This Row],[مرتب]]*50%</f>
        <v>2250</v>
      </c>
      <c r="AB312" s="113" t="e">
        <f>VLOOKUP(Table6[[#This Row],[الرقم الوظيفى]],[3]!Table25289[#Data],23,)</f>
        <v>#REF!</v>
      </c>
      <c r="AC312" s="454"/>
      <c r="AD312" s="454"/>
      <c r="AE312" s="113" t="e">
        <f>VLOOKUP(Table6[[#This Row],[الرقم الوظيفى]],[3]!Table252894[#Data],22,)</f>
        <v>#REF!</v>
      </c>
      <c r="AF312" s="455"/>
      <c r="AG312" s="111">
        <f>' الشركه 2018'!$W312+' الشركه 2018'!$Z312+' الشركه 2018'!$AA312+' الشركه 2018'!$AC312+' الشركه 2018'!$AD312+' الشركه 2018'!$AF312</f>
        <v>2400</v>
      </c>
      <c r="AH312" s="111">
        <f>Table6[[#This Row],[راتب الضمان]]*8%</f>
        <v>360</v>
      </c>
      <c r="AI312" s="111">
        <f>' الشركه 2018'!$H312-' الشركه 2018'!$AG312-' الشركه 2018'!$AH312</f>
        <v>1740</v>
      </c>
      <c r="AJ312" s="111">
        <f>' الشركه 2018'!$CF312</f>
        <v>0</v>
      </c>
      <c r="AK312" s="117">
        <f>' الشركه 2018'!$AI312+' الشركه 2018'!$AJ312</f>
        <v>1740</v>
      </c>
      <c r="AL312" s="276"/>
      <c r="AM312" s="406"/>
      <c r="AN312" s="278">
        <f>Table6[[#This Row],[اجمالى الاستحقاق]]-Table6[[#This Row],[Column2]]+Table6[[#This Row],[حوافز غير مستقره]]</f>
        <v>1740</v>
      </c>
      <c r="AO312" s="456"/>
      <c r="AP312" s="457"/>
      <c r="AQ312" s="358"/>
      <c r="AR312" s="359"/>
      <c r="AS312" s="360"/>
      <c r="BH312" s="458"/>
      <c r="BJ312" s="458"/>
      <c r="BM312" s="459"/>
      <c r="BN312" s="459"/>
      <c r="BP312" s="459"/>
      <c r="BR312" s="459"/>
      <c r="BS312" s="459"/>
      <c r="BW312" s="459"/>
      <c r="BX312" s="459"/>
      <c r="BY312" s="413"/>
      <c r="BZ312" s="413"/>
      <c r="CA312" s="413"/>
      <c r="CB312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2" s="131">
        <f>' الشركه 2018'!$H312*67%*1.5*' الشركه 2018'!$CB312/208</f>
        <v>0</v>
      </c>
      <c r="CE312" s="132">
        <f>' الشركه 2018'!$H312*67%*2*' الشركه 2018'!$CC312/208</f>
        <v>0</v>
      </c>
      <c r="CF312" s="133">
        <f>' الشركه 2018'!$CD312+' الشركه 2018'!$CE312</f>
        <v>0</v>
      </c>
      <c r="CG312" s="359"/>
      <c r="CH312" s="413"/>
      <c r="CI312" s="359"/>
      <c r="CJ312" s="414"/>
      <c r="CK312" s="414"/>
      <c r="CL312" s="413"/>
      <c r="CM312" s="414"/>
      <c r="CN312" s="414"/>
      <c r="CO312" s="414"/>
      <c r="CP312" s="460"/>
      <c r="CQ312" s="461" t="e">
        <f>VLOOKUP(Table6[[#This Row],[الرقم الوظيفى]],[4]!Table3[#Data],26,FALSE)</f>
        <v>#REF!</v>
      </c>
      <c r="CR312" s="462"/>
      <c r="CS312" s="124"/>
    </row>
    <row r="313" spans="1:97" ht="21.65" customHeight="1" thickTop="1" thickBot="1">
      <c r="A313" s="433">
        <v>125</v>
      </c>
      <c r="B313" s="446" t="s">
        <v>750</v>
      </c>
      <c r="C313" s="434" t="s">
        <v>90</v>
      </c>
      <c r="D313" s="417" t="s">
        <v>74</v>
      </c>
      <c r="E313" s="357"/>
      <c r="F313" s="447" t="s">
        <v>63</v>
      </c>
      <c r="G313" s="267">
        <v>43358</v>
      </c>
      <c r="H313" s="448">
        <v>3000</v>
      </c>
      <c r="I313" s="449">
        <f>Table6[[#This Row],[مرتب]]/30</f>
        <v>100</v>
      </c>
      <c r="J313" s="450">
        <v>30</v>
      </c>
      <c r="K313" s="107">
        <f t="shared" si="4"/>
        <v>3000</v>
      </c>
      <c r="L313" s="448">
        <v>3000</v>
      </c>
      <c r="M313" s="107">
        <f>Table6[[#This Row],[مرتب الضمان]]*17%</f>
        <v>510.00000000000006</v>
      </c>
      <c r="N313" s="107">
        <f>' الشركه 2018'!$H313*35%</f>
        <v>1050</v>
      </c>
      <c r="O313" s="107">
        <f>' الشركه 2018'!$H313*32%</f>
        <v>960</v>
      </c>
      <c r="P313" s="107">
        <f>' الشركه 2018'!$H313*12%</f>
        <v>360</v>
      </c>
      <c r="Q313" s="107">
        <f>' الشركه 2018'!$H313*13%</f>
        <v>390</v>
      </c>
      <c r="R313" s="107">
        <f>' الشركه 2018'!$H313*6%</f>
        <v>180</v>
      </c>
      <c r="S313" s="107">
        <f>' الشركه 2018'!$H313*2%</f>
        <v>60</v>
      </c>
      <c r="T313" s="107">
        <f>' الشركه 2018'!$O313+' الشركه 2018'!$P313+' الشركه 2018'!$Q313+' الشركه 2018'!$R313+' الشركه 2018'!$S313</f>
        <v>1950</v>
      </c>
      <c r="U313" s="109">
        <f>VLOOKUP(Table6[[#This Row],[الرقم الوظيفى]],[2]بالخصم!$B$1:$AK$1200,35,)</f>
        <v>0</v>
      </c>
      <c r="V313" s="451"/>
      <c r="W313" s="111">
        <f>Table6[[#This Row],[عدد ايام الاجازه]]*Table6[[#This Row],[ح راتب اليوم]]</f>
        <v>0</v>
      </c>
      <c r="X313" s="452"/>
      <c r="Y313" s="453"/>
      <c r="Z313" s="438">
        <f>Table6[[#This Row],[عدد ايام الجزاء]]*Table6[[#This Row],[ح راتب اليوم]]</f>
        <v>0</v>
      </c>
      <c r="AA313" s="112">
        <f>Table6[[#This Row],[مرتب]]*50%</f>
        <v>1500</v>
      </c>
      <c r="AB313" s="113" t="e">
        <f>VLOOKUP(Table6[[#This Row],[الرقم الوظيفى]],[3]!Table25289[#Data],23,)</f>
        <v>#REF!</v>
      </c>
      <c r="AC313" s="454"/>
      <c r="AD313" s="454"/>
      <c r="AE313" s="113" t="e">
        <f>VLOOKUP(Table6[[#This Row],[الرقم الوظيفى]],[3]!Table252894[#Data],22,)</f>
        <v>#REF!</v>
      </c>
      <c r="AF313" s="455"/>
      <c r="AG313" s="111">
        <f>' الشركه 2018'!$W313+' الشركه 2018'!$Z313+' الشركه 2018'!$AA313+' الشركه 2018'!$AC313+' الشركه 2018'!$AD313+' الشركه 2018'!$AF313</f>
        <v>1500</v>
      </c>
      <c r="AH313" s="111">
        <f>Table6[[#This Row],[راتب الضمان]]*8%</f>
        <v>240</v>
      </c>
      <c r="AI313" s="111">
        <f>' الشركه 2018'!$H313-' الشركه 2018'!$AG313-' الشركه 2018'!$AH313</f>
        <v>1260</v>
      </c>
      <c r="AJ313" s="111">
        <f>' الشركه 2018'!$CF313</f>
        <v>0</v>
      </c>
      <c r="AK313" s="117">
        <f>' الشركه 2018'!$AI313+' الشركه 2018'!$AJ313</f>
        <v>1260</v>
      </c>
      <c r="AL313" s="276"/>
      <c r="AM313" s="406"/>
      <c r="AN313" s="278">
        <f>Table6[[#This Row],[اجمالى الاستحقاق]]-Table6[[#This Row],[Column2]]+Table6[[#This Row],[حوافز غير مستقره]]</f>
        <v>1260</v>
      </c>
      <c r="AO313" s="456"/>
      <c r="AP313" s="457"/>
      <c r="AQ313" s="358"/>
      <c r="AR313" s="359"/>
      <c r="AS313" s="360"/>
      <c r="BH313" s="458"/>
      <c r="BJ313" s="458"/>
      <c r="BM313" s="459"/>
      <c r="BN313" s="459"/>
      <c r="BP313" s="459"/>
      <c r="BR313" s="459"/>
      <c r="BS313" s="459"/>
      <c r="BW313" s="459"/>
      <c r="BX313" s="459"/>
      <c r="BY313" s="413"/>
      <c r="BZ313" s="413"/>
      <c r="CA313" s="413"/>
      <c r="CB313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3" s="131">
        <f>' الشركه 2018'!$H313*67%*1.5*' الشركه 2018'!$CB313/208</f>
        <v>0</v>
      </c>
      <c r="CE313" s="132">
        <f>' الشركه 2018'!$H313*67%*2*' الشركه 2018'!$CC313/208</f>
        <v>0</v>
      </c>
      <c r="CF313" s="133">
        <f>' الشركه 2018'!$CD313+' الشركه 2018'!$CE313</f>
        <v>0</v>
      </c>
      <c r="CG313" s="359"/>
      <c r="CH313" s="413"/>
      <c r="CI313" s="359"/>
      <c r="CJ313" s="414"/>
      <c r="CK313" s="414"/>
      <c r="CL313" s="413"/>
      <c r="CM313" s="414"/>
      <c r="CN313" s="414"/>
      <c r="CO313" s="414"/>
      <c r="CP313" s="460"/>
      <c r="CQ313" s="461" t="e">
        <f>VLOOKUP(Table6[[#This Row],[الرقم الوظيفى]],[4]!Table3[#Data],26,FALSE)</f>
        <v>#REF!</v>
      </c>
      <c r="CR313" s="462"/>
      <c r="CS313" s="124"/>
    </row>
    <row r="314" spans="1:97" ht="21.65" customHeight="1" thickTop="1" thickBot="1">
      <c r="A314" s="433">
        <v>827</v>
      </c>
      <c r="B314" s="446" t="s">
        <v>751</v>
      </c>
      <c r="C314" s="434" t="s">
        <v>90</v>
      </c>
      <c r="D314" s="417" t="s">
        <v>74</v>
      </c>
      <c r="E314" s="357"/>
      <c r="F314" s="447" t="s">
        <v>63</v>
      </c>
      <c r="G314" s="267">
        <v>43359</v>
      </c>
      <c r="H314" s="448">
        <v>3000</v>
      </c>
      <c r="I314" s="449">
        <f>Table6[[#This Row],[مرتب]]/30</f>
        <v>100</v>
      </c>
      <c r="J314" s="450">
        <v>30</v>
      </c>
      <c r="K314" s="107">
        <f t="shared" si="4"/>
        <v>3000</v>
      </c>
      <c r="L314" s="448">
        <v>3000</v>
      </c>
      <c r="M314" s="107">
        <f>Table6[[#This Row],[مرتب الضمان]]*17%</f>
        <v>510.00000000000006</v>
      </c>
      <c r="N314" s="107">
        <f>' الشركه 2018'!$H314*35%</f>
        <v>1050</v>
      </c>
      <c r="O314" s="107">
        <f>' الشركه 2018'!$H314*32%</f>
        <v>960</v>
      </c>
      <c r="P314" s="107">
        <f>' الشركه 2018'!$H314*12%</f>
        <v>360</v>
      </c>
      <c r="Q314" s="107">
        <f>' الشركه 2018'!$H314*13%</f>
        <v>390</v>
      </c>
      <c r="R314" s="107">
        <f>' الشركه 2018'!$H314*6%</f>
        <v>180</v>
      </c>
      <c r="S314" s="107">
        <f>' الشركه 2018'!$H314*2%</f>
        <v>60</v>
      </c>
      <c r="T314" s="107">
        <f>' الشركه 2018'!$O314+' الشركه 2018'!$P314+' الشركه 2018'!$Q314+' الشركه 2018'!$R314+' الشركه 2018'!$S314</f>
        <v>1950</v>
      </c>
      <c r="U314" s="109">
        <f>VLOOKUP(Table6[[#This Row],[الرقم الوظيفى]],[2]بالخصم!$B$1:$AK$1200,35,)</f>
        <v>0</v>
      </c>
      <c r="V314" s="451"/>
      <c r="W314" s="111">
        <f>Table6[[#This Row],[عدد ايام الاجازه]]*Table6[[#This Row],[ح راتب اليوم]]</f>
        <v>0</v>
      </c>
      <c r="X314" s="452"/>
      <c r="Y314" s="453"/>
      <c r="Z314" s="438">
        <f>Table6[[#This Row],[عدد ايام الجزاء]]*Table6[[#This Row],[ح راتب اليوم]]</f>
        <v>0</v>
      </c>
      <c r="AA314" s="112">
        <f>Table6[[#This Row],[مرتب]]*50%</f>
        <v>1500</v>
      </c>
      <c r="AB314" s="113" t="e">
        <f>VLOOKUP(Table6[[#This Row],[الرقم الوظيفى]],[3]!Table25289[#Data],23,)</f>
        <v>#REF!</v>
      </c>
      <c r="AC314" s="454"/>
      <c r="AD314" s="454"/>
      <c r="AE314" s="113" t="e">
        <f>VLOOKUP(Table6[[#This Row],[الرقم الوظيفى]],[3]!Table252894[#Data],22,)</f>
        <v>#REF!</v>
      </c>
      <c r="AF314" s="455"/>
      <c r="AG314" s="111">
        <f>' الشركه 2018'!$W314+' الشركه 2018'!$Z314+' الشركه 2018'!$AA314+' الشركه 2018'!$AC314+' الشركه 2018'!$AD314+' الشركه 2018'!$AF314</f>
        <v>1500</v>
      </c>
      <c r="AH314" s="111">
        <f>Table6[[#This Row],[راتب الضمان]]*8%</f>
        <v>240</v>
      </c>
      <c r="AI314" s="111">
        <f>' الشركه 2018'!$H314-' الشركه 2018'!$AG314-' الشركه 2018'!$AH314</f>
        <v>1260</v>
      </c>
      <c r="AJ314" s="111">
        <f>' الشركه 2018'!$CF314</f>
        <v>3362.8846153846157</v>
      </c>
      <c r="AK314" s="117">
        <f>' الشركه 2018'!$AI314+' الشركه 2018'!$AJ314</f>
        <v>4622.8846153846152</v>
      </c>
      <c r="AL314" s="276"/>
      <c r="AM314" s="406"/>
      <c r="AN314" s="278">
        <f>Table6[[#This Row],[اجمالى الاستحقاق]]-Table6[[#This Row],[Column2]]+Table6[[#This Row],[حوافز غير مستقره]]</f>
        <v>4622.8846153846152</v>
      </c>
      <c r="AO314" s="456"/>
      <c r="AP314" s="457"/>
      <c r="AQ314" s="358"/>
      <c r="AR314" s="359"/>
      <c r="AS314" s="360"/>
      <c r="AV314" s="166">
        <v>24</v>
      </c>
      <c r="AZ314" s="166">
        <v>8</v>
      </c>
      <c r="BC314" s="166">
        <v>24</v>
      </c>
      <c r="BG314" s="166">
        <v>16</v>
      </c>
      <c r="BH314" s="458">
        <v>8</v>
      </c>
      <c r="BJ314" s="458">
        <v>24</v>
      </c>
      <c r="BM314" s="459"/>
      <c r="BN314" s="459">
        <v>16</v>
      </c>
      <c r="BO314" s="166">
        <v>8</v>
      </c>
      <c r="BP314" s="459"/>
      <c r="BQ314" s="166">
        <v>24</v>
      </c>
      <c r="BR314" s="459">
        <v>8</v>
      </c>
      <c r="BS314" s="459">
        <v>8</v>
      </c>
      <c r="BW314" s="459"/>
      <c r="BX314" s="459"/>
      <c r="BY314" s="413"/>
      <c r="BZ314" s="413"/>
      <c r="CA314" s="413">
        <v>24</v>
      </c>
      <c r="CB314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72</v>
      </c>
      <c r="CC314" s="130">
        <f>Table6[[#This Row],[Friday, November 23, 2018]]+Table6[[#This Row],[Friday, November 30, 2018]]+Table6[[#This Row],[Friday, December 07, 2018]]+Table6[[#This Row],[Friday, December 14, 2018]]+Table6[[#This Row],[فروقات عطله]]</f>
        <v>120</v>
      </c>
      <c r="CD314" s="131">
        <f>' الشركه 2018'!$H314*67%*1.5*' الشركه 2018'!$CB314/208</f>
        <v>1043.6538461538462</v>
      </c>
      <c r="CE314" s="132">
        <f>' الشركه 2018'!$H314*67%*2*' الشركه 2018'!$CC314/208</f>
        <v>2319.2307692307695</v>
      </c>
      <c r="CF314" s="133">
        <f>' الشركه 2018'!$CD314+' الشركه 2018'!$CE314</f>
        <v>3362.8846153846157</v>
      </c>
      <c r="CG314" s="359"/>
      <c r="CH314" s="413"/>
      <c r="CI314" s="359"/>
      <c r="CJ314" s="414"/>
      <c r="CK314" s="414"/>
      <c r="CL314" s="413"/>
      <c r="CM314" s="414"/>
      <c r="CN314" s="414"/>
      <c r="CO314" s="414"/>
      <c r="CP314" s="460"/>
      <c r="CQ314" s="461" t="e">
        <f>VLOOKUP(Table6[[#This Row],[الرقم الوظيفى]],[4]!Table3[#Data],26,FALSE)</f>
        <v>#REF!</v>
      </c>
      <c r="CR314" s="462"/>
      <c r="CS314" s="124"/>
    </row>
    <row r="315" spans="1:97" ht="21.65" customHeight="1" thickBot="1">
      <c r="A315" s="433">
        <v>1028</v>
      </c>
      <c r="B315" s="467" t="s">
        <v>752</v>
      </c>
      <c r="C315" s="321" t="s">
        <v>90</v>
      </c>
      <c r="D315" s="417" t="s">
        <v>74</v>
      </c>
      <c r="E315" s="357"/>
      <c r="F315" s="417" t="s">
        <v>63</v>
      </c>
      <c r="G315" s="396">
        <v>43374</v>
      </c>
      <c r="H315" s="448">
        <v>2750</v>
      </c>
      <c r="I315" s="468">
        <f>Table6[[#This Row],[مرتب]]/30</f>
        <v>91.666666666666671</v>
      </c>
      <c r="J315" s="450">
        <v>11</v>
      </c>
      <c r="K315" s="107">
        <f t="shared" si="4"/>
        <v>1008.3333333333334</v>
      </c>
      <c r="L315" s="450">
        <v>2750</v>
      </c>
      <c r="M315" s="107">
        <f>Table6[[#This Row],[مرتب الضمان]]*17%</f>
        <v>467.50000000000006</v>
      </c>
      <c r="N315" s="107">
        <f>' الشركه 2018'!$H315*35%</f>
        <v>962.49999999999989</v>
      </c>
      <c r="O315" s="107">
        <f>' الشركه 2018'!$H315*32%</f>
        <v>880</v>
      </c>
      <c r="P315" s="107">
        <f>' الشركه 2018'!$H315*12%</f>
        <v>330</v>
      </c>
      <c r="Q315" s="107">
        <f>' الشركه 2018'!$H315*13%</f>
        <v>357.5</v>
      </c>
      <c r="R315" s="107">
        <f>' الشركه 2018'!$H315*6%</f>
        <v>165</v>
      </c>
      <c r="S315" s="107">
        <f>' الشركه 2018'!$H315*2%</f>
        <v>55</v>
      </c>
      <c r="T315" s="107">
        <f>' الشركه 2018'!$O315+' الشركه 2018'!$P315+' الشركه 2018'!$Q315+' الشركه 2018'!$R315+' الشركه 2018'!$S315</f>
        <v>1787.5</v>
      </c>
      <c r="U315" s="109">
        <f>VLOOKUP(Table6[[#This Row],[الرقم الوظيفى]],[2]بالخصم!$B$1:$AK$1200,35,)</f>
        <v>0</v>
      </c>
      <c r="V315" s="463"/>
      <c r="W315" s="111">
        <f>Table6[[#This Row],[عدد ايام الاجازه]]*Table6[[#This Row],[ح راتب اليوم]]</f>
        <v>0</v>
      </c>
      <c r="X315" s="452"/>
      <c r="Y315" s="321"/>
      <c r="Z315" s="438"/>
      <c r="AA315" s="112">
        <f>Table6[[#This Row],[مرتب]]*50%</f>
        <v>1375</v>
      </c>
      <c r="AB315" s="113" t="e">
        <f>VLOOKUP(Table6[[#This Row],[الرقم الوظيفى]],[3]!Table25289[#Data],23,)</f>
        <v>#REF!</v>
      </c>
      <c r="AC315" s="469"/>
      <c r="AD315" s="454"/>
      <c r="AE315" s="113" t="e">
        <f>VLOOKUP(Table6[[#This Row],[الرقم الوظيفى]],[3]!Table252894[#Data],22,)</f>
        <v>#REF!</v>
      </c>
      <c r="AF315" s="470"/>
      <c r="AG315" s="111">
        <f>' الشركه 2018'!$W315+' الشركه 2018'!$Z315+' الشركه 2018'!$AA315+' الشركه 2018'!$AC315+' الشركه 2018'!$AD315+' الشركه 2018'!$AF315</f>
        <v>1375</v>
      </c>
      <c r="AH315" s="111">
        <f>Table6[[#This Row],[راتب الضمان]]*8%</f>
        <v>80.666666666666671</v>
      </c>
      <c r="AI315" s="111">
        <f>' الشركه 2018'!$H315-' الشركه 2018'!$AG315-' الشركه 2018'!$AH315</f>
        <v>1294.3333333333333</v>
      </c>
      <c r="AJ315" s="111">
        <f>' الشركه 2018'!$CF315</f>
        <v>0</v>
      </c>
      <c r="AK315" s="117">
        <f>' الشركه 2018'!$AI315+' الشركه 2018'!$AJ315</f>
        <v>1294.3333333333333</v>
      </c>
      <c r="AL315" s="276"/>
      <c r="AM315" s="277"/>
      <c r="AN315" s="278">
        <f>Table6[[#This Row],[اجمالى الاستحقاق]]-Table6[[#This Row],[Column2]]+Table6[[#This Row],[حوافز غير مستقره]]</f>
        <v>1294.3333333333333</v>
      </c>
      <c r="AO315" s="264"/>
      <c r="AP315" s="471"/>
      <c r="AQ315" s="358"/>
      <c r="AR315" s="359"/>
      <c r="AS315" s="360"/>
      <c r="BH315" s="458"/>
      <c r="BJ315" s="458"/>
      <c r="BM315" s="459"/>
      <c r="BN315" s="459"/>
      <c r="BP315" s="459"/>
      <c r="BR315" s="459"/>
      <c r="BS315" s="459"/>
      <c r="BW315" s="459"/>
      <c r="BX315" s="459"/>
      <c r="BY315" s="413"/>
      <c r="BZ315" s="413"/>
      <c r="CA315" s="413"/>
      <c r="CB315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5" s="131">
        <f>' الشركه 2018'!$H315*67%*1.5*' الشركه 2018'!$CB315/208</f>
        <v>0</v>
      </c>
      <c r="CE315" s="132">
        <f>' الشركه 2018'!$H315*67%*2*' الشركه 2018'!$CC315/208</f>
        <v>0</v>
      </c>
      <c r="CF315" s="133">
        <f>' الشركه 2018'!$CD315+' الشركه 2018'!$CE315</f>
        <v>0</v>
      </c>
      <c r="CG315" s="359"/>
      <c r="CH315" s="413"/>
      <c r="CI315" s="359"/>
      <c r="CJ315" s="414"/>
      <c r="CK315" s="414"/>
      <c r="CL315" s="413"/>
      <c r="CM315" s="414"/>
      <c r="CN315" s="414"/>
      <c r="CO315" s="414"/>
      <c r="CP315" s="460"/>
      <c r="CQ315" s="461" t="e">
        <f>VLOOKUP(Table6[[#This Row],[الرقم الوظيفى]],[4]!Table3[#Data],26,FALSE)</f>
        <v>#REF!</v>
      </c>
      <c r="CR315" s="462"/>
      <c r="CS315" s="124"/>
    </row>
    <row r="316" spans="1:97" ht="32.25" customHeight="1" thickBot="1">
      <c r="A316" s="472" t="s">
        <v>753</v>
      </c>
      <c r="B316" s="473" t="s">
        <v>754</v>
      </c>
      <c r="C316" s="474" t="s">
        <v>620</v>
      </c>
      <c r="D316" s="417"/>
      <c r="E316" s="357"/>
      <c r="F316" s="417"/>
      <c r="G316" s="396">
        <v>43351</v>
      </c>
      <c r="H316" s="394">
        <v>40000</v>
      </c>
      <c r="I316" s="475">
        <f>Table6[[#This Row],[مرتب]]/30</f>
        <v>1333.3333333333333</v>
      </c>
      <c r="J316" s="394">
        <v>30</v>
      </c>
      <c r="K316" s="143">
        <f t="shared" ref="K316:K338" si="5">L316/30*J316</f>
        <v>40000</v>
      </c>
      <c r="L316" s="394">
        <v>40000</v>
      </c>
      <c r="M316" s="143">
        <f>Table6[[#This Row],[مرتب الضمان]]*17%</f>
        <v>6800.0000000000009</v>
      </c>
      <c r="N316" s="143">
        <f>' الشركه 2018'!$H316*35%</f>
        <v>14000</v>
      </c>
      <c r="O316" s="143">
        <f>' الشركه 2018'!$H316*32%</f>
        <v>12800</v>
      </c>
      <c r="P316" s="143">
        <f>' الشركه 2018'!$H316*12%</f>
        <v>4800</v>
      </c>
      <c r="Q316" s="143">
        <f>' الشركه 2018'!$H316*13%</f>
        <v>5200</v>
      </c>
      <c r="R316" s="143">
        <f>' الشركه 2018'!$H316*6%</f>
        <v>2400</v>
      </c>
      <c r="S316" s="143">
        <f>' الشركه 2018'!$H316*2%</f>
        <v>800</v>
      </c>
      <c r="T316" s="143">
        <f>' الشركه 2018'!$O316+' الشركه 2018'!$P316+' الشركه 2018'!$Q316+' الشركه 2018'!$R316+' الشركه 2018'!$S316</f>
        <v>26000</v>
      </c>
      <c r="U316" s="109" t="e">
        <f>VLOOKUP(Table6[[#This Row],[الرقم الوظيفى]],[2]بالخصم!$B$1:$AK$1200,35,)</f>
        <v>#N/A</v>
      </c>
      <c r="V316" s="451"/>
      <c r="W316" s="465">
        <f>Table6[[#This Row],[عدد ايام الاجازه]]*Table6[[#This Row],[ح راتب اليوم]]</f>
        <v>0</v>
      </c>
      <c r="X316" s="464"/>
      <c r="Y316" s="419"/>
      <c r="Z316" s="465">
        <f>Table6[[#This Row],[عدد ايام الجزاء]]*Table6[[#This Row],[ح راتب اليوم]]</f>
        <v>0</v>
      </c>
      <c r="AA316" s="190"/>
      <c r="AB316" s="191" t="e">
        <f>VLOOKUP(Table6[[#This Row],[الرقم الوظيفى]],[3]!Table25289[#Data],23,)</f>
        <v>#REF!</v>
      </c>
      <c r="AC316" s="466"/>
      <c r="AD316" s="466"/>
      <c r="AE316" s="113" t="e">
        <f>VLOOKUP(Table6[[#This Row],[الرقم الوظيفى]],[3]!Table252894[#Data],22,)</f>
        <v>#REF!</v>
      </c>
      <c r="AF316" s="476"/>
      <c r="AG316" s="111">
        <f>' الشركه 2018'!$W316+' الشركه 2018'!$Z316+' الشركه 2018'!$AA316+' الشركه 2018'!$AC316+' الشركه 2018'!$AD316+' الشركه 2018'!$AF316</f>
        <v>0</v>
      </c>
      <c r="AH316" s="111">
        <f>Table6[[#This Row],[راتب الضمان]]*8%</f>
        <v>3200</v>
      </c>
      <c r="AI316" s="111">
        <f>' الشركه 2018'!$H316-' الشركه 2018'!$AG316-' الشركه 2018'!$AH316</f>
        <v>36800</v>
      </c>
      <c r="AJ316" s="111">
        <f>' الشركه 2018'!$CF316</f>
        <v>0</v>
      </c>
      <c r="AK316" s="117">
        <f>' الشركه 2018'!$AI316+' الشركه 2018'!$AJ316</f>
        <v>36800</v>
      </c>
      <c r="AL316" s="405"/>
      <c r="AM316" s="406"/>
      <c r="AN316" s="278">
        <f>Table6[[#This Row],[اجمالى الاستحقاق]]-Table6[[#This Row],[Column2]]+Table6[[#This Row],[حوافز غير مستقره]]</f>
        <v>36800</v>
      </c>
      <c r="AO316" s="407"/>
      <c r="AP316" s="477"/>
      <c r="AQ316" s="358"/>
      <c r="AR316" s="359"/>
      <c r="AS316" s="360"/>
      <c r="BH316" s="458"/>
      <c r="BJ316" s="458"/>
      <c r="BM316" s="459"/>
      <c r="BN316" s="459"/>
      <c r="BP316" s="459"/>
      <c r="BR316" s="459"/>
      <c r="BS316" s="459"/>
      <c r="BW316" s="459"/>
      <c r="BX316" s="459"/>
      <c r="BY316" s="413"/>
      <c r="BZ316" s="413"/>
      <c r="CA316" s="413"/>
      <c r="CB316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6" s="131">
        <f>' الشركه 2018'!$H316*67%*1.5*' الشركه 2018'!$CB316/208</f>
        <v>0</v>
      </c>
      <c r="CE316" s="132">
        <f>' الشركه 2018'!$H316*67%*2*' الشركه 2018'!$CC316/208</f>
        <v>0</v>
      </c>
      <c r="CF316" s="133">
        <f>' الشركه 2018'!$CD316+' الشركه 2018'!$CE316</f>
        <v>0</v>
      </c>
      <c r="CG316" s="359"/>
      <c r="CH316" s="413"/>
      <c r="CI316" s="359"/>
      <c r="CJ316" s="414"/>
      <c r="CK316" s="414"/>
      <c r="CL316" s="413"/>
      <c r="CM316" s="414"/>
      <c r="CN316" s="414"/>
      <c r="CO316" s="414"/>
      <c r="CP316" s="460"/>
      <c r="CQ316" s="461" t="e">
        <f>VLOOKUP(Table6[[#This Row],[الرقم الوظيفى]],[4]!Table3[#Data],26,FALSE)</f>
        <v>#REF!</v>
      </c>
      <c r="CR316" s="462"/>
      <c r="CS316" s="124"/>
    </row>
    <row r="317" spans="1:97" s="346" customFormat="1" ht="32.25" customHeight="1" thickTop="1" thickBot="1">
      <c r="A317" s="472" t="s">
        <v>755</v>
      </c>
      <c r="B317" s="478" t="s">
        <v>756</v>
      </c>
      <c r="C317" s="349" t="s">
        <v>620</v>
      </c>
      <c r="D317" s="417"/>
      <c r="E317" s="479"/>
      <c r="F317" s="417"/>
      <c r="G317" s="145">
        <v>43351</v>
      </c>
      <c r="H317" s="143">
        <v>10000</v>
      </c>
      <c r="I317" s="394">
        <f>Table6[[#This Row],[مرتب]]/30</f>
        <v>333.33333333333331</v>
      </c>
      <c r="J317" s="417">
        <v>30</v>
      </c>
      <c r="K317" s="143">
        <f t="shared" si="5"/>
        <v>10000</v>
      </c>
      <c r="L317" s="143">
        <v>10000</v>
      </c>
      <c r="M317" s="143">
        <f>Table6[[#This Row],[مرتب الضمان]]*17%</f>
        <v>1700.0000000000002</v>
      </c>
      <c r="N317" s="143">
        <f>' الشركه 2018'!$H317*35%</f>
        <v>3500</v>
      </c>
      <c r="O317" s="143">
        <f>' الشركه 2018'!$H317*32%</f>
        <v>3200</v>
      </c>
      <c r="P317" s="143">
        <f>' الشركه 2018'!$H317*12%</f>
        <v>1200</v>
      </c>
      <c r="Q317" s="143">
        <f>' الشركه 2018'!$H317*13%</f>
        <v>1300</v>
      </c>
      <c r="R317" s="143">
        <f>' الشركه 2018'!$H317*6%</f>
        <v>600</v>
      </c>
      <c r="S317" s="143">
        <f>' الشركه 2018'!$H317*2%</f>
        <v>200</v>
      </c>
      <c r="T317" s="143">
        <f>' الشركه 2018'!$O317+' الشركه 2018'!$P317+' الشركه 2018'!$Q317+' الشركه 2018'!$R317+' الشركه 2018'!$S317</f>
        <v>6500</v>
      </c>
      <c r="U317" s="109" t="e">
        <f>VLOOKUP(Table6[[#This Row],[الرقم الوظيفى]],[2]بالخصم!$B$1:$AK$1200,35,)</f>
        <v>#N/A</v>
      </c>
      <c r="V317" s="417"/>
      <c r="W317" s="465">
        <f>Table6[[#This Row],[عدد ايام الاجازه]]*Table6[[#This Row],[ح راتب اليوم]]</f>
        <v>0</v>
      </c>
      <c r="X317" s="480"/>
      <c r="Y317" s="419"/>
      <c r="Z317" s="465">
        <f>Table6[[#This Row],[عدد ايام الجزاء]]*Table6[[#This Row],[ح راتب اليوم]]</f>
        <v>0</v>
      </c>
      <c r="AA317" s="481"/>
      <c r="AB317" s="191" t="e">
        <f>VLOOKUP(Table6[[#This Row],[الرقم الوظيفى]],[3]!Table25289[#Data],23,)</f>
        <v>#REF!</v>
      </c>
      <c r="AC317" s="466"/>
      <c r="AD317" s="466"/>
      <c r="AE317" s="113" t="e">
        <f>VLOOKUP(Table6[[#This Row],[الرقم الوظيفى]],[3]!Table252894[#Data],22,)</f>
        <v>#REF!</v>
      </c>
      <c r="AF317" s="476"/>
      <c r="AG317" s="111">
        <f>' الشركه 2018'!$W317+' الشركه 2018'!$Z317+' الشركه 2018'!$AA317+' الشركه 2018'!$AC317+' الشركه 2018'!$AD317+' الشركه 2018'!$AF317</f>
        <v>0</v>
      </c>
      <c r="AH317" s="111">
        <f>Table6[[#This Row],[راتب الضمان]]*8%</f>
        <v>800</v>
      </c>
      <c r="AI317" s="111">
        <f>' الشركه 2018'!$H317-' الشركه 2018'!$AG317-' الشركه 2018'!$AH317</f>
        <v>9200</v>
      </c>
      <c r="AJ317" s="111">
        <f>' الشركه 2018'!$CF317</f>
        <v>0</v>
      </c>
      <c r="AK317" s="117">
        <f>' الشركه 2018'!$AI317+' الشركه 2018'!$AJ317</f>
        <v>9200</v>
      </c>
      <c r="AL317" s="405"/>
      <c r="AM317" s="277"/>
      <c r="AN317" s="278">
        <f>Table6[[#This Row],[اجمالى الاستحقاق]]-Table6[[#This Row],[Column2]]+Table6[[#This Row],[حوافز غير مستقره]]</f>
        <v>9200</v>
      </c>
      <c r="AO317" s="407"/>
      <c r="AP317" s="482"/>
      <c r="AQ317" s="359"/>
      <c r="AR317" s="359"/>
      <c r="AS317" s="413"/>
      <c r="AT317" s="483"/>
      <c r="AU317" s="483"/>
      <c r="AV317" s="483"/>
      <c r="AW317" s="483"/>
      <c r="AX317" s="483"/>
      <c r="AY317" s="483"/>
      <c r="AZ317" s="483"/>
      <c r="BA317" s="483"/>
      <c r="BB317" s="483"/>
      <c r="BC317" s="483"/>
      <c r="BD317" s="483"/>
      <c r="BE317" s="483"/>
      <c r="BF317" s="483"/>
      <c r="BG317" s="483"/>
      <c r="BH317" s="484"/>
      <c r="BI317" s="483"/>
      <c r="BJ317" s="484"/>
      <c r="BK317" s="483"/>
      <c r="BL317" s="483"/>
      <c r="BM317" s="485"/>
      <c r="BN317" s="485"/>
      <c r="BO317" s="483"/>
      <c r="BP317" s="485"/>
      <c r="BQ317" s="483"/>
      <c r="BR317" s="485"/>
      <c r="BS317" s="485"/>
      <c r="BT317" s="483"/>
      <c r="BU317" s="483"/>
      <c r="BV317" s="483"/>
      <c r="BW317" s="485"/>
      <c r="BX317" s="485"/>
      <c r="BY317" s="413"/>
      <c r="BZ317" s="413"/>
      <c r="CA317" s="413"/>
      <c r="CB317" s="41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7" s="131">
        <f>' الشركه 2018'!$H317*67%*1.5*' الشركه 2018'!$CB317/208</f>
        <v>0</v>
      </c>
      <c r="CE317" s="132">
        <f>' الشركه 2018'!$H317*67%*2*' الشركه 2018'!$CC317/208</f>
        <v>0</v>
      </c>
      <c r="CF317" s="133">
        <f>' الشركه 2018'!$CD317+' الشركه 2018'!$CE317</f>
        <v>0</v>
      </c>
      <c r="CG317" s="359"/>
      <c r="CH317" s="413"/>
      <c r="CI317" s="359"/>
      <c r="CJ317" s="414"/>
      <c r="CK317" s="414"/>
      <c r="CL317" s="413"/>
      <c r="CM317" s="414"/>
      <c r="CN317" s="414"/>
      <c r="CO317" s="414"/>
      <c r="CP317" s="460"/>
      <c r="CQ317" s="414" t="e">
        <f>VLOOKUP(Table6[[#This Row],[الرقم الوظيفى]],[4]!Table3[#Data],26,FALSE)</f>
        <v>#REF!</v>
      </c>
      <c r="CR317" s="486">
        <f>SUBTOTAL(109,Table6[سلفيه نصف شهريه])</f>
        <v>671290</v>
      </c>
      <c r="CS317" s="162"/>
    </row>
    <row r="318" spans="1:97" ht="32.25" customHeight="1" thickTop="1" thickBot="1">
      <c r="A318" s="472" t="s">
        <v>757</v>
      </c>
      <c r="B318" s="478" t="s">
        <v>758</v>
      </c>
      <c r="C318" s="349" t="s">
        <v>620</v>
      </c>
      <c r="D318" s="11"/>
      <c r="E318" s="487"/>
      <c r="F318" s="11"/>
      <c r="G318" s="145">
        <v>43349</v>
      </c>
      <c r="H318" s="143">
        <v>12000</v>
      </c>
      <c r="I318" s="143">
        <f>Table6[[#This Row],[مرتب]]/30</f>
        <v>400</v>
      </c>
      <c r="J318" s="394">
        <v>30</v>
      </c>
      <c r="K318" s="143">
        <f t="shared" si="5"/>
        <v>12000</v>
      </c>
      <c r="L318" s="143">
        <v>12000</v>
      </c>
      <c r="M318" s="143">
        <f>Table6[[#This Row],[مرتب الضمان]]*17%</f>
        <v>2040.0000000000002</v>
      </c>
      <c r="N318" s="143">
        <f>' الشركه 2018'!$H318*35%</f>
        <v>4200</v>
      </c>
      <c r="O318" s="143">
        <f>' الشركه 2018'!$H318*32%</f>
        <v>3840</v>
      </c>
      <c r="P318" s="143">
        <f>' الشركه 2018'!$H318*12%</f>
        <v>1440</v>
      </c>
      <c r="Q318" s="143">
        <f>' الشركه 2018'!$H318*13%</f>
        <v>1560</v>
      </c>
      <c r="R318" s="143">
        <f>' الشركه 2018'!$H318*6%</f>
        <v>720</v>
      </c>
      <c r="S318" s="143">
        <f>' الشركه 2018'!$H318*2%</f>
        <v>240</v>
      </c>
      <c r="T318" s="143">
        <f>' الشركه 2018'!$O318+' الشركه 2018'!$P318+' الشركه 2018'!$Q318+' الشركه 2018'!$R318+' الشركه 2018'!$S318</f>
        <v>7800</v>
      </c>
      <c r="U318" s="109" t="e">
        <f>VLOOKUP(Table6[[#This Row],[الرقم الوظيفى]],[2]بالخصم!$B$1:$AK$1200,35,)</f>
        <v>#N/A</v>
      </c>
      <c r="V318" s="11"/>
      <c r="W318" s="465">
        <f>Table6[[#This Row],[عدد ايام الاجازه]]*Table6[[#This Row],[ح راتب اليوم]]</f>
        <v>0</v>
      </c>
      <c r="X318" s="488"/>
      <c r="Y318" s="189"/>
      <c r="Z318" s="465">
        <f>Table6[[#This Row],[عدد ايام الجزاء]]*Table6[[#This Row],[ح راتب اليوم]]</f>
        <v>0</v>
      </c>
      <c r="AA318" s="489"/>
      <c r="AB318" s="490" t="e">
        <f>VLOOKUP(Table6[[#This Row],[الرقم الوظيفى]],[3]!Table25289[#Data],23,)</f>
        <v>#REF!</v>
      </c>
      <c r="AC318" s="367"/>
      <c r="AD318" s="367"/>
      <c r="AE318" s="113" t="e">
        <f>VLOOKUP(Table6[[#This Row],[الرقم الوظيفى]],[3]!Table252894[#Data],22,)</f>
        <v>#REF!</v>
      </c>
      <c r="AF318" s="368"/>
      <c r="AG318" s="111">
        <f>' الشركه 2018'!$W318+' الشركه 2018'!$Z318+' الشركه 2018'!$AA318+' الشركه 2018'!$AC318+' الشركه 2018'!$AD318+' الشركه 2018'!$AF318</f>
        <v>0</v>
      </c>
      <c r="AH318" s="111">
        <f>Table6[[#This Row],[راتب الضمان]]*8%</f>
        <v>960</v>
      </c>
      <c r="AI318" s="111">
        <f>' الشركه 2018'!$H318-' الشركه 2018'!$AG318-' الشركه 2018'!$AH318</f>
        <v>11040</v>
      </c>
      <c r="AJ318" s="111">
        <f>' الشركه 2018'!$CF318</f>
        <v>0</v>
      </c>
      <c r="AK318" s="117">
        <f>' الشركه 2018'!$AI318+' الشركه 2018'!$AJ318</f>
        <v>11040</v>
      </c>
      <c r="AL318" s="491"/>
      <c r="AM318" s="277"/>
      <c r="AN318" s="278">
        <f>Table6[[#This Row],[اجمالى الاستحقاق]]-Table6[[#This Row],[Column2]]+Table6[[#This Row],[حوافز غير مستقره]]</f>
        <v>11040</v>
      </c>
      <c r="AO318" s="492"/>
      <c r="AP318" s="493"/>
      <c r="AQ318" s="124"/>
      <c r="AR318" s="124"/>
      <c r="AS318" s="177"/>
      <c r="AT318" s="494"/>
      <c r="AU318" s="494"/>
      <c r="AV318" s="494"/>
      <c r="AW318" s="494"/>
      <c r="AX318" s="494"/>
      <c r="AY318" s="494"/>
      <c r="AZ318" s="494"/>
      <c r="BA318" s="494"/>
      <c r="BB318" s="494"/>
      <c r="BC318" s="494"/>
      <c r="BD318" s="494"/>
      <c r="BE318" s="494"/>
      <c r="BF318" s="494"/>
      <c r="BG318" s="494"/>
      <c r="BH318" s="495"/>
      <c r="BI318" s="494"/>
      <c r="BJ318" s="495"/>
      <c r="BK318" s="494"/>
      <c r="BL318" s="494"/>
      <c r="BM318" s="496"/>
      <c r="BN318" s="496"/>
      <c r="BO318" s="494"/>
      <c r="BP318" s="496"/>
      <c r="BQ318" s="494"/>
      <c r="BR318" s="496"/>
      <c r="BS318" s="496"/>
      <c r="BT318" s="494"/>
      <c r="BU318" s="494"/>
      <c r="BV318" s="494"/>
      <c r="BW318" s="496"/>
      <c r="BX318" s="496"/>
      <c r="BY318" s="177"/>
      <c r="BZ318" s="177"/>
      <c r="CA318" s="177"/>
      <c r="CB318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8" s="166">
        <f>' الشركه 2018'!$H318*67%*1.5*' الشركه 2018'!$CB318/208</f>
        <v>0</v>
      </c>
      <c r="CE318" s="497">
        <f>' الشركه 2018'!$H318*67%*2*' الشركه 2018'!$CC318/208</f>
        <v>0</v>
      </c>
      <c r="CF318" s="497">
        <f>' الشركه 2018'!$CD318+' الشركه 2018'!$CE318</f>
        <v>0</v>
      </c>
      <c r="CG318" s="124"/>
      <c r="CH318" s="177"/>
      <c r="CI318" s="124"/>
      <c r="CJ318" s="162"/>
      <c r="CK318" s="162"/>
      <c r="CL318" s="177"/>
      <c r="CM318" s="162"/>
      <c r="CN318" s="162"/>
      <c r="CO318" s="162"/>
      <c r="CP318" s="498"/>
      <c r="CQ318" s="162" t="e">
        <f>VLOOKUP(Table6[[#This Row],[الرقم الوظيفى]],[4]!Table3[#Data],26,FALSE)</f>
        <v>#REF!</v>
      </c>
    </row>
    <row r="319" spans="1:97" ht="32.25" customHeight="1" thickTop="1" thickBot="1">
      <c r="A319" s="472" t="s">
        <v>759</v>
      </c>
      <c r="B319" s="478" t="s">
        <v>760</v>
      </c>
      <c r="C319" s="349" t="s">
        <v>620</v>
      </c>
      <c r="D319" s="11"/>
      <c r="E319" s="487"/>
      <c r="F319" s="11"/>
      <c r="G319" s="145">
        <v>43352</v>
      </c>
      <c r="H319" s="143">
        <v>10000</v>
      </c>
      <c r="I319" s="143">
        <f>Table6[[#This Row],[مرتب]]/30</f>
        <v>333.33333333333331</v>
      </c>
      <c r="J319" s="417">
        <v>30</v>
      </c>
      <c r="K319" s="143">
        <f t="shared" si="5"/>
        <v>10000</v>
      </c>
      <c r="L319" s="143">
        <v>10000</v>
      </c>
      <c r="M319" s="143">
        <f>Table6[[#This Row],[مرتب الضمان]]*17%</f>
        <v>1700.0000000000002</v>
      </c>
      <c r="N319" s="143">
        <f>' الشركه 2018'!$H319*35%</f>
        <v>3500</v>
      </c>
      <c r="O319" s="143">
        <f>' الشركه 2018'!$H319*32%</f>
        <v>3200</v>
      </c>
      <c r="P319" s="143">
        <f>' الشركه 2018'!$H319*12%</f>
        <v>1200</v>
      </c>
      <c r="Q319" s="143">
        <f>' الشركه 2018'!$H319*13%</f>
        <v>1300</v>
      </c>
      <c r="R319" s="143">
        <f>' الشركه 2018'!$H319*6%</f>
        <v>600</v>
      </c>
      <c r="S319" s="143">
        <f>' الشركه 2018'!$H319*2%</f>
        <v>200</v>
      </c>
      <c r="T319" s="143">
        <f>' الشركه 2018'!$O319+' الشركه 2018'!$P319+' الشركه 2018'!$Q319+' الشركه 2018'!$R319+' الشركه 2018'!$S319</f>
        <v>6500</v>
      </c>
      <c r="U319" s="109" t="e">
        <f>VLOOKUP(Table6[[#This Row],[الرقم الوظيفى]],[2]بالخصم!$B$1:$AK$1200,35,)</f>
        <v>#N/A</v>
      </c>
      <c r="V319" s="11"/>
      <c r="W319" s="465">
        <f>Table6[[#This Row],[عدد ايام الاجازه]]*Table6[[#This Row],[ح راتب اليوم]]</f>
        <v>0</v>
      </c>
      <c r="X319" s="488"/>
      <c r="Y319" s="189"/>
      <c r="Z319" s="465">
        <f>Table6[[#This Row],[عدد ايام الجزاء]]*Table6[[#This Row],[ح راتب اليوم]]</f>
        <v>0</v>
      </c>
      <c r="AA319" s="489"/>
      <c r="AB319" s="490" t="e">
        <f>VLOOKUP(Table6[[#This Row],[الرقم الوظيفى]],[3]!Table25289[#Data],23,)</f>
        <v>#REF!</v>
      </c>
      <c r="AC319" s="367"/>
      <c r="AD319" s="367"/>
      <c r="AE319" s="113" t="e">
        <f>VLOOKUP(Table6[[#This Row],[الرقم الوظيفى]],[3]!Table252894[#Data],22,)</f>
        <v>#REF!</v>
      </c>
      <c r="AF319" s="368"/>
      <c r="AG319" s="111">
        <f>' الشركه 2018'!$W319+' الشركه 2018'!$Z319+' الشركه 2018'!$AA319+' الشركه 2018'!$AC319+' الشركه 2018'!$AD319+' الشركه 2018'!$AF319</f>
        <v>0</v>
      </c>
      <c r="AH319" s="111">
        <f>Table6[[#This Row],[راتب الضمان]]*8%</f>
        <v>800</v>
      </c>
      <c r="AI319" s="111">
        <f>' الشركه 2018'!$H319-' الشركه 2018'!$AG319-' الشركه 2018'!$AH319</f>
        <v>9200</v>
      </c>
      <c r="AJ319" s="111">
        <f>' الشركه 2018'!$CF319</f>
        <v>0</v>
      </c>
      <c r="AK319" s="117">
        <f>' الشركه 2018'!$AI319+' الشركه 2018'!$AJ319</f>
        <v>9200</v>
      </c>
      <c r="AL319" s="491"/>
      <c r="AM319" s="277"/>
      <c r="AN319" s="278">
        <f>Table6[[#This Row],[اجمالى الاستحقاق]]-Table6[[#This Row],[Column2]]+Table6[[#This Row],[حوافز غير مستقره]]</f>
        <v>9200</v>
      </c>
      <c r="AO319" s="492"/>
      <c r="AP319" s="493"/>
      <c r="AQ319" s="124"/>
      <c r="AR319" s="124"/>
      <c r="AS319" s="177"/>
      <c r="AT319" s="494"/>
      <c r="AU319" s="494"/>
      <c r="AV319" s="494"/>
      <c r="AW319" s="494"/>
      <c r="AX319" s="494"/>
      <c r="AY319" s="494"/>
      <c r="AZ319" s="494"/>
      <c r="BA319" s="494"/>
      <c r="BB319" s="494"/>
      <c r="BC319" s="494"/>
      <c r="BD319" s="494"/>
      <c r="BE319" s="494"/>
      <c r="BF319" s="494"/>
      <c r="BG319" s="494"/>
      <c r="BH319" s="495"/>
      <c r="BI319" s="494"/>
      <c r="BJ319" s="495"/>
      <c r="BK319" s="494"/>
      <c r="BL319" s="494"/>
      <c r="BM319" s="496"/>
      <c r="BN319" s="496"/>
      <c r="BO319" s="494"/>
      <c r="BP319" s="496"/>
      <c r="BQ319" s="494"/>
      <c r="BR319" s="496"/>
      <c r="BS319" s="496"/>
      <c r="BT319" s="494"/>
      <c r="BU319" s="494"/>
      <c r="BV319" s="494"/>
      <c r="BW319" s="496"/>
      <c r="BX319" s="496"/>
      <c r="BY319" s="177"/>
      <c r="BZ319" s="177"/>
      <c r="CA319" s="177"/>
      <c r="CB319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1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19" s="166">
        <f>' الشركه 2018'!$H319*67%*1.5*' الشركه 2018'!$CB319/208</f>
        <v>0</v>
      </c>
      <c r="CE319" s="497">
        <f>' الشركه 2018'!$H319*67%*2*' الشركه 2018'!$CC319/208</f>
        <v>0</v>
      </c>
      <c r="CF319" s="497">
        <f>' الشركه 2018'!$CD319+' الشركه 2018'!$CE319</f>
        <v>0</v>
      </c>
      <c r="CG319" s="124"/>
      <c r="CH319" s="177"/>
      <c r="CI319" s="124"/>
      <c r="CJ319" s="162"/>
      <c r="CK319" s="162"/>
      <c r="CL319" s="177"/>
      <c r="CM319" s="162"/>
      <c r="CN319" s="162"/>
      <c r="CO319" s="162"/>
      <c r="CP319" s="498"/>
      <c r="CQ319" s="162" t="e">
        <f>VLOOKUP(Table6[[#This Row],[الرقم الوظيفى]],[4]!Table3[#Data],26,FALSE)</f>
        <v>#REF!</v>
      </c>
    </row>
    <row r="320" spans="1:97" ht="32.25" customHeight="1" thickTop="1" thickBot="1">
      <c r="A320" s="472" t="s">
        <v>761</v>
      </c>
      <c r="B320" s="478" t="s">
        <v>762</v>
      </c>
      <c r="C320" s="349" t="s">
        <v>620</v>
      </c>
      <c r="D320" s="11"/>
      <c r="E320" s="487"/>
      <c r="F320" s="11"/>
      <c r="G320" s="145">
        <v>43353</v>
      </c>
      <c r="H320" s="143">
        <v>12000</v>
      </c>
      <c r="I320" s="143">
        <f>Table6[[#This Row],[مرتب]]/30</f>
        <v>400</v>
      </c>
      <c r="J320" s="394">
        <v>30</v>
      </c>
      <c r="K320" s="143">
        <f t="shared" si="5"/>
        <v>12000</v>
      </c>
      <c r="L320" s="143">
        <v>12000</v>
      </c>
      <c r="M320" s="143">
        <f>Table6[[#This Row],[مرتب الضمان]]*17%</f>
        <v>2040.0000000000002</v>
      </c>
      <c r="N320" s="143">
        <f>' الشركه 2018'!$H320*35%</f>
        <v>4200</v>
      </c>
      <c r="O320" s="143">
        <f>' الشركه 2018'!$H320*32%</f>
        <v>3840</v>
      </c>
      <c r="P320" s="143">
        <f>' الشركه 2018'!$H320*12%</f>
        <v>1440</v>
      </c>
      <c r="Q320" s="143">
        <f>' الشركه 2018'!$H320*13%</f>
        <v>1560</v>
      </c>
      <c r="R320" s="143">
        <f>' الشركه 2018'!$H320*6%</f>
        <v>720</v>
      </c>
      <c r="S320" s="143">
        <f>' الشركه 2018'!$H320*2%</f>
        <v>240</v>
      </c>
      <c r="T320" s="143">
        <f>' الشركه 2018'!$O320+' الشركه 2018'!$P320+' الشركه 2018'!$Q320+' الشركه 2018'!$R320+' الشركه 2018'!$S320</f>
        <v>7800</v>
      </c>
      <c r="U320" s="109" t="e">
        <f>VLOOKUP(Table6[[#This Row],[الرقم الوظيفى]],[2]بالخصم!$B$1:$AK$1200,35,)</f>
        <v>#N/A</v>
      </c>
      <c r="V320" s="11"/>
      <c r="W320" s="465">
        <f>Table6[[#This Row],[عدد ايام الاجازه]]*Table6[[#This Row],[ح راتب اليوم]]</f>
        <v>0</v>
      </c>
      <c r="X320" s="488"/>
      <c r="Y320" s="189"/>
      <c r="Z320" s="465">
        <f>Table6[[#This Row],[عدد ايام الجزاء]]*Table6[[#This Row],[ح راتب اليوم]]</f>
        <v>0</v>
      </c>
      <c r="AA320" s="489"/>
      <c r="AB320" s="490" t="e">
        <f>VLOOKUP(Table6[[#This Row],[الرقم الوظيفى]],[3]!Table25289[#Data],23,)</f>
        <v>#REF!</v>
      </c>
      <c r="AC320" s="367"/>
      <c r="AD320" s="367"/>
      <c r="AE320" s="113" t="e">
        <f>VLOOKUP(Table6[[#This Row],[الرقم الوظيفى]],[3]!Table252894[#Data],22,)</f>
        <v>#REF!</v>
      </c>
      <c r="AF320" s="368"/>
      <c r="AG320" s="111">
        <f>' الشركه 2018'!$W320+' الشركه 2018'!$Z320+' الشركه 2018'!$AA320+' الشركه 2018'!$AC320+' الشركه 2018'!$AD320+' الشركه 2018'!$AF320</f>
        <v>0</v>
      </c>
      <c r="AH320" s="111">
        <f>Table6[[#This Row],[راتب الضمان]]*8%</f>
        <v>960</v>
      </c>
      <c r="AI320" s="111">
        <f>' الشركه 2018'!$H320-' الشركه 2018'!$AG320-' الشركه 2018'!$AH320</f>
        <v>11040</v>
      </c>
      <c r="AJ320" s="111">
        <f>' الشركه 2018'!$CF320</f>
        <v>0</v>
      </c>
      <c r="AK320" s="117">
        <f>' الشركه 2018'!$AI320+' الشركه 2018'!$AJ320</f>
        <v>11040</v>
      </c>
      <c r="AL320" s="491"/>
      <c r="AM320" s="277"/>
      <c r="AN320" s="278">
        <f>Table6[[#This Row],[اجمالى الاستحقاق]]-Table6[[#This Row],[Column2]]+Table6[[#This Row],[حوافز غير مستقره]]</f>
        <v>11040</v>
      </c>
      <c r="AO320" s="492"/>
      <c r="AP320" s="493"/>
      <c r="AQ320" s="124"/>
      <c r="AR320" s="124"/>
      <c r="AS320" s="177"/>
      <c r="AT320" s="494"/>
      <c r="AU320" s="494"/>
      <c r="AV320" s="494"/>
      <c r="AW320" s="494"/>
      <c r="AX320" s="494"/>
      <c r="AY320" s="494"/>
      <c r="AZ320" s="494"/>
      <c r="BA320" s="494"/>
      <c r="BB320" s="494"/>
      <c r="BC320" s="494"/>
      <c r="BD320" s="494"/>
      <c r="BE320" s="494"/>
      <c r="BF320" s="494"/>
      <c r="BG320" s="494"/>
      <c r="BH320" s="495"/>
      <c r="BI320" s="494"/>
      <c r="BJ320" s="495"/>
      <c r="BK320" s="494"/>
      <c r="BL320" s="494"/>
      <c r="BM320" s="496"/>
      <c r="BN320" s="496"/>
      <c r="BO320" s="494"/>
      <c r="BP320" s="496"/>
      <c r="BQ320" s="494"/>
      <c r="BR320" s="496"/>
      <c r="BS320" s="496"/>
      <c r="BT320" s="494"/>
      <c r="BU320" s="494"/>
      <c r="BV320" s="494"/>
      <c r="BW320" s="496"/>
      <c r="BX320" s="496"/>
      <c r="BY320" s="177"/>
      <c r="BZ320" s="177"/>
      <c r="CA320" s="177"/>
      <c r="CB320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0" s="166">
        <f>' الشركه 2018'!$H320*67%*1.5*' الشركه 2018'!$CB320/208</f>
        <v>0</v>
      </c>
      <c r="CE320" s="497">
        <f>' الشركه 2018'!$H320*67%*2*' الشركه 2018'!$CC320/208</f>
        <v>0</v>
      </c>
      <c r="CF320" s="497">
        <f>' الشركه 2018'!$CD320+' الشركه 2018'!$CE320</f>
        <v>0</v>
      </c>
      <c r="CG320" s="124"/>
      <c r="CH320" s="177"/>
      <c r="CI320" s="124"/>
      <c r="CJ320" s="162"/>
      <c r="CK320" s="162"/>
      <c r="CL320" s="177"/>
      <c r="CM320" s="162"/>
      <c r="CN320" s="162"/>
      <c r="CO320" s="162"/>
      <c r="CP320" s="498"/>
      <c r="CQ320" s="162" t="e">
        <f>VLOOKUP(Table6[[#This Row],[الرقم الوظيفى]],[4]!Table3[#Data],26,FALSE)</f>
        <v>#REF!</v>
      </c>
    </row>
    <row r="321" spans="1:98" ht="32.25" customHeight="1" thickTop="1" thickBot="1">
      <c r="A321" s="472" t="s">
        <v>763</v>
      </c>
      <c r="B321" s="478" t="s">
        <v>764</v>
      </c>
      <c r="C321" s="349" t="s">
        <v>620</v>
      </c>
      <c r="D321" s="11"/>
      <c r="E321" s="487"/>
      <c r="F321" s="11"/>
      <c r="G321" s="145">
        <v>43352</v>
      </c>
      <c r="H321" s="143">
        <v>7000</v>
      </c>
      <c r="I321" s="143">
        <f>Table6[[#This Row],[مرتب]]/30</f>
        <v>233.33333333333334</v>
      </c>
      <c r="J321" s="417">
        <v>30</v>
      </c>
      <c r="K321" s="143">
        <f t="shared" si="5"/>
        <v>7000</v>
      </c>
      <c r="L321" s="143">
        <v>7000</v>
      </c>
      <c r="M321" s="143">
        <f>Table6[[#This Row],[مرتب الضمان]]*17%</f>
        <v>1190</v>
      </c>
      <c r="N321" s="143">
        <f>' الشركه 2018'!$H321*35%</f>
        <v>2450</v>
      </c>
      <c r="O321" s="143">
        <f>' الشركه 2018'!$H321*32%</f>
        <v>2240</v>
      </c>
      <c r="P321" s="143">
        <f>' الشركه 2018'!$H321*12%</f>
        <v>840</v>
      </c>
      <c r="Q321" s="143">
        <f>' الشركه 2018'!$H321*13%</f>
        <v>910</v>
      </c>
      <c r="R321" s="143">
        <f>' الشركه 2018'!$H321*6%</f>
        <v>420</v>
      </c>
      <c r="S321" s="143">
        <f>' الشركه 2018'!$H321*2%</f>
        <v>140</v>
      </c>
      <c r="T321" s="143">
        <f>' الشركه 2018'!$O321+' الشركه 2018'!$P321+' الشركه 2018'!$Q321+' الشركه 2018'!$R321+' الشركه 2018'!$S321</f>
        <v>4550</v>
      </c>
      <c r="U321" s="109" t="e">
        <f>VLOOKUP(Table6[[#This Row],[الرقم الوظيفى]],[2]بالخصم!$B$1:$AK$1200,35,)</f>
        <v>#N/A</v>
      </c>
      <c r="V321" s="11"/>
      <c r="W321" s="465">
        <f>Table6[[#This Row],[عدد ايام الاجازه]]*Table6[[#This Row],[ح راتب اليوم]]</f>
        <v>0</v>
      </c>
      <c r="X321" s="488"/>
      <c r="Y321" s="189"/>
      <c r="Z321" s="465">
        <f>Table6[[#This Row],[عدد ايام الجزاء]]*Table6[[#This Row],[ح راتب اليوم]]</f>
        <v>0</v>
      </c>
      <c r="AA321" s="489"/>
      <c r="AB321" s="490" t="e">
        <f>VLOOKUP(Table6[[#This Row],[الرقم الوظيفى]],[3]!Table25289[#Data],23,)</f>
        <v>#REF!</v>
      </c>
      <c r="AC321" s="367"/>
      <c r="AD321" s="367"/>
      <c r="AE321" s="113" t="e">
        <f>VLOOKUP(Table6[[#This Row],[الرقم الوظيفى]],[3]!Table252894[#Data],22,)</f>
        <v>#REF!</v>
      </c>
      <c r="AF321" s="368"/>
      <c r="AG321" s="111">
        <f>' الشركه 2018'!$W321+' الشركه 2018'!$Z321+' الشركه 2018'!$AA321+' الشركه 2018'!$AC321+' الشركه 2018'!$AD321+' الشركه 2018'!$AF321</f>
        <v>0</v>
      </c>
      <c r="AH321" s="111">
        <f>Table6[[#This Row],[راتب الضمان]]*8%</f>
        <v>560</v>
      </c>
      <c r="AI321" s="111">
        <f>' الشركه 2018'!$H321-' الشركه 2018'!$AG321-' الشركه 2018'!$AH321</f>
        <v>6440</v>
      </c>
      <c r="AJ321" s="111">
        <f>' الشركه 2018'!$CF321</f>
        <v>0</v>
      </c>
      <c r="AK321" s="117">
        <f>' الشركه 2018'!$AI321+' الشركه 2018'!$AJ321</f>
        <v>6440</v>
      </c>
      <c r="AL321" s="491"/>
      <c r="AM321" s="277"/>
      <c r="AN321" s="278">
        <f>Table6[[#This Row],[اجمالى الاستحقاق]]-Table6[[#This Row],[Column2]]+Table6[[#This Row],[حوافز غير مستقره]]</f>
        <v>6440</v>
      </c>
      <c r="AO321" s="492"/>
      <c r="AP321" s="493"/>
      <c r="AQ321" s="124"/>
      <c r="AR321" s="124"/>
      <c r="AS321" s="177"/>
      <c r="AT321" s="494"/>
      <c r="AU321" s="494"/>
      <c r="AV321" s="494"/>
      <c r="AW321" s="494"/>
      <c r="AX321" s="494"/>
      <c r="AY321" s="494"/>
      <c r="AZ321" s="494"/>
      <c r="BA321" s="494"/>
      <c r="BB321" s="494"/>
      <c r="BC321" s="494"/>
      <c r="BD321" s="494"/>
      <c r="BE321" s="494"/>
      <c r="BF321" s="494"/>
      <c r="BG321" s="494"/>
      <c r="BH321" s="495"/>
      <c r="BI321" s="494"/>
      <c r="BJ321" s="495"/>
      <c r="BK321" s="494"/>
      <c r="BL321" s="494"/>
      <c r="BM321" s="496"/>
      <c r="BN321" s="496"/>
      <c r="BO321" s="494"/>
      <c r="BP321" s="496"/>
      <c r="BQ321" s="494"/>
      <c r="BR321" s="496"/>
      <c r="BS321" s="496"/>
      <c r="BT321" s="494"/>
      <c r="BU321" s="494"/>
      <c r="BV321" s="494"/>
      <c r="BW321" s="496"/>
      <c r="BX321" s="496"/>
      <c r="BY321" s="177"/>
      <c r="BZ321" s="177"/>
      <c r="CA321" s="177"/>
      <c r="CB321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1" s="166">
        <f>' الشركه 2018'!$H321*67%*1.5*' الشركه 2018'!$CB321/208</f>
        <v>0</v>
      </c>
      <c r="CE321" s="497">
        <f>' الشركه 2018'!$H321*67%*2*' الشركه 2018'!$CC321/208</f>
        <v>0</v>
      </c>
      <c r="CF321" s="497">
        <f>' الشركه 2018'!$CD321+' الشركه 2018'!$CE321</f>
        <v>0</v>
      </c>
      <c r="CG321" s="124"/>
      <c r="CH321" s="177"/>
      <c r="CI321" s="124"/>
      <c r="CJ321" s="162"/>
      <c r="CK321" s="162"/>
      <c r="CL321" s="177"/>
      <c r="CM321" s="162"/>
      <c r="CN321" s="162"/>
      <c r="CO321" s="162"/>
      <c r="CP321" s="498"/>
      <c r="CQ321" s="162" t="e">
        <f>VLOOKUP(Table6[[#This Row],[الرقم الوظيفى]],[4]!Table3[#Data],26,FALSE)</f>
        <v>#REF!</v>
      </c>
    </row>
    <row r="322" spans="1:98" ht="32.25" customHeight="1" thickTop="1" thickBot="1">
      <c r="A322" s="472" t="s">
        <v>765</v>
      </c>
      <c r="B322" s="478" t="s">
        <v>766</v>
      </c>
      <c r="C322" s="349" t="s">
        <v>620</v>
      </c>
      <c r="D322" s="11"/>
      <c r="E322" s="487"/>
      <c r="F322" s="11"/>
      <c r="G322" s="145">
        <v>43355</v>
      </c>
      <c r="H322" s="143">
        <v>9000</v>
      </c>
      <c r="I322" s="143">
        <f>Table6[[#This Row],[مرتب]]/30</f>
        <v>300</v>
      </c>
      <c r="J322" s="394">
        <v>30</v>
      </c>
      <c r="K322" s="143">
        <f t="shared" si="5"/>
        <v>9000</v>
      </c>
      <c r="L322" s="143">
        <v>9000</v>
      </c>
      <c r="M322" s="143">
        <f>Table6[[#This Row],[مرتب الضمان]]*17%</f>
        <v>1530</v>
      </c>
      <c r="N322" s="143">
        <f>' الشركه 2018'!$H322*35%</f>
        <v>3150</v>
      </c>
      <c r="O322" s="143">
        <f>' الشركه 2018'!$H322*32%</f>
        <v>2880</v>
      </c>
      <c r="P322" s="143">
        <f>' الشركه 2018'!$H322*12%</f>
        <v>1080</v>
      </c>
      <c r="Q322" s="143">
        <f>' الشركه 2018'!$H322*13%</f>
        <v>1170</v>
      </c>
      <c r="R322" s="143">
        <f>' الشركه 2018'!$H322*6%</f>
        <v>540</v>
      </c>
      <c r="S322" s="143">
        <f>' الشركه 2018'!$H322*2%</f>
        <v>180</v>
      </c>
      <c r="T322" s="143">
        <f>' الشركه 2018'!$O322+' الشركه 2018'!$P322+' الشركه 2018'!$Q322+' الشركه 2018'!$R322+' الشركه 2018'!$S322</f>
        <v>5850</v>
      </c>
      <c r="U322" s="109" t="e">
        <f>VLOOKUP(Table6[[#This Row],[الرقم الوظيفى]],[2]بالخصم!$B$1:$AK$1200,35,)</f>
        <v>#N/A</v>
      </c>
      <c r="V322" s="11"/>
      <c r="W322" s="465">
        <f>Table6[[#This Row],[عدد ايام الاجازه]]*Table6[[#This Row],[ح راتب اليوم]]</f>
        <v>0</v>
      </c>
      <c r="X322" s="488"/>
      <c r="Y322" s="189"/>
      <c r="Z322" s="465">
        <f>Table6[[#This Row],[عدد ايام الجزاء]]*Table6[[#This Row],[ح راتب اليوم]]</f>
        <v>0</v>
      </c>
      <c r="AA322" s="489"/>
      <c r="AB322" s="490" t="e">
        <f>VLOOKUP(Table6[[#This Row],[الرقم الوظيفى]],[3]!Table25289[#Data],23,)</f>
        <v>#REF!</v>
      </c>
      <c r="AC322" s="367"/>
      <c r="AD322" s="367"/>
      <c r="AE322" s="113" t="e">
        <f>VLOOKUP(Table6[[#This Row],[الرقم الوظيفى]],[3]!Table252894[#Data],22,)</f>
        <v>#REF!</v>
      </c>
      <c r="AF322" s="368"/>
      <c r="AG322" s="111">
        <f>' الشركه 2018'!$W322+' الشركه 2018'!$Z322+' الشركه 2018'!$AA322+' الشركه 2018'!$AC322+' الشركه 2018'!$AD322+' الشركه 2018'!$AF322</f>
        <v>0</v>
      </c>
      <c r="AH322" s="111">
        <f>Table6[[#This Row],[راتب الضمان]]*8%</f>
        <v>720</v>
      </c>
      <c r="AI322" s="111">
        <f>' الشركه 2018'!$H322-' الشركه 2018'!$AG322-' الشركه 2018'!$AH322</f>
        <v>8280</v>
      </c>
      <c r="AJ322" s="111">
        <f>' الشركه 2018'!$CF322</f>
        <v>0</v>
      </c>
      <c r="AK322" s="117">
        <f>' الشركه 2018'!$AI322+' الشركه 2018'!$AJ322</f>
        <v>8280</v>
      </c>
      <c r="AL322" s="491"/>
      <c r="AM322" s="277"/>
      <c r="AN322" s="278">
        <f>Table6[[#This Row],[اجمالى الاستحقاق]]-Table6[[#This Row],[Column2]]+Table6[[#This Row],[حوافز غير مستقره]]</f>
        <v>8280</v>
      </c>
      <c r="AO322" s="492"/>
      <c r="AP322" s="493"/>
      <c r="AQ322" s="124"/>
      <c r="AR322" s="124"/>
      <c r="AS322" s="177"/>
      <c r="AT322" s="494"/>
      <c r="AU322" s="494"/>
      <c r="AV322" s="494"/>
      <c r="AW322" s="494"/>
      <c r="AX322" s="494"/>
      <c r="AY322" s="494"/>
      <c r="AZ322" s="494"/>
      <c r="BA322" s="494"/>
      <c r="BB322" s="494"/>
      <c r="BC322" s="494"/>
      <c r="BD322" s="494"/>
      <c r="BE322" s="494"/>
      <c r="BF322" s="494"/>
      <c r="BG322" s="494"/>
      <c r="BH322" s="495"/>
      <c r="BI322" s="494"/>
      <c r="BJ322" s="495"/>
      <c r="BK322" s="494"/>
      <c r="BL322" s="494"/>
      <c r="BM322" s="496"/>
      <c r="BN322" s="496"/>
      <c r="BO322" s="494"/>
      <c r="BP322" s="496"/>
      <c r="BQ322" s="494"/>
      <c r="BR322" s="496"/>
      <c r="BS322" s="496"/>
      <c r="BT322" s="494"/>
      <c r="BU322" s="494"/>
      <c r="BV322" s="494"/>
      <c r="BW322" s="496"/>
      <c r="BX322" s="496"/>
      <c r="BY322" s="177"/>
      <c r="BZ322" s="177"/>
      <c r="CA322" s="177"/>
      <c r="CB322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2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2" s="166">
        <f>' الشركه 2018'!$H322*67%*1.5*' الشركه 2018'!$CB322/208</f>
        <v>0</v>
      </c>
      <c r="CE322" s="497">
        <f>' الشركه 2018'!$H322*67%*2*' الشركه 2018'!$CC322/208</f>
        <v>0</v>
      </c>
      <c r="CF322" s="497">
        <f>' الشركه 2018'!$CD322+' الشركه 2018'!$CE322</f>
        <v>0</v>
      </c>
      <c r="CG322" s="124"/>
      <c r="CH322" s="177"/>
      <c r="CI322" s="124"/>
      <c r="CJ322" s="162"/>
      <c r="CK322" s="162"/>
      <c r="CL322" s="177"/>
      <c r="CM322" s="162"/>
      <c r="CN322" s="162"/>
      <c r="CO322" s="162"/>
      <c r="CP322" s="498"/>
      <c r="CQ322" s="162" t="e">
        <f>VLOOKUP(Table6[[#This Row],[الرقم الوظيفى]],[4]!Table3[#Data],26,FALSE)</f>
        <v>#REF!</v>
      </c>
    </row>
    <row r="323" spans="1:98" ht="32.25" customHeight="1" thickTop="1" thickBot="1">
      <c r="A323" s="472" t="s">
        <v>767</v>
      </c>
      <c r="B323" s="478" t="s">
        <v>768</v>
      </c>
      <c r="C323" s="349" t="s">
        <v>620</v>
      </c>
      <c r="D323" s="11"/>
      <c r="E323" s="487"/>
      <c r="F323" s="11"/>
      <c r="G323" s="145">
        <v>43353</v>
      </c>
      <c r="H323" s="11">
        <v>5500</v>
      </c>
      <c r="I323" s="143">
        <f>Table6[[#This Row],[مرتب]]/30</f>
        <v>183.33333333333334</v>
      </c>
      <c r="J323" s="417">
        <v>9</v>
      </c>
      <c r="K323" s="143">
        <f t="shared" si="5"/>
        <v>1650</v>
      </c>
      <c r="L323" s="11">
        <v>5500</v>
      </c>
      <c r="M323" s="143">
        <f>Table6[[#This Row],[مرتب الضمان]]*17%</f>
        <v>935.00000000000011</v>
      </c>
      <c r="N323" s="143">
        <f>' الشركه 2018'!$H323*35%</f>
        <v>1924.9999999999998</v>
      </c>
      <c r="O323" s="143">
        <f>' الشركه 2018'!$H323*32%</f>
        <v>1760</v>
      </c>
      <c r="P323" s="143">
        <f>' الشركه 2018'!$H323*12%</f>
        <v>660</v>
      </c>
      <c r="Q323" s="143">
        <f>' الشركه 2018'!$H323*13%</f>
        <v>715</v>
      </c>
      <c r="R323" s="143">
        <f>' الشركه 2018'!$H323*6%</f>
        <v>330</v>
      </c>
      <c r="S323" s="143">
        <f>' الشركه 2018'!$H323*2%</f>
        <v>110</v>
      </c>
      <c r="T323" s="143">
        <f>' الشركه 2018'!$O323+' الشركه 2018'!$P323+' الشركه 2018'!$Q323+' الشركه 2018'!$R323+' الشركه 2018'!$S323</f>
        <v>3575</v>
      </c>
      <c r="U323" s="109" t="e">
        <f>VLOOKUP(Table6[[#This Row],[الرقم الوظيفى]],[2]بالخصم!$B$1:$AK$1200,35,)</f>
        <v>#N/A</v>
      </c>
      <c r="V323" s="11">
        <v>21</v>
      </c>
      <c r="W323" s="465">
        <f>Table6[[#This Row],[عدد ايام الاجازه]]*Table6[[#This Row],[ح راتب اليوم]]</f>
        <v>3850</v>
      </c>
      <c r="X323" s="488"/>
      <c r="Y323" s="189"/>
      <c r="Z323" s="465">
        <f>Table6[[#This Row],[عدد ايام الجزاء]]*Table6[[#This Row],[ح راتب اليوم]]</f>
        <v>0</v>
      </c>
      <c r="AA323" s="489"/>
      <c r="AB323" s="490" t="e">
        <f>VLOOKUP(Table6[[#This Row],[الرقم الوظيفى]],[3]!Table25289[#Data],23,)</f>
        <v>#REF!</v>
      </c>
      <c r="AC323" s="367"/>
      <c r="AD323" s="367"/>
      <c r="AE323" s="113" t="e">
        <f>VLOOKUP(Table6[[#This Row],[الرقم الوظيفى]],[3]!Table252894[#Data],22,)</f>
        <v>#REF!</v>
      </c>
      <c r="AF323" s="368"/>
      <c r="AG323" s="111">
        <f>' الشركه 2018'!$W323+' الشركه 2018'!$Z323+' الشركه 2018'!$AA323+' الشركه 2018'!$AC323+' الشركه 2018'!$AD323+' الشركه 2018'!$AF323</f>
        <v>3850</v>
      </c>
      <c r="AH323" s="111">
        <f>Table6[[#This Row],[راتب الضمان]]*8%</f>
        <v>132</v>
      </c>
      <c r="AI323" s="111">
        <f>' الشركه 2018'!$H323-' الشركه 2018'!$AG323-' الشركه 2018'!$AH323</f>
        <v>1518</v>
      </c>
      <c r="AJ323" s="111">
        <f>' الشركه 2018'!$CF323</f>
        <v>0</v>
      </c>
      <c r="AK323" s="117">
        <f>' الشركه 2018'!$AI323+' الشركه 2018'!$AJ323</f>
        <v>1518</v>
      </c>
      <c r="AL323" s="491"/>
      <c r="AM323" s="277"/>
      <c r="AN323" s="278">
        <f>Table6[[#This Row],[اجمالى الاستحقاق]]-Table6[[#This Row],[Column2]]+Table6[[#This Row],[حوافز غير مستقره]]</f>
        <v>1518</v>
      </c>
      <c r="AO323" s="492"/>
      <c r="AP323" s="493"/>
      <c r="AQ323" s="124"/>
      <c r="AR323" s="124"/>
      <c r="AS323" s="177"/>
      <c r="AT323" s="494"/>
      <c r="AU323" s="494"/>
      <c r="AV323" s="494"/>
      <c r="AW323" s="494"/>
      <c r="AX323" s="494"/>
      <c r="AY323" s="494"/>
      <c r="AZ323" s="494"/>
      <c r="BA323" s="494"/>
      <c r="BB323" s="494"/>
      <c r="BC323" s="494"/>
      <c r="BD323" s="494"/>
      <c r="BE323" s="494"/>
      <c r="BF323" s="494"/>
      <c r="BG323" s="494"/>
      <c r="BH323" s="495"/>
      <c r="BI323" s="494"/>
      <c r="BJ323" s="495"/>
      <c r="BK323" s="494"/>
      <c r="BL323" s="494"/>
      <c r="BM323" s="496"/>
      <c r="BN323" s="496"/>
      <c r="BO323" s="494"/>
      <c r="BP323" s="496"/>
      <c r="BQ323" s="494"/>
      <c r="BR323" s="496"/>
      <c r="BS323" s="496"/>
      <c r="BT323" s="494"/>
      <c r="BU323" s="494"/>
      <c r="BV323" s="494"/>
      <c r="BW323" s="496"/>
      <c r="BX323" s="496"/>
      <c r="BY323" s="177"/>
      <c r="BZ323" s="177"/>
      <c r="CA323" s="177"/>
      <c r="CB323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3" s="166">
        <f>' الشركه 2018'!$H323*67%*1.5*' الشركه 2018'!$CB323/208</f>
        <v>0</v>
      </c>
      <c r="CE323" s="497">
        <f>' الشركه 2018'!$H323*67%*2*' الشركه 2018'!$CC323/208</f>
        <v>0</v>
      </c>
      <c r="CF323" s="497">
        <f>' الشركه 2018'!$CD323+' الشركه 2018'!$CE323</f>
        <v>0</v>
      </c>
      <c r="CG323" s="124"/>
      <c r="CH323" s="177"/>
      <c r="CI323" s="124"/>
      <c r="CJ323" s="162"/>
      <c r="CK323" s="162"/>
      <c r="CL323" s="177"/>
      <c r="CM323" s="162"/>
      <c r="CN323" s="162"/>
      <c r="CO323" s="162"/>
      <c r="CP323" s="498"/>
      <c r="CQ323" s="162" t="e">
        <f>VLOOKUP(Table6[[#This Row],[الرقم الوظيفى]],[4]!Table3[#Data],26,FALSE)</f>
        <v>#REF!</v>
      </c>
    </row>
    <row r="324" spans="1:98" ht="32.25" customHeight="1" thickTop="1" thickBot="1">
      <c r="A324" s="472" t="s">
        <v>769</v>
      </c>
      <c r="B324" s="478" t="s">
        <v>770</v>
      </c>
      <c r="C324" s="349" t="s">
        <v>620</v>
      </c>
      <c r="D324" s="11"/>
      <c r="E324" s="487"/>
      <c r="F324" s="11"/>
      <c r="G324" s="145">
        <v>43352</v>
      </c>
      <c r="H324" s="11">
        <v>4000</v>
      </c>
      <c r="I324" s="11">
        <f>Table6[[#This Row],[مرتب]]/30</f>
        <v>133.33333333333334</v>
      </c>
      <c r="J324" s="394">
        <v>30</v>
      </c>
      <c r="K324" s="143">
        <f t="shared" si="5"/>
        <v>4000.0000000000005</v>
      </c>
      <c r="L324" s="11">
        <v>4000</v>
      </c>
      <c r="M324" s="143">
        <f>Table6[[#This Row],[مرتب الضمان]]*17%</f>
        <v>680</v>
      </c>
      <c r="N324" s="143">
        <f>' الشركه 2018'!$H324*35%</f>
        <v>1400</v>
      </c>
      <c r="O324" s="143">
        <f>' الشركه 2018'!$H324*32%</f>
        <v>1280</v>
      </c>
      <c r="P324" s="143">
        <f>' الشركه 2018'!$H324*12%</f>
        <v>480</v>
      </c>
      <c r="Q324" s="143">
        <f>' الشركه 2018'!$H324*13%</f>
        <v>520</v>
      </c>
      <c r="R324" s="143">
        <f>' الشركه 2018'!$H324*6%</f>
        <v>240</v>
      </c>
      <c r="S324" s="143">
        <f>' الشركه 2018'!$H324*2%</f>
        <v>80</v>
      </c>
      <c r="T324" s="143">
        <f>' الشركه 2018'!$O324+' الشركه 2018'!$P324+' الشركه 2018'!$Q324+' الشركه 2018'!$R324+' الشركه 2018'!$S324</f>
        <v>2600</v>
      </c>
      <c r="U324" s="109" t="e">
        <f>VLOOKUP(Table6[[#This Row],[الرقم الوظيفى]],[2]بالخصم!$B$1:$AK$1200,35,)</f>
        <v>#N/A</v>
      </c>
      <c r="V324" s="11"/>
      <c r="W324" s="465">
        <f>Table6[[#This Row],[عدد ايام الاجازه]]*Table6[[#This Row],[ح راتب اليوم]]</f>
        <v>0</v>
      </c>
      <c r="X324" s="488"/>
      <c r="Y324" s="189"/>
      <c r="Z324" s="465">
        <f>Table6[[#This Row],[عدد ايام الجزاء]]*Table6[[#This Row],[ح راتب اليوم]]</f>
        <v>0</v>
      </c>
      <c r="AA324" s="489"/>
      <c r="AB324" s="490" t="e">
        <f>VLOOKUP(Table6[[#This Row],[الرقم الوظيفى]],[3]!Table25289[#Data],23,)</f>
        <v>#REF!</v>
      </c>
      <c r="AC324" s="500"/>
      <c r="AD324" s="500"/>
      <c r="AE324" s="113" t="e">
        <f>VLOOKUP(Table6[[#This Row],[الرقم الوظيفى]],[3]!Table252894[#Data],22,)</f>
        <v>#REF!</v>
      </c>
      <c r="AF324" s="501"/>
      <c r="AG324" s="111">
        <f>' الشركه 2018'!$W324+' الشركه 2018'!$Z324+' الشركه 2018'!$AA324+' الشركه 2018'!$AC324+' الشركه 2018'!$AD324+' الشركه 2018'!$AF324</f>
        <v>0</v>
      </c>
      <c r="AH324" s="111">
        <f>Table6[[#This Row],[راتب الضمان]]*8%</f>
        <v>320.00000000000006</v>
      </c>
      <c r="AI324" s="111">
        <f>' الشركه 2018'!$H324-' الشركه 2018'!$AG324-' الشركه 2018'!$AH324</f>
        <v>3680</v>
      </c>
      <c r="AJ324" s="111">
        <f>' الشركه 2018'!$CF324</f>
        <v>0</v>
      </c>
      <c r="AK324" s="117">
        <f>' الشركه 2018'!$AI324+' الشركه 2018'!$AJ324</f>
        <v>3680</v>
      </c>
      <c r="AL324" s="491"/>
      <c r="AM324" s="277"/>
      <c r="AN324" s="278">
        <f>Table6[[#This Row],[اجمالى الاستحقاق]]-Table6[[#This Row],[Column2]]+Table6[[#This Row],[حوافز غير مستقره]]</f>
        <v>3680</v>
      </c>
      <c r="AO324" s="492"/>
      <c r="AP324" s="493"/>
      <c r="AQ324" s="124"/>
      <c r="AR324" s="124"/>
      <c r="AS324" s="177"/>
      <c r="AT324" s="494"/>
      <c r="AU324" s="494"/>
      <c r="AV324" s="494"/>
      <c r="AW324" s="494"/>
      <c r="AX324" s="494"/>
      <c r="AY324" s="494"/>
      <c r="AZ324" s="494"/>
      <c r="BA324" s="494"/>
      <c r="BB324" s="494"/>
      <c r="BC324" s="494"/>
      <c r="BD324" s="494"/>
      <c r="BE324" s="494"/>
      <c r="BF324" s="494"/>
      <c r="BG324" s="494"/>
      <c r="BH324" s="495"/>
      <c r="BI324" s="494"/>
      <c r="BJ324" s="495"/>
      <c r="BK324" s="494"/>
      <c r="BL324" s="494"/>
      <c r="BM324" s="496"/>
      <c r="BN324" s="496"/>
      <c r="BO324" s="494"/>
      <c r="BP324" s="496"/>
      <c r="BQ324" s="494"/>
      <c r="BR324" s="496"/>
      <c r="BS324" s="496"/>
      <c r="BT324" s="494"/>
      <c r="BU324" s="494"/>
      <c r="BV324" s="494"/>
      <c r="BW324" s="496"/>
      <c r="BX324" s="496"/>
      <c r="BY324" s="177"/>
      <c r="BZ324" s="177"/>
      <c r="CA324" s="177"/>
      <c r="CB324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4" s="166">
        <f>' الشركه 2018'!$H324*67%*1.5*' الشركه 2018'!$CB324/208</f>
        <v>0</v>
      </c>
      <c r="CE324" s="497">
        <f>' الشركه 2018'!$H324*67%*2*' الشركه 2018'!$CC324/208</f>
        <v>0</v>
      </c>
      <c r="CF324" s="497">
        <f>' الشركه 2018'!$CD324+' الشركه 2018'!$CE324</f>
        <v>0</v>
      </c>
      <c r="CG324" s="124"/>
      <c r="CH324" s="177"/>
      <c r="CI324" s="124"/>
      <c r="CJ324" s="162"/>
      <c r="CK324" s="162"/>
      <c r="CL324" s="177"/>
      <c r="CM324" s="162"/>
      <c r="CN324" s="162"/>
      <c r="CO324" s="162"/>
      <c r="CP324" s="498"/>
      <c r="CQ324" s="162" t="e">
        <f>VLOOKUP(Table6[[#This Row],[الرقم الوظيفى]],[4]!Table3[#Data],26,FALSE)</f>
        <v>#REF!</v>
      </c>
    </row>
    <row r="325" spans="1:98" ht="32.25" customHeight="1" thickTop="1" thickBot="1">
      <c r="A325" s="472" t="s">
        <v>771</v>
      </c>
      <c r="B325" s="478" t="s">
        <v>772</v>
      </c>
      <c r="C325" s="349" t="s">
        <v>620</v>
      </c>
      <c r="D325" s="11"/>
      <c r="E325" s="487"/>
      <c r="F325" s="11"/>
      <c r="G325" s="145">
        <v>43352</v>
      </c>
      <c r="H325" s="11">
        <v>7000</v>
      </c>
      <c r="I325" s="11">
        <f>Table6[[#This Row],[مرتب]]/30</f>
        <v>233.33333333333334</v>
      </c>
      <c r="J325" s="417">
        <v>8</v>
      </c>
      <c r="K325" s="143">
        <f t="shared" si="5"/>
        <v>1866.6666666666667</v>
      </c>
      <c r="L325" s="11">
        <v>7000</v>
      </c>
      <c r="M325" s="143">
        <f>Table6[[#This Row],[مرتب الضمان]]*17%</f>
        <v>1190</v>
      </c>
      <c r="N325" s="143">
        <f>' الشركه 2018'!$H325*35%</f>
        <v>2450</v>
      </c>
      <c r="O325" s="143">
        <f>' الشركه 2018'!$H325*32%</f>
        <v>2240</v>
      </c>
      <c r="P325" s="143">
        <f>' الشركه 2018'!$H325*12%</f>
        <v>840</v>
      </c>
      <c r="Q325" s="143">
        <f>' الشركه 2018'!$H325*13%</f>
        <v>910</v>
      </c>
      <c r="R325" s="143">
        <f>' الشركه 2018'!$H325*6%</f>
        <v>420</v>
      </c>
      <c r="S325" s="143">
        <f>' الشركه 2018'!$H325*2%</f>
        <v>140</v>
      </c>
      <c r="T325" s="143">
        <f>' الشركه 2018'!$O325+' الشركه 2018'!$P325+' الشركه 2018'!$Q325+' الشركه 2018'!$R325+' الشركه 2018'!$S325</f>
        <v>4550</v>
      </c>
      <c r="U325" s="109" t="e">
        <f>VLOOKUP(Table6[[#This Row],[الرقم الوظيفى]],[2]بالخصم!$B$1:$AK$1200,35,)</f>
        <v>#N/A</v>
      </c>
      <c r="V325" s="11">
        <v>22</v>
      </c>
      <c r="W325" s="465">
        <f>Table6[[#This Row],[عدد ايام الاجازه]]*Table6[[#This Row],[ح راتب اليوم]]</f>
        <v>5133.3333333333339</v>
      </c>
      <c r="X325" s="488"/>
      <c r="Y325" s="189"/>
      <c r="Z325" s="465">
        <f>Table6[[#This Row],[عدد ايام الجزاء]]*Table6[[#This Row],[ح راتب اليوم]]</f>
        <v>0</v>
      </c>
      <c r="AA325" s="489"/>
      <c r="AB325" s="490" t="e">
        <f>VLOOKUP(Table6[[#This Row],[الرقم الوظيفى]],[3]!Table25289[#Data],23,)</f>
        <v>#REF!</v>
      </c>
      <c r="AC325" s="500"/>
      <c r="AD325" s="500"/>
      <c r="AE325" s="113" t="e">
        <f>VLOOKUP(Table6[[#This Row],[الرقم الوظيفى]],[3]!Table252894[#Data],22,)</f>
        <v>#REF!</v>
      </c>
      <c r="AF325" s="501"/>
      <c r="AG325" s="111">
        <f>' الشركه 2018'!$W325+' الشركه 2018'!$Z325+' الشركه 2018'!$AA325+' الشركه 2018'!$AC325+' الشركه 2018'!$AD325+' الشركه 2018'!$AF325</f>
        <v>5133.3333333333339</v>
      </c>
      <c r="AH325" s="111">
        <f>Table6[[#This Row],[راتب الضمان]]*8%</f>
        <v>149.33333333333334</v>
      </c>
      <c r="AI325" s="111">
        <f>' الشركه 2018'!$H325-' الشركه 2018'!$AG325-' الشركه 2018'!$AH325</f>
        <v>1717.3333333333328</v>
      </c>
      <c r="AJ325" s="111">
        <f>' الشركه 2018'!$CF325</f>
        <v>0</v>
      </c>
      <c r="AK325" s="117">
        <f>' الشركه 2018'!$AI325+' الشركه 2018'!$AJ325</f>
        <v>1717.3333333333328</v>
      </c>
      <c r="AL325" s="491"/>
      <c r="AM325" s="277"/>
      <c r="AN325" s="278">
        <f>Table6[[#This Row],[اجمالى الاستحقاق]]-Table6[[#This Row],[Column2]]+Table6[[#This Row],[حوافز غير مستقره]]</f>
        <v>1717.3333333333328</v>
      </c>
      <c r="AO325" s="492"/>
      <c r="AP325" s="493"/>
      <c r="AQ325" s="124"/>
      <c r="AR325" s="124"/>
      <c r="AS325" s="177"/>
      <c r="AT325" s="494"/>
      <c r="AU325" s="494"/>
      <c r="AV325" s="494"/>
      <c r="AW325" s="494"/>
      <c r="AX325" s="494"/>
      <c r="AY325" s="494"/>
      <c r="AZ325" s="494"/>
      <c r="BA325" s="494"/>
      <c r="BB325" s="494"/>
      <c r="BC325" s="494"/>
      <c r="BD325" s="494"/>
      <c r="BE325" s="494"/>
      <c r="BF325" s="494"/>
      <c r="BG325" s="494"/>
      <c r="BH325" s="495"/>
      <c r="BI325" s="494"/>
      <c r="BJ325" s="495"/>
      <c r="BK325" s="494"/>
      <c r="BL325" s="494"/>
      <c r="BM325" s="496"/>
      <c r="BN325" s="496"/>
      <c r="BO325" s="494"/>
      <c r="BP325" s="496"/>
      <c r="BQ325" s="494"/>
      <c r="BR325" s="496"/>
      <c r="BS325" s="496"/>
      <c r="BT325" s="494"/>
      <c r="BU325" s="494"/>
      <c r="BV325" s="494"/>
      <c r="BW325" s="496"/>
      <c r="BX325" s="496"/>
      <c r="BY325" s="177"/>
      <c r="BZ325" s="177"/>
      <c r="CA325" s="177"/>
      <c r="CB325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5" s="166">
        <f>' الشركه 2018'!$H325*67%*1.5*' الشركه 2018'!$CB325/208</f>
        <v>0</v>
      </c>
      <c r="CE325" s="497">
        <f>' الشركه 2018'!$H325*67%*2*' الشركه 2018'!$CC325/208</f>
        <v>0</v>
      </c>
      <c r="CF325" s="497">
        <f>' الشركه 2018'!$CD325+' الشركه 2018'!$CE325</f>
        <v>0</v>
      </c>
      <c r="CG325" s="124"/>
      <c r="CH325" s="177"/>
      <c r="CI325" s="124"/>
      <c r="CJ325" s="162"/>
      <c r="CK325" s="162"/>
      <c r="CL325" s="177"/>
      <c r="CM325" s="162"/>
      <c r="CN325" s="162"/>
      <c r="CO325" s="162"/>
      <c r="CP325" s="498"/>
      <c r="CQ325" s="162" t="e">
        <f>VLOOKUP(Table6[[#This Row],[الرقم الوظيفى]],[4]!Table3[#Data],26,FALSE)</f>
        <v>#REF!</v>
      </c>
    </row>
    <row r="326" spans="1:98" ht="34.5" customHeight="1" thickTop="1" thickBot="1">
      <c r="A326" s="433">
        <v>1073</v>
      </c>
      <c r="B326" s="504" t="s">
        <v>773</v>
      </c>
      <c r="C326" s="376" t="s">
        <v>90</v>
      </c>
      <c r="D326" s="11"/>
      <c r="E326" s="487"/>
      <c r="F326" s="11"/>
      <c r="G326" s="145">
        <v>43410</v>
      </c>
      <c r="H326" s="376">
        <v>2750</v>
      </c>
      <c r="I326" s="376">
        <f>Table6[[#This Row],[مرتب]]/30</f>
        <v>91.666666666666671</v>
      </c>
      <c r="J326" s="376">
        <v>0</v>
      </c>
      <c r="K326" s="107">
        <f t="shared" si="5"/>
        <v>0</v>
      </c>
      <c r="L326" s="376">
        <v>2750</v>
      </c>
      <c r="M326" s="107">
        <f>Table6[[#This Row],[مرتب الضمان]]*17%</f>
        <v>467.50000000000006</v>
      </c>
      <c r="N326" s="107">
        <f>' الشركه 2018'!$H326*35%</f>
        <v>962.49999999999989</v>
      </c>
      <c r="O326" s="107">
        <f>' الشركه 2018'!$H326*32%</f>
        <v>880</v>
      </c>
      <c r="P326" s="107">
        <f>' الشركه 2018'!$H326*12%</f>
        <v>330</v>
      </c>
      <c r="Q326" s="107">
        <f>' الشركه 2018'!$H326*13%</f>
        <v>357.5</v>
      </c>
      <c r="R326" s="107">
        <f>' الشركه 2018'!$H326*6%</f>
        <v>165</v>
      </c>
      <c r="S326" s="107">
        <f>' الشركه 2018'!$H326*2%</f>
        <v>55</v>
      </c>
      <c r="T326" s="107">
        <f>' الشركه 2018'!$O326+' الشركه 2018'!$P326+' الشركه 2018'!$Q326+' الشركه 2018'!$R326+' الشركه 2018'!$S326</f>
        <v>1787.5</v>
      </c>
      <c r="U326" s="109">
        <f>VLOOKUP(Table6[[#This Row],[الرقم الوظيفى]],[2]بالخصم!$B$1:$AK$1200,35,)</f>
        <v>0</v>
      </c>
      <c r="V326" s="11"/>
      <c r="W326" s="438">
        <f>Table6[[#This Row],[عدد ايام الاجازه]]*Table6[[#This Row],[ح راتب اليوم]]</f>
        <v>0</v>
      </c>
      <c r="X326" s="505"/>
      <c r="Y326" s="376"/>
      <c r="Z326" s="107"/>
      <c r="AA326" s="112">
        <f>Table6[[#This Row],[مرتب]]*50%</f>
        <v>1375</v>
      </c>
      <c r="AB326" s="242" t="e">
        <f>VLOOKUP(Table6[[#This Row],[الرقم الوظيفى]],[3]!Table25289[#Data],23,)</f>
        <v>#REF!</v>
      </c>
      <c r="AC326" s="206"/>
      <c r="AD326" s="206"/>
      <c r="AE326" s="113" t="e">
        <f>VLOOKUP(Table6[[#This Row],[الرقم الوظيفى]],[3]!Table252894[#Data],22,)</f>
        <v>#REF!</v>
      </c>
      <c r="AF326" s="506"/>
      <c r="AG326" s="111">
        <f>' الشركه 2018'!$W326+' الشركه 2018'!$Z326+' الشركه 2018'!$AA326+' الشركه 2018'!$AC326+' الشركه 2018'!$AD326+' الشركه 2018'!$AF326</f>
        <v>1375</v>
      </c>
      <c r="AH326" s="111">
        <f>Table6[[#This Row],[راتب الضمان]]*8%</f>
        <v>0</v>
      </c>
      <c r="AI326" s="111">
        <f>' الشركه 2018'!$H326-' الشركه 2018'!$AG326-' الشركه 2018'!$AH326</f>
        <v>1375</v>
      </c>
      <c r="AJ326" s="111">
        <f>' الشركه 2018'!$CF326</f>
        <v>0</v>
      </c>
      <c r="AK326" s="117">
        <f>' الشركه 2018'!$AI326+' الشركه 2018'!$AJ326</f>
        <v>1375</v>
      </c>
      <c r="AL326" s="507"/>
      <c r="AM326" s="277"/>
      <c r="AN326" s="278">
        <f>Table6[[#This Row],[اجمالى الاستحقاق]]-Table6[[#This Row],[Column2]]+Table6[[#This Row],[حوافز غير مستقره]]</f>
        <v>1375</v>
      </c>
      <c r="AO326" s="508"/>
      <c r="AP326" s="509"/>
      <c r="AQ326" s="124"/>
      <c r="AR326" s="124"/>
      <c r="AS326" s="177"/>
      <c r="AT326" s="494"/>
      <c r="AU326" s="494"/>
      <c r="AV326" s="494"/>
      <c r="AW326" s="494"/>
      <c r="AX326" s="494"/>
      <c r="AY326" s="494"/>
      <c r="AZ326" s="494"/>
      <c r="BA326" s="494"/>
      <c r="BB326" s="494"/>
      <c r="BC326" s="494"/>
      <c r="BD326" s="494"/>
      <c r="BE326" s="494"/>
      <c r="BF326" s="494"/>
      <c r="BG326" s="494"/>
      <c r="BH326" s="495"/>
      <c r="BI326" s="494"/>
      <c r="BJ326" s="495"/>
      <c r="BK326" s="494"/>
      <c r="BL326" s="494"/>
      <c r="BM326" s="496"/>
      <c r="BN326" s="496"/>
      <c r="BO326" s="494"/>
      <c r="BP326" s="496"/>
      <c r="BQ326" s="494"/>
      <c r="BR326" s="496"/>
      <c r="BS326" s="496"/>
      <c r="BT326" s="494"/>
      <c r="BU326" s="494"/>
      <c r="BV326" s="494"/>
      <c r="BW326" s="496"/>
      <c r="BX326" s="496"/>
      <c r="BY326" s="177"/>
      <c r="BZ326" s="177"/>
      <c r="CA326" s="177"/>
      <c r="CB326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6" s="166">
        <f>' الشركه 2018'!$H326*67%*1.5*' الشركه 2018'!$CB326/208</f>
        <v>0</v>
      </c>
      <c r="CE326" s="497">
        <f>' الشركه 2018'!$H326*67%*2*' الشركه 2018'!$CC326/208</f>
        <v>0</v>
      </c>
      <c r="CF326" s="497">
        <f>' الشركه 2018'!$CD326+' الشركه 2018'!$CE326</f>
        <v>0</v>
      </c>
      <c r="CG326" s="124"/>
      <c r="CH326" s="177"/>
      <c r="CI326" s="124"/>
      <c r="CJ326" s="162"/>
      <c r="CK326" s="162"/>
      <c r="CL326" s="177"/>
      <c r="CM326" s="162"/>
      <c r="CN326" s="162"/>
      <c r="CO326" s="162"/>
      <c r="CP326" s="498"/>
      <c r="CQ326" s="162" t="e">
        <f>VLOOKUP(Table6[[#This Row],[الرقم الوظيفى]],[4]!Table3[#Data],26,FALSE)</f>
        <v>#REF!</v>
      </c>
    </row>
    <row r="327" spans="1:98" ht="34.5" customHeight="1" thickTop="1" thickBot="1">
      <c r="A327" s="433">
        <v>1074</v>
      </c>
      <c r="B327" s="504" t="s">
        <v>774</v>
      </c>
      <c r="C327" s="376" t="s">
        <v>90</v>
      </c>
      <c r="D327" s="11"/>
      <c r="E327" s="487"/>
      <c r="F327" s="11"/>
      <c r="G327" s="145">
        <v>43414</v>
      </c>
      <c r="H327" s="376">
        <v>2750</v>
      </c>
      <c r="I327" s="376">
        <f>Table6[[#This Row],[مرتب]]/30</f>
        <v>91.666666666666671</v>
      </c>
      <c r="J327" s="376">
        <v>0</v>
      </c>
      <c r="K327" s="107">
        <f t="shared" si="5"/>
        <v>0</v>
      </c>
      <c r="L327" s="376">
        <v>2750</v>
      </c>
      <c r="M327" s="107">
        <f>Table6[[#This Row],[مرتب الضمان]]*17%</f>
        <v>467.50000000000006</v>
      </c>
      <c r="N327" s="107">
        <f>' الشركه 2018'!$H327*35%</f>
        <v>962.49999999999989</v>
      </c>
      <c r="O327" s="107">
        <f>' الشركه 2018'!$H327*32%</f>
        <v>880</v>
      </c>
      <c r="P327" s="107">
        <f>' الشركه 2018'!$H327*12%</f>
        <v>330</v>
      </c>
      <c r="Q327" s="107">
        <f>' الشركه 2018'!$H327*13%</f>
        <v>357.5</v>
      </c>
      <c r="R327" s="107">
        <f>' الشركه 2018'!$H327*6%</f>
        <v>165</v>
      </c>
      <c r="S327" s="107">
        <f>' الشركه 2018'!$H327*2%</f>
        <v>55</v>
      </c>
      <c r="T327" s="107">
        <f>' الشركه 2018'!$O327+' الشركه 2018'!$P327+' الشركه 2018'!$Q327+' الشركه 2018'!$R327+' الشركه 2018'!$S327</f>
        <v>1787.5</v>
      </c>
      <c r="U327" s="109">
        <f>VLOOKUP(Table6[[#This Row],[الرقم الوظيفى]],[2]بالخصم!$B$1:$AK$1200,35,)</f>
        <v>1</v>
      </c>
      <c r="V327" s="11">
        <v>1</v>
      </c>
      <c r="W327" s="438">
        <f>Table6[[#This Row],[عدد ايام الاجازه]]*Table6[[#This Row],[ح راتب اليوم]]</f>
        <v>91.666666666666671</v>
      </c>
      <c r="X327" s="505"/>
      <c r="Y327" s="376"/>
      <c r="Z327" s="107"/>
      <c r="AA327" s="112">
        <f>Table6[[#This Row],[مرتب]]*50%</f>
        <v>1375</v>
      </c>
      <c r="AB327" s="242" t="e">
        <f>VLOOKUP(Table6[[#This Row],[الرقم الوظيفى]],[3]!Table25289[#Data],23,)</f>
        <v>#REF!</v>
      </c>
      <c r="AC327" s="206"/>
      <c r="AD327" s="206"/>
      <c r="AE327" s="113" t="e">
        <f>VLOOKUP(Table6[[#This Row],[الرقم الوظيفى]],[3]!Table252894[#Data],22,)</f>
        <v>#REF!</v>
      </c>
      <c r="AF327" s="506"/>
      <c r="AG327" s="111">
        <f>' الشركه 2018'!$W327+' الشركه 2018'!$Z327+' الشركه 2018'!$AA327+' الشركه 2018'!$AC327+' الشركه 2018'!$AD327+' الشركه 2018'!$AF327</f>
        <v>1466.6666666666667</v>
      </c>
      <c r="AH327" s="111">
        <f>Table6[[#This Row],[راتب الضمان]]*8%</f>
        <v>0</v>
      </c>
      <c r="AI327" s="111">
        <f>' الشركه 2018'!$H327-' الشركه 2018'!$AG327-' الشركه 2018'!$AH327</f>
        <v>1283.3333333333333</v>
      </c>
      <c r="AJ327" s="111">
        <f>' الشركه 2018'!$CF327</f>
        <v>637.78846153846155</v>
      </c>
      <c r="AK327" s="117">
        <f>' الشركه 2018'!$AI327+' الشركه 2018'!$AJ327</f>
        <v>1921.1217948717949</v>
      </c>
      <c r="AL327" s="507"/>
      <c r="AM327" s="277"/>
      <c r="AN327" s="278">
        <f>Table6[[#This Row],[اجمالى الاستحقاق]]-Table6[[#This Row],[Column2]]+Table6[[#This Row],[حوافز غير مستقره]]</f>
        <v>1921.1217948717949</v>
      </c>
      <c r="AO327" s="508"/>
      <c r="AP327" s="509"/>
      <c r="AQ327" s="124"/>
      <c r="AR327" s="124"/>
      <c r="AS327" s="177"/>
      <c r="AT327" s="494"/>
      <c r="AU327" s="494"/>
      <c r="AV327" s="494">
        <v>24</v>
      </c>
      <c r="AW327" s="494"/>
      <c r="AX327" s="494"/>
      <c r="AY327" s="494"/>
      <c r="AZ327" s="494"/>
      <c r="BA327" s="494"/>
      <c r="BB327" s="494"/>
      <c r="BC327" s="494"/>
      <c r="BD327" s="494"/>
      <c r="BE327" s="494"/>
      <c r="BF327" s="494"/>
      <c r="BG327" s="494"/>
      <c r="BH327" s="495"/>
      <c r="BI327" s="494"/>
      <c r="BJ327" s="495"/>
      <c r="BK327" s="494">
        <v>8</v>
      </c>
      <c r="BL327" s="494"/>
      <c r="BM327" s="496"/>
      <c r="BN327" s="496">
        <v>8</v>
      </c>
      <c r="BO327" s="494"/>
      <c r="BP327" s="496"/>
      <c r="BQ327" s="494"/>
      <c r="BR327" s="496"/>
      <c r="BS327" s="496"/>
      <c r="BT327" s="494"/>
      <c r="BU327" s="494"/>
      <c r="BV327" s="494"/>
      <c r="BW327" s="496"/>
      <c r="BX327" s="496"/>
      <c r="BY327" s="177"/>
      <c r="BZ327" s="177"/>
      <c r="CA327" s="177"/>
      <c r="CB327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327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27" s="166">
        <f>' الشركه 2018'!$H327*67%*1.5*' الشركه 2018'!$CB327/208</f>
        <v>212.59615384615384</v>
      </c>
      <c r="CE327" s="497">
        <f>' الشركه 2018'!$H327*67%*2*' الشركه 2018'!$CC327/208</f>
        <v>425.19230769230768</v>
      </c>
      <c r="CF327" s="497">
        <f>' الشركه 2018'!$CD327+' الشركه 2018'!$CE327</f>
        <v>637.78846153846155</v>
      </c>
      <c r="CG327" s="124"/>
      <c r="CH327" s="177"/>
      <c r="CI327" s="124"/>
      <c r="CJ327" s="162"/>
      <c r="CK327" s="162"/>
      <c r="CL327" s="177"/>
      <c r="CM327" s="162"/>
      <c r="CN327" s="162"/>
      <c r="CO327" s="162"/>
      <c r="CP327" s="498"/>
      <c r="CQ327" s="162" t="e">
        <f>VLOOKUP(Table6[[#This Row],[الرقم الوظيفى]],[4]!Table3[#Data],26,FALSE)</f>
        <v>#REF!</v>
      </c>
    </row>
    <row r="328" spans="1:98" ht="34.5" customHeight="1" thickTop="1" thickBot="1">
      <c r="A328" s="433">
        <v>1075</v>
      </c>
      <c r="B328" s="504" t="s">
        <v>775</v>
      </c>
      <c r="C328" s="376" t="s">
        <v>90</v>
      </c>
      <c r="D328" s="11"/>
      <c r="E328" s="487"/>
      <c r="F328" s="11"/>
      <c r="G328" s="145">
        <v>43414</v>
      </c>
      <c r="H328" s="376">
        <v>2750</v>
      </c>
      <c r="I328" s="376">
        <f>Table6[[#This Row],[مرتب]]/30</f>
        <v>91.666666666666671</v>
      </c>
      <c r="J328" s="376">
        <v>30</v>
      </c>
      <c r="K328" s="107">
        <f t="shared" si="5"/>
        <v>2750</v>
      </c>
      <c r="L328" s="376">
        <v>2750</v>
      </c>
      <c r="M328" s="107">
        <f>Table6[[#This Row],[مرتب الضمان]]*17%</f>
        <v>467.50000000000006</v>
      </c>
      <c r="N328" s="107">
        <f>' الشركه 2018'!$H328*35%</f>
        <v>962.49999999999989</v>
      </c>
      <c r="O328" s="107">
        <f>' الشركه 2018'!$H328*32%</f>
        <v>880</v>
      </c>
      <c r="P328" s="107">
        <f>' الشركه 2018'!$H328*12%</f>
        <v>330</v>
      </c>
      <c r="Q328" s="107">
        <f>' الشركه 2018'!$H328*13%</f>
        <v>357.5</v>
      </c>
      <c r="R328" s="107">
        <f>' الشركه 2018'!$H328*6%</f>
        <v>165</v>
      </c>
      <c r="S328" s="107">
        <f>' الشركه 2018'!$H328*2%</f>
        <v>55</v>
      </c>
      <c r="T328" s="107">
        <f>' الشركه 2018'!$O328+' الشركه 2018'!$P328+' الشركه 2018'!$Q328+' الشركه 2018'!$R328+' الشركه 2018'!$S328</f>
        <v>1787.5</v>
      </c>
      <c r="U328" s="109">
        <f>VLOOKUP(Table6[[#This Row],[الرقم الوظيفى]],[2]بالخصم!$B$1:$AK$1200,35,)</f>
        <v>0</v>
      </c>
      <c r="V328" s="11"/>
      <c r="W328" s="438">
        <f>Table6[[#This Row],[عدد ايام الاجازه]]*Table6[[#This Row],[ح راتب اليوم]]</f>
        <v>0</v>
      </c>
      <c r="X328" s="505"/>
      <c r="Y328" s="376"/>
      <c r="Z328" s="107"/>
      <c r="AA328" s="112">
        <f>Table6[[#This Row],[مرتب]]*50%</f>
        <v>1375</v>
      </c>
      <c r="AB328" s="242" t="e">
        <f>VLOOKUP(Table6[[#This Row],[الرقم الوظيفى]],[3]!Table25289[#Data],23,)</f>
        <v>#REF!</v>
      </c>
      <c r="AC328" s="206"/>
      <c r="AD328" s="206"/>
      <c r="AE328" s="113" t="e">
        <f>VLOOKUP(Table6[[#This Row],[الرقم الوظيفى]],[3]!Table252894[#Data],22,)</f>
        <v>#REF!</v>
      </c>
      <c r="AF328" s="506"/>
      <c r="AG328" s="111">
        <f>' الشركه 2018'!$W328+' الشركه 2018'!$Z328+' الشركه 2018'!$AA328+' الشركه 2018'!$AC328+' الشركه 2018'!$AD328+' الشركه 2018'!$AF328</f>
        <v>1375</v>
      </c>
      <c r="AH328" s="111">
        <f>Table6[[#This Row],[راتب الضمان]]*8%</f>
        <v>220</v>
      </c>
      <c r="AI328" s="111">
        <f>' الشركه 2018'!$H328-' الشركه 2018'!$AG328-' الشركه 2018'!$AH328</f>
        <v>1155</v>
      </c>
      <c r="AJ328" s="111">
        <f>' الشركه 2018'!$CF328</f>
        <v>0</v>
      </c>
      <c r="AK328" s="117">
        <f>' الشركه 2018'!$AI328+' الشركه 2018'!$AJ328</f>
        <v>1155</v>
      </c>
      <c r="AL328" s="507"/>
      <c r="AM328" s="277"/>
      <c r="AN328" s="278">
        <f>Table6[[#This Row],[اجمالى الاستحقاق]]-Table6[[#This Row],[Column2]]+Table6[[#This Row],[حوافز غير مستقره]]</f>
        <v>1155</v>
      </c>
      <c r="AO328" s="508"/>
      <c r="AP328" s="509"/>
      <c r="AQ328" s="124"/>
      <c r="AR328" s="124"/>
      <c r="AS328" s="177"/>
      <c r="AT328" s="494"/>
      <c r="AU328" s="494"/>
      <c r="AV328" s="494"/>
      <c r="AW328" s="494"/>
      <c r="AX328" s="494"/>
      <c r="AY328" s="494"/>
      <c r="AZ328" s="494"/>
      <c r="BA328" s="494"/>
      <c r="BB328" s="494"/>
      <c r="BC328" s="494"/>
      <c r="BD328" s="494"/>
      <c r="BE328" s="494"/>
      <c r="BF328" s="494"/>
      <c r="BG328" s="494"/>
      <c r="BH328" s="495"/>
      <c r="BI328" s="494"/>
      <c r="BJ328" s="495"/>
      <c r="BK328" s="494"/>
      <c r="BL328" s="494"/>
      <c r="BM328" s="496"/>
      <c r="BN328" s="496"/>
      <c r="BO328" s="494"/>
      <c r="BP328" s="496"/>
      <c r="BQ328" s="494"/>
      <c r="BR328" s="496"/>
      <c r="BS328" s="496"/>
      <c r="BT328" s="494"/>
      <c r="BU328" s="494"/>
      <c r="BV328" s="494"/>
      <c r="BW328" s="496"/>
      <c r="BX328" s="496"/>
      <c r="BY328" s="177"/>
      <c r="BZ328" s="177"/>
      <c r="CA328" s="177"/>
      <c r="CB328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8" s="166">
        <f>' الشركه 2018'!$H328*67%*1.5*' الشركه 2018'!$CB328/208</f>
        <v>0</v>
      </c>
      <c r="CE328" s="497">
        <f>' الشركه 2018'!$H328*67%*2*' الشركه 2018'!$CC328/208</f>
        <v>0</v>
      </c>
      <c r="CF328" s="497">
        <f>' الشركه 2018'!$CD328+' الشركه 2018'!$CE328</f>
        <v>0</v>
      </c>
      <c r="CG328" s="124"/>
      <c r="CH328" s="177"/>
      <c r="CI328" s="124"/>
      <c r="CJ328" s="162"/>
      <c r="CK328" s="162"/>
      <c r="CL328" s="177"/>
      <c r="CM328" s="162"/>
      <c r="CN328" s="162"/>
      <c r="CO328" s="162"/>
      <c r="CP328" s="498"/>
      <c r="CQ328" s="162" t="e">
        <f>VLOOKUP(Table6[[#This Row],[الرقم الوظيفى]],[4]!Table3[#Data],26,FALSE)</f>
        <v>#REF!</v>
      </c>
    </row>
    <row r="329" spans="1:98" s="499" customFormat="1" ht="34.5" customHeight="1" thickTop="1" thickBot="1">
      <c r="A329" s="433">
        <v>1076</v>
      </c>
      <c r="B329" s="504" t="s">
        <v>776</v>
      </c>
      <c r="C329" s="376" t="s">
        <v>90</v>
      </c>
      <c r="D329" s="11"/>
      <c r="E329" s="487"/>
      <c r="F329" s="11"/>
      <c r="G329" s="145">
        <v>43416</v>
      </c>
      <c r="H329" s="376">
        <v>2750</v>
      </c>
      <c r="I329" s="376">
        <f>Table6[[#This Row],[مرتب]]/30</f>
        <v>91.666666666666671</v>
      </c>
      <c r="J329" s="376">
        <v>30</v>
      </c>
      <c r="K329" s="107">
        <f t="shared" si="5"/>
        <v>2750</v>
      </c>
      <c r="L329" s="376">
        <v>2750</v>
      </c>
      <c r="M329" s="107">
        <f>Table6[[#This Row],[مرتب الضمان]]*17%</f>
        <v>467.50000000000006</v>
      </c>
      <c r="N329" s="107">
        <f>' الشركه 2018'!$H329*35%</f>
        <v>962.49999999999989</v>
      </c>
      <c r="O329" s="107">
        <f>' الشركه 2018'!$H329*32%</f>
        <v>880</v>
      </c>
      <c r="P329" s="107">
        <f>' الشركه 2018'!$H329*12%</f>
        <v>330</v>
      </c>
      <c r="Q329" s="107">
        <f>' الشركه 2018'!$H329*13%</f>
        <v>357.5</v>
      </c>
      <c r="R329" s="107">
        <f>' الشركه 2018'!$H329*6%</f>
        <v>165</v>
      </c>
      <c r="S329" s="107">
        <f>' الشركه 2018'!$H329*2%</f>
        <v>55</v>
      </c>
      <c r="T329" s="107">
        <f>' الشركه 2018'!$O329+' الشركه 2018'!$P329+' الشركه 2018'!$Q329+' الشركه 2018'!$R329+' الشركه 2018'!$S329</f>
        <v>1787.5</v>
      </c>
      <c r="U329" s="109">
        <f>VLOOKUP(Table6[[#This Row],[الرقم الوظيفى]],[2]بالخصم!$B$1:$AK$1200,35,)</f>
        <v>2</v>
      </c>
      <c r="V329" s="11">
        <v>2</v>
      </c>
      <c r="W329" s="438">
        <f>Table6[[#This Row],[عدد ايام الاجازه]]*Table6[[#This Row],[ح راتب اليوم]]</f>
        <v>183.33333333333334</v>
      </c>
      <c r="X329" s="505"/>
      <c r="Y329" s="376"/>
      <c r="Z329" s="107"/>
      <c r="AA329" s="112">
        <f>Table6[[#This Row],[مرتب]]*50%</f>
        <v>1375</v>
      </c>
      <c r="AB329" s="242" t="e">
        <f>VLOOKUP(Table6[[#This Row],[الرقم الوظيفى]],[3]!Table25289[#Data],23,)</f>
        <v>#REF!</v>
      </c>
      <c r="AC329" s="206"/>
      <c r="AD329" s="206"/>
      <c r="AE329" s="113" t="e">
        <f>VLOOKUP(Table6[[#This Row],[الرقم الوظيفى]],[3]!Table252894[#Data],22,)</f>
        <v>#REF!</v>
      </c>
      <c r="AF329" s="506"/>
      <c r="AG329" s="111">
        <f>' الشركه 2018'!$W329+' الشركه 2018'!$Z329+' الشركه 2018'!$AA329+' الشركه 2018'!$AC329+' الشركه 2018'!$AD329+' الشركه 2018'!$AF329</f>
        <v>1558.3333333333333</v>
      </c>
      <c r="AH329" s="111">
        <f>Table6[[#This Row],[راتب الضمان]]*8%</f>
        <v>220</v>
      </c>
      <c r="AI329" s="111">
        <f>' الشركه 2018'!$H329-' الشركه 2018'!$AG329-' الشركه 2018'!$AH329</f>
        <v>971.66666666666674</v>
      </c>
      <c r="AJ329" s="111">
        <f>' الشركه 2018'!$CF329</f>
        <v>0</v>
      </c>
      <c r="AK329" s="117">
        <f>' الشركه 2018'!$AI329+' الشركه 2018'!$AJ329</f>
        <v>971.66666666666674</v>
      </c>
      <c r="AL329" s="507"/>
      <c r="AM329" s="277"/>
      <c r="AN329" s="278">
        <f>Table6[[#This Row],[اجمالى الاستحقاق]]-Table6[[#This Row],[Column2]]+Table6[[#This Row],[حوافز غير مستقره]]</f>
        <v>971.66666666666674</v>
      </c>
      <c r="AO329" s="508"/>
      <c r="AP329" s="509"/>
      <c r="AQ329" s="124"/>
      <c r="AR329" s="124"/>
      <c r="AS329" s="177"/>
      <c r="AT329" s="494"/>
      <c r="AU329" s="494"/>
      <c r="AV329" s="494"/>
      <c r="AW329" s="494"/>
      <c r="AX329" s="494"/>
      <c r="AY329" s="494"/>
      <c r="AZ329" s="494"/>
      <c r="BA329" s="494"/>
      <c r="BB329" s="494"/>
      <c r="BC329" s="494"/>
      <c r="BD329" s="494"/>
      <c r="BE329" s="494"/>
      <c r="BF329" s="494"/>
      <c r="BG329" s="494"/>
      <c r="BH329" s="495"/>
      <c r="BI329" s="494"/>
      <c r="BJ329" s="495"/>
      <c r="BK329" s="494"/>
      <c r="BL329" s="494"/>
      <c r="BM329" s="496"/>
      <c r="BN329" s="496"/>
      <c r="BO329" s="494"/>
      <c r="BP329" s="496"/>
      <c r="BQ329" s="494"/>
      <c r="BR329" s="496"/>
      <c r="BS329" s="496"/>
      <c r="BT329" s="494"/>
      <c r="BU329" s="494"/>
      <c r="BV329" s="494"/>
      <c r="BW329" s="496"/>
      <c r="BX329" s="496"/>
      <c r="BY329" s="177"/>
      <c r="BZ329" s="177"/>
      <c r="CA329" s="177"/>
      <c r="CB329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29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29" s="166">
        <f>' الشركه 2018'!$H329*67%*1.5*' الشركه 2018'!$CB329/208</f>
        <v>0</v>
      </c>
      <c r="CE329" s="497">
        <f>' الشركه 2018'!$H329*67%*2*' الشركه 2018'!$CC329/208</f>
        <v>0</v>
      </c>
      <c r="CF329" s="497">
        <f>' الشركه 2018'!$CD329+' الشركه 2018'!$CE329</f>
        <v>0</v>
      </c>
      <c r="CG329" s="124"/>
      <c r="CH329" s="177"/>
      <c r="CI329" s="124"/>
      <c r="CJ329" s="162"/>
      <c r="CK329" s="162"/>
      <c r="CL329" s="177"/>
      <c r="CM329" s="162"/>
      <c r="CN329" s="162"/>
      <c r="CO329" s="162"/>
      <c r="CP329" s="498"/>
      <c r="CQ329" s="162" t="e">
        <f>VLOOKUP(Table6[[#This Row],[الرقم الوظيفى]],[4]!Table3[#Data],26,FALSE)</f>
        <v>#REF!</v>
      </c>
      <c r="CS329" s="166"/>
      <c r="CT329" s="166"/>
    </row>
    <row r="330" spans="1:98" s="499" customFormat="1" ht="34.5" customHeight="1" thickTop="1" thickBot="1">
      <c r="A330" s="433">
        <v>1078</v>
      </c>
      <c r="B330" s="503" t="s">
        <v>777</v>
      </c>
      <c r="C330" s="349" t="s">
        <v>607</v>
      </c>
      <c r="D330" s="11"/>
      <c r="E330" s="487"/>
      <c r="F330" s="11"/>
      <c r="G330" s="145">
        <v>43408</v>
      </c>
      <c r="H330" s="11">
        <v>2750</v>
      </c>
      <c r="I330" s="11">
        <f>Table6[[#This Row],[مرتب]]/30</f>
        <v>91.666666666666671</v>
      </c>
      <c r="J330" s="11">
        <v>30</v>
      </c>
      <c r="K330" s="143">
        <f t="shared" si="5"/>
        <v>2750</v>
      </c>
      <c r="L330" s="11">
        <v>2750</v>
      </c>
      <c r="M330" s="143">
        <f>Table6[[#This Row],[مرتب الضمان]]*17%</f>
        <v>467.50000000000006</v>
      </c>
      <c r="N330" s="143">
        <f>' الشركه 2018'!$H330*35%</f>
        <v>962.49999999999989</v>
      </c>
      <c r="O330" s="143">
        <f>' الشركه 2018'!$H330*32%</f>
        <v>880</v>
      </c>
      <c r="P330" s="143">
        <f>' الشركه 2018'!$H330*12%</f>
        <v>330</v>
      </c>
      <c r="Q330" s="143">
        <f>' الشركه 2018'!$H330*13%</f>
        <v>357.5</v>
      </c>
      <c r="R330" s="143">
        <f>' الشركه 2018'!$H330*6%</f>
        <v>165</v>
      </c>
      <c r="S330" s="143">
        <f>' الشركه 2018'!$H330*2%</f>
        <v>55</v>
      </c>
      <c r="T330" s="143">
        <f>' الشركه 2018'!$O330+' الشركه 2018'!$P330+' الشركه 2018'!$Q330+' الشركه 2018'!$R330+' الشركه 2018'!$S330</f>
        <v>1787.5</v>
      </c>
      <c r="U330" s="109">
        <f>VLOOKUP(Table6[[#This Row],[الرقم الوظيفى]],[2]بالخصم!$B$1:$AK$1200,35,)</f>
        <v>0</v>
      </c>
      <c r="V330" s="11"/>
      <c r="W330" s="465">
        <f>Table6[[#This Row],[عدد ايام الاجازه]]*Table6[[#This Row],[ح راتب اليوم]]</f>
        <v>0</v>
      </c>
      <c r="X330" s="488"/>
      <c r="Y330" s="189"/>
      <c r="Z330" s="143"/>
      <c r="AA330" s="489"/>
      <c r="AB330" s="490" t="e">
        <f>VLOOKUP(Table6[[#This Row],[الرقم الوظيفى]],[3]!Table25289[#Data],23,)</f>
        <v>#REF!</v>
      </c>
      <c r="AC330" s="500"/>
      <c r="AD330" s="500"/>
      <c r="AE330" s="113" t="e">
        <f>VLOOKUP(Table6[[#This Row],[الرقم الوظيفى]],[3]!Table252894[#Data],22,)</f>
        <v>#REF!</v>
      </c>
      <c r="AF330" s="501"/>
      <c r="AG330" s="111">
        <f>' الشركه 2018'!$W330+' الشركه 2018'!$Z330+' الشركه 2018'!$AA330+' الشركه 2018'!$AC330+' الشركه 2018'!$AD330+' الشركه 2018'!$AF330</f>
        <v>0</v>
      </c>
      <c r="AH330" s="111">
        <f>Table6[[#This Row],[راتب الضمان]]*8%</f>
        <v>220</v>
      </c>
      <c r="AI330" s="111">
        <f>' الشركه 2018'!$H330-' الشركه 2018'!$AG330-' الشركه 2018'!$AH330</f>
        <v>2530</v>
      </c>
      <c r="AJ330" s="111">
        <f>' الشركه 2018'!$CF330</f>
        <v>0</v>
      </c>
      <c r="AK330" s="117">
        <f>' الشركه 2018'!$AI330+' الشركه 2018'!$AJ330</f>
        <v>2530</v>
      </c>
      <c r="AL330" s="502"/>
      <c r="AM330" s="277"/>
      <c r="AN330" s="278">
        <f>Table6[[#This Row],[اجمالى الاستحقاق]]-Table6[[#This Row],[Column2]]+Table6[[#This Row],[حوافز غير مستقره]]</f>
        <v>2530</v>
      </c>
      <c r="AO330" s="492"/>
      <c r="AP330" s="493"/>
      <c r="AQ330" s="124"/>
      <c r="AR330" s="124"/>
      <c r="AS330" s="177"/>
      <c r="AT330" s="494"/>
      <c r="AU330" s="494"/>
      <c r="AV330" s="494"/>
      <c r="AW330" s="494"/>
      <c r="AX330" s="494"/>
      <c r="AY330" s="494"/>
      <c r="AZ330" s="494"/>
      <c r="BA330" s="494"/>
      <c r="BB330" s="494"/>
      <c r="BC330" s="494"/>
      <c r="BD330" s="494"/>
      <c r="BE330" s="494"/>
      <c r="BF330" s="494"/>
      <c r="BG330" s="494"/>
      <c r="BH330" s="495"/>
      <c r="BI330" s="494"/>
      <c r="BJ330" s="495"/>
      <c r="BK330" s="494"/>
      <c r="BL330" s="494"/>
      <c r="BM330" s="496"/>
      <c r="BN330" s="496"/>
      <c r="BO330" s="494"/>
      <c r="BP330" s="496"/>
      <c r="BQ330" s="494"/>
      <c r="BR330" s="496"/>
      <c r="BS330" s="496"/>
      <c r="BT330" s="494"/>
      <c r="BU330" s="494"/>
      <c r="BV330" s="494"/>
      <c r="BW330" s="496"/>
      <c r="BX330" s="496"/>
      <c r="BY330" s="177"/>
      <c r="BZ330" s="177"/>
      <c r="CA330" s="177"/>
      <c r="CB330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0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0" s="166">
        <f>' الشركه 2018'!$H330*67%*1.5*' الشركه 2018'!$CB330/208</f>
        <v>0</v>
      </c>
      <c r="CE330" s="497">
        <f>' الشركه 2018'!$H330*67%*2*' الشركه 2018'!$CC330/208</f>
        <v>0</v>
      </c>
      <c r="CF330" s="497">
        <f>' الشركه 2018'!$CD330+' الشركه 2018'!$CE330</f>
        <v>0</v>
      </c>
      <c r="CG330" s="124"/>
      <c r="CH330" s="177"/>
      <c r="CI330" s="124"/>
      <c r="CJ330" s="162"/>
      <c r="CK330" s="162"/>
      <c r="CL330" s="177"/>
      <c r="CM330" s="162"/>
      <c r="CN330" s="162"/>
      <c r="CO330" s="162"/>
      <c r="CP330" s="498"/>
      <c r="CQ330" s="162" t="e">
        <f>VLOOKUP(Table6[[#This Row],[الرقم الوظيفى]],[4]!Table3[#Data],26,FALSE)</f>
        <v>#REF!</v>
      </c>
      <c r="CS330" s="166"/>
      <c r="CT330" s="166"/>
    </row>
    <row r="331" spans="1:98" s="499" customFormat="1" ht="34.5" customHeight="1" thickTop="1" thickBot="1">
      <c r="A331" s="433">
        <v>12</v>
      </c>
      <c r="B331" s="504" t="s">
        <v>183</v>
      </c>
      <c r="C331" s="376" t="s">
        <v>90</v>
      </c>
      <c r="D331" s="11"/>
      <c r="E331" s="487"/>
      <c r="F331" s="11"/>
      <c r="G331" s="145">
        <v>43425</v>
      </c>
      <c r="H331" s="376">
        <v>4490</v>
      </c>
      <c r="I331" s="376">
        <f>Table6[[#This Row],[مرتب]]/30</f>
        <v>149.66666666666666</v>
      </c>
      <c r="J331" s="376">
        <v>30</v>
      </c>
      <c r="K331" s="107">
        <f t="shared" si="5"/>
        <v>4490</v>
      </c>
      <c r="L331" s="376">
        <v>4490</v>
      </c>
      <c r="M331" s="107">
        <f>Table6[[#This Row],[مرتب الضمان]]*17%</f>
        <v>763.30000000000007</v>
      </c>
      <c r="N331" s="107">
        <f>' الشركه 2018'!$H331*35%</f>
        <v>1571.5</v>
      </c>
      <c r="O331" s="107">
        <f>' الشركه 2018'!$H331*32%</f>
        <v>1436.8</v>
      </c>
      <c r="P331" s="107">
        <f>' الشركه 2018'!$H331*12%</f>
        <v>538.79999999999995</v>
      </c>
      <c r="Q331" s="107">
        <f>' الشركه 2018'!$H331*13%</f>
        <v>583.70000000000005</v>
      </c>
      <c r="R331" s="107">
        <f>' الشركه 2018'!$H331*6%</f>
        <v>269.39999999999998</v>
      </c>
      <c r="S331" s="107">
        <f>' الشركه 2018'!$H331*2%</f>
        <v>89.8</v>
      </c>
      <c r="T331" s="107">
        <f>' الشركه 2018'!$O331+' الشركه 2018'!$P331+' الشركه 2018'!$Q331+' الشركه 2018'!$R331+' الشركه 2018'!$S331</f>
        <v>2918.5000000000005</v>
      </c>
      <c r="U331" s="109">
        <f>VLOOKUP(Table6[[#This Row],[الرقم الوظيفى]],[2]بالخصم!$B$1:$AK$1200,35,)</f>
        <v>0</v>
      </c>
      <c r="V331" s="11"/>
      <c r="W331" s="438">
        <f>Table6[[#This Row],[عدد ايام الاجازه]]*Table6[[#This Row],[ح راتب اليوم]]</f>
        <v>0</v>
      </c>
      <c r="X331" s="505"/>
      <c r="Y331" s="376"/>
      <c r="Z331" s="107"/>
      <c r="AA331" s="112">
        <f>Table6[[#This Row],[مرتب]]*50%</f>
        <v>2245</v>
      </c>
      <c r="AB331" s="242" t="e">
        <f>VLOOKUP(Table6[[#This Row],[الرقم الوظيفى]],[3]!Table25289[#Data],23,)</f>
        <v>#REF!</v>
      </c>
      <c r="AC331" s="206"/>
      <c r="AD331" s="206"/>
      <c r="AE331" s="113" t="e">
        <f>VLOOKUP(Table6[[#This Row],[الرقم الوظيفى]],[3]!Table252894[#Data],22,)</f>
        <v>#REF!</v>
      </c>
      <c r="AF331" s="506"/>
      <c r="AG331" s="111">
        <f>' الشركه 2018'!$W331+' الشركه 2018'!$Z331+' الشركه 2018'!$AA331+' الشركه 2018'!$AC331+' الشركه 2018'!$AD331+' الشركه 2018'!$AF331</f>
        <v>2245</v>
      </c>
      <c r="AH331" s="111">
        <f>Table6[[#This Row],[راتب الضمان]]*8%</f>
        <v>359.2</v>
      </c>
      <c r="AI331" s="111">
        <f>' الشركه 2018'!$H331-' الشركه 2018'!$AG331-' الشركه 2018'!$AH331</f>
        <v>1885.8</v>
      </c>
      <c r="AJ331" s="111">
        <f>' الشركه 2018'!$CF331</f>
        <v>0</v>
      </c>
      <c r="AK331" s="117">
        <f>' الشركه 2018'!$AI331+' الشركه 2018'!$AJ331</f>
        <v>1885.8</v>
      </c>
      <c r="AL331" s="507"/>
      <c r="AM331" s="277"/>
      <c r="AN331" s="278">
        <f>Table6[[#This Row],[اجمالى الاستحقاق]]-Table6[[#This Row],[Column2]]+Table6[[#This Row],[حوافز غير مستقره]]</f>
        <v>1885.8</v>
      </c>
      <c r="AO331" s="508"/>
      <c r="AP331" s="509"/>
      <c r="AQ331" s="124"/>
      <c r="AR331" s="124"/>
      <c r="AS331" s="177"/>
      <c r="AT331" s="494"/>
      <c r="AU331" s="494"/>
      <c r="AV331" s="494"/>
      <c r="AW331" s="494"/>
      <c r="AX331" s="494"/>
      <c r="AY331" s="494"/>
      <c r="AZ331" s="494"/>
      <c r="BA331" s="494"/>
      <c r="BB331" s="494"/>
      <c r="BC331" s="494"/>
      <c r="BD331" s="494"/>
      <c r="BE331" s="494"/>
      <c r="BF331" s="494"/>
      <c r="BG331" s="494"/>
      <c r="BH331" s="495"/>
      <c r="BI331" s="494"/>
      <c r="BJ331" s="495"/>
      <c r="BK331" s="494"/>
      <c r="BL331" s="494"/>
      <c r="BM331" s="496"/>
      <c r="BN331" s="496"/>
      <c r="BO331" s="494"/>
      <c r="BP331" s="496"/>
      <c r="BQ331" s="494"/>
      <c r="BR331" s="496"/>
      <c r="BS331" s="496"/>
      <c r="BT331" s="494"/>
      <c r="BU331" s="494"/>
      <c r="BV331" s="494"/>
      <c r="BW331" s="496"/>
      <c r="BX331" s="496"/>
      <c r="BY331" s="177"/>
      <c r="BZ331" s="177"/>
      <c r="CA331" s="177"/>
      <c r="CB331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1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1" s="166">
        <f>' الشركه 2018'!$H331*67%*1.5*' الشركه 2018'!$CB331/208</f>
        <v>0</v>
      </c>
      <c r="CE331" s="497">
        <f>' الشركه 2018'!$H331*67%*2*' الشركه 2018'!$CC331/208</f>
        <v>0</v>
      </c>
      <c r="CF331" s="497">
        <f>' الشركه 2018'!$CD331+' الشركه 2018'!$CE331</f>
        <v>0</v>
      </c>
      <c r="CG331" s="124"/>
      <c r="CH331" s="177"/>
      <c r="CI331" s="124"/>
      <c r="CJ331" s="162"/>
      <c r="CK331" s="162"/>
      <c r="CL331" s="177"/>
      <c r="CM331" s="162"/>
      <c r="CN331" s="162"/>
      <c r="CO331" s="162"/>
      <c r="CP331" s="498"/>
      <c r="CQ331" s="162" t="e">
        <f>VLOOKUP(Table6[[#This Row],[الرقم الوظيفى]],[4]!Table3[#Data],26,FALSE)</f>
        <v>#REF!</v>
      </c>
      <c r="CS331" s="166"/>
      <c r="CT331" s="166"/>
    </row>
    <row r="332" spans="1:98" s="499" customFormat="1" ht="34.5" customHeight="1" thickTop="1" thickBot="1">
      <c r="A332" s="433">
        <v>46</v>
      </c>
      <c r="B332" s="504" t="s">
        <v>778</v>
      </c>
      <c r="C332" s="376" t="s">
        <v>90</v>
      </c>
      <c r="D332" s="11"/>
      <c r="E332" s="487"/>
      <c r="F332" s="11"/>
      <c r="G332" s="145">
        <v>43428</v>
      </c>
      <c r="H332" s="376">
        <v>4220</v>
      </c>
      <c r="I332" s="376">
        <f>Table6[[#This Row],[مرتب]]/30</f>
        <v>140.66666666666666</v>
      </c>
      <c r="J332" s="376">
        <v>0</v>
      </c>
      <c r="K332" s="107">
        <f t="shared" si="5"/>
        <v>0</v>
      </c>
      <c r="L332" s="376">
        <v>0</v>
      </c>
      <c r="M332" s="107">
        <f>Table6[[#This Row],[مرتب الضمان]]*17%</f>
        <v>0</v>
      </c>
      <c r="N332" s="107">
        <f>' الشركه 2018'!$H332*35%</f>
        <v>1477</v>
      </c>
      <c r="O332" s="107">
        <f>' الشركه 2018'!$H332*32%</f>
        <v>1350.4</v>
      </c>
      <c r="P332" s="107">
        <f>' الشركه 2018'!$H332*12%</f>
        <v>506.4</v>
      </c>
      <c r="Q332" s="107">
        <f>' الشركه 2018'!$H332*13%</f>
        <v>548.6</v>
      </c>
      <c r="R332" s="107">
        <f>' الشركه 2018'!$H332*6%</f>
        <v>253.2</v>
      </c>
      <c r="S332" s="107">
        <f>' الشركه 2018'!$H332*2%</f>
        <v>84.4</v>
      </c>
      <c r="T332" s="107">
        <f>' الشركه 2018'!$O332+' الشركه 2018'!$P332+' الشركه 2018'!$Q332+' الشركه 2018'!$R332+' الشركه 2018'!$S332</f>
        <v>2743</v>
      </c>
      <c r="U332" s="109">
        <f>VLOOKUP(Table6[[#This Row],[الرقم الوظيفى]],[2]بالخصم!$B$1:$AK$1200,35,)</f>
        <v>0</v>
      </c>
      <c r="V332" s="11"/>
      <c r="W332" s="438">
        <f>Table6[[#This Row],[عدد ايام الاجازه]]*Table6[[#This Row],[ح راتب اليوم]]</f>
        <v>0</v>
      </c>
      <c r="X332" s="505"/>
      <c r="Y332" s="376"/>
      <c r="Z332" s="107"/>
      <c r="AA332" s="112">
        <f>Table6[[#This Row],[مرتب]]*50%</f>
        <v>2110</v>
      </c>
      <c r="AB332" s="242" t="e">
        <f>VLOOKUP(Table6[[#This Row],[الرقم الوظيفى]],[3]!Table25289[#Data],23,)</f>
        <v>#REF!</v>
      </c>
      <c r="AC332" s="206"/>
      <c r="AD332" s="206"/>
      <c r="AE332" s="113" t="e">
        <f>VLOOKUP(Table6[[#This Row],[الرقم الوظيفى]],[3]!Table252894[#Data],22,)</f>
        <v>#REF!</v>
      </c>
      <c r="AF332" s="506"/>
      <c r="AG332" s="111">
        <f>' الشركه 2018'!$W332+' الشركه 2018'!$Z332+' الشركه 2018'!$AA332+' الشركه 2018'!$AC332+' الشركه 2018'!$AD332+' الشركه 2018'!$AF332</f>
        <v>2110</v>
      </c>
      <c r="AH332" s="111">
        <f>Table6[[#This Row],[راتب الضمان]]*8%</f>
        <v>0</v>
      </c>
      <c r="AI332" s="111">
        <f>' الشركه 2018'!$H332-' الشركه 2018'!$AG332-' الشركه 2018'!$AH332</f>
        <v>2110</v>
      </c>
      <c r="AJ332" s="111">
        <f>' الشركه 2018'!$CF332</f>
        <v>978.71538461538478</v>
      </c>
      <c r="AK332" s="117">
        <f>' الشركه 2018'!$AI332+' الشركه 2018'!$AJ332</f>
        <v>3088.7153846153847</v>
      </c>
      <c r="AL332" s="507"/>
      <c r="AM332" s="277"/>
      <c r="AN332" s="278">
        <f>Table6[[#This Row],[اجمالى الاستحقاق]]-Table6[[#This Row],[Column2]]+Table6[[#This Row],[حوافز غير مستقره]]</f>
        <v>3088.7153846153847</v>
      </c>
      <c r="AO332" s="508"/>
      <c r="AP332" s="509"/>
      <c r="AQ332" s="124"/>
      <c r="AR332" s="124"/>
      <c r="AS332" s="177"/>
      <c r="AT332" s="494"/>
      <c r="AU332" s="494"/>
      <c r="AV332" s="494"/>
      <c r="AW332" s="494"/>
      <c r="AX332" s="494"/>
      <c r="AY332" s="494"/>
      <c r="AZ332" s="494"/>
      <c r="BA332" s="494"/>
      <c r="BB332" s="494"/>
      <c r="BC332" s="494"/>
      <c r="BD332" s="494"/>
      <c r="BE332" s="494"/>
      <c r="BF332" s="494"/>
      <c r="BG332" s="494"/>
      <c r="BH332" s="495"/>
      <c r="BI332" s="494"/>
      <c r="BJ332" s="495"/>
      <c r="BK332" s="494"/>
      <c r="BL332" s="494"/>
      <c r="BM332" s="496"/>
      <c r="BN332" s="496"/>
      <c r="BO332" s="494"/>
      <c r="BP332" s="496">
        <v>8</v>
      </c>
      <c r="BQ332" s="494">
        <v>24</v>
      </c>
      <c r="BR332" s="496"/>
      <c r="BS332" s="496"/>
      <c r="BT332" s="494"/>
      <c r="BU332" s="494"/>
      <c r="BV332" s="494"/>
      <c r="BW332" s="496">
        <v>8</v>
      </c>
      <c r="BX332" s="496"/>
      <c r="BY332" s="177"/>
      <c r="BZ332" s="177"/>
      <c r="CA332" s="177"/>
      <c r="CB332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16</v>
      </c>
      <c r="CC332" s="130">
        <f>Table6[[#This Row],[Friday, November 23, 2018]]+Table6[[#This Row],[Friday, November 30, 2018]]+Table6[[#This Row],[Friday, December 07, 2018]]+Table6[[#This Row],[Friday, December 14, 2018]]+Table6[[#This Row],[فروقات عطله]]</f>
        <v>24</v>
      </c>
      <c r="CD332" s="166">
        <f>' الشركه 2018'!$H332*67%*1.5*' الشركه 2018'!$CB332/208</f>
        <v>326.23846153846159</v>
      </c>
      <c r="CE332" s="497">
        <f>' الشركه 2018'!$H332*67%*2*' الشركه 2018'!$CC332/208</f>
        <v>652.47692307692319</v>
      </c>
      <c r="CF332" s="497">
        <f>' الشركه 2018'!$CD332+' الشركه 2018'!$CE332</f>
        <v>978.71538461538478</v>
      </c>
      <c r="CG332" s="124"/>
      <c r="CH332" s="177"/>
      <c r="CI332" s="124"/>
      <c r="CJ332" s="162"/>
      <c r="CK332" s="162"/>
      <c r="CL332" s="177"/>
      <c r="CM332" s="162"/>
      <c r="CN332" s="162"/>
      <c r="CO332" s="162"/>
      <c r="CP332" s="498"/>
      <c r="CQ332" s="162" t="e">
        <f>VLOOKUP(Table6[[#This Row],[الرقم الوظيفى]],[4]!Table3[#Data],26,FALSE)</f>
        <v>#REF!</v>
      </c>
      <c r="CS332" s="166"/>
      <c r="CT332" s="166"/>
    </row>
    <row r="333" spans="1:98" s="499" customFormat="1" ht="34.5" customHeight="1" thickTop="1" thickBot="1">
      <c r="A333" s="510">
        <v>1079</v>
      </c>
      <c r="B333" s="511" t="s">
        <v>779</v>
      </c>
      <c r="C333" s="349" t="s">
        <v>90</v>
      </c>
      <c r="D333" s="11"/>
      <c r="E333" s="487"/>
      <c r="F333" s="447" t="s">
        <v>221</v>
      </c>
      <c r="G333" s="145">
        <v>43435</v>
      </c>
      <c r="H333" s="510">
        <v>4000</v>
      </c>
      <c r="I333" s="11">
        <f>Table6[[#This Row],[مرتب]]/30</f>
        <v>133.33333333333334</v>
      </c>
      <c r="J333" s="11">
        <v>30</v>
      </c>
      <c r="K333" s="143">
        <f t="shared" si="5"/>
        <v>4000.0000000000005</v>
      </c>
      <c r="L333" s="11">
        <v>4000</v>
      </c>
      <c r="M333" s="143">
        <f>Table6[[#This Row],[مرتب الضمان]]*17%</f>
        <v>680</v>
      </c>
      <c r="N333" s="143">
        <f>' الشركه 2018'!$H333*35%</f>
        <v>1400</v>
      </c>
      <c r="O333" s="143">
        <f>' الشركه 2018'!$H333*32%</f>
        <v>1280</v>
      </c>
      <c r="P333" s="143">
        <f>' الشركه 2018'!$H333*12%</f>
        <v>480</v>
      </c>
      <c r="Q333" s="143">
        <f>' الشركه 2018'!$H333*13%</f>
        <v>520</v>
      </c>
      <c r="R333" s="143">
        <f>' الشركه 2018'!$H333*6%</f>
        <v>240</v>
      </c>
      <c r="S333" s="143">
        <f>' الشركه 2018'!$H333*2%</f>
        <v>80</v>
      </c>
      <c r="T333" s="143">
        <f>' الشركه 2018'!$O333+' الشركه 2018'!$P333+' الشركه 2018'!$Q333+' الشركه 2018'!$R333+' الشركه 2018'!$S333</f>
        <v>2600</v>
      </c>
      <c r="U333" s="109">
        <f>VLOOKUP(Table6[[#This Row],[الرقم الوظيفى]],[2]بالخصم!$B$1:$AK$1200,35,)</f>
        <v>0</v>
      </c>
      <c r="V333" s="11"/>
      <c r="W333" s="465">
        <f>Table6[[#This Row],[عدد ايام الاجازه]]*Table6[[#This Row],[ح راتب اليوم]]</f>
        <v>0</v>
      </c>
      <c r="X333" s="488"/>
      <c r="Y333" s="189"/>
      <c r="Z333" s="143"/>
      <c r="AA333" s="489"/>
      <c r="AB333" s="490" t="e">
        <f>VLOOKUP(Table6[[#This Row],[الرقم الوظيفى]],[3]!Table25289[#Data],23,)</f>
        <v>#REF!</v>
      </c>
      <c r="AC333" s="500"/>
      <c r="AD333" s="500"/>
      <c r="AE333" s="113" t="e">
        <f>VLOOKUP(Table6[[#This Row],[الرقم الوظيفى]],[3]!Table252894[#Data],22,)</f>
        <v>#REF!</v>
      </c>
      <c r="AF333" s="501"/>
      <c r="AG333" s="111">
        <f>' الشركه 2018'!$W333+' الشركه 2018'!$Z333+' الشركه 2018'!$AA333+' الشركه 2018'!$AC333+' الشركه 2018'!$AD333+' الشركه 2018'!$AF333</f>
        <v>0</v>
      </c>
      <c r="AH333" s="111">
        <f>Table6[[#This Row],[راتب الضمان]]*8%</f>
        <v>320.00000000000006</v>
      </c>
      <c r="AI333" s="111">
        <f>' الشركه 2018'!$H333-' الشركه 2018'!$AG333-' الشركه 2018'!$AH333</f>
        <v>3680</v>
      </c>
      <c r="AJ333" s="111">
        <f>' الشركه 2018'!$CF333</f>
        <v>0</v>
      </c>
      <c r="AK333" s="117">
        <f>' الشركه 2018'!$AI333+' الشركه 2018'!$AJ333</f>
        <v>3680</v>
      </c>
      <c r="AL333" s="502"/>
      <c r="AM333" s="277"/>
      <c r="AN333" s="278">
        <f>Table6[[#This Row],[اجمالى الاستحقاق]]-Table6[[#This Row],[Column2]]+Table6[[#This Row],[حوافز غير مستقره]]</f>
        <v>3680</v>
      </c>
      <c r="AO333" s="492"/>
      <c r="AP333" s="493"/>
      <c r="AQ333" s="124"/>
      <c r="AR333" s="124"/>
      <c r="AS333" s="177"/>
      <c r="AT333" s="494"/>
      <c r="AU333" s="494"/>
      <c r="AV333" s="494"/>
      <c r="AW333" s="494"/>
      <c r="AX333" s="494"/>
      <c r="AY333" s="494"/>
      <c r="AZ333" s="494"/>
      <c r="BA333" s="494"/>
      <c r="BB333" s="494"/>
      <c r="BC333" s="494"/>
      <c r="BD333" s="494"/>
      <c r="BE333" s="494"/>
      <c r="BF333" s="494"/>
      <c r="BG333" s="494"/>
      <c r="BH333" s="495"/>
      <c r="BI333" s="494"/>
      <c r="BJ333" s="495"/>
      <c r="BK333" s="494"/>
      <c r="BL333" s="494"/>
      <c r="BM333" s="496"/>
      <c r="BN333" s="496"/>
      <c r="BO333" s="494"/>
      <c r="BP333" s="496"/>
      <c r="BQ333" s="494"/>
      <c r="BR333" s="496"/>
      <c r="BS333" s="496"/>
      <c r="BT333" s="494"/>
      <c r="BU333" s="494"/>
      <c r="BV333" s="494"/>
      <c r="BW333" s="496"/>
      <c r="BX333" s="496"/>
      <c r="BY333" s="177"/>
      <c r="BZ333" s="177"/>
      <c r="CA333" s="177"/>
      <c r="CB333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3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3" s="166">
        <f>' الشركه 2018'!$H333*67%*1.5*' الشركه 2018'!$CB333/208</f>
        <v>0</v>
      </c>
      <c r="CE333" s="497">
        <f>' الشركه 2018'!$H333*67%*2*' الشركه 2018'!$CC333/208</f>
        <v>0</v>
      </c>
      <c r="CF333" s="497">
        <f>' الشركه 2018'!$CD333+' الشركه 2018'!$CE333</f>
        <v>0</v>
      </c>
      <c r="CG333" s="124"/>
      <c r="CH333" s="177"/>
      <c r="CI333" s="124"/>
      <c r="CJ333" s="162"/>
      <c r="CK333" s="162"/>
      <c r="CL333" s="177"/>
      <c r="CM333" s="162"/>
      <c r="CN333" s="162"/>
      <c r="CO333" s="162"/>
      <c r="CP333" s="498"/>
      <c r="CQ333" s="162" t="e">
        <f>VLOOKUP(Table6[[#This Row],[الرقم الوظيفى]],[4]!Table3[#Data],26,FALSE)</f>
        <v>#REF!</v>
      </c>
      <c r="CS333" s="166"/>
      <c r="CT333" s="166"/>
    </row>
    <row r="334" spans="1:98" s="499" customFormat="1" ht="34.5" customHeight="1" thickTop="1" thickBot="1">
      <c r="A334" s="510">
        <v>1080</v>
      </c>
      <c r="B334" s="511" t="s">
        <v>780</v>
      </c>
      <c r="C334" s="349" t="s">
        <v>90</v>
      </c>
      <c r="D334" s="11"/>
      <c r="E334" s="487"/>
      <c r="F334" s="447" t="s">
        <v>63</v>
      </c>
      <c r="G334" s="145">
        <v>43435</v>
      </c>
      <c r="H334" s="510">
        <v>2750</v>
      </c>
      <c r="I334" s="11">
        <f>Table6[[#This Row],[مرتب]]/30</f>
        <v>91.666666666666671</v>
      </c>
      <c r="J334" s="11">
        <v>30</v>
      </c>
      <c r="K334" s="143">
        <f t="shared" si="5"/>
        <v>2750</v>
      </c>
      <c r="L334" s="11">
        <v>2750</v>
      </c>
      <c r="M334" s="143">
        <f>Table6[[#This Row],[مرتب الضمان]]*17%</f>
        <v>467.50000000000006</v>
      </c>
      <c r="N334" s="143">
        <f>' الشركه 2018'!$H334*35%</f>
        <v>962.49999999999989</v>
      </c>
      <c r="O334" s="143">
        <f>' الشركه 2018'!$H334*32%</f>
        <v>880</v>
      </c>
      <c r="P334" s="143">
        <f>' الشركه 2018'!$H334*12%</f>
        <v>330</v>
      </c>
      <c r="Q334" s="143">
        <f>' الشركه 2018'!$H334*13%</f>
        <v>357.5</v>
      </c>
      <c r="R334" s="143">
        <f>' الشركه 2018'!$H334*6%</f>
        <v>165</v>
      </c>
      <c r="S334" s="143">
        <f>' الشركه 2018'!$H334*2%</f>
        <v>55</v>
      </c>
      <c r="T334" s="143">
        <f>' الشركه 2018'!$O334+' الشركه 2018'!$P334+' الشركه 2018'!$Q334+' الشركه 2018'!$R334+' الشركه 2018'!$S334</f>
        <v>1787.5</v>
      </c>
      <c r="U334" s="109">
        <f>VLOOKUP(Table6[[#This Row],[الرقم الوظيفى]],[2]بالخصم!$B$1:$AK$1200,35,)</f>
        <v>0</v>
      </c>
      <c r="V334" s="11"/>
      <c r="W334" s="465">
        <f>Table6[[#This Row],[عدد ايام الاجازه]]*Table6[[#This Row],[ح راتب اليوم]]</f>
        <v>0</v>
      </c>
      <c r="X334" s="488"/>
      <c r="Y334" s="189"/>
      <c r="Z334" s="143"/>
      <c r="AA334" s="489"/>
      <c r="AB334" s="490" t="e">
        <f>VLOOKUP(Table6[[#This Row],[الرقم الوظيفى]],[3]!Table25289[#Data],23,)</f>
        <v>#REF!</v>
      </c>
      <c r="AC334" s="500"/>
      <c r="AD334" s="500"/>
      <c r="AE334" s="113" t="e">
        <f>VLOOKUP(Table6[[#This Row],[الرقم الوظيفى]],[3]!Table252894[#Data],22,)</f>
        <v>#REF!</v>
      </c>
      <c r="AF334" s="501"/>
      <c r="AG334" s="111">
        <f>' الشركه 2018'!$W334+' الشركه 2018'!$Z334+' الشركه 2018'!$AA334+' الشركه 2018'!$AC334+' الشركه 2018'!$AD334+' الشركه 2018'!$AF334</f>
        <v>0</v>
      </c>
      <c r="AH334" s="111">
        <f>Table6[[#This Row],[راتب الضمان]]*8%</f>
        <v>220</v>
      </c>
      <c r="AI334" s="111">
        <f>' الشركه 2018'!$H334-' الشركه 2018'!$AG334-' الشركه 2018'!$AH334</f>
        <v>2530</v>
      </c>
      <c r="AJ334" s="111">
        <f>' الشركه 2018'!$CF334</f>
        <v>0</v>
      </c>
      <c r="AK334" s="117">
        <f>' الشركه 2018'!$AI334+' الشركه 2018'!$AJ334</f>
        <v>2530</v>
      </c>
      <c r="AL334" s="502"/>
      <c r="AM334" s="277"/>
      <c r="AN334" s="278">
        <f>Table6[[#This Row],[اجمالى الاستحقاق]]-Table6[[#This Row],[Column2]]+Table6[[#This Row],[حوافز غير مستقره]]</f>
        <v>2530</v>
      </c>
      <c r="AO334" s="492"/>
      <c r="AP334" s="493"/>
      <c r="AQ334" s="124"/>
      <c r="AR334" s="124"/>
      <c r="AS334" s="177"/>
      <c r="AT334" s="494"/>
      <c r="AU334" s="494"/>
      <c r="AV334" s="494"/>
      <c r="AW334" s="494"/>
      <c r="AX334" s="494"/>
      <c r="AY334" s="494"/>
      <c r="AZ334" s="494"/>
      <c r="BA334" s="494"/>
      <c r="BB334" s="494"/>
      <c r="BC334" s="494"/>
      <c r="BD334" s="494"/>
      <c r="BE334" s="494"/>
      <c r="BF334" s="494"/>
      <c r="BG334" s="494"/>
      <c r="BH334" s="495"/>
      <c r="BI334" s="494"/>
      <c r="BJ334" s="495"/>
      <c r="BK334" s="494"/>
      <c r="BL334" s="494"/>
      <c r="BM334" s="496"/>
      <c r="BN334" s="496"/>
      <c r="BO334" s="494"/>
      <c r="BP334" s="496"/>
      <c r="BQ334" s="494"/>
      <c r="BR334" s="496"/>
      <c r="BS334" s="496"/>
      <c r="BT334" s="494"/>
      <c r="BU334" s="494"/>
      <c r="BV334" s="494"/>
      <c r="BW334" s="496"/>
      <c r="BX334" s="496"/>
      <c r="BY334" s="177"/>
      <c r="BZ334" s="177"/>
      <c r="CA334" s="177"/>
      <c r="CB334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4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4" s="166">
        <f>' الشركه 2018'!$H334*67%*1.5*' الشركه 2018'!$CB334/208</f>
        <v>0</v>
      </c>
      <c r="CE334" s="497">
        <f>' الشركه 2018'!$H334*67%*2*' الشركه 2018'!$CC334/208</f>
        <v>0</v>
      </c>
      <c r="CF334" s="497">
        <f>' الشركه 2018'!$CD334+' الشركه 2018'!$CE334</f>
        <v>0</v>
      </c>
      <c r="CG334" s="124"/>
      <c r="CH334" s="177"/>
      <c r="CI334" s="124"/>
      <c r="CJ334" s="162"/>
      <c r="CK334" s="162"/>
      <c r="CL334" s="177"/>
      <c r="CM334" s="162"/>
      <c r="CN334" s="162"/>
      <c r="CO334" s="162"/>
      <c r="CP334" s="498"/>
      <c r="CQ334" s="162" t="e">
        <f>VLOOKUP(Table6[[#This Row],[الرقم الوظيفى]],[4]!Table3[#Data],26,FALSE)</f>
        <v>#REF!</v>
      </c>
      <c r="CS334" s="166"/>
      <c r="CT334" s="166"/>
    </row>
    <row r="335" spans="1:98" s="499" customFormat="1" ht="34.5" customHeight="1" thickTop="1" thickBot="1">
      <c r="A335" s="510">
        <v>1081</v>
      </c>
      <c r="B335" s="511" t="s">
        <v>781</v>
      </c>
      <c r="C335" s="349" t="s">
        <v>607</v>
      </c>
      <c r="D335" s="11"/>
      <c r="E335" s="487"/>
      <c r="F335" s="447" t="s">
        <v>127</v>
      </c>
      <c r="G335" s="145">
        <v>43435</v>
      </c>
      <c r="H335" s="510">
        <v>4000</v>
      </c>
      <c r="I335" s="11">
        <f>Table6[[#This Row],[مرتب]]/30</f>
        <v>133.33333333333334</v>
      </c>
      <c r="J335" s="11">
        <v>30</v>
      </c>
      <c r="K335" s="143">
        <f t="shared" si="5"/>
        <v>4000.0000000000005</v>
      </c>
      <c r="L335" s="11">
        <v>4000</v>
      </c>
      <c r="M335" s="143">
        <f>Table6[[#This Row],[مرتب الضمان]]*17%</f>
        <v>680</v>
      </c>
      <c r="N335" s="143">
        <f>' الشركه 2018'!$H335*35%</f>
        <v>1400</v>
      </c>
      <c r="O335" s="143">
        <f>' الشركه 2018'!$H335*32%</f>
        <v>1280</v>
      </c>
      <c r="P335" s="143">
        <f>' الشركه 2018'!$H335*12%</f>
        <v>480</v>
      </c>
      <c r="Q335" s="143">
        <f>' الشركه 2018'!$H335*13%</f>
        <v>520</v>
      </c>
      <c r="R335" s="143">
        <f>' الشركه 2018'!$H335*6%</f>
        <v>240</v>
      </c>
      <c r="S335" s="143">
        <f>' الشركه 2018'!$H335*2%</f>
        <v>80</v>
      </c>
      <c r="T335" s="143">
        <f>' الشركه 2018'!$O335+' الشركه 2018'!$P335+' الشركه 2018'!$Q335+' الشركه 2018'!$R335+' الشركه 2018'!$S335</f>
        <v>2600</v>
      </c>
      <c r="U335" s="109">
        <f>VLOOKUP(Table6[[#This Row],[الرقم الوظيفى]],[2]بالخصم!$B$1:$AK$1200,35,)</f>
        <v>0</v>
      </c>
      <c r="V335" s="11"/>
      <c r="W335" s="465">
        <f>Table6[[#This Row],[عدد ايام الاجازه]]*Table6[[#This Row],[ح راتب اليوم]]</f>
        <v>0</v>
      </c>
      <c r="X335" s="488"/>
      <c r="Y335" s="189"/>
      <c r="Z335" s="143"/>
      <c r="AA335" s="489"/>
      <c r="AB335" s="490" t="e">
        <f>VLOOKUP(Table6[[#This Row],[الرقم الوظيفى]],[3]!Table25289[#Data],23,)</f>
        <v>#REF!</v>
      </c>
      <c r="AC335" s="500"/>
      <c r="AD335" s="500"/>
      <c r="AE335" s="113" t="e">
        <f>VLOOKUP(Table6[[#This Row],[الرقم الوظيفى]],[3]!Table252894[#Data],22,)</f>
        <v>#REF!</v>
      </c>
      <c r="AF335" s="501"/>
      <c r="AG335" s="111">
        <f>' الشركه 2018'!$W335+' الشركه 2018'!$Z335+' الشركه 2018'!$AA335+' الشركه 2018'!$AC335+' الشركه 2018'!$AD335+' الشركه 2018'!$AF335</f>
        <v>0</v>
      </c>
      <c r="AH335" s="111">
        <f>Table6[[#This Row],[راتب الضمان]]*8%</f>
        <v>320.00000000000006</v>
      </c>
      <c r="AI335" s="111">
        <f>' الشركه 2018'!$H335-' الشركه 2018'!$AG335-' الشركه 2018'!$AH335</f>
        <v>3680</v>
      </c>
      <c r="AJ335" s="111">
        <f>' الشركه 2018'!$CF335</f>
        <v>0</v>
      </c>
      <c r="AK335" s="117">
        <f>' الشركه 2018'!$AI335+' الشركه 2018'!$AJ335</f>
        <v>3680</v>
      </c>
      <c r="AL335" s="502"/>
      <c r="AM335" s="277"/>
      <c r="AN335" s="278">
        <f>Table6[[#This Row],[اجمالى الاستحقاق]]-Table6[[#This Row],[Column2]]+Table6[[#This Row],[حوافز غير مستقره]]</f>
        <v>3680</v>
      </c>
      <c r="AO335" s="492"/>
      <c r="AP335" s="493"/>
      <c r="AQ335" s="124"/>
      <c r="AR335" s="124"/>
      <c r="AS335" s="177"/>
      <c r="AT335" s="494"/>
      <c r="AU335" s="494"/>
      <c r="AV335" s="494"/>
      <c r="AW335" s="494"/>
      <c r="AX335" s="494"/>
      <c r="AY335" s="494"/>
      <c r="AZ335" s="494"/>
      <c r="BA335" s="494"/>
      <c r="BB335" s="494"/>
      <c r="BC335" s="494"/>
      <c r="BD335" s="494"/>
      <c r="BE335" s="494"/>
      <c r="BF335" s="494"/>
      <c r="BG335" s="494"/>
      <c r="BH335" s="495"/>
      <c r="BI335" s="494"/>
      <c r="BJ335" s="495"/>
      <c r="BK335" s="494"/>
      <c r="BL335" s="494"/>
      <c r="BM335" s="496"/>
      <c r="BN335" s="496"/>
      <c r="BO335" s="494"/>
      <c r="BP335" s="496"/>
      <c r="BQ335" s="494"/>
      <c r="BR335" s="496"/>
      <c r="BS335" s="496"/>
      <c r="BT335" s="494"/>
      <c r="BU335" s="494"/>
      <c r="BV335" s="494"/>
      <c r="BW335" s="496"/>
      <c r="BX335" s="496"/>
      <c r="BY335" s="177"/>
      <c r="BZ335" s="177"/>
      <c r="CA335" s="177"/>
      <c r="CB335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5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5" s="166">
        <f>' الشركه 2018'!$H335*67%*1.5*' الشركه 2018'!$CB335/208</f>
        <v>0</v>
      </c>
      <c r="CE335" s="497">
        <f>' الشركه 2018'!$H335*67%*2*' الشركه 2018'!$CC335/208</f>
        <v>0</v>
      </c>
      <c r="CF335" s="497">
        <f>' الشركه 2018'!$CD335+' الشركه 2018'!$CE335</f>
        <v>0</v>
      </c>
      <c r="CG335" s="124"/>
      <c r="CH335" s="177"/>
      <c r="CI335" s="124"/>
      <c r="CJ335" s="162"/>
      <c r="CK335" s="162"/>
      <c r="CL335" s="177"/>
      <c r="CM335" s="162"/>
      <c r="CN335" s="162"/>
      <c r="CO335" s="162"/>
      <c r="CP335" s="498"/>
      <c r="CQ335" s="162" t="e">
        <f>VLOOKUP(Table6[[#This Row],[الرقم الوظيفى]],[4]!Table3[#Data],26,FALSE)</f>
        <v>#REF!</v>
      </c>
      <c r="CS335" s="166"/>
      <c r="CT335" s="166"/>
    </row>
    <row r="336" spans="1:98" s="499" customFormat="1" ht="34.5" customHeight="1" thickTop="1" thickBot="1">
      <c r="A336" s="365">
        <v>1082</v>
      </c>
      <c r="B336" s="511" t="s">
        <v>782</v>
      </c>
      <c r="C336" s="349" t="s">
        <v>137</v>
      </c>
      <c r="D336" s="11"/>
      <c r="E336" s="487"/>
      <c r="F336" s="447" t="s">
        <v>111</v>
      </c>
      <c r="G336" s="145">
        <v>43435</v>
      </c>
      <c r="H336" s="510">
        <v>4500</v>
      </c>
      <c r="I336" s="11">
        <f>Table6[[#This Row],[مرتب]]/30</f>
        <v>150</v>
      </c>
      <c r="J336" s="11">
        <v>30</v>
      </c>
      <c r="K336" s="143">
        <f t="shared" si="5"/>
        <v>4500</v>
      </c>
      <c r="L336" s="11">
        <v>4500</v>
      </c>
      <c r="M336" s="143">
        <f>Table6[[#This Row],[مرتب الضمان]]*17%</f>
        <v>765</v>
      </c>
      <c r="N336" s="143">
        <f>' الشركه 2018'!$H336*35%</f>
        <v>1575</v>
      </c>
      <c r="O336" s="143">
        <f>' الشركه 2018'!$H336*32%</f>
        <v>1440</v>
      </c>
      <c r="P336" s="143">
        <f>' الشركه 2018'!$H336*12%</f>
        <v>540</v>
      </c>
      <c r="Q336" s="143">
        <f>' الشركه 2018'!$H336*13%</f>
        <v>585</v>
      </c>
      <c r="R336" s="143">
        <f>' الشركه 2018'!$H336*6%</f>
        <v>270</v>
      </c>
      <c r="S336" s="143">
        <f>' الشركه 2018'!$H336*2%</f>
        <v>90</v>
      </c>
      <c r="T336" s="143">
        <f>' الشركه 2018'!$O336+' الشركه 2018'!$P336+' الشركه 2018'!$Q336+' الشركه 2018'!$R336+' الشركه 2018'!$S336</f>
        <v>2925</v>
      </c>
      <c r="U336" s="109">
        <f>VLOOKUP(Table6[[#This Row],[الرقم الوظيفى]],[2]بالخصم!$B$1:$AK$1200,35,)</f>
        <v>0</v>
      </c>
      <c r="V336" s="11"/>
      <c r="W336" s="465">
        <f>Table6[[#This Row],[عدد ايام الاجازه]]*Table6[[#This Row],[ح راتب اليوم]]</f>
        <v>0</v>
      </c>
      <c r="X336" s="488"/>
      <c r="Y336" s="189"/>
      <c r="Z336" s="143"/>
      <c r="AA336" s="489"/>
      <c r="AB336" s="490" t="e">
        <f>VLOOKUP(Table6[[#This Row],[الرقم الوظيفى]],[3]!Table25289[#Data],23,)</f>
        <v>#REF!</v>
      </c>
      <c r="AC336" s="500"/>
      <c r="AD336" s="500"/>
      <c r="AE336" s="113" t="e">
        <f>VLOOKUP(Table6[[#This Row],[الرقم الوظيفى]],[3]!Table252894[#Data],22,)</f>
        <v>#REF!</v>
      </c>
      <c r="AF336" s="501"/>
      <c r="AG336" s="111">
        <f>' الشركه 2018'!$W336+' الشركه 2018'!$Z336+' الشركه 2018'!$AA336+' الشركه 2018'!$AC336+' الشركه 2018'!$AD336+' الشركه 2018'!$AF336</f>
        <v>0</v>
      </c>
      <c r="AH336" s="111">
        <f>Table6[[#This Row],[راتب الضمان]]*8%</f>
        <v>360</v>
      </c>
      <c r="AI336" s="111">
        <f>' الشركه 2018'!$H336-' الشركه 2018'!$AG336-' الشركه 2018'!$AH336</f>
        <v>4140</v>
      </c>
      <c r="AJ336" s="111">
        <f>' الشركه 2018'!$CF336</f>
        <v>0</v>
      </c>
      <c r="AK336" s="117">
        <f>' الشركه 2018'!$AI336+' الشركه 2018'!$AJ336</f>
        <v>4140</v>
      </c>
      <c r="AL336" s="502"/>
      <c r="AM336" s="277"/>
      <c r="AN336" s="278">
        <f>Table6[[#This Row],[اجمالى الاستحقاق]]-Table6[[#This Row],[Column2]]+Table6[[#This Row],[حوافز غير مستقره]]</f>
        <v>4140</v>
      </c>
      <c r="AO336" s="492"/>
      <c r="AP336" s="493"/>
      <c r="AQ336" s="124"/>
      <c r="AR336" s="124"/>
      <c r="AS336" s="177"/>
      <c r="AT336" s="494"/>
      <c r="AU336" s="494"/>
      <c r="AV336" s="494"/>
      <c r="AW336" s="494"/>
      <c r="AX336" s="494"/>
      <c r="AY336" s="494"/>
      <c r="AZ336" s="494"/>
      <c r="BA336" s="494"/>
      <c r="BB336" s="494"/>
      <c r="BC336" s="494"/>
      <c r="BD336" s="494"/>
      <c r="BE336" s="494"/>
      <c r="BF336" s="494"/>
      <c r="BG336" s="494"/>
      <c r="BH336" s="495"/>
      <c r="BI336" s="494"/>
      <c r="BJ336" s="495"/>
      <c r="BK336" s="494"/>
      <c r="BL336" s="494"/>
      <c r="BM336" s="496"/>
      <c r="BN336" s="496"/>
      <c r="BO336" s="494"/>
      <c r="BP336" s="496"/>
      <c r="BQ336" s="494"/>
      <c r="BR336" s="496"/>
      <c r="BS336" s="496"/>
      <c r="BT336" s="494"/>
      <c r="BU336" s="494"/>
      <c r="BV336" s="494"/>
      <c r="BW336" s="496"/>
      <c r="BX336" s="496"/>
      <c r="BY336" s="177"/>
      <c r="BZ336" s="177"/>
      <c r="CA336" s="177"/>
      <c r="CB336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6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6" s="166">
        <f>' الشركه 2018'!$H336*67%*1.5*' الشركه 2018'!$CB336/208</f>
        <v>0</v>
      </c>
      <c r="CE336" s="497">
        <f>' الشركه 2018'!$H336*67%*2*' الشركه 2018'!$CC336/208</f>
        <v>0</v>
      </c>
      <c r="CF336" s="497">
        <f>' الشركه 2018'!$CD336+' الشركه 2018'!$CE336</f>
        <v>0</v>
      </c>
      <c r="CG336" s="124"/>
      <c r="CH336" s="177"/>
      <c r="CI336" s="124"/>
      <c r="CJ336" s="162"/>
      <c r="CK336" s="162"/>
      <c r="CL336" s="177"/>
      <c r="CM336" s="162"/>
      <c r="CN336" s="162"/>
      <c r="CO336" s="162"/>
      <c r="CP336" s="498"/>
      <c r="CQ336" s="162" t="e">
        <f>VLOOKUP(Table6[[#This Row],[الرقم الوظيفى]],[4]!Table3[#Data],26,FALSE)</f>
        <v>#REF!</v>
      </c>
      <c r="CS336" s="166"/>
      <c r="CT336" s="166"/>
    </row>
    <row r="337" spans="1:98" s="499" customFormat="1" ht="34.5" customHeight="1" thickTop="1" thickBot="1">
      <c r="A337" s="510">
        <v>1083</v>
      </c>
      <c r="B337" s="511" t="s">
        <v>783</v>
      </c>
      <c r="C337" s="349" t="s">
        <v>607</v>
      </c>
      <c r="D337" s="11"/>
      <c r="E337" s="487"/>
      <c r="F337" s="447" t="s">
        <v>784</v>
      </c>
      <c r="G337" s="145">
        <v>43435</v>
      </c>
      <c r="H337" s="510">
        <v>10000</v>
      </c>
      <c r="I337" s="11">
        <f>Table6[[#This Row],[مرتب]]/30</f>
        <v>333.33333333333331</v>
      </c>
      <c r="J337" s="11">
        <v>30</v>
      </c>
      <c r="K337" s="143">
        <f t="shared" si="5"/>
        <v>1000.0000000000001</v>
      </c>
      <c r="L337" s="11">
        <v>1000</v>
      </c>
      <c r="M337" s="143">
        <f>Table6[[#This Row],[مرتب الضمان]]*17%</f>
        <v>170</v>
      </c>
      <c r="N337" s="143">
        <f>' الشركه 2018'!$H337*35%</f>
        <v>3500</v>
      </c>
      <c r="O337" s="143">
        <f>' الشركه 2018'!$H337*32%</f>
        <v>3200</v>
      </c>
      <c r="P337" s="143">
        <f>' الشركه 2018'!$H337*12%</f>
        <v>1200</v>
      </c>
      <c r="Q337" s="143">
        <f>' الشركه 2018'!$H337*13%</f>
        <v>1300</v>
      </c>
      <c r="R337" s="143">
        <f>' الشركه 2018'!$H337*6%</f>
        <v>600</v>
      </c>
      <c r="S337" s="143">
        <f>' الشركه 2018'!$H337*2%</f>
        <v>200</v>
      </c>
      <c r="T337" s="143">
        <f>' الشركه 2018'!$O337+' الشركه 2018'!$P337+' الشركه 2018'!$Q337+' الشركه 2018'!$R337+' الشركه 2018'!$S337</f>
        <v>6500</v>
      </c>
      <c r="U337" s="109">
        <f>VLOOKUP(Table6[[#This Row],[الرقم الوظيفى]],[2]بالخصم!$B$1:$AK$1200,35,)</f>
        <v>0</v>
      </c>
      <c r="V337" s="11"/>
      <c r="W337" s="465">
        <f>Table6[[#This Row],[عدد ايام الاجازه]]*Table6[[#This Row],[ح راتب اليوم]]</f>
        <v>0</v>
      </c>
      <c r="X337" s="488"/>
      <c r="Y337" s="189"/>
      <c r="Z337" s="143"/>
      <c r="AA337" s="489"/>
      <c r="AB337" s="490" t="e">
        <f>VLOOKUP(Table6[[#This Row],[الرقم الوظيفى]],[3]!Table25289[#Data],23,)</f>
        <v>#REF!</v>
      </c>
      <c r="AC337" s="500"/>
      <c r="AD337" s="500"/>
      <c r="AE337" s="113" t="e">
        <f>VLOOKUP(Table6[[#This Row],[الرقم الوظيفى]],[3]!Table252894[#Data],22,)</f>
        <v>#REF!</v>
      </c>
      <c r="AF337" s="501"/>
      <c r="AG337" s="111">
        <f>' الشركه 2018'!$W337+' الشركه 2018'!$Z337+' الشركه 2018'!$AA337+' الشركه 2018'!$AC337+' الشركه 2018'!$AD337+' الشركه 2018'!$AF337</f>
        <v>0</v>
      </c>
      <c r="AH337" s="111">
        <f>Table6[[#This Row],[راتب الضمان]]*8%</f>
        <v>80.000000000000014</v>
      </c>
      <c r="AI337" s="111">
        <f>' الشركه 2018'!$H337-' الشركه 2018'!$AG337-' الشركه 2018'!$AH337</f>
        <v>9920</v>
      </c>
      <c r="AJ337" s="111">
        <f>' الشركه 2018'!$CF337</f>
        <v>0</v>
      </c>
      <c r="AK337" s="117">
        <f>' الشركه 2018'!$AI337+' الشركه 2018'!$AJ337</f>
        <v>9920</v>
      </c>
      <c r="AL337" s="502"/>
      <c r="AM337" s="277"/>
      <c r="AN337" s="278">
        <f>Table6[[#This Row],[اجمالى الاستحقاق]]-Table6[[#This Row],[Column2]]+Table6[[#This Row],[حوافز غير مستقره]]</f>
        <v>9920</v>
      </c>
      <c r="AO337" s="492"/>
      <c r="AP337" s="493"/>
      <c r="AQ337" s="124"/>
      <c r="AR337" s="124"/>
      <c r="AS337" s="177"/>
      <c r="AT337" s="494"/>
      <c r="AU337" s="494"/>
      <c r="AV337" s="494"/>
      <c r="AW337" s="494"/>
      <c r="AX337" s="494"/>
      <c r="AY337" s="494"/>
      <c r="AZ337" s="494"/>
      <c r="BA337" s="494"/>
      <c r="BB337" s="494"/>
      <c r="BC337" s="494"/>
      <c r="BD337" s="494"/>
      <c r="BE337" s="494"/>
      <c r="BF337" s="494"/>
      <c r="BG337" s="494"/>
      <c r="BH337" s="495"/>
      <c r="BI337" s="494"/>
      <c r="BJ337" s="495"/>
      <c r="BK337" s="494"/>
      <c r="BL337" s="494"/>
      <c r="BM337" s="496"/>
      <c r="BN337" s="496"/>
      <c r="BO337" s="494"/>
      <c r="BP337" s="496"/>
      <c r="BQ337" s="494"/>
      <c r="BR337" s="496"/>
      <c r="BS337" s="496"/>
      <c r="BT337" s="494"/>
      <c r="BU337" s="494"/>
      <c r="BV337" s="494"/>
      <c r="BW337" s="496"/>
      <c r="BX337" s="496"/>
      <c r="BY337" s="177"/>
      <c r="BZ337" s="177"/>
      <c r="CA337" s="177"/>
      <c r="CB337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7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7" s="166">
        <f>' الشركه 2018'!$H337*67%*1.5*' الشركه 2018'!$CB337/208</f>
        <v>0</v>
      </c>
      <c r="CE337" s="497">
        <f>' الشركه 2018'!$H337*67%*2*' الشركه 2018'!$CC337/208</f>
        <v>0</v>
      </c>
      <c r="CF337" s="497">
        <f>' الشركه 2018'!$CD337+' الشركه 2018'!$CE337</f>
        <v>0</v>
      </c>
      <c r="CG337" s="124"/>
      <c r="CH337" s="177"/>
      <c r="CI337" s="124"/>
      <c r="CJ337" s="162"/>
      <c r="CK337" s="162"/>
      <c r="CL337" s="177"/>
      <c r="CM337" s="162"/>
      <c r="CN337" s="162"/>
      <c r="CO337" s="162"/>
      <c r="CP337" s="498"/>
      <c r="CQ337" s="162" t="e">
        <f>VLOOKUP(Table6[[#This Row],[الرقم الوظيفى]],[4]!Table3[#Data],26,FALSE)</f>
        <v>#REF!</v>
      </c>
      <c r="CS337" s="166"/>
      <c r="CT337" s="166"/>
    </row>
    <row r="338" spans="1:98" s="499" customFormat="1" ht="34.5" customHeight="1" thickTop="1" thickBot="1">
      <c r="A338" s="472">
        <v>1077</v>
      </c>
      <c r="B338" s="478" t="s">
        <v>785</v>
      </c>
      <c r="C338" s="349" t="s">
        <v>620</v>
      </c>
      <c r="D338" s="11"/>
      <c r="E338" s="487"/>
      <c r="F338" s="11"/>
      <c r="G338" s="145">
        <v>43435</v>
      </c>
      <c r="H338" s="11">
        <v>6000</v>
      </c>
      <c r="I338" s="11">
        <f>Table6[[#This Row],[مرتب]]/30</f>
        <v>200</v>
      </c>
      <c r="J338" s="11">
        <v>30</v>
      </c>
      <c r="K338" s="143">
        <f t="shared" si="5"/>
        <v>0</v>
      </c>
      <c r="L338" s="11"/>
      <c r="M338" s="143">
        <f>Table6[[#This Row],[مرتب الضمان]]*17%</f>
        <v>0</v>
      </c>
      <c r="N338" s="143">
        <f>' الشركه 2018'!$H338*35%</f>
        <v>2100</v>
      </c>
      <c r="O338" s="143">
        <f>' الشركه 2018'!$H338*32%</f>
        <v>1920</v>
      </c>
      <c r="P338" s="143">
        <f>' الشركه 2018'!$H338*12%</f>
        <v>720</v>
      </c>
      <c r="Q338" s="143">
        <f>' الشركه 2018'!$H338*13%</f>
        <v>780</v>
      </c>
      <c r="R338" s="143">
        <f>' الشركه 2018'!$H338*6%</f>
        <v>360</v>
      </c>
      <c r="S338" s="143">
        <f>' الشركه 2018'!$H338*2%</f>
        <v>120</v>
      </c>
      <c r="T338" s="143">
        <f>' الشركه 2018'!$O338+' الشركه 2018'!$P338+' الشركه 2018'!$Q338+' الشركه 2018'!$R338+' الشركه 2018'!$S338</f>
        <v>3900</v>
      </c>
      <c r="U338" s="109">
        <f>VLOOKUP(Table6[[#This Row],[الرقم الوظيفى]],[2]بالخصم!$B$1:$AK$1200,35,)</f>
        <v>0</v>
      </c>
      <c r="V338" s="11"/>
      <c r="W338" s="465">
        <f>Table6[[#This Row],[عدد ايام الاجازه]]*Table6[[#This Row],[ح راتب اليوم]]</f>
        <v>0</v>
      </c>
      <c r="X338" s="488"/>
      <c r="Y338" s="189"/>
      <c r="Z338" s="143"/>
      <c r="AA338" s="489"/>
      <c r="AB338" s="490" t="e">
        <f>VLOOKUP(Table6[[#This Row],[الرقم الوظيفى]],[3]!Table25289[#Data],23,)</f>
        <v>#REF!</v>
      </c>
      <c r="AC338" s="500"/>
      <c r="AD338" s="500"/>
      <c r="AE338" s="113" t="e">
        <f>VLOOKUP(Table6[[#This Row],[الرقم الوظيفى]],[3]!Table252894[#Data],22,)</f>
        <v>#REF!</v>
      </c>
      <c r="AF338" s="501"/>
      <c r="AG338" s="111">
        <f>' الشركه 2018'!$W338+' الشركه 2018'!$Z338+' الشركه 2018'!$AA338+' الشركه 2018'!$AC338+' الشركه 2018'!$AD338+' الشركه 2018'!$AF338</f>
        <v>0</v>
      </c>
      <c r="AH338" s="111">
        <f>Table6[[#This Row],[راتب الضمان]]*8%</f>
        <v>0</v>
      </c>
      <c r="AI338" s="111">
        <f>' الشركه 2018'!$H338-' الشركه 2018'!$AG338-' الشركه 2018'!$AH338</f>
        <v>6000</v>
      </c>
      <c r="AJ338" s="111">
        <f>' الشركه 2018'!$CF338</f>
        <v>0</v>
      </c>
      <c r="AK338" s="117">
        <f>' الشركه 2018'!$AI338+' الشركه 2018'!$AJ338</f>
        <v>6000</v>
      </c>
      <c r="AL338" s="502"/>
      <c r="AM338" s="277"/>
      <c r="AN338" s="278">
        <f>Table6[[#This Row],[اجمالى الاستحقاق]]-Table6[[#This Row],[Column2]]+Table6[[#This Row],[حوافز غير مستقره]]</f>
        <v>6000</v>
      </c>
      <c r="AO338" s="492"/>
      <c r="AP338" s="493"/>
      <c r="AQ338" s="124"/>
      <c r="AR338" s="124"/>
      <c r="AS338" s="177"/>
      <c r="AT338" s="494"/>
      <c r="AU338" s="494"/>
      <c r="AV338" s="494"/>
      <c r="AW338" s="494"/>
      <c r="AX338" s="494"/>
      <c r="AY338" s="494"/>
      <c r="AZ338" s="494"/>
      <c r="BA338" s="494"/>
      <c r="BB338" s="494"/>
      <c r="BC338" s="494"/>
      <c r="BD338" s="494"/>
      <c r="BE338" s="494"/>
      <c r="BF338" s="494"/>
      <c r="BG338" s="494"/>
      <c r="BH338" s="495"/>
      <c r="BI338" s="494"/>
      <c r="BJ338" s="495"/>
      <c r="BK338" s="494"/>
      <c r="BL338" s="494"/>
      <c r="BM338" s="496"/>
      <c r="BN338" s="496"/>
      <c r="BO338" s="494"/>
      <c r="BP338" s="496"/>
      <c r="BQ338" s="494"/>
      <c r="BR338" s="496"/>
      <c r="BS338" s="496"/>
      <c r="BT338" s="494"/>
      <c r="BU338" s="494"/>
      <c r="BV338" s="494"/>
      <c r="BW338" s="496"/>
      <c r="BX338" s="496"/>
      <c r="BY338" s="177"/>
      <c r="BZ338" s="177"/>
      <c r="CA338" s="177"/>
      <c r="CB338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8" s="130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8" s="166">
        <f>' الشركه 2018'!$H338*67%*1.5*' الشركه 2018'!$CB338/208</f>
        <v>0</v>
      </c>
      <c r="CE338" s="497">
        <f>' الشركه 2018'!$H338*67%*2*' الشركه 2018'!$CC338/208</f>
        <v>0</v>
      </c>
      <c r="CF338" s="497">
        <f>' الشركه 2018'!$CD338+' الشركه 2018'!$CE338</f>
        <v>0</v>
      </c>
      <c r="CG338" s="124"/>
      <c r="CH338" s="177"/>
      <c r="CI338" s="124"/>
      <c r="CJ338" s="162"/>
      <c r="CK338" s="162"/>
      <c r="CL338" s="177"/>
      <c r="CM338" s="162"/>
      <c r="CN338" s="162"/>
      <c r="CO338" s="162"/>
      <c r="CP338" s="498"/>
      <c r="CQ338" s="162" t="e">
        <f>VLOOKUP(Table6[[#This Row],[الرقم الوظيفى]],[4]!Table3[#Data],26,FALSE)</f>
        <v>#REF!</v>
      </c>
      <c r="CS338" s="166"/>
      <c r="CT338" s="166"/>
    </row>
    <row r="339" spans="1:98" ht="34.5" customHeight="1" thickTop="1" thickBot="1">
      <c r="A339" s="586">
        <v>8091</v>
      </c>
      <c r="B339" s="586" t="s">
        <v>461</v>
      </c>
      <c r="C339" s="349"/>
      <c r="D339" s="11"/>
      <c r="E339" s="487"/>
      <c r="F339" s="11"/>
      <c r="G339" s="586">
        <v>170</v>
      </c>
      <c r="H339" s="11">
        <v>5100</v>
      </c>
      <c r="I339" s="11">
        <f>Table6[[#This Row],[مرتب]]/30</f>
        <v>170</v>
      </c>
      <c r="J339" s="11"/>
      <c r="K339" s="143"/>
      <c r="L339" s="11"/>
      <c r="M339" s="143">
        <f>Table6[[#This Row],[مرتب الضمان]]*17%</f>
        <v>0</v>
      </c>
      <c r="N339" s="143">
        <f>' الشركه 2018'!$H339*35%</f>
        <v>1785</v>
      </c>
      <c r="O339" s="143">
        <f>' الشركه 2018'!$H339*32%</f>
        <v>1632</v>
      </c>
      <c r="P339" s="143">
        <f>' الشركه 2018'!$H339*12%</f>
        <v>612</v>
      </c>
      <c r="Q339" s="143">
        <f>' الشركه 2018'!$H339*13%</f>
        <v>663</v>
      </c>
      <c r="R339" s="143"/>
      <c r="S339" s="143"/>
      <c r="T339" s="143"/>
      <c r="U339" s="107">
        <f>VLOOKUP(Table6[[#This Row],[الرقم الوظيفى]],[2]بالخصم!$B$1:$AK$1200,35,)</f>
        <v>0</v>
      </c>
      <c r="V339" s="11"/>
      <c r="W339" s="143"/>
      <c r="X339" s="488"/>
      <c r="Y339" s="189"/>
      <c r="Z339" s="143"/>
      <c r="AA339" s="489"/>
      <c r="AB339" s="242" t="e">
        <f>VLOOKUP(Table6[[#This Row],[الرقم الوظيفى]],[3]!Table25289[#Data],23,)</f>
        <v>#REF!</v>
      </c>
      <c r="AC339" s="500"/>
      <c r="AD339" s="500"/>
      <c r="AE339" s="573" t="e">
        <f>VLOOKUP(Table6[[#This Row],[الرقم الوظيفى]],[3]!Table252894[#Data],22,)</f>
        <v>#REF!</v>
      </c>
      <c r="AF339" s="501"/>
      <c r="AG339" s="575">
        <f>' الشركه 2018'!$W339+' الشركه 2018'!$Z339+' الشركه 2018'!$AA339+' الشركه 2018'!$AC339+' الشركه 2018'!$AD339+' الشركه 2018'!$AF339</f>
        <v>0</v>
      </c>
      <c r="AH339" s="175">
        <f>Table6[[#This Row],[راتب الضمان]]*8%</f>
        <v>0</v>
      </c>
      <c r="AI339" s="576">
        <f>' الشركه 2018'!$H339-' الشركه 2018'!$AG339-' الشركه 2018'!$AH339</f>
        <v>5100</v>
      </c>
      <c r="AJ339" s="575">
        <f>' الشركه 2018'!$CF339</f>
        <v>0</v>
      </c>
      <c r="AK339" s="577">
        <f>' الشركه 2018'!$AI339+' الشركه 2018'!$AJ339</f>
        <v>5100</v>
      </c>
      <c r="AL339" s="502"/>
      <c r="AM339" s="277"/>
      <c r="AN339" s="278">
        <f>Table6[[#This Row],[اجمالى الاستحقاق]]-Table6[[#This Row],[Column2]]+Table6[[#This Row],[حوافز غير مستقره]]</f>
        <v>5100</v>
      </c>
      <c r="AO339" s="257"/>
      <c r="AP339" s="493"/>
      <c r="AQ339" s="124"/>
      <c r="AR339" s="124"/>
      <c r="AS339" s="177"/>
      <c r="AT339" s="494"/>
      <c r="AU339" s="494"/>
      <c r="AV339" s="494"/>
      <c r="AW339" s="494"/>
      <c r="AX339" s="494"/>
      <c r="AY339" s="494"/>
      <c r="AZ339" s="494"/>
      <c r="BA339" s="494"/>
      <c r="BB339" s="494"/>
      <c r="BC339" s="494"/>
      <c r="BD339" s="494"/>
      <c r="BE339" s="494"/>
      <c r="BF339" s="494"/>
      <c r="BG339" s="494"/>
      <c r="BH339" s="495"/>
      <c r="BI339" s="494"/>
      <c r="BJ339" s="495"/>
      <c r="BK339" s="494"/>
      <c r="BL339" s="494"/>
      <c r="BM339" s="496"/>
      <c r="BN339" s="496"/>
      <c r="BO339" s="494"/>
      <c r="BP339" s="496"/>
      <c r="BQ339" s="494"/>
      <c r="BR339" s="496"/>
      <c r="BS339" s="496"/>
      <c r="BT339" s="494"/>
      <c r="BU339" s="494"/>
      <c r="BV339" s="494"/>
      <c r="BW339" s="496"/>
      <c r="BX339" s="496"/>
      <c r="BY339" s="177"/>
      <c r="BZ339" s="177"/>
      <c r="CA339" s="177"/>
      <c r="CB339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39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39" s="166">
        <f>' الشركه 2018'!$H339*67%*1.5*' الشركه 2018'!$CB339/208</f>
        <v>0</v>
      </c>
      <c r="CE339" s="497">
        <f>' الشركه 2018'!$H339*67%*2*' الشركه 2018'!$CC339/208</f>
        <v>0</v>
      </c>
      <c r="CF339" s="497">
        <f>' الشركه 2018'!$CD339+' الشركه 2018'!$CE339</f>
        <v>0</v>
      </c>
      <c r="CG339" s="124"/>
      <c r="CH339" s="177"/>
      <c r="CI339" s="124"/>
      <c r="CJ339" s="162"/>
      <c r="CK339" s="162"/>
      <c r="CL339" s="177"/>
      <c r="CM339" s="162"/>
      <c r="CN339" s="162"/>
      <c r="CO339" s="162"/>
      <c r="CP339" s="498"/>
      <c r="CQ339" s="162" t="e">
        <f>VLOOKUP(Table6[[#This Row],[الرقم الوظيفى]],[4]!Table3[#Data],26,FALSE)</f>
        <v>#REF!</v>
      </c>
    </row>
    <row r="340" spans="1:98" ht="34.5" customHeight="1" thickTop="1" thickBot="1">
      <c r="A340" s="586">
        <v>8092</v>
      </c>
      <c r="B340" s="586" t="s">
        <v>786</v>
      </c>
      <c r="C340" s="349"/>
      <c r="D340" s="11"/>
      <c r="E340" s="487"/>
      <c r="F340" s="11"/>
      <c r="G340" s="586">
        <v>170</v>
      </c>
      <c r="H340" s="11">
        <v>5100</v>
      </c>
      <c r="I340" s="11">
        <f>Table6[[#This Row],[مرتب]]/30</f>
        <v>170</v>
      </c>
      <c r="J340" s="11"/>
      <c r="K340" s="143"/>
      <c r="L340" s="11"/>
      <c r="M340" s="143">
        <f>Table6[[#This Row],[مرتب الضمان]]*17%</f>
        <v>0</v>
      </c>
      <c r="N340" s="143">
        <f>' الشركه 2018'!$H340*35%</f>
        <v>1785</v>
      </c>
      <c r="O340" s="143">
        <f>' الشركه 2018'!$H340*32%</f>
        <v>1632</v>
      </c>
      <c r="P340" s="143">
        <f>' الشركه 2018'!$H340*12%</f>
        <v>612</v>
      </c>
      <c r="Q340" s="143">
        <f>' الشركه 2018'!$H340*13%</f>
        <v>663</v>
      </c>
      <c r="R340" s="143"/>
      <c r="S340" s="143"/>
      <c r="T340" s="143"/>
      <c r="U340" s="107">
        <f>VLOOKUP(Table6[[#This Row],[الرقم الوظيفى]],[2]بالخصم!$B$1:$AK$1200,35,)</f>
        <v>5</v>
      </c>
      <c r="V340" s="11"/>
      <c r="W340" s="143"/>
      <c r="X340" s="488"/>
      <c r="Y340" s="189"/>
      <c r="Z340" s="143"/>
      <c r="AA340" s="489"/>
      <c r="AB340" s="242" t="e">
        <f>VLOOKUP(Table6[[#This Row],[الرقم الوظيفى]],[3]!Table25289[#Data],23,)</f>
        <v>#REF!</v>
      </c>
      <c r="AC340" s="500"/>
      <c r="AD340" s="500"/>
      <c r="AE340" s="573" t="e">
        <f>VLOOKUP(Table6[[#This Row],[الرقم الوظيفى]],[3]!Table252894[#Data],22,)</f>
        <v>#REF!</v>
      </c>
      <c r="AF340" s="501"/>
      <c r="AG340" s="575">
        <f>' الشركه 2018'!$W340+' الشركه 2018'!$Z340+' الشركه 2018'!$AA340+' الشركه 2018'!$AC340+' الشركه 2018'!$AD340+' الشركه 2018'!$AF340</f>
        <v>0</v>
      </c>
      <c r="AH340" s="175">
        <f>Table6[[#This Row],[راتب الضمان]]*8%</f>
        <v>0</v>
      </c>
      <c r="AI340" s="576">
        <f>' الشركه 2018'!$H340-' الشركه 2018'!$AG340-' الشركه 2018'!$AH340</f>
        <v>5100</v>
      </c>
      <c r="AJ340" s="575">
        <f>' الشركه 2018'!$CF340</f>
        <v>0</v>
      </c>
      <c r="AK340" s="577">
        <f>' الشركه 2018'!$AI340+' الشركه 2018'!$AJ340</f>
        <v>5100</v>
      </c>
      <c r="AL340" s="578"/>
      <c r="AM340" s="277"/>
      <c r="AN340" s="579">
        <f>Table6[[#This Row],[اجمالى الاستحقاق]]-Table6[[#This Row],[Column2]]+Table6[[#This Row],[حوافز غير مستقره]]</f>
        <v>5100</v>
      </c>
      <c r="AO340" s="257"/>
      <c r="AP340" s="493"/>
      <c r="AQ340" s="124"/>
      <c r="AR340" s="124"/>
      <c r="AS340" s="177"/>
      <c r="AT340" s="494"/>
      <c r="AU340" s="494"/>
      <c r="AV340" s="494"/>
      <c r="AW340" s="494"/>
      <c r="AX340" s="494"/>
      <c r="AY340" s="494"/>
      <c r="AZ340" s="494"/>
      <c r="BA340" s="494"/>
      <c r="BB340" s="494"/>
      <c r="BC340" s="494"/>
      <c r="BD340" s="494"/>
      <c r="BE340" s="494"/>
      <c r="BF340" s="494"/>
      <c r="BG340" s="494"/>
      <c r="BH340" s="495"/>
      <c r="BI340" s="494"/>
      <c r="BJ340" s="495"/>
      <c r="BK340" s="494"/>
      <c r="BL340" s="494"/>
      <c r="BM340" s="496"/>
      <c r="BN340" s="496"/>
      <c r="BO340" s="494"/>
      <c r="BP340" s="496"/>
      <c r="BQ340" s="494"/>
      <c r="BR340" s="496"/>
      <c r="BS340" s="496"/>
      <c r="BT340" s="494"/>
      <c r="BU340" s="494"/>
      <c r="BV340" s="494"/>
      <c r="BW340" s="496"/>
      <c r="BX340" s="496"/>
      <c r="BY340" s="177"/>
      <c r="BZ340" s="177"/>
      <c r="CA340" s="177"/>
      <c r="CB340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0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0" s="166">
        <f>' الشركه 2018'!$H340*67%*1.5*' الشركه 2018'!$CB340/208</f>
        <v>0</v>
      </c>
      <c r="CE340" s="497">
        <f>' الشركه 2018'!$H340*67%*2*' الشركه 2018'!$CC340/208</f>
        <v>0</v>
      </c>
      <c r="CF340" s="497">
        <f>' الشركه 2018'!$CD340+' الشركه 2018'!$CE340</f>
        <v>0</v>
      </c>
      <c r="CG340" s="124"/>
      <c r="CH340" s="177"/>
      <c r="CI340" s="124"/>
      <c r="CJ340" s="162"/>
      <c r="CK340" s="162"/>
      <c r="CL340" s="177"/>
      <c r="CM340" s="162"/>
      <c r="CN340" s="162"/>
      <c r="CO340" s="162"/>
      <c r="CP340" s="498"/>
      <c r="CQ340" s="162" t="e">
        <f>VLOOKUP(Table6[[#This Row],[الرقم الوظيفى]],[4]!Table3[#Data],26,FALSE)</f>
        <v>#REF!</v>
      </c>
    </row>
    <row r="341" spans="1:98" ht="34.5" customHeight="1" thickTop="1" thickBot="1">
      <c r="A341" s="586">
        <v>8081</v>
      </c>
      <c r="B341" s="586" t="s">
        <v>269</v>
      </c>
      <c r="C341" s="474"/>
      <c r="D341" s="417"/>
      <c r="E341" s="479"/>
      <c r="F341" s="417"/>
      <c r="G341" s="586">
        <v>150</v>
      </c>
      <c r="H341" s="417">
        <v>4500</v>
      </c>
      <c r="I341" s="417">
        <f>Table6[[#This Row],[مرتب]]/30</f>
        <v>150</v>
      </c>
      <c r="J341" s="417"/>
      <c r="K341" s="394"/>
      <c r="L341" s="417"/>
      <c r="M341" s="394">
        <f>Table6[[#This Row],[مرتب الضمان]]*17%</f>
        <v>0</v>
      </c>
      <c r="N341" s="394">
        <f>' الشركه 2018'!$H341*35%</f>
        <v>1575</v>
      </c>
      <c r="O341" s="394">
        <f>' الشركه 2018'!$H341*32%</f>
        <v>1440</v>
      </c>
      <c r="P341" s="394">
        <f>' الشركه 2018'!$H341*12%</f>
        <v>540</v>
      </c>
      <c r="Q341" s="394">
        <f>' الشركه 2018'!$H341*13%</f>
        <v>585</v>
      </c>
      <c r="R341" s="394"/>
      <c r="S341" s="394"/>
      <c r="T341" s="394"/>
      <c r="U341" s="450">
        <f>VLOOKUP(Table6[[#This Row],[الرقم الوظيفى]],[2]بالخصم!$B$1:$AK$1200,35,)</f>
        <v>0</v>
      </c>
      <c r="V341" s="417"/>
      <c r="W341" s="394"/>
      <c r="X341" s="480"/>
      <c r="Y341" s="419"/>
      <c r="Z341" s="394"/>
      <c r="AA341" s="481"/>
      <c r="AB341" s="583" t="e">
        <f>VLOOKUP(Table6[[#This Row],[الرقم الوظيفى]],[3]!Table25289[#Data],23,)</f>
        <v>#REF!</v>
      </c>
      <c r="AC341" s="512"/>
      <c r="AD341" s="512"/>
      <c r="AE341" s="573" t="e">
        <f>VLOOKUP(Table6[[#This Row],[الرقم الوظيفى]],[3]!Table252894[#Data],22,)</f>
        <v>#REF!</v>
      </c>
      <c r="AF341" s="513"/>
      <c r="AG341" s="456">
        <f>' الشركه 2018'!$W341+' الشركه 2018'!$Z341+' الشركه 2018'!$AA341+' الشركه 2018'!$AC341+' الشركه 2018'!$AD341+' الشركه 2018'!$AF341</f>
        <v>0</v>
      </c>
      <c r="AH341" s="584">
        <f>Table6[[#This Row],[راتب الضمان]]*8%</f>
        <v>0</v>
      </c>
      <c r="AI341" s="491">
        <f>' الشركه 2018'!$H341-' الشركه 2018'!$AG341-' الشركه 2018'!$AH341</f>
        <v>4500</v>
      </c>
      <c r="AJ341" s="456">
        <f>' الشركه 2018'!$CF341</f>
        <v>0</v>
      </c>
      <c r="AK341" s="502">
        <f>' الشركه 2018'!$AI341+' الشركه 2018'!$AJ341</f>
        <v>4500</v>
      </c>
      <c r="AL341" s="578"/>
      <c r="AM341" s="277"/>
      <c r="AN341" s="579">
        <f>Table6[[#This Row],[اجمالى الاستحقاق]]-Table6[[#This Row],[Column2]]+Table6[[#This Row],[حوافز غير مستقره]]</f>
        <v>4500</v>
      </c>
      <c r="AO341" s="407"/>
      <c r="AP341" s="482"/>
      <c r="AQ341" s="359"/>
      <c r="AR341" s="359"/>
      <c r="AS341" s="413"/>
      <c r="AT341" s="483"/>
      <c r="AU341" s="483"/>
      <c r="AV341" s="483"/>
      <c r="AW341" s="483"/>
      <c r="AX341" s="483"/>
      <c r="AY341" s="483"/>
      <c r="AZ341" s="483"/>
      <c r="BA341" s="483"/>
      <c r="BB341" s="483"/>
      <c r="BC341" s="483"/>
      <c r="BD341" s="483"/>
      <c r="BE341" s="483"/>
      <c r="BF341" s="483"/>
      <c r="BG341" s="483"/>
      <c r="BH341" s="484"/>
      <c r="BI341" s="483"/>
      <c r="BJ341" s="484"/>
      <c r="BK341" s="483"/>
      <c r="BL341" s="483"/>
      <c r="BM341" s="485"/>
      <c r="BN341" s="485"/>
      <c r="BO341" s="483"/>
      <c r="BP341" s="485"/>
      <c r="BQ341" s="483"/>
      <c r="BR341" s="485"/>
      <c r="BS341" s="485"/>
      <c r="BT341" s="483"/>
      <c r="BU341" s="483"/>
      <c r="BV341" s="483"/>
      <c r="BW341" s="485"/>
      <c r="BX341" s="485"/>
      <c r="BY341" s="413"/>
      <c r="BZ341" s="413"/>
      <c r="CA341" s="413"/>
      <c r="CB341" s="51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1" s="585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1" s="166">
        <f>' الشركه 2018'!$H341*67%*1.5*' الشركه 2018'!$CB341/208</f>
        <v>0</v>
      </c>
      <c r="CE341" s="515">
        <f>' الشركه 2018'!$H341*67%*2*' الشركه 2018'!$CC341/208</f>
        <v>0</v>
      </c>
      <c r="CF341" s="515">
        <f>' الشركه 2018'!$CD341+' الشركه 2018'!$CE341</f>
        <v>0</v>
      </c>
      <c r="CG341" s="359"/>
      <c r="CH341" s="413"/>
      <c r="CI341" s="359"/>
      <c r="CJ341" s="414"/>
      <c r="CK341" s="414"/>
      <c r="CL341" s="413"/>
      <c r="CM341" s="414"/>
      <c r="CN341" s="414"/>
      <c r="CO341" s="414"/>
      <c r="CP341" s="460"/>
      <c r="CQ341" s="414" t="e">
        <f>VLOOKUP(Table6[[#This Row],[الرقم الوظيفى]],[4]!Table3[#Data],26,FALSE)</f>
        <v>#REF!</v>
      </c>
    </row>
    <row r="342" spans="1:98" ht="34.5" customHeight="1" thickTop="1" thickBot="1">
      <c r="A342" s="586">
        <v>8093</v>
      </c>
      <c r="B342" s="586" t="s">
        <v>198</v>
      </c>
      <c r="C342" s="349"/>
      <c r="D342" s="11"/>
      <c r="E342" s="487"/>
      <c r="F342" s="11"/>
      <c r="G342" s="586">
        <v>180</v>
      </c>
      <c r="H342" s="11">
        <v>5400</v>
      </c>
      <c r="I342" s="11">
        <f>Table6[[#This Row],[مرتب]]/30</f>
        <v>180</v>
      </c>
      <c r="J342" s="11"/>
      <c r="K342" s="143"/>
      <c r="L342" s="11"/>
      <c r="M342" s="143">
        <f>Table6[[#This Row],[مرتب الضمان]]*17%</f>
        <v>0</v>
      </c>
      <c r="N342" s="143">
        <f>' الشركه 2018'!$H342*35%</f>
        <v>1889.9999999999998</v>
      </c>
      <c r="O342" s="143">
        <f>' الشركه 2018'!$H342*32%</f>
        <v>1728</v>
      </c>
      <c r="P342" s="143">
        <f>' الشركه 2018'!$H342*12%</f>
        <v>648</v>
      </c>
      <c r="Q342" s="143">
        <f>' الشركه 2018'!$H342*13%</f>
        <v>702</v>
      </c>
      <c r="R342" s="143"/>
      <c r="S342" s="143"/>
      <c r="T342" s="143"/>
      <c r="U342" s="107">
        <f>VLOOKUP(Table6[[#This Row],[الرقم الوظيفى]],[2]بالخصم!$B$1:$AK$1200,35,)</f>
        <v>0</v>
      </c>
      <c r="V342" s="11"/>
      <c r="W342" s="143"/>
      <c r="X342" s="488"/>
      <c r="Y342" s="189"/>
      <c r="Z342" s="143"/>
      <c r="AA342" s="489"/>
      <c r="AB342" s="242" t="e">
        <f>VLOOKUP(Table6[[#This Row],[الرقم الوظيفى]],[3]!Table25289[#Data],23,)</f>
        <v>#REF!</v>
      </c>
      <c r="AC342" s="500"/>
      <c r="AD342" s="500"/>
      <c r="AE342" s="573" t="e">
        <f>VLOOKUP(Table6[[#This Row],[الرقم الوظيفى]],[3]!Table252894[#Data],22,)</f>
        <v>#REF!</v>
      </c>
      <c r="AF342" s="501"/>
      <c r="AG342" s="575">
        <f>' الشركه 2018'!$W342+' الشركه 2018'!$Z342+' الشركه 2018'!$AA342+' الشركه 2018'!$AC342+' الشركه 2018'!$AD342+' الشركه 2018'!$AF342</f>
        <v>0</v>
      </c>
      <c r="AH342" s="175">
        <f>Table6[[#This Row],[راتب الضمان]]*8%</f>
        <v>0</v>
      </c>
      <c r="AI342" s="576">
        <f>' الشركه 2018'!$H342-' الشركه 2018'!$AG342-' الشركه 2018'!$AH342</f>
        <v>5400</v>
      </c>
      <c r="AJ342" s="575">
        <f>' الشركه 2018'!$CF342</f>
        <v>0</v>
      </c>
      <c r="AK342" s="577">
        <f>' الشركه 2018'!$AI342+' الشركه 2018'!$AJ342</f>
        <v>5400</v>
      </c>
      <c r="AL342" s="502"/>
      <c r="AM342" s="277"/>
      <c r="AN342" s="278">
        <f>Table6[[#This Row],[اجمالى الاستحقاق]]-Table6[[#This Row],[Column2]]+Table6[[#This Row],[حوافز غير مستقره]]</f>
        <v>5400</v>
      </c>
      <c r="AO342" s="257"/>
      <c r="AP342" s="493"/>
      <c r="AQ342" s="124"/>
      <c r="AR342" s="124"/>
      <c r="AS342" s="177"/>
      <c r="AT342" s="494"/>
      <c r="AU342" s="494"/>
      <c r="AV342" s="494"/>
      <c r="AW342" s="494"/>
      <c r="AX342" s="494"/>
      <c r="AY342" s="494"/>
      <c r="AZ342" s="494"/>
      <c r="BA342" s="494"/>
      <c r="BB342" s="494"/>
      <c r="BC342" s="494"/>
      <c r="BD342" s="494"/>
      <c r="BE342" s="494"/>
      <c r="BF342" s="494"/>
      <c r="BG342" s="494"/>
      <c r="BH342" s="495"/>
      <c r="BI342" s="494"/>
      <c r="BJ342" s="495"/>
      <c r="BK342" s="494"/>
      <c r="BL342" s="494"/>
      <c r="BM342" s="496"/>
      <c r="BN342" s="496"/>
      <c r="BO342" s="494"/>
      <c r="BP342" s="496"/>
      <c r="BQ342" s="494"/>
      <c r="BR342" s="496"/>
      <c r="BS342" s="496"/>
      <c r="BT342" s="494"/>
      <c r="BU342" s="494"/>
      <c r="BV342" s="494"/>
      <c r="BW342" s="496"/>
      <c r="BX342" s="496"/>
      <c r="BY342" s="177"/>
      <c r="BZ342" s="177"/>
      <c r="CA342" s="177"/>
      <c r="CB342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2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2" s="166">
        <f>' الشركه 2018'!$H342*67%*1.5*' الشركه 2018'!$CB342/208</f>
        <v>0</v>
      </c>
      <c r="CE342" s="497">
        <f>' الشركه 2018'!$H342*67%*2*' الشركه 2018'!$CC342/208</f>
        <v>0</v>
      </c>
      <c r="CF342" s="497">
        <f>' الشركه 2018'!$CD342+' الشركه 2018'!$CE342</f>
        <v>0</v>
      </c>
      <c r="CG342" s="124"/>
      <c r="CH342" s="177"/>
      <c r="CI342" s="124"/>
      <c r="CJ342" s="162"/>
      <c r="CK342" s="162"/>
      <c r="CL342" s="177"/>
      <c r="CM342" s="162"/>
      <c r="CN342" s="162"/>
      <c r="CO342" s="162"/>
      <c r="CP342" s="498"/>
      <c r="CQ342" s="162" t="e">
        <f>VLOOKUP(Table6[[#This Row],[الرقم الوظيفى]],[4]!Table3[#Data],26,FALSE)</f>
        <v>#REF!</v>
      </c>
    </row>
    <row r="343" spans="1:98" ht="34.5" customHeight="1" thickTop="1" thickBot="1">
      <c r="A343" s="587">
        <v>8095</v>
      </c>
      <c r="B343" s="586" t="s">
        <v>787</v>
      </c>
      <c r="C343" s="349"/>
      <c r="D343" s="11"/>
      <c r="E343" s="487"/>
      <c r="F343" s="11"/>
      <c r="G343" s="586">
        <v>150</v>
      </c>
      <c r="H343" s="11">
        <v>4500</v>
      </c>
      <c r="I343" s="11">
        <f>Table6[[#This Row],[مرتب]]/30</f>
        <v>150</v>
      </c>
      <c r="J343" s="11"/>
      <c r="K343" s="143"/>
      <c r="L343" s="11"/>
      <c r="M343" s="143">
        <f>Table6[[#This Row],[مرتب الضمان]]*17%</f>
        <v>0</v>
      </c>
      <c r="N343" s="143">
        <f>' الشركه 2018'!$H343*35%</f>
        <v>1575</v>
      </c>
      <c r="O343" s="143">
        <f>' الشركه 2018'!$H343*32%</f>
        <v>1440</v>
      </c>
      <c r="P343" s="143">
        <f>' الشركه 2018'!$H343*12%</f>
        <v>540</v>
      </c>
      <c r="Q343" s="143">
        <f>' الشركه 2018'!$H343*13%</f>
        <v>585</v>
      </c>
      <c r="R343" s="143"/>
      <c r="S343" s="143"/>
      <c r="T343" s="143"/>
      <c r="U343" s="107">
        <f>VLOOKUP(Table6[[#This Row],[الرقم الوظيفى]],[2]بالخصم!$B$1:$AK$1200,35,)</f>
        <v>0</v>
      </c>
      <c r="V343" s="11"/>
      <c r="W343" s="143"/>
      <c r="X343" s="488"/>
      <c r="Y343" s="189"/>
      <c r="Z343" s="143"/>
      <c r="AA343" s="489"/>
      <c r="AB343" s="242" t="e">
        <f>VLOOKUP(Table6[[#This Row],[الرقم الوظيفى]],[3]!Table25289[#Data],23,)</f>
        <v>#REF!</v>
      </c>
      <c r="AC343" s="500"/>
      <c r="AD343" s="500"/>
      <c r="AE343" s="573" t="e">
        <f>VLOOKUP(Table6[[#This Row],[الرقم الوظيفى]],[3]!Table252894[#Data],22,)</f>
        <v>#REF!</v>
      </c>
      <c r="AF343" s="501"/>
      <c r="AG343" s="575">
        <f>' الشركه 2018'!$W343+' الشركه 2018'!$Z343+' الشركه 2018'!$AA343+' الشركه 2018'!$AC343+' الشركه 2018'!$AD343+' الشركه 2018'!$AF343</f>
        <v>0</v>
      </c>
      <c r="AH343" s="175">
        <f>Table6[[#This Row],[راتب الضمان]]*8%</f>
        <v>0</v>
      </c>
      <c r="AI343" s="576">
        <f>' الشركه 2018'!$H343-' الشركه 2018'!$AG343-' الشركه 2018'!$AH343</f>
        <v>4500</v>
      </c>
      <c r="AJ343" s="575">
        <f>' الشركه 2018'!$CF343</f>
        <v>0</v>
      </c>
      <c r="AK343" s="577">
        <f>' الشركه 2018'!$AI343+' الشركه 2018'!$AJ343</f>
        <v>4500</v>
      </c>
      <c r="AL343" s="578"/>
      <c r="AM343" s="277"/>
      <c r="AN343" s="579">
        <f>Table6[[#This Row],[اجمالى الاستحقاق]]-Table6[[#This Row],[Column2]]+Table6[[#This Row],[حوافز غير مستقره]]</f>
        <v>4500</v>
      </c>
      <c r="AO343" s="257"/>
      <c r="AP343" s="493"/>
      <c r="AQ343" s="124"/>
      <c r="AR343" s="124"/>
      <c r="AS343" s="177"/>
      <c r="AT343" s="494"/>
      <c r="AU343" s="494"/>
      <c r="AV343" s="494"/>
      <c r="AW343" s="494"/>
      <c r="AX343" s="494"/>
      <c r="AY343" s="494"/>
      <c r="AZ343" s="494"/>
      <c r="BA343" s="494"/>
      <c r="BB343" s="494"/>
      <c r="BC343" s="494"/>
      <c r="BD343" s="494"/>
      <c r="BE343" s="494"/>
      <c r="BF343" s="494"/>
      <c r="BG343" s="494"/>
      <c r="BH343" s="495"/>
      <c r="BI343" s="494"/>
      <c r="BJ343" s="495"/>
      <c r="BK343" s="494"/>
      <c r="BL343" s="494"/>
      <c r="BM343" s="496"/>
      <c r="BN343" s="496"/>
      <c r="BO343" s="494"/>
      <c r="BP343" s="496"/>
      <c r="BQ343" s="494"/>
      <c r="BR343" s="496"/>
      <c r="BS343" s="496"/>
      <c r="BT343" s="494"/>
      <c r="BU343" s="494"/>
      <c r="BV343" s="494"/>
      <c r="BW343" s="496"/>
      <c r="BX343" s="496"/>
      <c r="BY343" s="177"/>
      <c r="BZ343" s="177"/>
      <c r="CA343" s="177"/>
      <c r="CB343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3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3" s="166">
        <f>' الشركه 2018'!$H343*67%*1.5*' الشركه 2018'!$CB343/208</f>
        <v>0</v>
      </c>
      <c r="CE343" s="497">
        <f>' الشركه 2018'!$H343*67%*2*' الشركه 2018'!$CC343/208</f>
        <v>0</v>
      </c>
      <c r="CF343" s="497">
        <f>' الشركه 2018'!$CD343+' الشركه 2018'!$CE343</f>
        <v>0</v>
      </c>
      <c r="CG343" s="124"/>
      <c r="CH343" s="177"/>
      <c r="CI343" s="124"/>
      <c r="CJ343" s="162"/>
      <c r="CK343" s="162"/>
      <c r="CL343" s="177"/>
      <c r="CM343" s="162"/>
      <c r="CN343" s="162"/>
      <c r="CO343" s="162"/>
      <c r="CP343" s="498"/>
      <c r="CQ343" s="162" t="e">
        <f>VLOOKUP(Table6[[#This Row],[الرقم الوظيفى]],[4]!Table3[#Data],26,FALSE)</f>
        <v>#REF!</v>
      </c>
    </row>
    <row r="344" spans="1:98" ht="34.5" customHeight="1" thickTop="1" thickBot="1">
      <c r="A344" s="587">
        <v>8094</v>
      </c>
      <c r="B344" s="586" t="s">
        <v>788</v>
      </c>
      <c r="C344" s="349"/>
      <c r="D344" s="11"/>
      <c r="E344" s="487"/>
      <c r="F344" s="11"/>
      <c r="G344" s="586">
        <v>150</v>
      </c>
      <c r="H344" s="11">
        <v>4500</v>
      </c>
      <c r="I344" s="11">
        <f>Table6[[#This Row],[مرتب]]/30</f>
        <v>150</v>
      </c>
      <c r="J344" s="11"/>
      <c r="K344" s="143"/>
      <c r="L344" s="11"/>
      <c r="M344" s="143">
        <f>Table6[[#This Row],[مرتب الضمان]]*17%</f>
        <v>0</v>
      </c>
      <c r="N344" s="143">
        <f>' الشركه 2018'!$H344*35%</f>
        <v>1575</v>
      </c>
      <c r="O344" s="143">
        <f>' الشركه 2018'!$H344*32%</f>
        <v>1440</v>
      </c>
      <c r="P344" s="143">
        <f>' الشركه 2018'!$H344*12%</f>
        <v>540</v>
      </c>
      <c r="Q344" s="143">
        <f>' الشركه 2018'!$H344*13%</f>
        <v>585</v>
      </c>
      <c r="R344" s="143"/>
      <c r="S344" s="143"/>
      <c r="T344" s="143"/>
      <c r="U344" s="107">
        <f>VLOOKUP(Table6[[#This Row],[الرقم الوظيفى]],[2]بالخصم!$B$1:$AK$1200,35,)</f>
        <v>0</v>
      </c>
      <c r="V344" s="11"/>
      <c r="W344" s="143"/>
      <c r="X344" s="488"/>
      <c r="Y344" s="189"/>
      <c r="Z344" s="143"/>
      <c r="AA344" s="489"/>
      <c r="AB344" s="242" t="e">
        <f>VLOOKUP(Table6[[#This Row],[الرقم الوظيفى]],[3]!Table25289[#Data],23,)</f>
        <v>#REF!</v>
      </c>
      <c r="AC344" s="500"/>
      <c r="AD344" s="500"/>
      <c r="AE344" s="573" t="e">
        <f>VLOOKUP(Table6[[#This Row],[الرقم الوظيفى]],[3]!Table252894[#Data],22,)</f>
        <v>#REF!</v>
      </c>
      <c r="AF344" s="501"/>
      <c r="AG344" s="575">
        <f>' الشركه 2018'!$W344+' الشركه 2018'!$Z344+' الشركه 2018'!$AA344+' الشركه 2018'!$AC344+' الشركه 2018'!$AD344+' الشركه 2018'!$AF344</f>
        <v>0</v>
      </c>
      <c r="AH344" s="175">
        <f>Table6[[#This Row],[راتب الضمان]]*8%</f>
        <v>0</v>
      </c>
      <c r="AI344" s="576">
        <f>' الشركه 2018'!$H344-' الشركه 2018'!$AG344-' الشركه 2018'!$AH344</f>
        <v>4500</v>
      </c>
      <c r="AJ344" s="575">
        <f>' الشركه 2018'!$CF344</f>
        <v>0</v>
      </c>
      <c r="AK344" s="577">
        <f>' الشركه 2018'!$AI344+' الشركه 2018'!$AJ344</f>
        <v>4500</v>
      </c>
      <c r="AL344" s="578"/>
      <c r="AM344" s="277"/>
      <c r="AN344" s="579">
        <f>Table6[[#This Row],[اجمالى الاستحقاق]]-Table6[[#This Row],[Column2]]+Table6[[#This Row],[حوافز غير مستقره]]</f>
        <v>4500</v>
      </c>
      <c r="AO344" s="257"/>
      <c r="AP344" s="493"/>
      <c r="AQ344" s="124"/>
      <c r="AR344" s="124"/>
      <c r="AS344" s="177"/>
      <c r="AT344" s="494"/>
      <c r="AU344" s="494"/>
      <c r="AV344" s="494"/>
      <c r="AW344" s="494"/>
      <c r="AX344" s="494"/>
      <c r="AY344" s="494"/>
      <c r="AZ344" s="494"/>
      <c r="BA344" s="494"/>
      <c r="BB344" s="494"/>
      <c r="BC344" s="494"/>
      <c r="BD344" s="494"/>
      <c r="BE344" s="494"/>
      <c r="BF344" s="494"/>
      <c r="BG344" s="494"/>
      <c r="BH344" s="495"/>
      <c r="BI344" s="494"/>
      <c r="BJ344" s="495"/>
      <c r="BK344" s="494"/>
      <c r="BL344" s="494"/>
      <c r="BM344" s="496"/>
      <c r="BN344" s="496"/>
      <c r="BO344" s="494"/>
      <c r="BP344" s="496"/>
      <c r="BQ344" s="494"/>
      <c r="BR344" s="496"/>
      <c r="BS344" s="496"/>
      <c r="BT344" s="494"/>
      <c r="BU344" s="494"/>
      <c r="BV344" s="494"/>
      <c r="BW344" s="496"/>
      <c r="BX344" s="496"/>
      <c r="BY344" s="177"/>
      <c r="BZ344" s="177"/>
      <c r="CA344" s="177"/>
      <c r="CB344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4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4" s="166">
        <f>' الشركه 2018'!$H344*67%*1.5*' الشركه 2018'!$CB344/208</f>
        <v>0</v>
      </c>
      <c r="CE344" s="497">
        <f>' الشركه 2018'!$H344*67%*2*' الشركه 2018'!$CC344/208</f>
        <v>0</v>
      </c>
      <c r="CF344" s="497">
        <f>' الشركه 2018'!$CD344+' الشركه 2018'!$CE344</f>
        <v>0</v>
      </c>
      <c r="CG344" s="124"/>
      <c r="CH344" s="177"/>
      <c r="CI344" s="124"/>
      <c r="CJ344" s="162"/>
      <c r="CK344" s="162"/>
      <c r="CL344" s="177"/>
      <c r="CM344" s="162"/>
      <c r="CN344" s="162"/>
      <c r="CO344" s="162"/>
      <c r="CP344" s="498"/>
      <c r="CQ344" s="162" t="e">
        <f>VLOOKUP(Table6[[#This Row],[الرقم الوظيفى]],[4]!Table3[#Data],26,FALSE)</f>
        <v>#REF!</v>
      </c>
    </row>
    <row r="345" spans="1:98" ht="34.5" customHeight="1" thickTop="1" thickBot="1">
      <c r="A345" s="587">
        <v>8100</v>
      </c>
      <c r="B345" s="586" t="s">
        <v>789</v>
      </c>
      <c r="C345" s="349"/>
      <c r="D345" s="11"/>
      <c r="E345" s="487"/>
      <c r="F345" s="11"/>
      <c r="G345" s="586">
        <v>125</v>
      </c>
      <c r="H345" s="11">
        <v>3750</v>
      </c>
      <c r="I345" s="11">
        <f>Table6[[#This Row],[مرتب]]/30</f>
        <v>125</v>
      </c>
      <c r="J345" s="11"/>
      <c r="K345" s="143"/>
      <c r="L345" s="11"/>
      <c r="M345" s="143">
        <f>Table6[[#This Row],[مرتب الضمان]]*17%</f>
        <v>0</v>
      </c>
      <c r="N345" s="143">
        <f>' الشركه 2018'!$H345*35%</f>
        <v>1312.5</v>
      </c>
      <c r="O345" s="143">
        <f>' الشركه 2018'!$H345*32%</f>
        <v>1200</v>
      </c>
      <c r="P345" s="143">
        <f>' الشركه 2018'!$H345*12%</f>
        <v>450</v>
      </c>
      <c r="Q345" s="143">
        <f>' الشركه 2018'!$H345*13%</f>
        <v>487.5</v>
      </c>
      <c r="R345" s="143"/>
      <c r="S345" s="143"/>
      <c r="T345" s="143"/>
      <c r="U345" s="107">
        <f>VLOOKUP(Table6[[#This Row],[الرقم الوظيفى]],[2]بالخصم!$B$1:$AK$1200,35,)</f>
        <v>0</v>
      </c>
      <c r="V345" s="11"/>
      <c r="W345" s="143"/>
      <c r="X345" s="488"/>
      <c r="Y345" s="189"/>
      <c r="Z345" s="143"/>
      <c r="AA345" s="489"/>
      <c r="AB345" s="242" t="e">
        <f>VLOOKUP(Table6[[#This Row],[الرقم الوظيفى]],[3]!Table25289[#Data],23,)</f>
        <v>#REF!</v>
      </c>
      <c r="AC345" s="500"/>
      <c r="AD345" s="500"/>
      <c r="AE345" s="573" t="e">
        <f>VLOOKUP(Table6[[#This Row],[الرقم الوظيفى]],[3]!Table252894[#Data],22,)</f>
        <v>#REF!</v>
      </c>
      <c r="AF345" s="501"/>
      <c r="AG345" s="575">
        <f>' الشركه 2018'!$W345+' الشركه 2018'!$Z345+' الشركه 2018'!$AA345+' الشركه 2018'!$AC345+' الشركه 2018'!$AD345+' الشركه 2018'!$AF345</f>
        <v>0</v>
      </c>
      <c r="AH345" s="175">
        <f>Table6[[#This Row],[راتب الضمان]]*8%</f>
        <v>0</v>
      </c>
      <c r="AI345" s="576">
        <f>' الشركه 2018'!$H345-' الشركه 2018'!$AG345-' الشركه 2018'!$AH345</f>
        <v>3750</v>
      </c>
      <c r="AJ345" s="575">
        <f>' الشركه 2018'!$CF345</f>
        <v>0</v>
      </c>
      <c r="AK345" s="577">
        <f>' الشركه 2018'!$AI345+' الشركه 2018'!$AJ345</f>
        <v>3750</v>
      </c>
      <c r="AL345" s="578"/>
      <c r="AM345" s="277"/>
      <c r="AN345" s="579">
        <f>Table6[[#This Row],[اجمالى الاستحقاق]]-Table6[[#This Row],[Column2]]+Table6[[#This Row],[حوافز غير مستقره]]</f>
        <v>3750</v>
      </c>
      <c r="AO345" s="257"/>
      <c r="AP345" s="493"/>
      <c r="AQ345" s="124"/>
      <c r="AR345" s="124"/>
      <c r="AS345" s="177"/>
      <c r="AT345" s="494"/>
      <c r="AU345" s="494"/>
      <c r="AV345" s="494"/>
      <c r="AW345" s="494"/>
      <c r="AX345" s="494"/>
      <c r="AY345" s="494"/>
      <c r="AZ345" s="494"/>
      <c r="BA345" s="494"/>
      <c r="BB345" s="494"/>
      <c r="BC345" s="494"/>
      <c r="BD345" s="494"/>
      <c r="BE345" s="494"/>
      <c r="BF345" s="494"/>
      <c r="BG345" s="494"/>
      <c r="BH345" s="495"/>
      <c r="BI345" s="494"/>
      <c r="BJ345" s="495"/>
      <c r="BK345" s="494"/>
      <c r="BL345" s="494"/>
      <c r="BM345" s="496"/>
      <c r="BN345" s="496"/>
      <c r="BO345" s="494"/>
      <c r="BP345" s="496"/>
      <c r="BQ345" s="494"/>
      <c r="BR345" s="496"/>
      <c r="BS345" s="496"/>
      <c r="BT345" s="494"/>
      <c r="BU345" s="494"/>
      <c r="BV345" s="494"/>
      <c r="BW345" s="496"/>
      <c r="BX345" s="496"/>
      <c r="BY345" s="177"/>
      <c r="BZ345" s="177"/>
      <c r="CA345" s="177"/>
      <c r="CB345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5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5" s="166">
        <f>' الشركه 2018'!$H345*67%*1.5*' الشركه 2018'!$CB345/208</f>
        <v>0</v>
      </c>
      <c r="CE345" s="497">
        <f>' الشركه 2018'!$H345*67%*2*' الشركه 2018'!$CC345/208</f>
        <v>0</v>
      </c>
      <c r="CF345" s="497">
        <f>' الشركه 2018'!$CD345+' الشركه 2018'!$CE345</f>
        <v>0</v>
      </c>
      <c r="CG345" s="124"/>
      <c r="CH345" s="177"/>
      <c r="CI345" s="124"/>
      <c r="CJ345" s="162"/>
      <c r="CK345" s="162"/>
      <c r="CL345" s="177"/>
      <c r="CM345" s="162"/>
      <c r="CN345" s="162"/>
      <c r="CO345" s="162"/>
      <c r="CP345" s="498"/>
      <c r="CQ345" s="162" t="e">
        <f>VLOOKUP(Table6[[#This Row],[الرقم الوظيفى]],[4]!Table3[#Data],26,FALSE)</f>
        <v>#REF!</v>
      </c>
    </row>
    <row r="346" spans="1:98" ht="34.5" customHeight="1" thickTop="1" thickBot="1">
      <c r="A346" s="587">
        <v>8096</v>
      </c>
      <c r="B346" s="586" t="s">
        <v>790</v>
      </c>
      <c r="C346" s="349"/>
      <c r="D346" s="11"/>
      <c r="E346" s="487"/>
      <c r="F346" s="11"/>
      <c r="G346" s="586">
        <v>150</v>
      </c>
      <c r="H346" s="11">
        <v>4500</v>
      </c>
      <c r="I346" s="11">
        <f>Table6[[#This Row],[مرتب]]/30</f>
        <v>150</v>
      </c>
      <c r="J346" s="11"/>
      <c r="K346" s="143"/>
      <c r="L346" s="11"/>
      <c r="M346" s="143">
        <f>Table6[[#This Row],[مرتب الضمان]]*17%</f>
        <v>0</v>
      </c>
      <c r="N346" s="143">
        <f>' الشركه 2018'!$H346*35%</f>
        <v>1575</v>
      </c>
      <c r="O346" s="143">
        <f>' الشركه 2018'!$H346*32%</f>
        <v>1440</v>
      </c>
      <c r="P346" s="143">
        <f>' الشركه 2018'!$H346*12%</f>
        <v>540</v>
      </c>
      <c r="Q346" s="143">
        <f>' الشركه 2018'!$H346*13%</f>
        <v>585</v>
      </c>
      <c r="R346" s="143"/>
      <c r="S346" s="143"/>
      <c r="T346" s="143"/>
      <c r="U346" s="107">
        <f>VLOOKUP(Table6[[#This Row],[الرقم الوظيفى]],[2]بالخصم!$B$1:$AK$1200,35,)</f>
        <v>0</v>
      </c>
      <c r="V346" s="11"/>
      <c r="W346" s="143"/>
      <c r="X346" s="488"/>
      <c r="Y346" s="189"/>
      <c r="Z346" s="143"/>
      <c r="AA346" s="489"/>
      <c r="AB346" s="242" t="e">
        <f>VLOOKUP(Table6[[#This Row],[الرقم الوظيفى]],[3]!Table25289[#Data],23,)</f>
        <v>#REF!</v>
      </c>
      <c r="AC346" s="500"/>
      <c r="AD346" s="500"/>
      <c r="AE346" s="573" t="e">
        <f>VLOOKUP(Table6[[#This Row],[الرقم الوظيفى]],[3]!Table252894[#Data],22,)</f>
        <v>#REF!</v>
      </c>
      <c r="AF346" s="501"/>
      <c r="AG346" s="575">
        <f>' الشركه 2018'!$W346+' الشركه 2018'!$Z346+' الشركه 2018'!$AA346+' الشركه 2018'!$AC346+' الشركه 2018'!$AD346+' الشركه 2018'!$AF346</f>
        <v>0</v>
      </c>
      <c r="AH346" s="175">
        <f>Table6[[#This Row],[راتب الضمان]]*8%</f>
        <v>0</v>
      </c>
      <c r="AI346" s="576">
        <f>' الشركه 2018'!$H346-' الشركه 2018'!$AG346-' الشركه 2018'!$AH346</f>
        <v>4500</v>
      </c>
      <c r="AJ346" s="575">
        <f>' الشركه 2018'!$CF346</f>
        <v>0</v>
      </c>
      <c r="AK346" s="577">
        <f>' الشركه 2018'!$AI346+' الشركه 2018'!$AJ346</f>
        <v>4500</v>
      </c>
      <c r="AL346" s="578"/>
      <c r="AM346" s="277"/>
      <c r="AN346" s="579">
        <f>Table6[[#This Row],[اجمالى الاستحقاق]]-Table6[[#This Row],[Column2]]+Table6[[#This Row],[حوافز غير مستقره]]</f>
        <v>4500</v>
      </c>
      <c r="AO346" s="257"/>
      <c r="AP346" s="493"/>
      <c r="AQ346" s="124"/>
      <c r="AR346" s="124"/>
      <c r="AS346" s="177"/>
      <c r="AT346" s="494"/>
      <c r="AU346" s="494"/>
      <c r="AV346" s="494"/>
      <c r="AW346" s="494"/>
      <c r="AX346" s="494"/>
      <c r="AY346" s="494"/>
      <c r="AZ346" s="494"/>
      <c r="BA346" s="494"/>
      <c r="BB346" s="494"/>
      <c r="BC346" s="494"/>
      <c r="BD346" s="494"/>
      <c r="BE346" s="494"/>
      <c r="BF346" s="494"/>
      <c r="BG346" s="494"/>
      <c r="BH346" s="495"/>
      <c r="BI346" s="494"/>
      <c r="BJ346" s="495"/>
      <c r="BK346" s="494"/>
      <c r="BL346" s="494"/>
      <c r="BM346" s="496"/>
      <c r="BN346" s="496"/>
      <c r="BO346" s="494"/>
      <c r="BP346" s="496"/>
      <c r="BQ346" s="494"/>
      <c r="BR346" s="496"/>
      <c r="BS346" s="496"/>
      <c r="BT346" s="494"/>
      <c r="BU346" s="494"/>
      <c r="BV346" s="494"/>
      <c r="BW346" s="496"/>
      <c r="BX346" s="496"/>
      <c r="BY346" s="177"/>
      <c r="BZ346" s="177"/>
      <c r="CA346" s="177"/>
      <c r="CB346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6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6" s="166">
        <f>' الشركه 2018'!$H346*67%*1.5*' الشركه 2018'!$CB346/208</f>
        <v>0</v>
      </c>
      <c r="CE346" s="497">
        <f>' الشركه 2018'!$H346*67%*2*' الشركه 2018'!$CC346/208</f>
        <v>0</v>
      </c>
      <c r="CF346" s="497">
        <f>' الشركه 2018'!$CD346+' الشركه 2018'!$CE346</f>
        <v>0</v>
      </c>
      <c r="CG346" s="124"/>
      <c r="CH346" s="177"/>
      <c r="CI346" s="124"/>
      <c r="CJ346" s="162"/>
      <c r="CK346" s="162"/>
      <c r="CL346" s="177"/>
      <c r="CM346" s="162"/>
      <c r="CN346" s="162"/>
      <c r="CO346" s="162"/>
      <c r="CP346" s="498"/>
      <c r="CQ346" s="162" t="e">
        <f>VLOOKUP(Table6[[#This Row],[الرقم الوظيفى]],[4]!Table3[#Data],26,FALSE)</f>
        <v>#REF!</v>
      </c>
    </row>
    <row r="347" spans="1:98" ht="34.5" customHeight="1" thickTop="1" thickBot="1">
      <c r="A347" s="587">
        <v>8099</v>
      </c>
      <c r="B347" s="586" t="s">
        <v>791</v>
      </c>
      <c r="C347" s="474"/>
      <c r="D347" s="417"/>
      <c r="E347" s="479"/>
      <c r="F347" s="417"/>
      <c r="G347" s="587">
        <v>150</v>
      </c>
      <c r="H347" s="417">
        <v>4500</v>
      </c>
      <c r="I347" s="417">
        <f>Table6[[#This Row],[مرتب]]/30</f>
        <v>150</v>
      </c>
      <c r="J347" s="417"/>
      <c r="K347" s="394"/>
      <c r="L347" s="417"/>
      <c r="M347" s="394">
        <f>Table6[[#This Row],[مرتب الضمان]]*17%</f>
        <v>0</v>
      </c>
      <c r="N347" s="394">
        <f>' الشركه 2018'!$H347*35%</f>
        <v>1575</v>
      </c>
      <c r="O347" s="394">
        <f>' الشركه 2018'!$H347*32%</f>
        <v>1440</v>
      </c>
      <c r="P347" s="394">
        <f>' الشركه 2018'!$H347*12%</f>
        <v>540</v>
      </c>
      <c r="Q347" s="394">
        <f>' الشركه 2018'!$H347*13%</f>
        <v>585</v>
      </c>
      <c r="R347" s="394"/>
      <c r="S347" s="394"/>
      <c r="T347" s="394"/>
      <c r="U347" s="450">
        <f>VLOOKUP(Table6[[#This Row],[الرقم الوظيفى]],[2]بالخصم!$B$1:$AK$1200,35,)</f>
        <v>0</v>
      </c>
      <c r="V347" s="417"/>
      <c r="W347" s="394"/>
      <c r="X347" s="480"/>
      <c r="Y347" s="419"/>
      <c r="Z347" s="394"/>
      <c r="AA347" s="481"/>
      <c r="AB347" s="583" t="e">
        <f>VLOOKUP(Table6[[#This Row],[الرقم الوظيفى]],[3]!Table25289[#Data],23,)</f>
        <v>#REF!</v>
      </c>
      <c r="AC347" s="512"/>
      <c r="AD347" s="512"/>
      <c r="AE347" s="573" t="e">
        <f>VLOOKUP(Table6[[#This Row],[الرقم الوظيفى]],[3]!Table252894[#Data],22,)</f>
        <v>#REF!</v>
      </c>
      <c r="AF347" s="513"/>
      <c r="AG347" s="456">
        <f>' الشركه 2018'!$W347+' الشركه 2018'!$Z347+' الشركه 2018'!$AA347+' الشركه 2018'!$AC347+' الشركه 2018'!$AD347+' الشركه 2018'!$AF347</f>
        <v>0</v>
      </c>
      <c r="AH347" s="584">
        <f>Table6[[#This Row],[راتب الضمان]]*8%</f>
        <v>0</v>
      </c>
      <c r="AI347" s="491">
        <f>' الشركه 2018'!$H347-' الشركه 2018'!$AG347-' الشركه 2018'!$AH347</f>
        <v>4500</v>
      </c>
      <c r="AJ347" s="456">
        <f>' الشركه 2018'!$CF347</f>
        <v>0</v>
      </c>
      <c r="AK347" s="502">
        <f>' الشركه 2018'!$AI347+' الشركه 2018'!$AJ347</f>
        <v>4500</v>
      </c>
      <c r="AL347" s="578"/>
      <c r="AM347" s="277"/>
      <c r="AN347" s="579">
        <f>Table6[[#This Row],[اجمالى الاستحقاق]]-Table6[[#This Row],[Column2]]+Table6[[#This Row],[حوافز غير مستقره]]</f>
        <v>4500</v>
      </c>
      <c r="AO347" s="407"/>
      <c r="AP347" s="482"/>
      <c r="AQ347" s="359"/>
      <c r="AR347" s="359"/>
      <c r="AS347" s="413"/>
      <c r="AT347" s="483"/>
      <c r="AU347" s="483"/>
      <c r="AV347" s="483"/>
      <c r="AW347" s="483"/>
      <c r="AX347" s="483"/>
      <c r="AY347" s="483"/>
      <c r="AZ347" s="483"/>
      <c r="BA347" s="483"/>
      <c r="BB347" s="483"/>
      <c r="BC347" s="483"/>
      <c r="BD347" s="483"/>
      <c r="BE347" s="483"/>
      <c r="BF347" s="483"/>
      <c r="BG347" s="483"/>
      <c r="BH347" s="484"/>
      <c r="BI347" s="483"/>
      <c r="BJ347" s="484"/>
      <c r="BK347" s="483"/>
      <c r="BL347" s="483"/>
      <c r="BM347" s="485"/>
      <c r="BN347" s="485"/>
      <c r="BO347" s="483"/>
      <c r="BP347" s="485"/>
      <c r="BQ347" s="483"/>
      <c r="BR347" s="485"/>
      <c r="BS347" s="485"/>
      <c r="BT347" s="483"/>
      <c r="BU347" s="483"/>
      <c r="BV347" s="483"/>
      <c r="BW347" s="485"/>
      <c r="BX347" s="485"/>
      <c r="BY347" s="413"/>
      <c r="BZ347" s="413"/>
      <c r="CA347" s="413"/>
      <c r="CB347" s="51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7" s="585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7" s="166">
        <f>' الشركه 2018'!$H347*67%*1.5*' الشركه 2018'!$CB347/208</f>
        <v>0</v>
      </c>
      <c r="CE347" s="515">
        <f>' الشركه 2018'!$H347*67%*2*' الشركه 2018'!$CC347/208</f>
        <v>0</v>
      </c>
      <c r="CF347" s="515">
        <f>' الشركه 2018'!$CD347+' الشركه 2018'!$CE347</f>
        <v>0</v>
      </c>
      <c r="CG347" s="359"/>
      <c r="CH347" s="413"/>
      <c r="CI347" s="359"/>
      <c r="CJ347" s="414"/>
      <c r="CK347" s="414"/>
      <c r="CL347" s="413"/>
      <c r="CM347" s="414"/>
      <c r="CN347" s="414"/>
      <c r="CO347" s="414"/>
      <c r="CP347" s="460"/>
      <c r="CQ347" s="414" t="e">
        <f>VLOOKUP(Table6[[#This Row],[الرقم الوظيفى]],[4]!Table3[#Data],26,FALSE)</f>
        <v>#REF!</v>
      </c>
    </row>
    <row r="348" spans="1:98" ht="34.5" customHeight="1" thickTop="1" thickBot="1">
      <c r="A348" s="587">
        <v>8102</v>
      </c>
      <c r="B348" s="586" t="s">
        <v>792</v>
      </c>
      <c r="C348" s="349"/>
      <c r="D348" s="11"/>
      <c r="E348" s="487"/>
      <c r="F348" s="11"/>
      <c r="G348" s="510">
        <v>180</v>
      </c>
      <c r="H348" s="11">
        <v>5400</v>
      </c>
      <c r="I348" s="11">
        <f>Table6[[#This Row],[مرتب]]/30</f>
        <v>180</v>
      </c>
      <c r="J348" s="11"/>
      <c r="K348" s="143"/>
      <c r="L348" s="11"/>
      <c r="M348" s="143">
        <f>Table6[[#This Row],[مرتب الضمان]]*17%</f>
        <v>0</v>
      </c>
      <c r="N348" s="143">
        <f>' الشركه 2018'!$H348*35%</f>
        <v>1889.9999999999998</v>
      </c>
      <c r="O348" s="143">
        <f>' الشركه 2018'!$H348*32%</f>
        <v>1728</v>
      </c>
      <c r="P348" s="143">
        <f>' الشركه 2018'!$H348*12%</f>
        <v>648</v>
      </c>
      <c r="Q348" s="143">
        <f>' الشركه 2018'!$H348*13%</f>
        <v>702</v>
      </c>
      <c r="R348" s="143"/>
      <c r="S348" s="143"/>
      <c r="T348" s="143"/>
      <c r="U348" s="107">
        <f>VLOOKUP(Table6[[#This Row],[الرقم الوظيفى]],[2]بالخصم!$B$1:$AK$1200,35,)</f>
        <v>0</v>
      </c>
      <c r="V348" s="11"/>
      <c r="W348" s="143"/>
      <c r="X348" s="488"/>
      <c r="Y348" s="189"/>
      <c r="Z348" s="143"/>
      <c r="AA348" s="489"/>
      <c r="AB348" s="242" t="e">
        <f>VLOOKUP(Table6[[#This Row],[الرقم الوظيفى]],[3]!Table25289[#Data],23,)</f>
        <v>#REF!</v>
      </c>
      <c r="AC348" s="500"/>
      <c r="AD348" s="500"/>
      <c r="AE348" s="573" t="e">
        <f>VLOOKUP(Table6[[#This Row],[الرقم الوظيفى]],[3]!Table252894[#Data],22,)</f>
        <v>#REF!</v>
      </c>
      <c r="AF348" s="501"/>
      <c r="AG348" s="575">
        <f>' الشركه 2018'!$W348+' الشركه 2018'!$Z348+' الشركه 2018'!$AA348+' الشركه 2018'!$AC348+' الشركه 2018'!$AD348+' الشركه 2018'!$AF348</f>
        <v>0</v>
      </c>
      <c r="AH348" s="175">
        <f>Table6[[#This Row],[راتب الضمان]]*8%</f>
        <v>0</v>
      </c>
      <c r="AI348" s="576">
        <f>' الشركه 2018'!$H348-' الشركه 2018'!$AG348-' الشركه 2018'!$AH348</f>
        <v>5400</v>
      </c>
      <c r="AJ348" s="575">
        <f>' الشركه 2018'!$CF348</f>
        <v>0</v>
      </c>
      <c r="AK348" s="577">
        <f>' الشركه 2018'!$AI348+' الشركه 2018'!$AJ348</f>
        <v>5400</v>
      </c>
      <c r="AL348" s="502"/>
      <c r="AM348" s="277"/>
      <c r="AN348" s="278">
        <f>Table6[[#This Row],[اجمالى الاستحقاق]]-Table6[[#This Row],[Column2]]+Table6[[#This Row],[حوافز غير مستقره]]</f>
        <v>5400</v>
      </c>
      <c r="AO348" s="257"/>
      <c r="AP348" s="493"/>
      <c r="AQ348" s="124"/>
      <c r="AR348" s="124"/>
      <c r="AS348" s="177"/>
      <c r="AT348" s="494"/>
      <c r="AU348" s="494"/>
      <c r="AV348" s="494"/>
      <c r="AW348" s="494"/>
      <c r="AX348" s="494"/>
      <c r="AY348" s="494"/>
      <c r="AZ348" s="494"/>
      <c r="BA348" s="494"/>
      <c r="BB348" s="494"/>
      <c r="BC348" s="494"/>
      <c r="BD348" s="494"/>
      <c r="BE348" s="494"/>
      <c r="BF348" s="494"/>
      <c r="BG348" s="494"/>
      <c r="BH348" s="495"/>
      <c r="BI348" s="494"/>
      <c r="BJ348" s="495"/>
      <c r="BK348" s="494"/>
      <c r="BL348" s="494"/>
      <c r="BM348" s="496"/>
      <c r="BN348" s="496"/>
      <c r="BO348" s="494"/>
      <c r="BP348" s="496"/>
      <c r="BQ348" s="494"/>
      <c r="BR348" s="496"/>
      <c r="BS348" s="496"/>
      <c r="BT348" s="494"/>
      <c r="BU348" s="494"/>
      <c r="BV348" s="494"/>
      <c r="BW348" s="496"/>
      <c r="BX348" s="496"/>
      <c r="BY348" s="177"/>
      <c r="BZ348" s="177"/>
      <c r="CA348" s="177"/>
      <c r="CB348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8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8" s="166">
        <f>' الشركه 2018'!$H348*67%*1.5*' الشركه 2018'!$CB348/208</f>
        <v>0</v>
      </c>
      <c r="CE348" s="497">
        <f>' الشركه 2018'!$H348*67%*2*' الشركه 2018'!$CC348/208</f>
        <v>0</v>
      </c>
      <c r="CF348" s="497">
        <f>' الشركه 2018'!$CD348+' الشركه 2018'!$CE348</f>
        <v>0</v>
      </c>
      <c r="CG348" s="124"/>
      <c r="CH348" s="177"/>
      <c r="CI348" s="124"/>
      <c r="CJ348" s="162"/>
      <c r="CK348" s="162"/>
      <c r="CL348" s="177"/>
      <c r="CM348" s="162"/>
      <c r="CN348" s="162"/>
      <c r="CO348" s="162"/>
      <c r="CP348" s="498"/>
      <c r="CQ348" s="162" t="e">
        <f>VLOOKUP(Table6[[#This Row],[الرقم الوظيفى]],[4]!Table3[#Data],26,FALSE)</f>
        <v>#REF!</v>
      </c>
    </row>
    <row r="349" spans="1:98" ht="34.5" customHeight="1" thickTop="1" thickBot="1">
      <c r="A349" s="587">
        <v>8103</v>
      </c>
      <c r="B349" s="586" t="s">
        <v>793</v>
      </c>
      <c r="C349" s="349"/>
      <c r="D349" s="11"/>
      <c r="E349" s="487"/>
      <c r="F349" s="11"/>
      <c r="G349" s="510">
        <v>180</v>
      </c>
      <c r="H349" s="11">
        <v>5400</v>
      </c>
      <c r="I349" s="11">
        <f>Table6[[#This Row],[مرتب]]/30</f>
        <v>180</v>
      </c>
      <c r="J349" s="11"/>
      <c r="K349" s="143"/>
      <c r="L349" s="11"/>
      <c r="M349" s="143">
        <f>Table6[[#This Row],[مرتب الضمان]]*17%</f>
        <v>0</v>
      </c>
      <c r="N349" s="143">
        <f>' الشركه 2018'!$H349*35%</f>
        <v>1889.9999999999998</v>
      </c>
      <c r="O349" s="143">
        <f>' الشركه 2018'!$H349*32%</f>
        <v>1728</v>
      </c>
      <c r="P349" s="143">
        <f>' الشركه 2018'!$H349*12%</f>
        <v>648</v>
      </c>
      <c r="Q349" s="143">
        <f>' الشركه 2018'!$H349*13%</f>
        <v>702</v>
      </c>
      <c r="R349" s="143"/>
      <c r="S349" s="143"/>
      <c r="T349" s="143"/>
      <c r="U349" s="107">
        <f>VLOOKUP(Table6[[#This Row],[الرقم الوظيفى]],[2]بالخصم!$B$1:$AK$1200,35,)</f>
        <v>0</v>
      </c>
      <c r="V349" s="11"/>
      <c r="W349" s="143"/>
      <c r="X349" s="488"/>
      <c r="Y349" s="189"/>
      <c r="Z349" s="143"/>
      <c r="AA349" s="489"/>
      <c r="AB349" s="242" t="e">
        <f>VLOOKUP(Table6[[#This Row],[الرقم الوظيفى]],[3]!Table25289[#Data],23,)</f>
        <v>#REF!</v>
      </c>
      <c r="AC349" s="500"/>
      <c r="AD349" s="500"/>
      <c r="AE349" s="573" t="e">
        <f>VLOOKUP(Table6[[#This Row],[الرقم الوظيفى]],[3]!Table252894[#Data],22,)</f>
        <v>#REF!</v>
      </c>
      <c r="AF349" s="501"/>
      <c r="AG349" s="575">
        <f>' الشركه 2018'!$W349+' الشركه 2018'!$Z349+' الشركه 2018'!$AA349+' الشركه 2018'!$AC349+' الشركه 2018'!$AD349+' الشركه 2018'!$AF349</f>
        <v>0</v>
      </c>
      <c r="AH349" s="175">
        <f>Table6[[#This Row],[راتب الضمان]]*8%</f>
        <v>0</v>
      </c>
      <c r="AI349" s="576">
        <f>' الشركه 2018'!$H349-' الشركه 2018'!$AG349-' الشركه 2018'!$AH349</f>
        <v>5400</v>
      </c>
      <c r="AJ349" s="575">
        <f>' الشركه 2018'!$CF349</f>
        <v>0</v>
      </c>
      <c r="AK349" s="577">
        <f>' الشركه 2018'!$AI349+' الشركه 2018'!$AJ349</f>
        <v>5400</v>
      </c>
      <c r="AL349" s="578"/>
      <c r="AM349" s="277"/>
      <c r="AN349" s="579">
        <f>Table6[[#This Row],[اجمالى الاستحقاق]]-Table6[[#This Row],[Column2]]+Table6[[#This Row],[حوافز غير مستقره]]</f>
        <v>5400</v>
      </c>
      <c r="AO349" s="257"/>
      <c r="AP349" s="493"/>
      <c r="AQ349" s="124"/>
      <c r="AR349" s="124"/>
      <c r="AS349" s="177"/>
      <c r="AT349" s="494"/>
      <c r="AU349" s="494"/>
      <c r="AV349" s="494"/>
      <c r="AW349" s="494"/>
      <c r="AX349" s="494"/>
      <c r="AY349" s="494"/>
      <c r="AZ349" s="494"/>
      <c r="BA349" s="494"/>
      <c r="BB349" s="494"/>
      <c r="BC349" s="494"/>
      <c r="BD349" s="494"/>
      <c r="BE349" s="494"/>
      <c r="BF349" s="494"/>
      <c r="BG349" s="494"/>
      <c r="BH349" s="495"/>
      <c r="BI349" s="494"/>
      <c r="BJ349" s="495"/>
      <c r="BK349" s="494"/>
      <c r="BL349" s="494"/>
      <c r="BM349" s="496"/>
      <c r="BN349" s="496"/>
      <c r="BO349" s="494"/>
      <c r="BP349" s="496"/>
      <c r="BQ349" s="494"/>
      <c r="BR349" s="496"/>
      <c r="BS349" s="496"/>
      <c r="BT349" s="494"/>
      <c r="BU349" s="494"/>
      <c r="BV349" s="494"/>
      <c r="BW349" s="496"/>
      <c r="BX349" s="496"/>
      <c r="BY349" s="177"/>
      <c r="BZ349" s="177"/>
      <c r="CA349" s="177"/>
      <c r="CB349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49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49" s="166">
        <f>' الشركه 2018'!$H349*67%*1.5*' الشركه 2018'!$CB349/208</f>
        <v>0</v>
      </c>
      <c r="CE349" s="497">
        <f>' الشركه 2018'!$H349*67%*2*' الشركه 2018'!$CC349/208</f>
        <v>0</v>
      </c>
      <c r="CF349" s="497">
        <f>' الشركه 2018'!$CD349+' الشركه 2018'!$CE349</f>
        <v>0</v>
      </c>
      <c r="CG349" s="124"/>
      <c r="CH349" s="177"/>
      <c r="CI349" s="124"/>
      <c r="CJ349" s="162"/>
      <c r="CK349" s="162"/>
      <c r="CL349" s="177"/>
      <c r="CM349" s="162"/>
      <c r="CN349" s="162"/>
      <c r="CO349" s="162"/>
      <c r="CP349" s="498"/>
      <c r="CQ349" s="162" t="e">
        <f>VLOOKUP(Table6[[#This Row],[الرقم الوظيفى]],[4]!Table3[#Data],26,FALSE)</f>
        <v>#REF!</v>
      </c>
    </row>
    <row r="350" spans="1:98" ht="34.5" customHeight="1" thickTop="1" thickBot="1">
      <c r="A350" s="587">
        <v>8104</v>
      </c>
      <c r="B350" s="586" t="s">
        <v>794</v>
      </c>
      <c r="C350" s="349"/>
      <c r="D350" s="11"/>
      <c r="E350" s="487"/>
      <c r="F350" s="11"/>
      <c r="G350" s="589">
        <v>140</v>
      </c>
      <c r="H350" s="11">
        <v>4200</v>
      </c>
      <c r="I350" s="11">
        <f>Table6[[#This Row],[مرتب]]/30</f>
        <v>140</v>
      </c>
      <c r="J350" s="11"/>
      <c r="K350" s="143"/>
      <c r="L350" s="11"/>
      <c r="M350" s="143">
        <f>Table6[[#This Row],[مرتب الضمان]]*17%</f>
        <v>0</v>
      </c>
      <c r="N350" s="143">
        <f>' الشركه 2018'!$H350*35%</f>
        <v>1470</v>
      </c>
      <c r="O350" s="143">
        <f>' الشركه 2018'!$H350*32%</f>
        <v>1344</v>
      </c>
      <c r="P350" s="143">
        <f>' الشركه 2018'!$H350*12%</f>
        <v>504</v>
      </c>
      <c r="Q350" s="143">
        <f>' الشركه 2018'!$H350*13%</f>
        <v>546</v>
      </c>
      <c r="R350" s="143"/>
      <c r="S350" s="143"/>
      <c r="T350" s="143"/>
      <c r="U350" s="107">
        <f>VLOOKUP(Table6[[#This Row],[الرقم الوظيفى]],[2]بالخصم!$B$1:$AK$1200,35,)</f>
        <v>3</v>
      </c>
      <c r="V350" s="11"/>
      <c r="W350" s="143"/>
      <c r="X350" s="488"/>
      <c r="Y350" s="189"/>
      <c r="Z350" s="143"/>
      <c r="AA350" s="489"/>
      <c r="AB350" s="242" t="e">
        <f>VLOOKUP(Table6[[#This Row],[الرقم الوظيفى]],[3]!Table25289[#Data],23,)</f>
        <v>#REF!</v>
      </c>
      <c r="AC350" s="500"/>
      <c r="AD350" s="500"/>
      <c r="AE350" s="573" t="e">
        <f>VLOOKUP(Table6[[#This Row],[الرقم الوظيفى]],[3]!Table252894[#Data],22,)</f>
        <v>#REF!</v>
      </c>
      <c r="AF350" s="501"/>
      <c r="AG350" s="575">
        <f>' الشركه 2018'!$W350+' الشركه 2018'!$Z350+' الشركه 2018'!$AA350+' الشركه 2018'!$AC350+' الشركه 2018'!$AD350+' الشركه 2018'!$AF350</f>
        <v>0</v>
      </c>
      <c r="AH350" s="175">
        <f>Table6[[#This Row],[راتب الضمان]]*8%</f>
        <v>0</v>
      </c>
      <c r="AI350" s="576">
        <f>' الشركه 2018'!$H350-' الشركه 2018'!$AG350-' الشركه 2018'!$AH350</f>
        <v>4200</v>
      </c>
      <c r="AJ350" s="575">
        <f>' الشركه 2018'!$CF350</f>
        <v>0</v>
      </c>
      <c r="AK350" s="577">
        <f>' الشركه 2018'!$AI350+' الشركه 2018'!$AJ350</f>
        <v>4200</v>
      </c>
      <c r="AL350" s="578"/>
      <c r="AM350" s="277"/>
      <c r="AN350" s="579">
        <f>Table6[[#This Row],[اجمالى الاستحقاق]]-Table6[[#This Row],[Column2]]+Table6[[#This Row],[حوافز غير مستقره]]</f>
        <v>4200</v>
      </c>
      <c r="AO350" s="257"/>
      <c r="AP350" s="493"/>
      <c r="AQ350" s="124"/>
      <c r="AR350" s="124"/>
      <c r="AS350" s="177"/>
      <c r="AT350" s="494"/>
      <c r="AU350" s="494"/>
      <c r="AV350" s="494"/>
      <c r="AW350" s="494"/>
      <c r="AX350" s="494"/>
      <c r="AY350" s="494"/>
      <c r="AZ350" s="494"/>
      <c r="BA350" s="494"/>
      <c r="BB350" s="494"/>
      <c r="BC350" s="494"/>
      <c r="BD350" s="494"/>
      <c r="BE350" s="494"/>
      <c r="BF350" s="494"/>
      <c r="BG350" s="494"/>
      <c r="BH350" s="495"/>
      <c r="BI350" s="494"/>
      <c r="BJ350" s="495"/>
      <c r="BK350" s="494"/>
      <c r="BL350" s="494"/>
      <c r="BM350" s="496"/>
      <c r="BN350" s="496"/>
      <c r="BO350" s="494"/>
      <c r="BP350" s="496"/>
      <c r="BQ350" s="494"/>
      <c r="BR350" s="496"/>
      <c r="BS350" s="496"/>
      <c r="BT350" s="494"/>
      <c r="BU350" s="494"/>
      <c r="BV350" s="494"/>
      <c r="BW350" s="496"/>
      <c r="BX350" s="496"/>
      <c r="BY350" s="177"/>
      <c r="BZ350" s="177"/>
      <c r="CA350" s="177"/>
      <c r="CB350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0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0" s="166">
        <f>' الشركه 2018'!$H350*67%*1.5*' الشركه 2018'!$CB350/208</f>
        <v>0</v>
      </c>
      <c r="CE350" s="497">
        <f>' الشركه 2018'!$H350*67%*2*' الشركه 2018'!$CC350/208</f>
        <v>0</v>
      </c>
      <c r="CF350" s="497">
        <f>' الشركه 2018'!$CD350+' الشركه 2018'!$CE350</f>
        <v>0</v>
      </c>
      <c r="CG350" s="124"/>
      <c r="CH350" s="177"/>
      <c r="CI350" s="124"/>
      <c r="CJ350" s="162"/>
      <c r="CK350" s="162"/>
      <c r="CL350" s="177"/>
      <c r="CM350" s="162"/>
      <c r="CN350" s="162"/>
      <c r="CO350" s="162"/>
      <c r="CP350" s="498"/>
      <c r="CQ350" s="162" t="e">
        <f>VLOOKUP(Table6[[#This Row],[الرقم الوظيفى]],[4]!Table3[#Data],26,FALSE)</f>
        <v>#REF!</v>
      </c>
    </row>
    <row r="351" spans="1:98" ht="34.5" customHeight="1" thickTop="1" thickBot="1">
      <c r="A351" s="587">
        <v>8105</v>
      </c>
      <c r="B351" s="586" t="s">
        <v>795</v>
      </c>
      <c r="C351" s="349"/>
      <c r="D351" s="11"/>
      <c r="E351" s="487"/>
      <c r="F351" s="11"/>
      <c r="G351" s="510">
        <v>200</v>
      </c>
      <c r="H351" s="11">
        <v>6000</v>
      </c>
      <c r="I351" s="11">
        <f>Table6[[#This Row],[مرتب]]/30</f>
        <v>200</v>
      </c>
      <c r="J351" s="11"/>
      <c r="K351" s="143"/>
      <c r="L351" s="11"/>
      <c r="M351" s="143">
        <f>Table6[[#This Row],[مرتب الضمان]]*17%</f>
        <v>0</v>
      </c>
      <c r="N351" s="143">
        <f>' الشركه 2018'!$H351*35%</f>
        <v>2100</v>
      </c>
      <c r="O351" s="143">
        <f>' الشركه 2018'!$H351*32%</f>
        <v>1920</v>
      </c>
      <c r="P351" s="143">
        <f>' الشركه 2018'!$H351*12%</f>
        <v>720</v>
      </c>
      <c r="Q351" s="143">
        <f>' الشركه 2018'!$H351*13%</f>
        <v>780</v>
      </c>
      <c r="R351" s="143"/>
      <c r="S351" s="143"/>
      <c r="T351" s="143"/>
      <c r="U351" s="107">
        <f>VLOOKUP(Table6[[#This Row],[الرقم الوظيفى]],[2]بالخصم!$B$1:$AK$1200,35,)</f>
        <v>0</v>
      </c>
      <c r="V351" s="11"/>
      <c r="W351" s="143"/>
      <c r="X351" s="488"/>
      <c r="Y351" s="189"/>
      <c r="Z351" s="143"/>
      <c r="AA351" s="489"/>
      <c r="AB351" s="242" t="e">
        <f>VLOOKUP(Table6[[#This Row],[الرقم الوظيفى]],[3]!Table25289[#Data],23,)</f>
        <v>#REF!</v>
      </c>
      <c r="AC351" s="500"/>
      <c r="AD351" s="500"/>
      <c r="AE351" s="573" t="e">
        <f>VLOOKUP(Table6[[#This Row],[الرقم الوظيفى]],[3]!Table252894[#Data],22,)</f>
        <v>#REF!</v>
      </c>
      <c r="AF351" s="501"/>
      <c r="AG351" s="575">
        <f>' الشركه 2018'!$W351+' الشركه 2018'!$Z351+' الشركه 2018'!$AA351+' الشركه 2018'!$AC351+' الشركه 2018'!$AD351+' الشركه 2018'!$AF351</f>
        <v>0</v>
      </c>
      <c r="AH351" s="175">
        <f>Table6[[#This Row],[راتب الضمان]]*8%</f>
        <v>0</v>
      </c>
      <c r="AI351" s="576">
        <f>' الشركه 2018'!$H351-' الشركه 2018'!$AG351-' الشركه 2018'!$AH351</f>
        <v>6000</v>
      </c>
      <c r="AJ351" s="575">
        <f>' الشركه 2018'!$CF351</f>
        <v>0</v>
      </c>
      <c r="AK351" s="577">
        <f>' الشركه 2018'!$AI351+' الشركه 2018'!$AJ351</f>
        <v>6000</v>
      </c>
      <c r="AL351" s="578"/>
      <c r="AM351" s="277"/>
      <c r="AN351" s="579">
        <f>Table6[[#This Row],[اجمالى الاستحقاق]]-Table6[[#This Row],[Column2]]+Table6[[#This Row],[حوافز غير مستقره]]</f>
        <v>6000</v>
      </c>
      <c r="AO351" s="257"/>
      <c r="AP351" s="493"/>
      <c r="AQ351" s="124"/>
      <c r="AR351" s="124"/>
      <c r="AS351" s="177"/>
      <c r="AT351" s="494"/>
      <c r="AU351" s="494"/>
      <c r="AV351" s="494"/>
      <c r="AW351" s="494"/>
      <c r="AX351" s="494"/>
      <c r="AY351" s="494"/>
      <c r="AZ351" s="494"/>
      <c r="BA351" s="494"/>
      <c r="BB351" s="494"/>
      <c r="BC351" s="494"/>
      <c r="BD351" s="494"/>
      <c r="BE351" s="494"/>
      <c r="BF351" s="494"/>
      <c r="BG351" s="494"/>
      <c r="BH351" s="495"/>
      <c r="BI351" s="494"/>
      <c r="BJ351" s="495"/>
      <c r="BK351" s="494"/>
      <c r="BL351" s="494"/>
      <c r="BM351" s="496"/>
      <c r="BN351" s="496"/>
      <c r="BO351" s="494"/>
      <c r="BP351" s="496"/>
      <c r="BQ351" s="494"/>
      <c r="BR351" s="496"/>
      <c r="BS351" s="496"/>
      <c r="BT351" s="494"/>
      <c r="BU351" s="494"/>
      <c r="BV351" s="494"/>
      <c r="BW351" s="496"/>
      <c r="BX351" s="496"/>
      <c r="BY351" s="177"/>
      <c r="BZ351" s="177"/>
      <c r="CA351" s="177"/>
      <c r="CB351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1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1" s="166">
        <f>' الشركه 2018'!$H351*67%*1.5*' الشركه 2018'!$CB351/208</f>
        <v>0</v>
      </c>
      <c r="CE351" s="497">
        <f>' الشركه 2018'!$H351*67%*2*' الشركه 2018'!$CC351/208</f>
        <v>0</v>
      </c>
      <c r="CF351" s="497">
        <f>' الشركه 2018'!$CD351+' الشركه 2018'!$CE351</f>
        <v>0</v>
      </c>
      <c r="CG351" s="124"/>
      <c r="CH351" s="177"/>
      <c r="CI351" s="124"/>
      <c r="CJ351" s="162"/>
      <c r="CK351" s="162"/>
      <c r="CL351" s="177"/>
      <c r="CM351" s="162"/>
      <c r="CN351" s="162"/>
      <c r="CO351" s="162"/>
      <c r="CP351" s="498"/>
      <c r="CQ351" s="162" t="e">
        <f>VLOOKUP(Table6[[#This Row],[الرقم الوظيفى]],[4]!Table3[#Data],26,FALSE)</f>
        <v>#REF!</v>
      </c>
    </row>
    <row r="352" spans="1:98" ht="34.5" customHeight="1" thickTop="1" thickBot="1">
      <c r="A352" s="587">
        <v>8106</v>
      </c>
      <c r="B352" s="586" t="s">
        <v>796</v>
      </c>
      <c r="C352" s="474"/>
      <c r="D352" s="417"/>
      <c r="E352" s="479"/>
      <c r="F352" s="417"/>
      <c r="G352" s="510">
        <v>170</v>
      </c>
      <c r="H352" s="417">
        <v>5100</v>
      </c>
      <c r="I352" s="417">
        <f>Table6[[#This Row],[مرتب]]/30</f>
        <v>170</v>
      </c>
      <c r="J352" s="417"/>
      <c r="K352" s="394"/>
      <c r="L352" s="417"/>
      <c r="M352" s="394">
        <f>Table6[[#This Row],[مرتب الضمان]]*17%</f>
        <v>0</v>
      </c>
      <c r="N352" s="394">
        <f>' الشركه 2018'!$H352*35%</f>
        <v>1785</v>
      </c>
      <c r="O352" s="394">
        <f>' الشركه 2018'!$H352*32%</f>
        <v>1632</v>
      </c>
      <c r="P352" s="394">
        <f>' الشركه 2018'!$H352*12%</f>
        <v>612</v>
      </c>
      <c r="Q352" s="394">
        <f>' الشركه 2018'!$H352*13%</f>
        <v>663</v>
      </c>
      <c r="R352" s="394"/>
      <c r="S352" s="394"/>
      <c r="T352" s="394"/>
      <c r="U352" s="450">
        <f>VLOOKUP(Table6[[#This Row],[الرقم الوظيفى]],[2]بالخصم!$B$1:$AK$1200,35,)</f>
        <v>0</v>
      </c>
      <c r="V352" s="417"/>
      <c r="W352" s="394"/>
      <c r="X352" s="480"/>
      <c r="Y352" s="419"/>
      <c r="Z352" s="394"/>
      <c r="AA352" s="481"/>
      <c r="AB352" s="583" t="e">
        <f>VLOOKUP(Table6[[#This Row],[الرقم الوظيفى]],[3]!Table25289[#Data],23,)</f>
        <v>#REF!</v>
      </c>
      <c r="AC352" s="512"/>
      <c r="AD352" s="512"/>
      <c r="AE352" s="573" t="e">
        <f>VLOOKUP(Table6[[#This Row],[الرقم الوظيفى]],[3]!Table252894[#Data],22,)</f>
        <v>#REF!</v>
      </c>
      <c r="AF352" s="513"/>
      <c r="AG352" s="456">
        <f>' الشركه 2018'!$W352+' الشركه 2018'!$Z352+' الشركه 2018'!$AA352+' الشركه 2018'!$AC352+' الشركه 2018'!$AD352+' الشركه 2018'!$AF352</f>
        <v>0</v>
      </c>
      <c r="AH352" s="584">
        <f>Table6[[#This Row],[راتب الضمان]]*8%</f>
        <v>0</v>
      </c>
      <c r="AI352" s="491">
        <f>' الشركه 2018'!$H352-' الشركه 2018'!$AG352-' الشركه 2018'!$AH352</f>
        <v>5100</v>
      </c>
      <c r="AJ352" s="456">
        <f>' الشركه 2018'!$CF352</f>
        <v>0</v>
      </c>
      <c r="AK352" s="502">
        <f>' الشركه 2018'!$AI352+' الشركه 2018'!$AJ352</f>
        <v>5100</v>
      </c>
      <c r="AL352" s="578"/>
      <c r="AM352" s="277"/>
      <c r="AN352" s="579">
        <f>Table6[[#This Row],[اجمالى الاستحقاق]]-Table6[[#This Row],[Column2]]+Table6[[#This Row],[حوافز غير مستقره]]</f>
        <v>5100</v>
      </c>
      <c r="AO352" s="407"/>
      <c r="AP352" s="482"/>
      <c r="AQ352" s="359"/>
      <c r="AR352" s="359"/>
      <c r="AS352" s="413"/>
      <c r="AT352" s="483"/>
      <c r="AU352" s="483"/>
      <c r="AV352" s="483"/>
      <c r="AW352" s="483"/>
      <c r="AX352" s="483"/>
      <c r="AY352" s="483"/>
      <c r="AZ352" s="483"/>
      <c r="BA352" s="483"/>
      <c r="BB352" s="483"/>
      <c r="BC352" s="483"/>
      <c r="BD352" s="483"/>
      <c r="BE352" s="483"/>
      <c r="BF352" s="483"/>
      <c r="BG352" s="483"/>
      <c r="BH352" s="484"/>
      <c r="BI352" s="483"/>
      <c r="BJ352" s="484"/>
      <c r="BK352" s="483"/>
      <c r="BL352" s="483"/>
      <c r="BM352" s="485"/>
      <c r="BN352" s="485"/>
      <c r="BO352" s="483"/>
      <c r="BP352" s="485"/>
      <c r="BQ352" s="483"/>
      <c r="BR352" s="485"/>
      <c r="BS352" s="485"/>
      <c r="BT352" s="483"/>
      <c r="BU352" s="483"/>
      <c r="BV352" s="483"/>
      <c r="BW352" s="485"/>
      <c r="BX352" s="485"/>
      <c r="BY352" s="413"/>
      <c r="BZ352" s="413"/>
      <c r="CA352" s="413"/>
      <c r="CB352" s="514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2" s="585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2" s="166">
        <f>' الشركه 2018'!$H352*67%*1.5*' الشركه 2018'!$CB352/208</f>
        <v>0</v>
      </c>
      <c r="CE352" s="515">
        <f>' الشركه 2018'!$H352*67%*2*' الشركه 2018'!$CC352/208</f>
        <v>0</v>
      </c>
      <c r="CF352" s="515">
        <f>' الشركه 2018'!$CD352+' الشركه 2018'!$CE352</f>
        <v>0</v>
      </c>
      <c r="CG352" s="359"/>
      <c r="CH352" s="413"/>
      <c r="CI352" s="359"/>
      <c r="CJ352" s="414"/>
      <c r="CK352" s="414"/>
      <c r="CL352" s="413"/>
      <c r="CM352" s="414"/>
      <c r="CN352" s="414"/>
      <c r="CO352" s="414"/>
      <c r="CP352" s="460"/>
      <c r="CQ352" s="414" t="e">
        <f>VLOOKUP(Table6[[#This Row],[الرقم الوظيفى]],[4]!Table3[#Data],26,FALSE)</f>
        <v>#REF!</v>
      </c>
    </row>
    <row r="353" spans="1:95" ht="34.5" customHeight="1" thickTop="1" thickBot="1">
      <c r="A353" s="510">
        <v>8107</v>
      </c>
      <c r="B353" s="510" t="s">
        <v>797</v>
      </c>
      <c r="C353" s="349"/>
      <c r="D353" s="11"/>
      <c r="E353" s="487"/>
      <c r="F353" s="11"/>
      <c r="G353" s="510">
        <v>150</v>
      </c>
      <c r="H353" s="11">
        <v>4500</v>
      </c>
      <c r="I353" s="11">
        <f>Table6[[#This Row],[مرتب]]/30</f>
        <v>150</v>
      </c>
      <c r="J353" s="11"/>
      <c r="K353" s="143"/>
      <c r="L353" s="11"/>
      <c r="M353" s="143">
        <f>Table6[[#This Row],[مرتب الضمان]]*17%</f>
        <v>0</v>
      </c>
      <c r="N353" s="143">
        <f>' الشركه 2018'!$H353*35%</f>
        <v>1575</v>
      </c>
      <c r="O353" s="143">
        <f>' الشركه 2018'!$H353*32%</f>
        <v>1440</v>
      </c>
      <c r="P353" s="143">
        <f>' الشركه 2018'!$H353*12%</f>
        <v>540</v>
      </c>
      <c r="Q353" s="143">
        <f>' الشركه 2018'!$H353*13%</f>
        <v>585</v>
      </c>
      <c r="R353" s="143"/>
      <c r="S353" s="143"/>
      <c r="T353" s="143"/>
      <c r="U353" s="107">
        <f>VLOOKUP(Table6[[#This Row],[الرقم الوظيفى]],[2]بالخصم!$B$1:$AK$1200,35,)</f>
        <v>1</v>
      </c>
      <c r="V353" s="11"/>
      <c r="W353" s="143"/>
      <c r="X353" s="488"/>
      <c r="Y353" s="189"/>
      <c r="Z353" s="143"/>
      <c r="AA353" s="489"/>
      <c r="AB353" s="242" t="e">
        <f>VLOOKUP(Table6[[#This Row],[الرقم الوظيفى]],[3]!Table25289[#Data],23,)</f>
        <v>#REF!</v>
      </c>
      <c r="AC353" s="500"/>
      <c r="AD353" s="500"/>
      <c r="AE353" s="573" t="e">
        <f>VLOOKUP(Table6[[#This Row],[الرقم الوظيفى]],[3]!Table252894[#Data],22,)</f>
        <v>#REF!</v>
      </c>
      <c r="AF353" s="501"/>
      <c r="AG353" s="575">
        <f>' الشركه 2018'!$W353+' الشركه 2018'!$Z353+' الشركه 2018'!$AA353+' الشركه 2018'!$AC353+' الشركه 2018'!$AD353+' الشركه 2018'!$AF353</f>
        <v>0</v>
      </c>
      <c r="AH353" s="175">
        <f>Table6[[#This Row],[راتب الضمان]]*8%</f>
        <v>0</v>
      </c>
      <c r="AI353" s="576">
        <f>' الشركه 2018'!$H353-' الشركه 2018'!$AG353-' الشركه 2018'!$AH353</f>
        <v>4500</v>
      </c>
      <c r="AJ353" s="575">
        <f>' الشركه 2018'!$CF353</f>
        <v>0</v>
      </c>
      <c r="AK353" s="577">
        <f>' الشركه 2018'!$AI353+' الشركه 2018'!$AJ353</f>
        <v>4500</v>
      </c>
      <c r="AL353" s="502"/>
      <c r="AM353" s="277"/>
      <c r="AN353" s="278">
        <f>Table6[[#This Row],[اجمالى الاستحقاق]]-Table6[[#This Row],[Column2]]+Table6[[#This Row],[حوافز غير مستقره]]</f>
        <v>4500</v>
      </c>
      <c r="AO353" s="257"/>
      <c r="AP353" s="493"/>
      <c r="AQ353" s="124"/>
      <c r="AR353" s="124"/>
      <c r="AS353" s="177"/>
      <c r="AT353" s="494"/>
      <c r="AU353" s="494"/>
      <c r="AV353" s="494"/>
      <c r="AW353" s="494"/>
      <c r="AX353" s="494"/>
      <c r="AY353" s="494"/>
      <c r="AZ353" s="494"/>
      <c r="BA353" s="494"/>
      <c r="BB353" s="494"/>
      <c r="BC353" s="494"/>
      <c r="BD353" s="494"/>
      <c r="BE353" s="494"/>
      <c r="BF353" s="494"/>
      <c r="BG353" s="494"/>
      <c r="BH353" s="495"/>
      <c r="BI353" s="494"/>
      <c r="BJ353" s="495"/>
      <c r="BK353" s="494"/>
      <c r="BL353" s="494"/>
      <c r="BM353" s="496"/>
      <c r="BN353" s="496"/>
      <c r="BO353" s="494"/>
      <c r="BP353" s="496"/>
      <c r="BQ353" s="494"/>
      <c r="BR353" s="496"/>
      <c r="BS353" s="496"/>
      <c r="BT353" s="494"/>
      <c r="BU353" s="494"/>
      <c r="BV353" s="494"/>
      <c r="BW353" s="496"/>
      <c r="BX353" s="496"/>
      <c r="BY353" s="177"/>
      <c r="BZ353" s="177"/>
      <c r="CA353" s="177"/>
      <c r="CB353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3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3" s="166">
        <f>' الشركه 2018'!$H353*67%*1.5*' الشركه 2018'!$CB353/208</f>
        <v>0</v>
      </c>
      <c r="CE353" s="497">
        <f>' الشركه 2018'!$H353*67%*2*' الشركه 2018'!$CC353/208</f>
        <v>0</v>
      </c>
      <c r="CF353" s="497">
        <f>' الشركه 2018'!$CD353+' الشركه 2018'!$CE353</f>
        <v>0</v>
      </c>
      <c r="CG353" s="124"/>
      <c r="CH353" s="177"/>
      <c r="CI353" s="124"/>
      <c r="CJ353" s="162"/>
      <c r="CK353" s="162"/>
      <c r="CL353" s="177"/>
      <c r="CM353" s="162"/>
      <c r="CN353" s="162"/>
      <c r="CO353" s="162"/>
      <c r="CP353" s="498"/>
      <c r="CQ353" s="162" t="e">
        <f>VLOOKUP(Table6[[#This Row],[الرقم الوظيفى]],[4]!Table3[#Data],26,FALSE)</f>
        <v>#REF!</v>
      </c>
    </row>
    <row r="354" spans="1:95" ht="34.5" customHeight="1" thickTop="1" thickBot="1">
      <c r="A354" s="510">
        <v>8108</v>
      </c>
      <c r="B354" s="586" t="s">
        <v>798</v>
      </c>
      <c r="C354" s="376"/>
      <c r="D354" s="11"/>
      <c r="E354" s="487"/>
      <c r="F354" s="11"/>
      <c r="G354" s="510">
        <v>120</v>
      </c>
      <c r="H354" s="107">
        <v>3600</v>
      </c>
      <c r="I354" s="143">
        <f>Table6[[#This Row],[مرتب]]/30</f>
        <v>120</v>
      </c>
      <c r="J354" s="143"/>
      <c r="K354" s="143"/>
      <c r="L354" s="11"/>
      <c r="M354" s="143">
        <f>Table6[[#This Row],[مرتب الضمان]]*17%</f>
        <v>0</v>
      </c>
      <c r="N354" s="143">
        <f>' الشركه 2018'!$H354*35%</f>
        <v>1260</v>
      </c>
      <c r="O354" s="143">
        <f>' الشركه 2018'!$H354*32%</f>
        <v>1152</v>
      </c>
      <c r="P354" s="143">
        <f>' الشركه 2018'!$H354*12%</f>
        <v>432</v>
      </c>
      <c r="Q354" s="143">
        <f>' الشركه 2018'!$H354*13%</f>
        <v>468</v>
      </c>
      <c r="R354" s="143"/>
      <c r="S354" s="143"/>
      <c r="T354" s="143"/>
      <c r="U354" s="107" t="e">
        <f>VLOOKUP(Table6[[#This Row],[الرقم الوظيفى]],[2]بالخصم!$B$1:$AK$1200,35,)</f>
        <v>#N/A</v>
      </c>
      <c r="V354" s="11"/>
      <c r="W354" s="143"/>
      <c r="X354" s="488"/>
      <c r="Y354" s="189"/>
      <c r="Z354" s="143"/>
      <c r="AA354" s="489"/>
      <c r="AB354" s="242" t="e">
        <f>VLOOKUP(Table6[[#This Row],[الرقم الوظيفى]],[3]!Table25289[#Data],23,)</f>
        <v>#REF!</v>
      </c>
      <c r="AC354" s="206"/>
      <c r="AD354" s="206"/>
      <c r="AE354" s="573" t="e">
        <f>VLOOKUP(Table6[[#This Row],[الرقم الوظيفى]],[3]!Table252894[#Data],22,)</f>
        <v>#REF!</v>
      </c>
      <c r="AF354" s="378"/>
      <c r="AG354" s="575">
        <f>' الشركه 2018'!$W354+' الشركه 2018'!$Z354+' الشركه 2018'!$AA354+' الشركه 2018'!$AC354+' الشركه 2018'!$AD354+' الشركه 2018'!$AF354</f>
        <v>0</v>
      </c>
      <c r="AH354" s="175">
        <f>Table6[[#This Row],[راتب الضمان]]*8%</f>
        <v>0</v>
      </c>
      <c r="AI354" s="576">
        <f>' الشركه 2018'!$H354-' الشركه 2018'!$AG354-' الشركه 2018'!$AH354</f>
        <v>3600</v>
      </c>
      <c r="AJ354" s="575">
        <f>' الشركه 2018'!$CF354</f>
        <v>0</v>
      </c>
      <c r="AK354" s="577">
        <f>' الشركه 2018'!$AI354+' الشركه 2018'!$AJ354</f>
        <v>3600</v>
      </c>
      <c r="AL354" s="578"/>
      <c r="AM354" s="277"/>
      <c r="AN354" s="579">
        <f>Table6[[#This Row],[اجمالى الاستحقاق]]-Table6[[#This Row],[Column2]]+Table6[[#This Row],[حوافز غير مستقره]]</f>
        <v>3600</v>
      </c>
      <c r="AO354" s="257"/>
      <c r="AP354" s="493"/>
      <c r="AQ354" s="162"/>
      <c r="AR354" s="162"/>
      <c r="AS354" s="177"/>
      <c r="AT354" s="580"/>
      <c r="AU354" s="580"/>
      <c r="AV354" s="580"/>
      <c r="AW354" s="580"/>
      <c r="AX354" s="580"/>
      <c r="AY354" s="580"/>
      <c r="AZ354" s="580"/>
      <c r="BA354" s="580"/>
      <c r="BB354" s="580"/>
      <c r="BC354" s="580"/>
      <c r="BD354" s="580"/>
      <c r="BE354" s="580"/>
      <c r="BF354" s="580"/>
      <c r="BG354" s="580"/>
      <c r="BH354" s="581"/>
      <c r="BI354" s="580"/>
      <c r="BJ354" s="581"/>
      <c r="BK354" s="580"/>
      <c r="BL354" s="580"/>
      <c r="BM354" s="496"/>
      <c r="BN354" s="496"/>
      <c r="BO354" s="580"/>
      <c r="BP354" s="496"/>
      <c r="BQ354" s="580"/>
      <c r="BR354" s="496"/>
      <c r="BS354" s="496"/>
      <c r="BT354" s="580"/>
      <c r="BU354" s="580"/>
      <c r="BV354" s="580"/>
      <c r="BW354" s="496"/>
      <c r="BX354" s="496"/>
      <c r="BY354" s="177"/>
      <c r="BZ354" s="177"/>
      <c r="CA354" s="177"/>
      <c r="CB354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4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4" s="572">
        <f>' الشركه 2018'!$H354*67%*1.5*' الشركه 2018'!$CB354/208</f>
        <v>0</v>
      </c>
      <c r="CE354" s="497">
        <f>' الشركه 2018'!$H354*67%*2*' الشركه 2018'!$CC354/208</f>
        <v>0</v>
      </c>
      <c r="CF354" s="497">
        <f>' الشركه 2018'!$CD354+' الشركه 2018'!$CE354</f>
        <v>0</v>
      </c>
      <c r="CG354" s="162"/>
      <c r="CH354" s="177"/>
      <c r="CI354" s="162"/>
      <c r="CJ354" s="162"/>
      <c r="CK354" s="162"/>
      <c r="CL354" s="177"/>
      <c r="CM354" s="162"/>
      <c r="CN354" s="162"/>
      <c r="CO354" s="162"/>
      <c r="CP354" s="498"/>
      <c r="CQ354" s="162" t="e">
        <f>VLOOKUP(Table6[[#This Row],[الرقم الوظيفى]],[4]!Table3[#Data],26,FALSE)</f>
        <v>#REF!</v>
      </c>
    </row>
    <row r="355" spans="1:95" ht="34.5" customHeight="1" thickTop="1" thickBot="1">
      <c r="A355" s="588">
        <v>8109</v>
      </c>
      <c r="B355" s="510" t="s">
        <v>799</v>
      </c>
      <c r="C355" s="376"/>
      <c r="D355" s="11"/>
      <c r="E355" s="487"/>
      <c r="F355" s="11"/>
      <c r="G355" s="510">
        <v>180</v>
      </c>
      <c r="H355" s="107">
        <v>5400</v>
      </c>
      <c r="I355" s="143">
        <f>Table6[[#This Row],[مرتب]]/30</f>
        <v>180</v>
      </c>
      <c r="J355" s="143"/>
      <c r="K355" s="143"/>
      <c r="L355" s="11"/>
      <c r="M355" s="143">
        <f>Table6[[#This Row],[مرتب الضمان]]*17%</f>
        <v>0</v>
      </c>
      <c r="N355" s="143">
        <f>' الشركه 2018'!$H355*35%</f>
        <v>1889.9999999999998</v>
      </c>
      <c r="O355" s="143">
        <f>' الشركه 2018'!$H355*32%</f>
        <v>1728</v>
      </c>
      <c r="P355" s="143">
        <f>' الشركه 2018'!$H355*12%</f>
        <v>648</v>
      </c>
      <c r="Q355" s="143">
        <f>' الشركه 2018'!$H355*13%</f>
        <v>702</v>
      </c>
      <c r="R355" s="143"/>
      <c r="S355" s="143"/>
      <c r="T355" s="143"/>
      <c r="U355" s="107">
        <f>VLOOKUP(Table6[[#This Row],[الرقم الوظيفى]],[2]بالخصم!$B$1:$AK$1200,35,)</f>
        <v>1</v>
      </c>
      <c r="V355" s="11"/>
      <c r="W355" s="143"/>
      <c r="X355" s="488"/>
      <c r="Y355" s="189"/>
      <c r="Z355" s="143"/>
      <c r="AA355" s="489"/>
      <c r="AB355" s="242" t="e">
        <f>VLOOKUP(Table6[[#This Row],[الرقم الوظيفى]],[3]!Table25289[#Data],23,)</f>
        <v>#REF!</v>
      </c>
      <c r="AC355" s="206"/>
      <c r="AD355" s="206"/>
      <c r="AE355" s="574" t="e">
        <f>VLOOKUP(Table6[[#This Row],[الرقم الوظيفى]],[3]!Table252894[#Data],22,)</f>
        <v>#REF!</v>
      </c>
      <c r="AF355" s="378"/>
      <c r="AG355" s="575">
        <f>' الشركه 2018'!$W355+' الشركه 2018'!$Z355+' الشركه 2018'!$AA355+' الشركه 2018'!$AC355+' الشركه 2018'!$AD355+' الشركه 2018'!$AF355</f>
        <v>0</v>
      </c>
      <c r="AH355" s="175">
        <f>Table6[[#This Row],[راتب الضمان]]*8%</f>
        <v>0</v>
      </c>
      <c r="AI355" s="576">
        <f>' الشركه 2018'!$H355-' الشركه 2018'!$AG355-' الشركه 2018'!$AH355</f>
        <v>5400</v>
      </c>
      <c r="AJ355" s="575">
        <f>' الشركه 2018'!$CF355</f>
        <v>0</v>
      </c>
      <c r="AK355" s="577">
        <f>' الشركه 2018'!$AI355+' الشركه 2018'!$AJ355</f>
        <v>5400</v>
      </c>
      <c r="AL355" s="578"/>
      <c r="AM355" s="277"/>
      <c r="AN355" s="579">
        <f>Table6[[#This Row],[اجمالى الاستحقاق]]-Table6[[#This Row],[Column2]]+Table6[[#This Row],[حوافز غير مستقره]]</f>
        <v>5400</v>
      </c>
      <c r="AO355" s="257"/>
      <c r="AP355" s="493"/>
      <c r="AQ355" s="162"/>
      <c r="AR355" s="162"/>
      <c r="AS355" s="177"/>
      <c r="AT355" s="580"/>
      <c r="AU355" s="580"/>
      <c r="AV355" s="580"/>
      <c r="AW355" s="580"/>
      <c r="AX355" s="580"/>
      <c r="AY355" s="580"/>
      <c r="AZ355" s="580"/>
      <c r="BA355" s="580"/>
      <c r="BB355" s="580"/>
      <c r="BC355" s="580"/>
      <c r="BD355" s="580"/>
      <c r="BE355" s="580"/>
      <c r="BF355" s="580"/>
      <c r="BG355" s="580"/>
      <c r="BH355" s="581"/>
      <c r="BI355" s="580"/>
      <c r="BJ355" s="581"/>
      <c r="BK355" s="580"/>
      <c r="BL355" s="580"/>
      <c r="BM355" s="496"/>
      <c r="BN355" s="496"/>
      <c r="BO355" s="580"/>
      <c r="BP355" s="496"/>
      <c r="BQ355" s="580"/>
      <c r="BR355" s="496"/>
      <c r="BS355" s="496"/>
      <c r="BT355" s="580"/>
      <c r="BU355" s="580"/>
      <c r="BV355" s="580"/>
      <c r="BW355" s="496"/>
      <c r="BX355" s="496"/>
      <c r="BY355" s="177"/>
      <c r="BZ355" s="177"/>
      <c r="CA355" s="177"/>
      <c r="CB355" s="392">
        <f>Table6[[#This Row],[Wednesday, November 21, 2018]]+Table6[[#This Row],[Thursday, November 22, 2018]]+Table6[[#This Row],[Saturday, November 24, 2018]]+Table6[[#This Row],[Sunday, November 25, 2018]]+Table6[[#This Row],[Monday, November 26, 2018]]+Table6[[#This Row],[Tuesday, November 27, 2018]]+Table6[[#This Row],[Wednesday, November 28, 2018]]+Table6[[#This Row],[Thursday, November 29, 2018]]+Table6[[#This Row],[Saturday, December 01, 2018]]+Table6[[#This Row],[Sunday, December 02, 2018]]+Table6[[#This Row],[Monday, December 03, 2018]]+Table6[[#This Row],[Tuesday, December 04, 2018]]+Table6[[#This Row],[Wednesday, December 05, 2018]]+Table6[[#This Row],[Thursday, December 06, 2018]]+Table6[[#This Row],[Saturday, December 08, 2018]]+Table6[[#This Row],[Sunday, December 09, 2018]]+Table6[[#This Row],[Monday, December 10, 2018]]+Table6[[#This Row],[Tuesday, December 11, 2018]]+Table6[[#This Row],[Wednesday, December 12, 2018]]+Table6[[#This Row],[Thursday, December 13, 2018]]+Table6[[#This Row],[Saturday, December 15, 2018]]+Table6[[#This Row],[Sunday, December 16, 2018]]+Table6[[#This Row],[Monday, December 17, 2018]]+Table6[[#This Row],[Tuesday, December 18, 2018]]+Table6[[#This Row],[Wednesday, December 19, 2018]]+Table6[[#This Row],[Thursday, December 20, 2018]]+Table6[[#This Row],[فروقات عادي]]</f>
        <v>0</v>
      </c>
      <c r="CC355" s="582">
        <f>Table6[[#This Row],[Friday, November 23, 2018]]+Table6[[#This Row],[Friday, November 30, 2018]]+Table6[[#This Row],[Friday, December 07, 2018]]+Table6[[#This Row],[Friday, December 14, 2018]]+Table6[[#This Row],[فروقات عطله]]</f>
        <v>0</v>
      </c>
      <c r="CD355" s="572">
        <f>' الشركه 2018'!$H355*67%*1.5*' الشركه 2018'!$CB355/208</f>
        <v>0</v>
      </c>
      <c r="CE355" s="497">
        <f>' الشركه 2018'!$H355*67%*2*' الشركه 2018'!$CC355/208</f>
        <v>0</v>
      </c>
      <c r="CF355" s="497">
        <f>' الشركه 2018'!$CD355+' الشركه 2018'!$CE355</f>
        <v>0</v>
      </c>
      <c r="CG355" s="162"/>
      <c r="CH355" s="177"/>
      <c r="CI355" s="162"/>
      <c r="CJ355" s="162"/>
      <c r="CK355" s="162"/>
      <c r="CL355" s="177"/>
      <c r="CM355" s="162"/>
      <c r="CN355" s="162"/>
      <c r="CO355" s="162"/>
      <c r="CP355" s="498"/>
      <c r="CQ355" s="162" t="e">
        <f>VLOOKUP(Table6[[#This Row],[الرقم الوظيفى]],[4]!Table3[#Data],26,FALSE)</f>
        <v>#REF!</v>
      </c>
    </row>
    <row r="356" spans="1:95" ht="34.5" customHeight="1" thickTop="1"/>
  </sheetData>
  <dataConsolidate link="1"/>
  <conditionalFormatting sqref="B240:C243 G292:G297 G284:G290 A244:C253 G240:G253">
    <cfRule type="cellIs" dxfId="210" priority="32" stopIfTrue="1" operator="equal">
      <formula>0.67</formula>
    </cfRule>
  </conditionalFormatting>
  <conditionalFormatting sqref="B240:C243 G292:G297 G284:G290 A244:C253 G240:G253">
    <cfRule type="cellIs" dxfId="209" priority="31" stopIfTrue="1" operator="equal">
      <formula>0.5</formula>
    </cfRule>
  </conditionalFormatting>
  <conditionalFormatting sqref="J1:J3 J354:J355">
    <cfRule type="cellIs" dxfId="208" priority="30" operator="lessThan">
      <formula>30</formula>
    </cfRule>
  </conditionalFormatting>
  <conditionalFormatting sqref="AT4:BX4 A1:XFD3">
    <cfRule type="containsText" dxfId="207" priority="29" operator="containsText" text="friday">
      <formula>NOT(ISERROR(SEARCH("friday",A1)))</formula>
    </cfRule>
  </conditionalFormatting>
  <conditionalFormatting sqref="X2:X355 AB2:AB355 AE2:AE355 U2:U355">
    <cfRule type="cellIs" dxfId="206" priority="28" operator="greaterThan">
      <formula>0</formula>
    </cfRule>
  </conditionalFormatting>
  <conditionalFormatting sqref="AT1:BX3">
    <cfRule type="containsText" dxfId="205" priority="26" operator="containsText" text="friday">
      <formula>NOT(ISERROR(SEARCH("friday",AT1)))</formula>
    </cfRule>
  </conditionalFormatting>
  <conditionalFormatting sqref="G260:G265">
    <cfRule type="colorScale" priority="2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60:G265">
    <cfRule type="colorScale" priority="2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326:G352 G1:G315 G354:G1048576">
    <cfRule type="timePeriod" dxfId="204" priority="16" timePeriod="yesterday">
      <formula>FLOOR(G1,1)=TODAY()-1</formula>
    </cfRule>
    <cfRule type="timePeriod" dxfId="203" priority="17" timePeriod="thisMonth">
      <formula>AND(MONTH(G1)=MONTH(TODAY()),YEAR(G1)=YEAR(TODAY()))</formula>
    </cfRule>
  </conditionalFormatting>
  <conditionalFormatting sqref="G292:G296">
    <cfRule type="colorScale" priority="1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92:G296">
    <cfRule type="colorScale" priority="1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92:G29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2:G298">
    <cfRule type="colorScale" priority="1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92:G298">
    <cfRule type="colorScale" priority="1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93:G297">
    <cfRule type="colorScale" priority="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93:G297">
    <cfRule type="colorScale" priority="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93:G29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9:G301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99:G301">
    <cfRule type="colorScale" priority="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193:G195">
    <cfRule type="colorScale" priority="3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57">
    <cfRule type="colorScale" priority="3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57">
    <cfRule type="colorScale" priority="3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37:G238">
    <cfRule type="colorScale" priority="3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37:G238">
    <cfRule type="colorScale" priority="3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39">
    <cfRule type="colorScale" priority="3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39">
    <cfRule type="colorScale" priority="3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40:G242">
    <cfRule type="colorScale" priority="4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40:G242">
    <cfRule type="colorScale" priority="4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40:G24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03">
    <cfRule type="colorScale" priority="4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03">
    <cfRule type="colorScale" priority="4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4">
    <cfRule type="colorScale" priority="4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4">
    <cfRule type="colorScale" priority="4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04:G207">
    <cfRule type="colorScale" priority="4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04:G207">
    <cfRule type="colorScale" priority="48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15:G222">
    <cfRule type="colorScale" priority="4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31:G236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31:G236">
    <cfRule type="colorScale" priority="5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23:G237">
    <cfRule type="colorScale" priority="5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23:G237">
    <cfRule type="colorScale" priority="5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178:G189">
    <cfRule type="colorScale" priority="5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304:G308">
    <cfRule type="colorScale" priority="5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304:G308">
    <cfRule type="colorScale" priority="5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08:G209">
    <cfRule type="colorScale" priority="5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08:G209">
    <cfRule type="colorScale" priority="58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10:G222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10:G222">
    <cfRule type="colorScale" priority="6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04:G222 G171:G202">
    <cfRule type="colorScale" priority="6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04:G222 G171:G202">
    <cfRule type="colorScale" priority="6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04:G222 G5:G202">
    <cfRule type="colorScale" priority="6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84:G286">
    <cfRule type="colorScale" priority="6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84:G286">
    <cfRule type="colorScale" priority="6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84:G28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16:G325">
    <cfRule type="timePeriod" dxfId="202" priority="3" timePeriod="yesterday">
      <formula>FLOOR(G316,1)=TODAY()-1</formula>
    </cfRule>
    <cfRule type="timePeriod" dxfId="201" priority="4" timePeriod="thisMonth">
      <formula>AND(MONTH(G316)=MONTH(TODAY()),YEAR(G316)=YEAR(TODAY()))</formula>
    </cfRule>
  </conditionalFormatting>
  <conditionalFormatting sqref="G323:G325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43:G253">
    <cfRule type="colorScale" priority="7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43:G253">
    <cfRule type="colorScale" priority="7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43:G25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6:G338">
    <cfRule type="colorScale" priority="10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356:G1048576 G339:G352 G5:G132 G213:G214">
    <cfRule type="colorScale" priority="15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5:G237">
    <cfRule type="colorScale" priority="21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87:G290">
    <cfRule type="colorScale" priority="22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87:G290">
    <cfRule type="colorScale" priority="22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287:G290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6:G291">
    <cfRule type="colorScale" priority="22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G266:G291">
    <cfRule type="colorScale" priority="22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dataValidations count="3">
    <dataValidation type="list" allowBlank="1" showInputMessage="1" showErrorMessage="1" sqref="D247 D5:D56 D58:D238">
      <formula1>$AQ$5:$AQ$14</formula1>
    </dataValidation>
    <dataValidation type="list" allowBlank="1" showInputMessage="1" showErrorMessage="1" sqref="E292:E298">
      <formula1>$IN$5:$IN$28</formula1>
    </dataValidation>
    <dataValidation type="list" allowBlank="1" showInputMessage="1" showErrorMessage="1" sqref="D260:D291">
      <formula1>$GU$5:$GU$28</formula1>
    </dataValidation>
  </dataValidations>
  <pageMargins left="0.155" right="0.155729166666667" top="0.4815625" bottom="0.47395833333333331" header="9.4791666666666705E-2" footer="0.3"/>
  <pageSetup scale="75" orientation="portrait" verticalDpi="300" r:id="rId1"/>
  <headerFooter>
    <oddHeader>&amp;C&amp;"AGA Granada Regular,Regular"&amp;18شركه ذات العماد للصناعه /   ديسمبر 2018</oddHeader>
    <oddFooter>&amp;Lتوقيع الاداره الماليه                  &amp;C&amp;K92D050Prepared by mohammed  &amp;D &amp;P&amp;Rتوقيع مدير الموارد البشريه</oddFooter>
  </headerFooter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2"/>
  <sheetViews>
    <sheetView rightToLeft="1" tabSelected="1" workbookViewId="0">
      <selection activeCell="G13" sqref="G13"/>
    </sheetView>
  </sheetViews>
  <sheetFormatPr defaultRowHeight="14.5"/>
  <cols>
    <col min="1" max="4" width="11" customWidth="1"/>
  </cols>
  <sheetData>
    <row r="1" spans="1:4">
      <c r="A1" t="s">
        <v>61</v>
      </c>
      <c r="B1" t="s">
        <v>62</v>
      </c>
      <c r="C1" t="s">
        <v>57</v>
      </c>
      <c r="D1" t="s">
        <v>58</v>
      </c>
    </row>
    <row r="2" spans="1:4">
      <c r="A2" s="4" t="s">
        <v>38</v>
      </c>
      <c r="B2" s="4">
        <v>70000</v>
      </c>
    </row>
    <row r="3" spans="1:4">
      <c r="A3" s="4" t="s">
        <v>39</v>
      </c>
      <c r="B3" s="4">
        <v>50000</v>
      </c>
    </row>
    <row r="4" spans="1:4">
      <c r="A4" s="4" t="s">
        <v>40</v>
      </c>
      <c r="B4" s="4">
        <v>20000</v>
      </c>
    </row>
    <row r="5" spans="1:4">
      <c r="A5" s="4" t="s">
        <v>41</v>
      </c>
      <c r="B5" s="4">
        <v>10000</v>
      </c>
    </row>
    <row r="6" spans="1:4">
      <c r="A6" s="4" t="s">
        <v>42</v>
      </c>
      <c r="B6" s="4">
        <v>8000</v>
      </c>
    </row>
    <row r="7" spans="1:4">
      <c r="A7" s="4" t="s">
        <v>43</v>
      </c>
      <c r="B7" s="4">
        <v>7000</v>
      </c>
    </row>
    <row r="8" spans="1:4">
      <c r="A8" s="1" t="s">
        <v>44</v>
      </c>
      <c r="B8" s="1">
        <v>6000</v>
      </c>
    </row>
    <row r="9" spans="1:4">
      <c r="A9" s="3" t="s">
        <v>44</v>
      </c>
      <c r="B9" s="3">
        <v>5500</v>
      </c>
    </row>
    <row r="10" spans="1:4">
      <c r="A10" s="3" t="s">
        <v>45</v>
      </c>
      <c r="B10" s="3">
        <v>5000</v>
      </c>
    </row>
    <row r="11" spans="1:4" s="3" customFormat="1">
      <c r="A11" s="3" t="s">
        <v>52</v>
      </c>
      <c r="B11" s="3">
        <v>4000</v>
      </c>
      <c r="C11"/>
      <c r="D11"/>
    </row>
    <row r="12" spans="1:4">
      <c r="A12" s="3" t="s">
        <v>33</v>
      </c>
      <c r="B12" s="3">
        <f>SUBTOTAL(101,Table38[الحد الادني])</f>
        <v>18550</v>
      </c>
      <c r="C12" s="3"/>
      <c r="D12" s="3">
        <f>SUBTOTAL(103,Table38[Column4])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Sheet3 (2)</vt:lpstr>
      <vt:lpstr>' الشركه 2018'!Print_Titles</vt:lpstr>
      <vt:lpstr>MAIN!Print_Titles</vt:lpstr>
      <vt:lpstr>Sheet5!Print_Titles</vt:lpstr>
      <vt:lpstr>كامل!Print_Titles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2019-12-01T10:20:21Z</dcterms:modified>
</cp:coreProperties>
</file>